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_report" sheetId="1" r:id="rId4"/>
    <sheet state="visible" name="Base" sheetId="2" r:id="rId5"/>
    <sheet state="visible" name="SiteAttendu" sheetId="3" r:id="rId6"/>
    <sheet state="visible" name="Feuil1" sheetId="4" r:id="rId7"/>
    <sheet state="visible" name="DetailCompletude" sheetId="5" r:id="rId8"/>
    <sheet state="visible" name="DetailPromptitude" sheetId="6" r:id="rId9"/>
    <sheet state="visible" name="CompletudeParRegion" sheetId="7" r:id="rId10"/>
    <sheet state="visible" name="PromptitudeParRegion" sheetId="8" r:id="rId11"/>
  </sheets>
  <definedNames>
    <definedName name="soccode">Base!$C:$C</definedName>
    <definedName name="socprog">Base!$E:$E</definedName>
    <definedName name="soctrans">Base!$I:$I</definedName>
    <definedName name="socsite">Base!$D:$D</definedName>
    <definedName name="socprompt">Base!$K:$K</definedName>
    <definedName hidden="1" localSheetId="0" name="_xlnm._FilterDatabase">Base_report!$A$1:$G$1761</definedName>
    <definedName hidden="1" localSheetId="1" name="_xlnm._FilterDatabase">Base!$A$1:$L$1574</definedName>
    <definedName hidden="1" localSheetId="2" name="_xlnm._FilterDatabase">SiteAttendu!$A$1:$P$364</definedName>
    <definedName hidden="1" localSheetId="4" name="_xlnm._FilterDatabase">DetailCompletude!$A$1:$AC$366</definedName>
    <definedName hidden="1" localSheetId="5" name="_xlnm._FilterDatabase">DetailPromptitude!$A$1:$X$366</definedName>
    <definedName hidden="1" localSheetId="6" name="_xlnm._FilterDatabase">CompletudeParRegion!$A$4:$AK$39</definedName>
    <definedName hidden="1" localSheetId="7" name="_xlnm._FilterDatabase">PromptitudeParRegion!$A$4:$S$39</definedName>
  </definedNames>
  <calcPr/>
  <extLst>
    <ext uri="GoogleSheetsCustomDataVersion2">
      <go:sheetsCustomData xmlns:go="http://customooxmlschemas.google.com/" r:id="rId12" roundtripDataChecksum="Yn1Q9zquo1pwsd1ukjCnzZRtCIc0qTJ/2E+XmdX2NEg="/>
    </ext>
  </extLst>
</workbook>
</file>

<file path=xl/sharedStrings.xml><?xml version="1.0" encoding="utf-8"?>
<sst xmlns="http://schemas.openxmlformats.org/spreadsheetml/2006/main" count="17622" uniqueCount="890">
  <si>
    <t>region</t>
  </si>
  <si>
    <t>period</t>
  </si>
  <si>
    <t>code</t>
  </si>
  <si>
    <t>facility</t>
  </si>
  <si>
    <t>program</t>
  </si>
  <si>
    <t>date_soumission</t>
  </si>
  <si>
    <t>date_autorisation</t>
  </si>
  <si>
    <t>TCHOLOGO</t>
  </si>
  <si>
    <t>DECEMBRE 2023</t>
  </si>
  <si>
    <t>C3004</t>
  </si>
  <si>
    <t>DISTRICT SANITAIRE FERKESSEDOUGOU</t>
  </si>
  <si>
    <t>PNN-MEDICAMENTS ET INTRANTS</t>
  </si>
  <si>
    <t>2024-01-09T00:00:00Z</t>
  </si>
  <si>
    <t>2024-01-11T00:00:00Z</t>
  </si>
  <si>
    <t>BAFING</t>
  </si>
  <si>
    <t>C5081</t>
  </si>
  <si>
    <t xml:space="preserve"> DISTRICT SANITAIRE OUANINOU</t>
  </si>
  <si>
    <t>BELIER</t>
  </si>
  <si>
    <t>C2042</t>
  </si>
  <si>
    <t>DISTRICT SANITAIRE TIEBISSOU</t>
  </si>
  <si>
    <t>PNSME-MEDICAMENTS ET INTRANTS</t>
  </si>
  <si>
    <t>PORO</t>
  </si>
  <si>
    <t>C3058</t>
  </si>
  <si>
    <t>DISTRICT SANITAIRE DIKODOUGOU</t>
  </si>
  <si>
    <t>ABIDJAN 1</t>
  </si>
  <si>
    <t>C1398</t>
  </si>
  <si>
    <t>DISTRICT SANITAIRE ABOBO EST</t>
  </si>
  <si>
    <t>PNLS-ANTIRETROVIRAUX ET IO</t>
  </si>
  <si>
    <t>2024-01-10T00:00:00Z</t>
  </si>
  <si>
    <t>GUEMON</t>
  </si>
  <si>
    <t>C5007</t>
  </si>
  <si>
    <t>DISTRICT SANITAIRE BANGOLO</t>
  </si>
  <si>
    <t>PNLP-MEDICAMENTS ET INTRANTS</t>
  </si>
  <si>
    <t>HAMBOL</t>
  </si>
  <si>
    <t>C3045</t>
  </si>
  <si>
    <t>DISTRICT SANITAIRE NIAKARA</t>
  </si>
  <si>
    <t>GRANDS PONTS</t>
  </si>
  <si>
    <t>C1047</t>
  </si>
  <si>
    <t>DISTRICT SANITAIRE DABOU</t>
  </si>
  <si>
    <t>PNLS-PRODUITS DE LABORATOIRE</t>
  </si>
  <si>
    <t>C2218</t>
  </si>
  <si>
    <t>DISTRICT SANITAIRE KORHOGO 2</t>
  </si>
  <si>
    <t>TONKPI</t>
  </si>
  <si>
    <t>C5012</t>
  </si>
  <si>
    <t>DISTRICT SANITAIRE MAN</t>
  </si>
  <si>
    <t>CAVALLY</t>
  </si>
  <si>
    <t>C5070</t>
  </si>
  <si>
    <t>DISTRICT SANITAIRE TAI</t>
  </si>
  <si>
    <t>PNLS-TESTS RAPIDES ET CONSOMMABLES</t>
  </si>
  <si>
    <t>GBEKE</t>
  </si>
  <si>
    <t>C2010</t>
  </si>
  <si>
    <t>CHU BOUAKE</t>
  </si>
  <si>
    <t>C1064</t>
  </si>
  <si>
    <t>FSU COM ABOBO AVOCATIER</t>
  </si>
  <si>
    <t>PNLS-CHARGES VIRALES</t>
  </si>
  <si>
    <t>GONTOUGO</t>
  </si>
  <si>
    <t>C4013</t>
  </si>
  <si>
    <t>DISTRICT SANITAIRE TANDA</t>
  </si>
  <si>
    <t>C2045</t>
  </si>
  <si>
    <t>DISTRICT SANITAIRE YAMOUSSOUKRO</t>
  </si>
  <si>
    <t>C2026</t>
  </si>
  <si>
    <t>DISTRICT SANITAIRE DIDIEVI</t>
  </si>
  <si>
    <t>MORONOU</t>
  </si>
  <si>
    <t>C4071</t>
  </si>
  <si>
    <t>DISTRICT SANITAIRE MBATTO</t>
  </si>
  <si>
    <t>BERE</t>
  </si>
  <si>
    <t>C5080</t>
  </si>
  <si>
    <t>DISTRICT SANITAIRE KOUNAHIRI</t>
  </si>
  <si>
    <t>C2034</t>
  </si>
  <si>
    <t>DISTRICT SANITAIRE SAKASSOU</t>
  </si>
  <si>
    <t>C5008</t>
  </si>
  <si>
    <t>DISTRICT SANITAIRE  BIANKOUMA</t>
  </si>
  <si>
    <t>ABIDJAN 2</t>
  </si>
  <si>
    <t>C1422</t>
  </si>
  <si>
    <t>DISTRICT SANITAIRE PORT BOUET VRIDI</t>
  </si>
  <si>
    <t>C3046</t>
  </si>
  <si>
    <t>DISTRICT SANITAIRE OUANGOLO</t>
  </si>
  <si>
    <t>C1400</t>
  </si>
  <si>
    <t>DISTRICT SANITAIRE COCODY BINGERVILLE</t>
  </si>
  <si>
    <t>MARAHOUE</t>
  </si>
  <si>
    <t>C2037</t>
  </si>
  <si>
    <t>DISTRICT SANITAIRE SINFRA</t>
  </si>
  <si>
    <t>C1415</t>
  </si>
  <si>
    <t>DISTRICT SANITAIRE YOPOUGON EST</t>
  </si>
  <si>
    <t>WORODOUGOU</t>
  </si>
  <si>
    <t>C2036</t>
  </si>
  <si>
    <t>DISTRICT SANITAIRE SEGUELA</t>
  </si>
  <si>
    <t>PNSME_GRATUITE:MEDICAMENTS ET INTRANTS</t>
  </si>
  <si>
    <t>IFFOU</t>
  </si>
  <si>
    <t>C4051</t>
  </si>
  <si>
    <t>DISTRICT SANITAIRE PRIKRO</t>
  </si>
  <si>
    <t>C4009</t>
  </si>
  <si>
    <t>DISTRICT SANITAIRE BONGOUANOU</t>
  </si>
  <si>
    <t>SUD-COMOE</t>
  </si>
  <si>
    <t>C1048</t>
  </si>
  <si>
    <t>DISTRICT SANITAIRE GRAND-BASSAM</t>
  </si>
  <si>
    <t>C2038</t>
  </si>
  <si>
    <t>DISTRICT SANITAIRE TOUMODI</t>
  </si>
  <si>
    <t>C2046</t>
  </si>
  <si>
    <t>DISTRICT SANITAIRE ZUENOULA</t>
  </si>
  <si>
    <t>C5014</t>
  </si>
  <si>
    <t>DISTRICT SANITAIRE TOULEPLEU</t>
  </si>
  <si>
    <t>AGNEBY-TIASSA</t>
  </si>
  <si>
    <t>C1125</t>
  </si>
  <si>
    <t>DISTRICT SANITAIRE TIASSALE</t>
  </si>
  <si>
    <t>HAUT-SASSANDRA</t>
  </si>
  <si>
    <t>C2031</t>
  </si>
  <si>
    <t>DISTRICT SANITAIRE ISSIA</t>
  </si>
  <si>
    <t>C1007</t>
  </si>
  <si>
    <t>CHU YOPOUGON</t>
  </si>
  <si>
    <t>NAWA</t>
  </si>
  <si>
    <t>C2167</t>
  </si>
  <si>
    <t>DISTRICT SANITAIRE GUEYO</t>
  </si>
  <si>
    <t>C3006</t>
  </si>
  <si>
    <t>DISTRICT SANITAIRE KORHOGO 1</t>
  </si>
  <si>
    <t>C3007</t>
  </si>
  <si>
    <t>DISTRICT SANITAIRE MANKONO</t>
  </si>
  <si>
    <t>GOH</t>
  </si>
  <si>
    <t>C2029</t>
  </si>
  <si>
    <t>DISTRICT SANITAIRE GAGNOA</t>
  </si>
  <si>
    <t>C1045</t>
  </si>
  <si>
    <t>DISTRICT SANITAIRE AGBOVILLE</t>
  </si>
  <si>
    <t>N'ZI</t>
  </si>
  <si>
    <t>C4083</t>
  </si>
  <si>
    <t>DISTRICT SANITAIRE KOUASSI KOUASSIKRO</t>
  </si>
  <si>
    <t>C2025</t>
  </si>
  <si>
    <t>DISTRICT SANITAIRE DALOA</t>
  </si>
  <si>
    <t>C2022</t>
  </si>
  <si>
    <t>DISTRICT SANITAIRE BOUAKE EST</t>
  </si>
  <si>
    <t>LOH-DJIBOUA</t>
  </si>
  <si>
    <t>C2028</t>
  </si>
  <si>
    <t>DISTRICT SANITAIRE DIVO</t>
  </si>
  <si>
    <t>BOUNKANI</t>
  </si>
  <si>
    <t>C4069</t>
  </si>
  <si>
    <t>DISTRICT SANITAIRE TRANSUA</t>
  </si>
  <si>
    <t>SAN PEDRO</t>
  </si>
  <si>
    <t>C2035</t>
  </si>
  <si>
    <t>DISTRICT SANITAIRE SAN-PEDRO</t>
  </si>
  <si>
    <t>C2213</t>
  </si>
  <si>
    <t>DISTRICT SANITAIRE BUYO</t>
  </si>
  <si>
    <t>C5083</t>
  </si>
  <si>
    <t xml:space="preserve"> DISTRICT SANITAIRE DIANRA</t>
  </si>
  <si>
    <t>C2040</t>
  </si>
  <si>
    <t>DISTRICT SANITAIRE TABOU</t>
  </si>
  <si>
    <t>C5035</t>
  </si>
  <si>
    <t>DISTRICT SANITAIRE KOUIBLY</t>
  </si>
  <si>
    <t>C4010</t>
  </si>
  <si>
    <t>DISTRICT SANITAIRE BOUNA</t>
  </si>
  <si>
    <t>C4011</t>
  </si>
  <si>
    <t>DISTRICT SANITAIRE DAOUKRO</t>
  </si>
  <si>
    <t>C1676</t>
  </si>
  <si>
    <t>DISTRICT SANITAIRE TREICHVILLE MARCORY</t>
  </si>
  <si>
    <t>C2044</t>
  </si>
  <si>
    <t>DISTRICT SANITAIRE VAVOUA</t>
  </si>
  <si>
    <t>C2027</t>
  </si>
  <si>
    <t>DISTRICT SANITAIRE DIMBOKRO</t>
  </si>
  <si>
    <t>C4070</t>
  </si>
  <si>
    <t>DISTRICT SANITAIRE KOUN FAO</t>
  </si>
  <si>
    <t>ME</t>
  </si>
  <si>
    <t>C1046</t>
  </si>
  <si>
    <t>DISTRICT SANITAIRE ALEPE</t>
  </si>
  <si>
    <t>C4006</t>
  </si>
  <si>
    <t>DISTRICT SANITAIRE AKOUPE</t>
  </si>
  <si>
    <t>C1414</t>
  </si>
  <si>
    <t>DISTRICT SANITAIRE ADJAME PLATEAU ATTECOUBE</t>
  </si>
  <si>
    <t>C4007</t>
  </si>
  <si>
    <t>DISTRICT SANITAIRE BONDOUKOU</t>
  </si>
  <si>
    <t>C1412</t>
  </si>
  <si>
    <t>DISTRICT SANITAIRE ANYAMA</t>
  </si>
  <si>
    <t>INDENIE-DJUABLIN</t>
  </si>
  <si>
    <t>C4005</t>
  </si>
  <si>
    <t>DISTRICT SANITAIRE AGNIBILEKROU</t>
  </si>
  <si>
    <t>C4050</t>
  </si>
  <si>
    <t>DISTRICT SANITAIRE NASSIAN</t>
  </si>
  <si>
    <t>C2024</t>
  </si>
  <si>
    <t>DISTRICT SANITAIRE BOUAKE SUD</t>
  </si>
  <si>
    <t>C5011</t>
  </si>
  <si>
    <t>DISTRICT SANITAIRE  GUIGLO</t>
  </si>
  <si>
    <t>C2032</t>
  </si>
  <si>
    <t>DISTRICT SANITAIRE LAKOTA</t>
  </si>
  <si>
    <t>C1049</t>
  </si>
  <si>
    <t>DISTRICT SANITAIRE GRAND-LAHOU</t>
  </si>
  <si>
    <t>C3005</t>
  </si>
  <si>
    <t>DISTRICT SANITAIRE KATIOLA</t>
  </si>
  <si>
    <t>C2065</t>
  </si>
  <si>
    <t>HOPITAL GENERAL TAABO</t>
  </si>
  <si>
    <t>C4082</t>
  </si>
  <si>
    <t>DISTRICT SANITAIRE DOROPO</t>
  </si>
  <si>
    <t>C2039</t>
  </si>
  <si>
    <t>DISTRICT SANITAIRE SOUBRE</t>
  </si>
  <si>
    <t>C2222</t>
  </si>
  <si>
    <t>DISTRICT SANITAIRE BOTRO</t>
  </si>
  <si>
    <t>C1416</t>
  </si>
  <si>
    <t>DISTRICT SANITAIRE YOPOUGON OUEST SONGON</t>
  </si>
  <si>
    <t>C5009</t>
  </si>
  <si>
    <t>DISTRICT SANITAIRE  DANANE</t>
  </si>
  <si>
    <t>C1043</t>
  </si>
  <si>
    <t>DISTRICT SANITAIRE ABOISSO</t>
  </si>
  <si>
    <t>C2048</t>
  </si>
  <si>
    <t>DISTRICT SANITAIRE BEOUMI</t>
  </si>
  <si>
    <t>C2033</t>
  </si>
  <si>
    <t>DISTRICT SANITAIRE OUME</t>
  </si>
  <si>
    <t>C5010</t>
  </si>
  <si>
    <t>DISTRICT SANITAIRE  DUEKOUE</t>
  </si>
  <si>
    <t>GBOKLE</t>
  </si>
  <si>
    <t>C1096</t>
  </si>
  <si>
    <t>DISTRICT SANITAIRE SASSANDRA</t>
  </si>
  <si>
    <t>C1397</t>
  </si>
  <si>
    <t>DISTRICT SANITAIRE ABOBO OUEST</t>
  </si>
  <si>
    <t>C1144</t>
  </si>
  <si>
    <t>PMI COMBES-BINGERVILLE</t>
  </si>
  <si>
    <t>2023-12-01T00:00:00Z</t>
  </si>
  <si>
    <t>C1078</t>
  </si>
  <si>
    <t>FSU COM YOPOUGON TOIT ROUGE</t>
  </si>
  <si>
    <t>2023-12-30T00:00:00Z</t>
  </si>
  <si>
    <t>2024-01-05T00:00:00Z</t>
  </si>
  <si>
    <t>C4090</t>
  </si>
  <si>
    <t>CHR ADZOPE</t>
  </si>
  <si>
    <t>C2014</t>
  </si>
  <si>
    <t>CSU GOHITAFLA</t>
  </si>
  <si>
    <t>2023-12-02T00:00:00Z</t>
  </si>
  <si>
    <t>2023-12-05T00:00:00Z</t>
  </si>
  <si>
    <t>C2194</t>
  </si>
  <si>
    <t>CSU TOUIH</t>
  </si>
  <si>
    <t>2024-01-04T00:00:00Z</t>
  </si>
  <si>
    <t>C2051</t>
  </si>
  <si>
    <t>HOPITAL GENERAL DIDIEVI</t>
  </si>
  <si>
    <t>2024-01-07T00:00:00Z</t>
  </si>
  <si>
    <t>C4056</t>
  </si>
  <si>
    <t>HOPITAL GENERAL BETTIE</t>
  </si>
  <si>
    <t>2023-12-03T00:00:00Z</t>
  </si>
  <si>
    <t>C5078</t>
  </si>
  <si>
    <t>HOPITAL GENERAL OUANINOU</t>
  </si>
  <si>
    <t>2023-12-04T00:00:00Z</t>
  </si>
  <si>
    <t>C2069</t>
  </si>
  <si>
    <t>HOPITAL GENERAL TOUMODI</t>
  </si>
  <si>
    <t>C1004</t>
  </si>
  <si>
    <t>CHR AGBOVILLE</t>
  </si>
  <si>
    <t>2024-01-03T00:00:00Z</t>
  </si>
  <si>
    <t>C4025</t>
  </si>
  <si>
    <t>HOPITAL GENERAL PRIKRO</t>
  </si>
  <si>
    <t>C1024</t>
  </si>
  <si>
    <t>CSU COM GONZAGUEVILLE</t>
  </si>
  <si>
    <t>2024-01-02T00:00:00Z</t>
  </si>
  <si>
    <t>C1027</t>
  </si>
  <si>
    <t>CSU COM KOUMASSI-DIVO</t>
  </si>
  <si>
    <t>C3016</t>
  </si>
  <si>
    <t>HOPITAL GENERAL MBENGUE</t>
  </si>
  <si>
    <t>C1102</t>
  </si>
  <si>
    <t>HOPITAL METHODISTE DE DABOU</t>
  </si>
  <si>
    <t>C2060</t>
  </si>
  <si>
    <t>HOPITAL GENERAL OUME</t>
  </si>
  <si>
    <t>C1407</t>
  </si>
  <si>
    <t>CIRBA</t>
  </si>
  <si>
    <t>C2047</t>
  </si>
  <si>
    <t>HOPITAL GENERAL BEOUMI</t>
  </si>
  <si>
    <t>2024-01-06T00:00:00Z</t>
  </si>
  <si>
    <t>C1072</t>
  </si>
  <si>
    <t>FSU COM VRIDI CANAL</t>
  </si>
  <si>
    <t>2023-12-06T00:00:00Z</t>
  </si>
  <si>
    <t>C3043</t>
  </si>
  <si>
    <t>HOPITAL GENERAL DIKODOUGOU</t>
  </si>
  <si>
    <t>C1021</t>
  </si>
  <si>
    <t>CSU COM BOCABO</t>
  </si>
  <si>
    <t>2024-01-08T00:00:00Z</t>
  </si>
  <si>
    <t>2023-12-07T00:00:00Z</t>
  </si>
  <si>
    <t>2023-12-08T00:00:00Z</t>
  </si>
  <si>
    <t>C4018</t>
  </si>
  <si>
    <t>HOPITAL GENERAL BOUNA</t>
  </si>
  <si>
    <t>C1062</t>
  </si>
  <si>
    <t>FSU WILLIAMSVILLE</t>
  </si>
  <si>
    <t>C2018</t>
  </si>
  <si>
    <t>CSU SAN-PEDRO</t>
  </si>
  <si>
    <t>C2005</t>
  </si>
  <si>
    <t>CHR DIVO</t>
  </si>
  <si>
    <t>C1679</t>
  </si>
  <si>
    <t>HOPITAL GENERAL TIAPOUM</t>
  </si>
  <si>
    <t>C2003</t>
  </si>
  <si>
    <t>CHR DALOA</t>
  </si>
  <si>
    <t>C2127</t>
  </si>
  <si>
    <t>CHR KORHOGO</t>
  </si>
  <si>
    <t>C4014</t>
  </si>
  <si>
    <t>HOPITAL GENERAL AGNIBILEKROU</t>
  </si>
  <si>
    <t>C1077</t>
  </si>
  <si>
    <t>FSU COM YOPOUGON PORT-BOUET 2</t>
  </si>
  <si>
    <t>C1764</t>
  </si>
  <si>
    <t>DISTRICT SANITAIRE TIAPOUM</t>
  </si>
  <si>
    <t>2023-12-10T00:00:00Z</t>
  </si>
  <si>
    <t>C2064</t>
  </si>
  <si>
    <t>HOPITAL GENERAL SOUBRE</t>
  </si>
  <si>
    <t>C2055</t>
  </si>
  <si>
    <t>HOPITAL GENERAL GUITRY</t>
  </si>
  <si>
    <t>C1006</t>
  </si>
  <si>
    <t>CHU TREICHVILLE</t>
  </si>
  <si>
    <t>C1050</t>
  </si>
  <si>
    <t>DISTRICT SANITAIRE JACQUEVILLE</t>
  </si>
  <si>
    <t>C2056</t>
  </si>
  <si>
    <t>HOPITAL GENERAL ISSIA</t>
  </si>
  <si>
    <t>C4049</t>
  </si>
  <si>
    <t>DISTRICT SANITAIRE BETTIE</t>
  </si>
  <si>
    <t>2023-12-11T00:00:00Z</t>
  </si>
  <si>
    <t>2023-12-09T00:00:00Z</t>
  </si>
  <si>
    <t>C5091</t>
  </si>
  <si>
    <t>HOPITAL GENERAL DIANRA</t>
  </si>
  <si>
    <t>C5084</t>
  </si>
  <si>
    <t>HOPITAL GENERAL KOUNAHIRI</t>
  </si>
  <si>
    <t>C4084</t>
  </si>
  <si>
    <t>DISTRICT SANITAIRE TEHINI</t>
  </si>
  <si>
    <t>C3017</t>
  </si>
  <si>
    <t>HOPITAL GENERAL MANKONO</t>
  </si>
  <si>
    <t>C1082</t>
  </si>
  <si>
    <t>HOPITAL GENERAL ADIAKE</t>
  </si>
  <si>
    <t>C4003</t>
  </si>
  <si>
    <t>HOPITAL GENERAL NASSIAN</t>
  </si>
  <si>
    <t>C4054</t>
  </si>
  <si>
    <t>HOPITAL GENERAL M'BATTO</t>
  </si>
  <si>
    <t>C4088</t>
  </si>
  <si>
    <t>HOPITAL GENERAL TEHINI</t>
  </si>
  <si>
    <t>C1003</t>
  </si>
  <si>
    <t>CHR ABOISSO</t>
  </si>
  <si>
    <t>C4036</t>
  </si>
  <si>
    <t>DISTRICT SANITAIRE ADZOPE</t>
  </si>
  <si>
    <t>C2088</t>
  </si>
  <si>
    <t>DISTRICT SANITAIRE GAGNOA 2</t>
  </si>
  <si>
    <t>C3013</t>
  </si>
  <si>
    <t>CHR KATIOLA</t>
  </si>
  <si>
    <t>C1112</t>
  </si>
  <si>
    <t>HOPITAL GENERAL TIASSALE</t>
  </si>
  <si>
    <t>C1065</t>
  </si>
  <si>
    <t>FSU COM ABOBO SAGBE</t>
  </si>
  <si>
    <t>C1051</t>
  </si>
  <si>
    <t>FSU ABOBO DOUME</t>
  </si>
  <si>
    <t>2023-12-22T00:00:00Z</t>
  </si>
  <si>
    <t>C1023</t>
  </si>
  <si>
    <t>CENTRE MEDICO-SOCIAL EL RAPHA</t>
  </si>
  <si>
    <t>C5045</t>
  </si>
  <si>
    <t>DISTRICT SANITAIRE  BLOLEQUIN</t>
  </si>
  <si>
    <t>C1101</t>
  </si>
  <si>
    <t>HOPITAL MUNICIPAL VRIDI CITE</t>
  </si>
  <si>
    <t>C2063</t>
  </si>
  <si>
    <t>HOPITAL GENERAL SINFRA</t>
  </si>
  <si>
    <t>C2131</t>
  </si>
  <si>
    <t>HOPITAL GENERAL GUEYO</t>
  </si>
  <si>
    <t>C3018</t>
  </si>
  <si>
    <t>CSU NAPIE</t>
  </si>
  <si>
    <t>2024-01-01T00:00:00Z</t>
  </si>
  <si>
    <t>C2211</t>
  </si>
  <si>
    <t>DISTRICT SANITAIRE MEAGUI</t>
  </si>
  <si>
    <t>C2006</t>
  </si>
  <si>
    <t>CHR GAGNOA</t>
  </si>
  <si>
    <t>C2231</t>
  </si>
  <si>
    <t>CSU ZIKISSO</t>
  </si>
  <si>
    <t>2023-12-23T00:00:00Z</t>
  </si>
  <si>
    <t>C5018</t>
  </si>
  <si>
    <t>HOPITAL GENERAL DANANE</t>
  </si>
  <si>
    <t>C1085</t>
  </si>
  <si>
    <t>HOPITAL GENERAL AYAME</t>
  </si>
  <si>
    <t>C4016</t>
  </si>
  <si>
    <t>HOPITAL GENERAL ARRAH</t>
  </si>
  <si>
    <t>C1095</t>
  </si>
  <si>
    <t>HOPITAL GENERAL SASSANDRA</t>
  </si>
  <si>
    <t>C2020</t>
  </si>
  <si>
    <t>DISTRICT SANITAIRE BOUAFLE</t>
  </si>
  <si>
    <t>C2008</t>
  </si>
  <si>
    <t>CHR SEGUELA</t>
  </si>
  <si>
    <t>C2041</t>
  </si>
  <si>
    <t>HOPITAL GENERAL KANI</t>
  </si>
  <si>
    <t>C4017</t>
  </si>
  <si>
    <t>HOPITAL GENERAL BONGOUANOU</t>
  </si>
  <si>
    <t>C2023</t>
  </si>
  <si>
    <t>DISTRICT SANITAIRE BOUAKE NORD-OUEST</t>
  </si>
  <si>
    <t>C1076</t>
  </si>
  <si>
    <t>FSU COM YOPOUGON NIANGON</t>
  </si>
  <si>
    <t>C5015</t>
  </si>
  <si>
    <t>HOPITAL GENERAL BANGOLO</t>
  </si>
  <si>
    <t>C1028</t>
  </si>
  <si>
    <t>CSU COM NIANGON LOKOA</t>
  </si>
  <si>
    <t>2023-12-27T00:00:00Z</t>
  </si>
  <si>
    <t>C4004</t>
  </si>
  <si>
    <t>DISTRICT SANITAIRE ABENGOUROU</t>
  </si>
  <si>
    <t>C2017</t>
  </si>
  <si>
    <t>CSU OURAGAHIO</t>
  </si>
  <si>
    <t>C1091</t>
  </si>
  <si>
    <t>HOPITAL GENERAL GRAND-LAHOU</t>
  </si>
  <si>
    <t>C1087</t>
  </si>
  <si>
    <t>HOPITAL GENERAL BONOUA</t>
  </si>
  <si>
    <t>C2015</t>
  </si>
  <si>
    <t>CSU GRAND ZATTRY</t>
  </si>
  <si>
    <t>BAGOUE</t>
  </si>
  <si>
    <t>C3015</t>
  </si>
  <si>
    <t>HOPITAL GENERAL KOUTO</t>
  </si>
  <si>
    <t>C1059</t>
  </si>
  <si>
    <t>FSU LOCODJORO</t>
  </si>
  <si>
    <t>C4001</t>
  </si>
  <si>
    <t>CHR ABENGOUROU</t>
  </si>
  <si>
    <t>2023-12-29T00:00:00Z</t>
  </si>
  <si>
    <t>C4002</t>
  </si>
  <si>
    <t>CHR BONDOUKOU</t>
  </si>
  <si>
    <t>C3010</t>
  </si>
  <si>
    <t>HOPITAL GENERAL BOUNDIALI</t>
  </si>
  <si>
    <t>C1404</t>
  </si>
  <si>
    <t>CEPREF</t>
  </si>
  <si>
    <t>C1052</t>
  </si>
  <si>
    <t>FSU ADJAME 220 LOGEMENTS</t>
  </si>
  <si>
    <t>C2011</t>
  </si>
  <si>
    <t>HOPITAL GENERAL BONON</t>
  </si>
  <si>
    <t>2023-12-31T00:00:00Z</t>
  </si>
  <si>
    <t>C5069</t>
  </si>
  <si>
    <t>DISTRICT SANITAIRE KORO</t>
  </si>
  <si>
    <t>C1419</t>
  </si>
  <si>
    <t>CENTRE SOCIO-MEDICAL HOPE CI (CSMH)</t>
  </si>
  <si>
    <t>C2224</t>
  </si>
  <si>
    <t>HOPITAL GENERAL BOTRO</t>
  </si>
  <si>
    <t>C3001</t>
  </si>
  <si>
    <t>CSU NIELLE</t>
  </si>
  <si>
    <t>C2214</t>
  </si>
  <si>
    <t>CSU GABIADJI</t>
  </si>
  <si>
    <t>C1073</t>
  </si>
  <si>
    <t>FSU COM YOPOUGON ATTIE-OUASSAKARA</t>
  </si>
  <si>
    <t>C3003</t>
  </si>
  <si>
    <t>DISTRICT SANITAIRE DABAKALA</t>
  </si>
  <si>
    <t>C1060</t>
  </si>
  <si>
    <t>HOPITAL GENERAL MARCORY</t>
  </si>
  <si>
    <t>C1012</t>
  </si>
  <si>
    <t>CSU COM ABOBO TE</t>
  </si>
  <si>
    <t>C2004</t>
  </si>
  <si>
    <t>CHR DIMBOKRO</t>
  </si>
  <si>
    <t>C5001</t>
  </si>
  <si>
    <t>CHR MAN</t>
  </si>
  <si>
    <t>C1058</t>
  </si>
  <si>
    <t>HOPITAL GENERAL KOUMASSI</t>
  </si>
  <si>
    <t>C1084</t>
  </si>
  <si>
    <t>HOPITAL GENERAL ANYAMA</t>
  </si>
  <si>
    <t>C1088</t>
  </si>
  <si>
    <t>HOPITAL GENERAL DABOU</t>
  </si>
  <si>
    <t>KABADOUGOU</t>
  </si>
  <si>
    <t>C5003</t>
  </si>
  <si>
    <t>CHR ODIENNE</t>
  </si>
  <si>
    <t>C1094</t>
  </si>
  <si>
    <t>HOPITAL GENERAL PORT-BOUET</t>
  </si>
  <si>
    <t>C5020</t>
  </si>
  <si>
    <t>HOPITAL GENERAL KOUIBLY</t>
  </si>
  <si>
    <t>C1411</t>
  </si>
  <si>
    <t>FSU MEAGUI</t>
  </si>
  <si>
    <t>C2071</t>
  </si>
  <si>
    <t>HOPITAL GENERAL ZUENOULA</t>
  </si>
  <si>
    <t>C1701</t>
  </si>
  <si>
    <t>HOPITAL SAINT JEAN- BAPTISTE</t>
  </si>
  <si>
    <t>C1008</t>
  </si>
  <si>
    <t>HOPITAL GENERAL MAFERE</t>
  </si>
  <si>
    <t>C4061</t>
  </si>
  <si>
    <t>HOPITAL GENERAL YAKASSE ATTOBROU</t>
  </si>
  <si>
    <t>C1056</t>
  </si>
  <si>
    <t>FSU COCODY DISPENSAIRE</t>
  </si>
  <si>
    <t>C5019</t>
  </si>
  <si>
    <t>HOPITAL GENERAL DUEKOUE</t>
  </si>
  <si>
    <t>C1001</t>
  </si>
  <si>
    <t>CENTRE ANTITUBERCULEUX ADJAME</t>
  </si>
  <si>
    <t>C1083</t>
  </si>
  <si>
    <t>HOPITAL GENERAL ALEPE</t>
  </si>
  <si>
    <t>C1141</t>
  </si>
  <si>
    <t>UNITE SOINS AMBULATOIRE</t>
  </si>
  <si>
    <t>C1581</t>
  </si>
  <si>
    <t>PROJET RETRO-CI (AMBASSADE USA)</t>
  </si>
  <si>
    <t>C1097</t>
  </si>
  <si>
    <t>DISTRICT SANITAIRE FRESCO</t>
  </si>
  <si>
    <t>C1017</t>
  </si>
  <si>
    <t>FSU COM ANDOKOI</t>
  </si>
  <si>
    <t>C1015</t>
  </si>
  <si>
    <t>CSU COM AKLOMIABLA</t>
  </si>
  <si>
    <t>C1090</t>
  </si>
  <si>
    <t>HOPITAL GENERAL GRAND-BASSAM</t>
  </si>
  <si>
    <t>C1019</t>
  </si>
  <si>
    <t>CSU COM ANONO VILLAGE</t>
  </si>
  <si>
    <t>C2053</t>
  </si>
  <si>
    <t>HOPITAL GENERAL GAGNOA</t>
  </si>
  <si>
    <t>C1175</t>
  </si>
  <si>
    <t>CSU AKOUEDO VILLAGE</t>
  </si>
  <si>
    <t>C2226</t>
  </si>
  <si>
    <t>CSU NIAMBEZARIA</t>
  </si>
  <si>
    <t>C3061</t>
  </si>
  <si>
    <t>CSU DIAWALA</t>
  </si>
  <si>
    <t>C5016</t>
  </si>
  <si>
    <t>HOPITAL GENERAL BIANKOUMA</t>
  </si>
  <si>
    <t>C3011</t>
  </si>
  <si>
    <t>HOPITAL GENERAL DABAKALA</t>
  </si>
  <si>
    <t>C1423</t>
  </si>
  <si>
    <t>CENTRE MEDICO-SOCIAL SAINT COEUR ABOBOTE</t>
  </si>
  <si>
    <t>C1030</t>
  </si>
  <si>
    <t>CSU COM PANGOLIN</t>
  </si>
  <si>
    <t>C1098</t>
  </si>
  <si>
    <t>HOPITAL GENERAL SIKENSI</t>
  </si>
  <si>
    <t>C1067</t>
  </si>
  <si>
    <t>FSU COM ADIOPODOUME</t>
  </si>
  <si>
    <t>C1069</t>
  </si>
  <si>
    <t>FSU COM KOUMASSI GRAND CAMPEMENT</t>
  </si>
  <si>
    <t>C1409</t>
  </si>
  <si>
    <t>CS NAZAREEN</t>
  </si>
  <si>
    <t>C2216</t>
  </si>
  <si>
    <t>CSU HERMANKONO-GARO</t>
  </si>
  <si>
    <t>C2007</t>
  </si>
  <si>
    <t>HOPITAL GENERAL SAN-PEDRO</t>
  </si>
  <si>
    <t>C5004</t>
  </si>
  <si>
    <t>CHR TOUBA</t>
  </si>
  <si>
    <t>C2062</t>
  </si>
  <si>
    <t>HOPITAL GENERAL SAKASSOU</t>
  </si>
  <si>
    <t>C1010</t>
  </si>
  <si>
    <t>CSU COM ABOBO BANCO SUD</t>
  </si>
  <si>
    <t>C2052</t>
  </si>
  <si>
    <t>HOPITAL GENERAL DJEKANOU</t>
  </si>
  <si>
    <t>C2049</t>
  </si>
  <si>
    <t>HOPITAL GENERAL BOCANDA</t>
  </si>
  <si>
    <t>C4015</t>
  </si>
  <si>
    <t>HOPITAL GENERAL AKOUPE</t>
  </si>
  <si>
    <t>C1074</t>
  </si>
  <si>
    <t>FSU COM YOPOUGON GESCO</t>
  </si>
  <si>
    <t>C2009</t>
  </si>
  <si>
    <t>CHR YAMOUSSOUKRO</t>
  </si>
  <si>
    <t>C1413</t>
  </si>
  <si>
    <t>FSU EDMOND BASQUE ( PLATEAU)</t>
  </si>
  <si>
    <t>C1054</t>
  </si>
  <si>
    <t>FSU ATTECOUBE CENTRE</t>
  </si>
  <si>
    <t>C2002</t>
  </si>
  <si>
    <t>CHR BOUAFLE</t>
  </si>
  <si>
    <t>C4038</t>
  </si>
  <si>
    <t>HOPITAL GENERAL AFFERY</t>
  </si>
  <si>
    <t>C2019</t>
  </si>
  <si>
    <t>DISTRICT SANITAIRE BOCANDA</t>
  </si>
  <si>
    <t>C4021</t>
  </si>
  <si>
    <t>HOPITAL GENERAL KOUN FAO</t>
  </si>
  <si>
    <t>C1092</t>
  </si>
  <si>
    <t>HOPITAL GENERAL JACQUEVILLE</t>
  </si>
  <si>
    <t>C2061</t>
  </si>
  <si>
    <t>HOPITAL GENERAL SAIOUA</t>
  </si>
  <si>
    <t>C4020</t>
  </si>
  <si>
    <t>HOPITAL GENERAL KOUASSI-DATEKRO</t>
  </si>
  <si>
    <t>C2057</t>
  </si>
  <si>
    <t>HOPITAL GENERAL KOCOUMBO</t>
  </si>
  <si>
    <t>C3002</t>
  </si>
  <si>
    <t>DISTRICT SANITAIRE BOUNDIALI</t>
  </si>
  <si>
    <t>C4087</t>
  </si>
  <si>
    <t>HOPITAL GENERAL KOUASSI-KOUASSIKRO</t>
  </si>
  <si>
    <t>C2168</t>
  </si>
  <si>
    <t>HOPITAL GENERAL TRANSUA</t>
  </si>
  <si>
    <t>C1014</t>
  </si>
  <si>
    <t>CSU COM AGBAN VILLAGE</t>
  </si>
  <si>
    <t>C5060</t>
  </si>
  <si>
    <t>HOPITAL GENERAL ZOUKOUGBEU</t>
  </si>
  <si>
    <t>C1080</t>
  </si>
  <si>
    <t>CHR ABOBO</t>
  </si>
  <si>
    <t>C1075</t>
  </si>
  <si>
    <t>FSU COM YOPOUGON KOUTE</t>
  </si>
  <si>
    <t>C5017</t>
  </si>
  <si>
    <t>HOPITAL GENERAL BLOLEQUIN</t>
  </si>
  <si>
    <t>C4068</t>
  </si>
  <si>
    <t>DISTRICT SANITAIRE SANDEGUE</t>
  </si>
  <si>
    <t>C1029</t>
  </si>
  <si>
    <t>CSU COM PALMERAIE</t>
  </si>
  <si>
    <t>C1009</t>
  </si>
  <si>
    <t>CSU N'DOUCI</t>
  </si>
  <si>
    <t>C5075</t>
  </si>
  <si>
    <t>HOPITAL GENERAL SAMATIGUILA</t>
  </si>
  <si>
    <t>C1020</t>
  </si>
  <si>
    <t>CSU COM AZITO</t>
  </si>
  <si>
    <t>C1011</t>
  </si>
  <si>
    <t>CSU COM ABOBO BC</t>
  </si>
  <si>
    <t>C1391</t>
  </si>
  <si>
    <t>SOEURS MISSION. STE THERESE ENFANT JESUS</t>
  </si>
  <si>
    <t>C1905</t>
  </si>
  <si>
    <t>CSU SONGON KASSEMBLE</t>
  </si>
  <si>
    <t>C1031</t>
  </si>
  <si>
    <t>CSU COM  ASSOMIN</t>
  </si>
  <si>
    <t>C2225</t>
  </si>
  <si>
    <t>HOPITAL GENERAL KONG</t>
  </si>
  <si>
    <t>C5085</t>
  </si>
  <si>
    <t>HOPITAL GENERAL TAI</t>
  </si>
  <si>
    <t>C1745</t>
  </si>
  <si>
    <t>CHU ANGRE</t>
  </si>
  <si>
    <t>C3020</t>
  </si>
  <si>
    <t>HOPITAL GENERAL OUANGOLO</t>
  </si>
  <si>
    <t>C5077</t>
  </si>
  <si>
    <t>HOPITAL GENERAL SEGUELON</t>
  </si>
  <si>
    <t>C1364</t>
  </si>
  <si>
    <t>RUBAN ROUGE</t>
  </si>
  <si>
    <t>C2230</t>
  </si>
  <si>
    <t>HOPITAL GENERAL DE MEAGUI</t>
  </si>
  <si>
    <t>C4023</t>
  </si>
  <si>
    <t>CSU NIABLE</t>
  </si>
  <si>
    <t>C1901</t>
  </si>
  <si>
    <t>CSU LOPOU</t>
  </si>
  <si>
    <t>C2068</t>
  </si>
  <si>
    <t>HOPITAL GENERAL TIEBISSOU</t>
  </si>
  <si>
    <t>C4086</t>
  </si>
  <si>
    <t>HOPITAL GENERAL DOROPO</t>
  </si>
  <si>
    <t>C1142</t>
  </si>
  <si>
    <t>PMI GRAND-BASSAM</t>
  </si>
  <si>
    <t>C1099</t>
  </si>
  <si>
    <t>HOPITAL GENERAL YOPOUGON ATTIE</t>
  </si>
  <si>
    <t>C4019</t>
  </si>
  <si>
    <t>HOPITAL GENERAL DAOUKRO</t>
  </si>
  <si>
    <t>C1680</t>
  </si>
  <si>
    <t>CENTRE ANTITUBERCULEUX ABOBO</t>
  </si>
  <si>
    <t>C5002</t>
  </si>
  <si>
    <t>CHR GUIGLO</t>
  </si>
  <si>
    <t>C1426</t>
  </si>
  <si>
    <t>CEDRES (PROJET FAC-SIDA CHU TREICHVILLE)</t>
  </si>
  <si>
    <t>C4085</t>
  </si>
  <si>
    <t>HOPITAL GENERAL SANDEGUE</t>
  </si>
  <si>
    <t>C3021</t>
  </si>
  <si>
    <t>HOPITAL GENERAL SINEMATIALI</t>
  </si>
  <si>
    <t>C2066</t>
  </si>
  <si>
    <t>HOPITAL GENERAL TABOU</t>
  </si>
  <si>
    <t>C1005</t>
  </si>
  <si>
    <t>CHU COCODY</t>
  </si>
  <si>
    <t>C1106</t>
  </si>
  <si>
    <t>INSTITUT NATIONAL DE LA SANTE PUBLIQUE</t>
  </si>
  <si>
    <t>C1482</t>
  </si>
  <si>
    <t>CENTRE NATIONAL DE TRANSFUSION SANGUINE</t>
  </si>
  <si>
    <t>C4024</t>
  </si>
  <si>
    <t>CSU OUELLE</t>
  </si>
  <si>
    <t>C1068</t>
  </si>
  <si>
    <t>FSU COM ANONKOUA-KOUTE</t>
  </si>
  <si>
    <t>C1904</t>
  </si>
  <si>
    <t>DISTRICT SANITAIRE KOUMASSI</t>
  </si>
  <si>
    <t>C3012</t>
  </si>
  <si>
    <t>HOPITAL GENERAL FERKESEDOUGOU</t>
  </si>
  <si>
    <t>C1026</t>
  </si>
  <si>
    <t>CSU COM KENNEDY</t>
  </si>
  <si>
    <t>C4026</t>
  </si>
  <si>
    <t>HOPITAL GENERAL TANDA</t>
  </si>
  <si>
    <t>C1086</t>
  </si>
  <si>
    <t>HOPITAL GENERAL BINGERVILLE</t>
  </si>
  <si>
    <t>C1089</t>
  </si>
  <si>
    <t>HOPITAL GENERAL FRESCO</t>
  </si>
  <si>
    <t>C3059</t>
  </si>
  <si>
    <t>CSU DELAFOSSE KORHOGO</t>
  </si>
  <si>
    <t>C1055</t>
  </si>
  <si>
    <t>FSU BLOCKHAUSS</t>
  </si>
  <si>
    <t>C1405</t>
  </si>
  <si>
    <t>CENTRE SOCIO-SANI SR ANGE GARDIEN</t>
  </si>
  <si>
    <t>C2141</t>
  </si>
  <si>
    <t>DISTRICT SANITAIRE SIKENSI</t>
  </si>
  <si>
    <t>C1107</t>
  </si>
  <si>
    <t>INSTITUT PASTEUR COTE D'IVOIRE</t>
  </si>
  <si>
    <t>C21880</t>
  </si>
  <si>
    <t>DISTRICT SANITAIRE DE GUITRY</t>
  </si>
  <si>
    <t>C1070</t>
  </si>
  <si>
    <t>FSU COM KOWEIT</t>
  </si>
  <si>
    <t>C3019</t>
  </si>
  <si>
    <t>HOPITAL GENERAL NIAKARA</t>
  </si>
  <si>
    <t>C2059</t>
  </si>
  <si>
    <t>HOPITAL GENERAL LAKOTA</t>
  </si>
  <si>
    <t>FOLON</t>
  </si>
  <si>
    <t>C5074</t>
  </si>
  <si>
    <t>HOPITAL GENERAL KANIASSO</t>
  </si>
  <si>
    <t>C1063</t>
  </si>
  <si>
    <t>FSU COM ABOBO AKEIKOI</t>
  </si>
  <si>
    <t>C5038</t>
  </si>
  <si>
    <t>DISTRICT SANITAIRE MINIGNAN</t>
  </si>
  <si>
    <t>C5066</t>
  </si>
  <si>
    <t>HOPITAL GENERAL MINIGNAN</t>
  </si>
  <si>
    <t>C2050</t>
  </si>
  <si>
    <t>HOPITAL GENERAL BUYO</t>
  </si>
  <si>
    <t>C1093</t>
  </si>
  <si>
    <t>HOPITAL GENERAL MEMNI</t>
  </si>
  <si>
    <t>C1022</t>
  </si>
  <si>
    <t>CSU COM CARREFOUR PK 18 AGOUETO</t>
  </si>
  <si>
    <t>C5013</t>
  </si>
  <si>
    <t>DISTRICT SANITAIRE ODIENNE</t>
  </si>
  <si>
    <t>C2070</t>
  </si>
  <si>
    <t>HOPITAL GENERAL VAVOUA</t>
  </si>
  <si>
    <t>C5063</t>
  </si>
  <si>
    <t>HOPITAL GENERAL DE MADINANI</t>
  </si>
  <si>
    <t>C4012</t>
  </si>
  <si>
    <t>DISTRICT SANITAIRE MBAHIAKRO</t>
  </si>
  <si>
    <t>C3014</t>
  </si>
  <si>
    <t>CSU KOLIA</t>
  </si>
  <si>
    <t>C3023</t>
  </si>
  <si>
    <t>HOPITAL GENERAL TENGRELA</t>
  </si>
  <si>
    <t>C5076</t>
  </si>
  <si>
    <t>HOPITAL GENERAL KORO</t>
  </si>
  <si>
    <t>C5006</t>
  </si>
  <si>
    <t>HOPITAL GENERAL ZOUAN HOUNIEN</t>
  </si>
  <si>
    <t>C5082</t>
  </si>
  <si>
    <t>DISTRICT SANITAIRE KANIASSO</t>
  </si>
  <si>
    <t>C3022</t>
  </si>
  <si>
    <t>HOPITAL GENERAL TAFIRE</t>
  </si>
  <si>
    <t>C4022</t>
  </si>
  <si>
    <t>HOPITAL GENERAL MBAHIAKRO</t>
  </si>
  <si>
    <t>C1061</t>
  </si>
  <si>
    <t>HOPITAL GENERAL DE TREICHVILLE (JEAN DELAFOSSE)</t>
  </si>
  <si>
    <t>C5021</t>
  </si>
  <si>
    <t>HOPITAL GENERAL TOULEPLEU</t>
  </si>
  <si>
    <t>C5040</t>
  </si>
  <si>
    <t>DISTRICT SANITAIRE ZOUAN-HOUNIEN</t>
  </si>
  <si>
    <t>C3056</t>
  </si>
  <si>
    <t>DISTRICT SANITAIRE M'BENGUE</t>
  </si>
  <si>
    <t>C5072</t>
  </si>
  <si>
    <t>DISTRICT SANITAIRE KANI</t>
  </si>
  <si>
    <t>C3008</t>
  </si>
  <si>
    <t>DISTRICT SANITAIRE TENGRELA</t>
  </si>
  <si>
    <t>C4073</t>
  </si>
  <si>
    <t>DISTRICT SANITAIRE ARRAH</t>
  </si>
  <si>
    <t>C3057</t>
  </si>
  <si>
    <t>DISTRICT SANITAIRE SINEMATIALI</t>
  </si>
  <si>
    <t>C4059</t>
  </si>
  <si>
    <t>DISTRICT SANITAIRE YAKASSE-ATTOBROU</t>
  </si>
  <si>
    <t>C1044</t>
  </si>
  <si>
    <t>DISTRICT SANITAIRE ADIAKE</t>
  </si>
  <si>
    <t>OCTOBRE DECEMBRE 2023</t>
  </si>
  <si>
    <t>PNLT-SENSIBLE MEDICAMENTS ET INTRANTS</t>
  </si>
  <si>
    <t>C2191</t>
  </si>
  <si>
    <t>CENTRE ANTITUBERCULEUX BOUAFLE</t>
  </si>
  <si>
    <t>PNLT-MULTI RESISTANTE MEDICAMENTS ET INTRANTS</t>
  </si>
  <si>
    <t>C1945</t>
  </si>
  <si>
    <t>CENTRE ANTITUBERCULEUX SASSANDRA</t>
  </si>
  <si>
    <t>PNLT-PRODUITS DE LABORATOIRE</t>
  </si>
  <si>
    <t>2023-10-09T00:00:00Z</t>
  </si>
  <si>
    <t>2023-11-10T00:00:00Z</t>
  </si>
  <si>
    <t>C2171</t>
  </si>
  <si>
    <t>CENTRE ANTI-TUBERCULEUX SAN-PEDRO</t>
  </si>
  <si>
    <t>C1749</t>
  </si>
  <si>
    <t>CENTRE ANTITUBERCULEUX BINGERVILLE</t>
  </si>
  <si>
    <t>C4094</t>
  </si>
  <si>
    <t>CENTRE ANTITUBERCULEUX BOUNA</t>
  </si>
  <si>
    <t>C2190</t>
  </si>
  <si>
    <t>CENTRE ANTITUBERCULEUX SOUBRE</t>
  </si>
  <si>
    <t>C2172</t>
  </si>
  <si>
    <t>CENTRE ANTITUBERCULEUX DALOA</t>
  </si>
  <si>
    <t>2023-11-02T00:00:00Z</t>
  </si>
  <si>
    <t>2023-11-09T00:00:00Z</t>
  </si>
  <si>
    <t>2023-11-14T00:00:00Z</t>
  </si>
  <si>
    <t>2023-11-22T00:00:00Z</t>
  </si>
  <si>
    <t>C3063</t>
  </si>
  <si>
    <t xml:space="preserve"> CENTRE ANTITUBERCULEUX FERKESSEDOUGOU</t>
  </si>
  <si>
    <t>C1944</t>
  </si>
  <si>
    <t>CENTRE ANTITUBERCULEUX DABOU</t>
  </si>
  <si>
    <t>C5062</t>
  </si>
  <si>
    <t>CENTRE ANTITUBERCULEUX ODIENNE</t>
  </si>
  <si>
    <t>C4067</t>
  </si>
  <si>
    <t>CENTRE ANTITUBERCULEUX ADZOPE</t>
  </si>
  <si>
    <t>C2193</t>
  </si>
  <si>
    <t>CENTRE ANTITUBERCULEUX SEGUELA</t>
  </si>
  <si>
    <t>C2173</t>
  </si>
  <si>
    <t>PROJET CENTRE ANTITUBERCULEUX YAMOUSSOUKRO</t>
  </si>
  <si>
    <t>C2001</t>
  </si>
  <si>
    <t>CENTRE  ANTITUBERCULEUX GAGNOA</t>
  </si>
  <si>
    <t>C2016</t>
  </si>
  <si>
    <t>CSU HIRE</t>
  </si>
  <si>
    <t>C2192</t>
  </si>
  <si>
    <t>CENTRE ANTITUBERCULEUX DIMBOKRO</t>
  </si>
  <si>
    <t>C2174</t>
  </si>
  <si>
    <t>CENTRE ANTITUBERCULEUX DIVO</t>
  </si>
  <si>
    <t>C4092</t>
  </si>
  <si>
    <t xml:space="preserve"> CENTRE ANTITUBERCULEUX BONGOUANOU</t>
  </si>
  <si>
    <t>C4063</t>
  </si>
  <si>
    <t>CENTRE ANTITUBERCULEUX ABENGOUROU</t>
  </si>
  <si>
    <t>C4093</t>
  </si>
  <si>
    <t xml:space="preserve"> CENTRE ANTITUBERCULEUX DAOUKRO</t>
  </si>
  <si>
    <t>C1002</t>
  </si>
  <si>
    <t>CENTRE ANTITUBERCULEUX TREICHVILLE</t>
  </si>
  <si>
    <t>C4062</t>
  </si>
  <si>
    <t>CENTRE ANTI-TUBERCULEUX BONDOUKOU</t>
  </si>
  <si>
    <t>C2175</t>
  </si>
  <si>
    <t>CENTRE ANTITUBERCULEUX KORHOGO</t>
  </si>
  <si>
    <t>C5068</t>
  </si>
  <si>
    <t>CENTRE ANTITUBERCULEUX GUIGLO</t>
  </si>
  <si>
    <t>C3064</t>
  </si>
  <si>
    <t>CENTRE ANTITUBERCULEUX MANKONO</t>
  </si>
  <si>
    <t>C5095</t>
  </si>
  <si>
    <t>CENTRE ANTITUBERCULEUX DUEKOUE</t>
  </si>
  <si>
    <t>C1750</t>
  </si>
  <si>
    <t>CENTRE ANTITUBERCULEUX ABOISSO</t>
  </si>
  <si>
    <t>C1751</t>
  </si>
  <si>
    <t>CENTRE ANTITUBERCULEUX AGBOVILLE</t>
  </si>
  <si>
    <t>C3049</t>
  </si>
  <si>
    <t>CENTRE ANTITUBERCULEUX KATIOLA</t>
  </si>
  <si>
    <t>C5094</t>
  </si>
  <si>
    <t xml:space="preserve"> CENTRE ANTITUBERCULEUX TOUBA</t>
  </si>
  <si>
    <t>C2170</t>
  </si>
  <si>
    <t>CENTRE ANTITUBERCULEUX BOUAKE</t>
  </si>
  <si>
    <t>C5061</t>
  </si>
  <si>
    <t>CENTRE ANTITUBERCULEUX MAN</t>
  </si>
  <si>
    <t>statut</t>
  </si>
  <si>
    <t>Transmis</t>
  </si>
  <si>
    <t>Date limite</t>
  </si>
  <si>
    <t>Promptitude</t>
  </si>
  <si>
    <t>Type de structure</t>
  </si>
  <si>
    <t>AUTHORIZED</t>
  </si>
  <si>
    <t>Code</t>
  </si>
  <si>
    <t>Site</t>
  </si>
  <si>
    <t>Region</t>
  </si>
  <si>
    <t>ARV</t>
  </si>
  <si>
    <t>TRC</t>
  </si>
  <si>
    <t>LAB</t>
  </si>
  <si>
    <t>CHARGE VIRALE</t>
  </si>
  <si>
    <t>PNLS</t>
  </si>
  <si>
    <t>PNLP</t>
  </si>
  <si>
    <t>PNSME</t>
  </si>
  <si>
    <t>PNN</t>
  </si>
  <si>
    <t>TBS</t>
  </si>
  <si>
    <t>TBMR</t>
  </si>
  <si>
    <t>TBLAB</t>
  </si>
  <si>
    <t>PNLT</t>
  </si>
  <si>
    <t>PNS</t>
  </si>
  <si>
    <t>NA</t>
  </si>
  <si>
    <t>C1066</t>
  </si>
  <si>
    <t>FSU COM ABOBO-BAOULE</t>
  </si>
  <si>
    <t>C1686</t>
  </si>
  <si>
    <t>CENTRE ANTITUBERCULEUX YOPOUGON</t>
  </si>
  <si>
    <t>C1034</t>
  </si>
  <si>
    <t>CSU COM WILLIAMSVILLE</t>
  </si>
  <si>
    <t>C1681</t>
  </si>
  <si>
    <t>HOPITAL GENERAL ADJAME</t>
  </si>
  <si>
    <t>C1177</t>
  </si>
  <si>
    <t>DSSA (DIR DU SCE DE SANTE DES ARMEES)</t>
  </si>
  <si>
    <t>C1018</t>
  </si>
  <si>
    <t>CSU COM ANGRE</t>
  </si>
  <si>
    <t>C1143</t>
  </si>
  <si>
    <t>FSU COCODY PMI</t>
  </si>
  <si>
    <t>C1399</t>
  </si>
  <si>
    <t>ASAPSU (1) ASS.SOUTIEN.AUTOPROMO.SANIT</t>
  </si>
  <si>
    <t>DISPENSAIRE MUNICIPAL AKOUEDO</t>
  </si>
  <si>
    <t>C1685</t>
  </si>
  <si>
    <t>CENTRE ANTI-TUBERCULEUX KOUMASSI</t>
  </si>
  <si>
    <t>C1033</t>
  </si>
  <si>
    <t>CSU COM POINTE DES FUMEURS</t>
  </si>
  <si>
    <t>C1035</t>
  </si>
  <si>
    <t>CSU COM ZOE BRUNO</t>
  </si>
  <si>
    <t>C1057</t>
  </si>
  <si>
    <t>HOPITAL GENERAL DE TREICHVILLE (PONT FHB)</t>
  </si>
  <si>
    <t>CENTRE ANTI-TUBERCULEUX TREICHVILLE</t>
  </si>
  <si>
    <t>C5036</t>
  </si>
  <si>
    <t>DISTRICT SANITAIRE TOUBA</t>
  </si>
  <si>
    <t>CENTRE ANTITUBERCULEUX TOUBA</t>
  </si>
  <si>
    <t>C3050</t>
  </si>
  <si>
    <t>CENTRE ANTITUBERCULEUX BOUNDIALI</t>
  </si>
  <si>
    <t>C2217</t>
  </si>
  <si>
    <t>DISTRICT SANITAIRE KOUTO</t>
  </si>
  <si>
    <t>CENTRE ANTITUBERCULEUX YAMOUSSOUKRO</t>
  </si>
  <si>
    <t>CENTRE ANTI-TUBERCULEUX GAGNOA</t>
  </si>
  <si>
    <t>C5071</t>
  </si>
  <si>
    <t>DISTRICT SANITAIRE ZOUKOUGBEU</t>
  </si>
  <si>
    <t>CENTRE ANTITUBERCULEUX DAOUKRO</t>
  </si>
  <si>
    <t>C5090</t>
  </si>
  <si>
    <t>DISTRICT SANITAIRE MADINANI</t>
  </si>
  <si>
    <t>C5073</t>
  </si>
  <si>
    <t>HOPITAL GENERAL GBELEBAN</t>
  </si>
  <si>
    <t>C2188</t>
  </si>
  <si>
    <t>C1108</t>
  </si>
  <si>
    <t>INSTITUT RAOUL FOLLEREAU ADZOPE</t>
  </si>
  <si>
    <t>CENTRE ANTITUBERCULEUX BONGOUANOU</t>
  </si>
  <si>
    <t>CHR SAN PEDRO</t>
  </si>
  <si>
    <t>CENTRE ANTITUBERCULEUX FERKESSEDOUGOU</t>
  </si>
  <si>
    <t>C2219</t>
  </si>
  <si>
    <t>DISTRICT SANITAIRE KONG</t>
  </si>
  <si>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</si>
  <si>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</si>
  <si>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</si>
  <si>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</si>
  <si>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</si>
  <si>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</si>
  <si>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</si>
  <si>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</si>
  <si>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</si>
  <si>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</si>
  <si>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</si>
  <si>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</si>
  <si>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JANVIER MARS</t>
  </si>
  <si>
    <t>AVRIL JUIN</t>
  </si>
  <si>
    <t>JUILLET SEPTEMBRE</t>
  </si>
  <si>
    <t>OCTOBRE DECEMBRE</t>
  </si>
  <si>
    <t>Taux par Région
ARV</t>
  </si>
  <si>
    <t>Taux par Région
TRC</t>
  </si>
  <si>
    <t>Taux par Région
LAB</t>
  </si>
  <si>
    <t>Taux par Région
Charges virales</t>
  </si>
  <si>
    <t>Taux par Région
PNLP</t>
  </si>
  <si>
    <t>Taux par Région
PNSME</t>
  </si>
  <si>
    <t>Taux par Région
PNN</t>
  </si>
  <si>
    <t>Taux par Région
PNLT</t>
  </si>
  <si>
    <t>Taux par Région
PNLS</t>
  </si>
  <si>
    <t>PNLS
recu</t>
  </si>
  <si>
    <t>PNLS
attendu</t>
  </si>
  <si>
    <t>POINT DE COMPLETUDE DES RAPPORTS PAR REGION</t>
  </si>
  <si>
    <t>Charges Virales</t>
  </si>
  <si>
    <t>Total rapports attendus</t>
  </si>
  <si>
    <t>Taux de Completude</t>
  </si>
  <si>
    <t>GLOBAL</t>
  </si>
  <si>
    <t>POINT DE PROMPTITUDE DES RAPPORTS PAR REGION (au 10 du mois pour les DISTRICTS et 07 pour les autres sites)</t>
  </si>
  <si>
    <t>Taux de Promptitude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</si>
</sst>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23">
    <font>
      <sz val="11.0"/>
      <color theme="1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alibri"/>
    </font>
    <font>
      <b/>
      <sz val="11.0"/>
      <color theme="1"/>
      <name val="Calibri"/>
    </font>
    <font>
      <b/>
      <sz val="11.0"/>
      <color rgb="FF000000"/>
      <name val="Calibri"/>
    </font>
    <font>
      <b/>
      <sz val="11.0"/>
      <color theme="0"/>
      <name val="Calibri"/>
    </font>
    <font>
      <sz val="12.0"/>
      <color theme="1"/>
      <name val="Calibri"/>
    </font>
    <font>
      <b/>
      <sz val="14.0"/>
      <color theme="1"/>
      <name val="Arial Narrow"/>
    </font>
    <font>
      <sz val="11.0"/>
      <color theme="1"/>
      <name val="Arial Narrow"/>
    </font>
    <font>
      <sz val="12.0"/>
      <color theme="1"/>
      <name val="Arial Narrow"/>
    </font>
    <font>
      <b/>
      <sz val="24.0"/>
      <color theme="1"/>
      <name val="Arial Narrow"/>
    </font>
    <font>
      <sz val="14.0"/>
      <color theme="1"/>
      <name val="Arial Narrow"/>
    </font>
    <font>
      <sz val="14.0"/>
      <color theme="1"/>
      <name val="Calibri"/>
    </font>
    <font/>
    <font>
      <sz val="10.0"/>
      <color theme="1"/>
      <name val="Open Sans"/>
    </font>
    <font>
      <b/>
      <sz val="16.0"/>
      <color theme="1"/>
      <name val="Arial Narrow"/>
    </font>
    <font>
      <b/>
      <sz val="22.0"/>
      <color theme="1"/>
      <name val="Arial Narrow"/>
    </font>
    <font>
      <b/>
      <sz val="14.0"/>
      <color theme="0"/>
      <name val="Calibri"/>
    </font>
    <font>
      <b/>
      <sz val="12.0"/>
      <color theme="1"/>
      <name val="Arial Narrow"/>
    </font>
    <font>
      <b/>
      <sz val="20.0"/>
      <color theme="0"/>
      <name val="Arial Narrow"/>
    </font>
    <font>
      <b/>
      <sz val="16.0"/>
      <color theme="0"/>
      <name val="Arial Narrow"/>
    </font>
  </fonts>
  <fills count="15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  <fill>
      <patternFill patternType="solid">
        <fgColor rgb="FFECECEC"/>
        <bgColor rgb="FFECECEC"/>
      </patternFill>
    </fill>
    <fill>
      <patternFill patternType="solid">
        <fgColor rgb="FF1E4E79"/>
        <bgColor rgb="FF1E4E79"/>
      </patternFill>
    </fill>
    <fill>
      <patternFill patternType="solid">
        <fgColor rgb="FF9CC2E5"/>
        <bgColor rgb="FF9CC2E5"/>
      </patternFill>
    </fill>
    <fill>
      <patternFill patternType="solid">
        <fgColor theme="0"/>
        <bgColor theme="0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80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ck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ck">
        <color rgb="FF000000"/>
      </top>
      <bottom style="thin">
        <color rgb="FF000000"/>
      </bottom>
    </border>
    <border>
      <right/>
      <top style="thick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2" fillId="0" fontId="1" numFmtId="14" xfId="0" applyAlignment="1" applyBorder="1" applyFont="1" applyNumberFormat="1">
      <alignment horizontal="center" vertical="center"/>
    </xf>
    <xf borderId="3" fillId="0" fontId="1" numFmtId="14" xfId="0" applyAlignment="1" applyBorder="1" applyFont="1" applyNumberFormat="1">
      <alignment horizontal="center" vertical="center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 vertical="center"/>
    </xf>
    <xf borderId="0" fillId="0" fontId="1" numFmtId="14" xfId="0" applyAlignment="1" applyFont="1" applyNumberFormat="1">
      <alignment horizontal="center" vertical="center"/>
    </xf>
    <xf borderId="4" fillId="0" fontId="1" numFmtId="0" xfId="0" applyBorder="1" applyFont="1"/>
    <xf borderId="5" fillId="0" fontId="1" numFmtId="0" xfId="0" applyBorder="1" applyFont="1"/>
    <xf borderId="5" fillId="0" fontId="1" numFmtId="14" xfId="0" applyAlignment="1" applyBorder="1" applyFont="1" applyNumberFormat="1">
      <alignment horizontal="center" vertical="center"/>
    </xf>
    <xf borderId="6" fillId="0" fontId="1" numFmtId="14" xfId="0" applyAlignment="1" applyBorder="1" applyFont="1" applyNumberFormat="1">
      <alignment horizontal="center" vertical="center"/>
    </xf>
    <xf borderId="5" fillId="2" fontId="4" numFmtId="0" xfId="0" applyAlignment="1" applyBorder="1" applyFill="1" applyFont="1">
      <alignment horizontal="center" vertical="center"/>
    </xf>
    <xf borderId="5" fillId="0" fontId="3" numFmtId="0" xfId="0" applyBorder="1" applyFont="1"/>
    <xf borderId="5" fillId="0" fontId="3" numFmtId="0" xfId="0" applyAlignment="1" applyBorder="1" applyFont="1">
      <alignment horizontal="center" vertical="center"/>
    </xf>
    <xf borderId="5" fillId="0" fontId="3" numFmtId="14" xfId="0" applyAlignment="1" applyBorder="1" applyFont="1" applyNumberFormat="1">
      <alignment horizontal="center"/>
    </xf>
    <xf borderId="5" fillId="3" fontId="5" numFmtId="0" xfId="0" applyAlignment="1" applyBorder="1" applyFill="1" applyFont="1">
      <alignment horizontal="center"/>
    </xf>
    <xf borderId="5" fillId="3" fontId="6" numFmtId="14" xfId="0" applyAlignment="1" applyBorder="1" applyFont="1" applyNumberFormat="1">
      <alignment horizontal="center"/>
    </xf>
    <xf borderId="5" fillId="4" fontId="6" numFmtId="0" xfId="0" applyAlignment="1" applyBorder="1" applyFill="1" applyFont="1">
      <alignment horizontal="center"/>
    </xf>
    <xf borderId="7" fillId="2" fontId="7" numFmtId="0" xfId="0" applyAlignment="1" applyBorder="1" applyFont="1">
      <alignment horizontal="center" shrinkToFit="0" vertical="center" wrapText="1"/>
    </xf>
    <xf borderId="8" fillId="2" fontId="7" numFmtId="0" xfId="0" applyAlignment="1" applyBorder="1" applyFont="1">
      <alignment horizontal="center" shrinkToFit="0" vertical="center" wrapText="1"/>
    </xf>
    <xf borderId="9" fillId="2" fontId="7" numFmtId="0" xfId="0" applyAlignment="1" applyBorder="1" applyFont="1">
      <alignment horizontal="center" shrinkToFit="0" vertical="center" wrapText="1"/>
    </xf>
    <xf borderId="10" fillId="2" fontId="7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11" fillId="0" fontId="3" numFmtId="0" xfId="0" applyAlignment="1" applyBorder="1" applyFont="1">
      <alignment horizontal="center"/>
    </xf>
    <xf borderId="12" fillId="0" fontId="8" numFmtId="0" xfId="0" applyAlignment="1" applyBorder="1" applyFont="1">
      <alignment vertical="center"/>
    </xf>
    <xf borderId="13" fillId="0" fontId="8" numFmtId="0" xfId="0" applyAlignment="1" applyBorder="1" applyFont="1">
      <alignment horizontal="left" vertical="center"/>
    </xf>
    <xf borderId="11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/>
    </xf>
    <xf borderId="5" fillId="0" fontId="8" numFmtId="0" xfId="0" applyAlignment="1" applyBorder="1" applyFont="1">
      <alignment vertical="center"/>
    </xf>
    <xf borderId="15" fillId="0" fontId="8" numFmtId="0" xfId="0" applyAlignment="1" applyBorder="1" applyFont="1">
      <alignment horizontal="left" vertic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left"/>
    </xf>
    <xf borderId="4" fillId="0" fontId="8" numFmtId="0" xfId="0" applyAlignment="1" applyBorder="1" applyFont="1">
      <alignment vertical="center"/>
    </xf>
    <xf borderId="16" fillId="5" fontId="9" numFmtId="0" xfId="0" applyAlignment="1" applyBorder="1" applyFill="1" applyFont="1">
      <alignment horizontal="center" shrinkToFit="0" vertical="center" wrapText="1"/>
    </xf>
    <xf borderId="17" fillId="5" fontId="9" numFmtId="0" xfId="0" applyAlignment="1" applyBorder="1" applyFont="1">
      <alignment horizontal="center" shrinkToFit="0" vertical="center" wrapText="1"/>
    </xf>
    <xf borderId="18" fillId="5" fontId="9" numFmtId="0" xfId="0" applyAlignment="1" applyBorder="1" applyFont="1">
      <alignment horizontal="center" shrinkToFit="0" vertical="center" wrapText="1"/>
    </xf>
    <xf borderId="16" fillId="6" fontId="9" numFmtId="0" xfId="0" applyAlignment="1" applyBorder="1" applyFill="1" applyFont="1">
      <alignment horizontal="center" shrinkToFit="0" vertical="center" wrapText="1"/>
    </xf>
    <xf borderId="17" fillId="6" fontId="9" numFmtId="0" xfId="0" applyAlignment="1" applyBorder="1" applyFont="1">
      <alignment horizontal="center" shrinkToFit="0" vertical="center" wrapText="1"/>
    </xf>
    <xf borderId="1" fillId="5" fontId="9" numFmtId="0" xfId="0" applyAlignment="1" applyBorder="1" applyFont="1">
      <alignment horizontal="center" shrinkToFit="0" vertical="center" wrapText="1"/>
    </xf>
    <xf borderId="3" fillId="5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center"/>
    </xf>
    <xf borderId="2" fillId="0" fontId="11" numFmtId="0" xfId="0" applyAlignment="1" applyBorder="1" applyFont="1">
      <alignment vertical="center"/>
    </xf>
    <xf borderId="2" fillId="0" fontId="11" numFmtId="0" xfId="0" applyAlignment="1" applyBorder="1" applyFont="1">
      <alignment horizontal="left" vertical="center"/>
    </xf>
    <xf borderId="2" fillId="0" fontId="10" numFmtId="0" xfId="0" applyAlignment="1" applyBorder="1" applyFont="1">
      <alignment horizontal="center" vertical="center"/>
    </xf>
    <xf borderId="19" fillId="0" fontId="10" numFmtId="0" xfId="0" applyAlignment="1" applyBorder="1" applyFont="1">
      <alignment horizontal="center" vertical="center"/>
    </xf>
    <xf borderId="20" fillId="7" fontId="12" numFmtId="9" xfId="0" applyAlignment="1" applyBorder="1" applyFill="1" applyFont="1" applyNumberFormat="1">
      <alignment horizontal="center" vertical="center"/>
    </xf>
    <xf borderId="21" fillId="7" fontId="12" numFmtId="9" xfId="0" applyAlignment="1" applyBorder="1" applyFont="1" applyNumberFormat="1">
      <alignment horizontal="center" vertical="center"/>
    </xf>
    <xf borderId="4" fillId="0" fontId="11" numFmtId="0" xfId="0" applyAlignment="1" applyBorder="1" applyFont="1">
      <alignment horizontal="center" vertical="center"/>
    </xf>
    <xf borderId="6" fillId="0" fontId="11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/>
    </xf>
    <xf borderId="5" fillId="0" fontId="11" numFmtId="0" xfId="0" applyAlignment="1" applyBorder="1" applyFont="1">
      <alignment vertical="center"/>
    </xf>
    <xf borderId="5" fillId="0" fontId="11" numFmtId="0" xfId="0" applyAlignment="1" applyBorder="1" applyFont="1">
      <alignment horizontal="left" vertical="center"/>
    </xf>
    <xf borderId="5" fillId="0" fontId="10" numFmtId="0" xfId="0" applyAlignment="1" applyBorder="1" applyFont="1">
      <alignment horizontal="center" vertical="center"/>
    </xf>
    <xf borderId="15" fillId="0" fontId="10" numFmtId="0" xfId="0" applyAlignment="1" applyBorder="1" applyFont="1">
      <alignment horizontal="center" vertical="center"/>
    </xf>
    <xf borderId="22" fillId="7" fontId="12" numFmtId="9" xfId="0" applyAlignment="1" applyBorder="1" applyFont="1" applyNumberFormat="1">
      <alignment horizontal="center" vertical="center"/>
    </xf>
    <xf borderId="23" fillId="7" fontId="12" numFmtId="9" xfId="0" applyAlignment="1" applyBorder="1" applyFont="1" applyNumberFormat="1">
      <alignment horizontal="center" vertical="center"/>
    </xf>
    <xf borderId="24" fillId="0" fontId="10" numFmtId="0" xfId="0" applyAlignment="1" applyBorder="1" applyFont="1">
      <alignment horizontal="center"/>
    </xf>
    <xf borderId="25" fillId="0" fontId="11" numFmtId="0" xfId="0" applyAlignment="1" applyBorder="1" applyFont="1">
      <alignment vertical="center"/>
    </xf>
    <xf borderId="25" fillId="0" fontId="11" numFmtId="0" xfId="0" applyAlignment="1" applyBorder="1" applyFont="1">
      <alignment horizontal="left" vertical="center"/>
    </xf>
    <xf borderId="25" fillId="0" fontId="10" numFmtId="0" xfId="0" applyAlignment="1" applyBorder="1" applyFont="1">
      <alignment horizontal="center" vertical="center"/>
    </xf>
    <xf borderId="26" fillId="0" fontId="10" numFmtId="0" xfId="0" applyAlignment="1" applyBorder="1" applyFont="1">
      <alignment horizontal="center" vertical="center"/>
    </xf>
    <xf borderId="27" fillId="7" fontId="12" numFmtId="9" xfId="0" applyAlignment="1" applyBorder="1" applyFont="1" applyNumberFormat="1">
      <alignment horizontal="center" vertical="center"/>
    </xf>
    <xf borderId="28" fillId="7" fontId="12" numFmtId="9" xfId="0" applyAlignment="1" applyBorder="1" applyFont="1" applyNumberFormat="1">
      <alignment horizontal="center" vertical="center"/>
    </xf>
    <xf borderId="0" fillId="0" fontId="3" numFmtId="164" xfId="0" applyFont="1" applyNumberFormat="1"/>
    <xf borderId="29" fillId="0" fontId="10" numFmtId="0" xfId="0" applyAlignment="1" applyBorder="1" applyFont="1">
      <alignment horizontal="center"/>
    </xf>
    <xf borderId="30" fillId="0" fontId="11" numFmtId="0" xfId="0" applyAlignment="1" applyBorder="1" applyFont="1">
      <alignment vertical="center"/>
    </xf>
    <xf borderId="30" fillId="0" fontId="11" numFmtId="0" xfId="0" applyAlignment="1" applyBorder="1" applyFont="1">
      <alignment horizontal="left" vertical="center"/>
    </xf>
    <xf borderId="30" fillId="0" fontId="10" numFmtId="0" xfId="0" applyAlignment="1" applyBorder="1" applyFont="1">
      <alignment horizontal="center" vertical="center"/>
    </xf>
    <xf borderId="31" fillId="0" fontId="10" numFmtId="0" xfId="0" applyAlignment="1" applyBorder="1" applyFont="1">
      <alignment horizontal="center" vertical="center"/>
    </xf>
    <xf borderId="19" fillId="0" fontId="11" numFmtId="0" xfId="0" applyAlignment="1" applyBorder="1" applyFont="1">
      <alignment horizontal="left" vertical="center"/>
    </xf>
    <xf borderId="32" fillId="7" fontId="12" numFmtId="9" xfId="0" applyAlignment="1" applyBorder="1" applyFont="1" applyNumberFormat="1">
      <alignment horizontal="center" vertical="center"/>
    </xf>
    <xf borderId="15" fillId="0" fontId="11" numFmtId="0" xfId="0" applyAlignment="1" applyBorder="1" applyFont="1">
      <alignment horizontal="left" vertical="center"/>
    </xf>
    <xf borderId="33" fillId="7" fontId="12" numFmtId="9" xfId="0" applyAlignment="1" applyBorder="1" applyFont="1" applyNumberFormat="1">
      <alignment horizontal="center" vertical="center"/>
    </xf>
    <xf borderId="26" fillId="0" fontId="11" numFmtId="0" xfId="0" applyAlignment="1" applyBorder="1" applyFont="1">
      <alignment horizontal="left" vertical="center"/>
    </xf>
    <xf borderId="34" fillId="7" fontId="12" numFmtId="9" xfId="0" applyAlignment="1" applyBorder="1" applyFont="1" applyNumberFormat="1">
      <alignment horizontal="center" vertical="center"/>
    </xf>
    <xf borderId="11" fillId="0" fontId="10" numFmtId="0" xfId="0" applyAlignment="1" applyBorder="1" applyFont="1">
      <alignment horizontal="center"/>
    </xf>
    <xf borderId="12" fillId="0" fontId="11" numFmtId="0" xfId="0" applyAlignment="1" applyBorder="1" applyFont="1">
      <alignment vertical="center"/>
    </xf>
    <xf borderId="13" fillId="0" fontId="11" numFmtId="0" xfId="0" applyAlignment="1" applyBorder="1" applyFont="1">
      <alignment horizontal="left" vertical="center"/>
    </xf>
    <xf borderId="12" fillId="0" fontId="10" numFmtId="0" xfId="0" applyAlignment="1" applyBorder="1" applyFont="1">
      <alignment horizontal="center" vertical="center"/>
    </xf>
    <xf borderId="35" fillId="7" fontId="12" numFmtId="9" xfId="0" applyAlignment="1" applyBorder="1" applyFont="1" applyNumberFormat="1">
      <alignment horizontal="center" vertical="center"/>
    </xf>
    <xf borderId="36" fillId="7" fontId="12" numFmtId="9" xfId="0" applyAlignment="1" applyBorder="1" applyFont="1" applyNumberFormat="1">
      <alignment horizontal="center" vertical="center"/>
    </xf>
    <xf borderId="13" fillId="0" fontId="10" numFmtId="0" xfId="0" applyAlignment="1" applyBorder="1" applyFont="1">
      <alignment horizontal="center" vertical="center"/>
    </xf>
    <xf borderId="12" fillId="0" fontId="11" numFmtId="0" xfId="0" applyAlignment="1" applyBorder="1" applyFont="1">
      <alignment horizontal="left" vertical="center"/>
    </xf>
    <xf borderId="16" fillId="7" fontId="12" numFmtId="9" xfId="0" applyAlignment="1" applyBorder="1" applyFont="1" applyNumberFormat="1">
      <alignment horizontal="center" vertical="center"/>
    </xf>
    <xf borderId="37" fillId="7" fontId="12" numFmtId="9" xfId="0" applyAlignment="1" applyBorder="1" applyFont="1" applyNumberFormat="1">
      <alignment horizontal="center" vertical="center"/>
    </xf>
    <xf borderId="38" fillId="7" fontId="12" numFmtId="9" xfId="0" applyAlignment="1" applyBorder="1" applyFont="1" applyNumberFormat="1">
      <alignment horizontal="center" vertical="center"/>
    </xf>
    <xf borderId="39" fillId="0" fontId="11" numFmtId="0" xfId="0" applyAlignment="1" applyBorder="1" applyFont="1">
      <alignment horizontal="center" vertical="center"/>
    </xf>
    <xf borderId="40" fillId="0" fontId="10" numFmtId="0" xfId="0" applyAlignment="1" applyBorder="1" applyFont="1">
      <alignment horizontal="center"/>
    </xf>
    <xf borderId="41" fillId="0" fontId="11" numFmtId="0" xfId="0" applyAlignment="1" applyBorder="1" applyFont="1">
      <alignment vertical="center"/>
    </xf>
    <xf borderId="41" fillId="0" fontId="11" numFmtId="0" xfId="0" applyAlignment="1" applyBorder="1" applyFont="1">
      <alignment horizontal="left" vertical="center"/>
    </xf>
    <xf borderId="41" fillId="0" fontId="10" numFmtId="0" xfId="0" applyAlignment="1" applyBorder="1" applyFont="1">
      <alignment horizontal="center" vertical="center"/>
    </xf>
    <xf borderId="42" fillId="7" fontId="12" numFmtId="9" xfId="0" applyAlignment="1" applyBorder="1" applyFont="1" applyNumberFormat="1">
      <alignment horizontal="center" vertical="center"/>
    </xf>
    <xf borderId="2" fillId="7" fontId="12" numFmtId="9" xfId="0" applyAlignment="1" applyBorder="1" applyFont="1" applyNumberFormat="1">
      <alignment horizontal="center" vertical="center"/>
    </xf>
    <xf borderId="3" fillId="7" fontId="12" numFmtId="9" xfId="0" applyAlignment="1" applyBorder="1" applyFont="1" applyNumberFormat="1">
      <alignment horizontal="center" vertical="center"/>
    </xf>
    <xf borderId="5" fillId="7" fontId="12" numFmtId="9" xfId="0" applyAlignment="1" applyBorder="1" applyFont="1" applyNumberFormat="1">
      <alignment horizontal="center" vertical="center"/>
    </xf>
    <xf borderId="6" fillId="7" fontId="12" numFmtId="9" xfId="0" applyAlignment="1" applyBorder="1" applyFont="1" applyNumberFormat="1">
      <alignment horizontal="center" vertical="center"/>
    </xf>
    <xf borderId="25" fillId="7" fontId="12" numFmtId="9" xfId="0" applyAlignment="1" applyBorder="1" applyFont="1" applyNumberFormat="1">
      <alignment horizontal="center" vertical="center"/>
    </xf>
    <xf borderId="43" fillId="7" fontId="12" numFmtId="9" xfId="0" applyAlignment="1" applyBorder="1" applyFont="1" applyNumberFormat="1">
      <alignment horizontal="center" vertical="center"/>
    </xf>
    <xf borderId="44" fillId="7" fontId="12" numFmtId="9" xfId="0" applyAlignment="1" applyBorder="1" applyFont="1" applyNumberFormat="1">
      <alignment horizontal="center" vertical="center"/>
    </xf>
    <xf borderId="45" fillId="7" fontId="12" numFmtId="9" xfId="0" applyAlignment="1" applyBorder="1" applyFont="1" applyNumberFormat="1">
      <alignment horizontal="center" vertical="center"/>
    </xf>
    <xf borderId="46" fillId="7" fontId="12" numFmtId="9" xfId="0" applyAlignment="1" applyBorder="1" applyFont="1" applyNumberFormat="1">
      <alignment horizontal="center" vertical="center"/>
    </xf>
    <xf borderId="47" fillId="0" fontId="11" numFmtId="0" xfId="0" applyAlignment="1" applyBorder="1" applyFont="1">
      <alignment horizontal="center" vertical="center"/>
    </xf>
    <xf borderId="48" fillId="0" fontId="11" numFmtId="0" xfId="0" applyAlignment="1" applyBorder="1" applyFont="1">
      <alignment horizontal="center" vertical="center"/>
    </xf>
    <xf borderId="0" fillId="0" fontId="3" numFmtId="0" xfId="0" applyFont="1"/>
    <xf borderId="49" fillId="0" fontId="11" numFmtId="0" xfId="0" applyAlignment="1" applyBorder="1" applyFont="1">
      <alignment horizontal="center" vertical="center"/>
    </xf>
    <xf borderId="43" fillId="0" fontId="11" numFmtId="0" xfId="0" applyAlignment="1" applyBorder="1" applyFont="1">
      <alignment horizontal="center" vertical="center"/>
    </xf>
    <xf borderId="0" fillId="0" fontId="13" numFmtId="0" xfId="0" applyFont="1"/>
    <xf borderId="50" fillId="6" fontId="9" numFmtId="9" xfId="0" applyAlignment="1" applyBorder="1" applyFont="1" applyNumberFormat="1">
      <alignment horizontal="center" vertical="center"/>
    </xf>
    <xf borderId="0" fillId="0" fontId="14" numFmtId="0" xfId="0" applyFont="1"/>
    <xf borderId="0" fillId="0" fontId="10" numFmtId="0" xfId="0" applyFont="1"/>
    <xf borderId="51" fillId="5" fontId="12" numFmtId="9" xfId="0" applyAlignment="1" applyBorder="1" applyFont="1" applyNumberFormat="1">
      <alignment horizontal="center"/>
    </xf>
    <xf borderId="52" fillId="0" fontId="15" numFmtId="0" xfId="0" applyBorder="1" applyFont="1"/>
    <xf borderId="53" fillId="0" fontId="15" numFmtId="0" xfId="0" applyBorder="1" applyFont="1"/>
    <xf borderId="0" fillId="0" fontId="16" numFmtId="0" xfId="0" applyFont="1"/>
    <xf borderId="16" fillId="5" fontId="9" numFmtId="0" xfId="0" applyAlignment="1" applyBorder="1" applyFont="1">
      <alignment horizontal="center" vertical="center"/>
    </xf>
    <xf borderId="16" fillId="5" fontId="17" numFmtId="0" xfId="0" applyAlignment="1" applyBorder="1" applyFont="1">
      <alignment horizontal="center" vertical="center"/>
    </xf>
    <xf borderId="17" fillId="5" fontId="9" numFmtId="0" xfId="0" applyAlignment="1" applyBorder="1" applyFont="1">
      <alignment horizontal="center" vertical="center"/>
    </xf>
    <xf borderId="54" fillId="5" fontId="9" numFmtId="0" xfId="0" applyAlignment="1" applyBorder="1" applyFont="1">
      <alignment horizontal="center" shrinkToFit="0" vertical="center" wrapText="1"/>
    </xf>
    <xf borderId="20" fillId="5" fontId="9" numFmtId="0" xfId="0" applyAlignment="1" applyBorder="1" applyFont="1">
      <alignment horizontal="center" shrinkToFit="0" vertical="center" wrapText="1"/>
    </xf>
    <xf borderId="55" fillId="7" fontId="12" numFmtId="9" xfId="0" applyAlignment="1" applyBorder="1" applyFont="1" applyNumberFormat="1">
      <alignment horizontal="center" vertical="center"/>
    </xf>
    <xf borderId="56" fillId="7" fontId="12" numFmtId="9" xfId="0" applyAlignment="1" applyBorder="1" applyFont="1" applyNumberFormat="1">
      <alignment horizontal="center" vertical="center"/>
    </xf>
    <xf borderId="57" fillId="7" fontId="12" numFmtId="9" xfId="0" applyAlignment="1" applyBorder="1" applyFont="1" applyNumberFormat="1">
      <alignment horizontal="center" vertical="center"/>
    </xf>
    <xf borderId="58" fillId="7" fontId="12" numFmtId="9" xfId="0" applyAlignment="1" applyBorder="1" applyFont="1" applyNumberFormat="1">
      <alignment horizontal="center" vertical="center"/>
    </xf>
    <xf borderId="0" fillId="0" fontId="3" numFmtId="9" xfId="0" applyFont="1" applyNumberFormat="1"/>
    <xf borderId="24" fillId="0" fontId="11" numFmtId="0" xfId="0" applyAlignment="1" applyBorder="1" applyFont="1">
      <alignment horizontal="center" vertical="center"/>
    </xf>
    <xf borderId="51" fillId="5" fontId="18" numFmtId="9" xfId="0" applyAlignment="1" applyBorder="1" applyFont="1" applyNumberFormat="1">
      <alignment horizontal="center"/>
    </xf>
    <xf borderId="51" fillId="8" fontId="19" numFmtId="0" xfId="0" applyAlignment="1" applyBorder="1" applyFill="1" applyFont="1">
      <alignment horizontal="center" vertical="center"/>
    </xf>
    <xf borderId="50" fillId="2" fontId="9" numFmtId="0" xfId="0" applyAlignment="1" applyBorder="1" applyFont="1">
      <alignment horizontal="center" vertical="center"/>
    </xf>
    <xf borderId="59" fillId="2" fontId="20" numFmtId="0" xfId="0" applyAlignment="1" applyBorder="1" applyFont="1">
      <alignment horizontal="center" vertical="center"/>
    </xf>
    <xf borderId="60" fillId="0" fontId="15" numFmtId="0" xfId="0" applyBorder="1" applyFont="1"/>
    <xf borderId="61" fillId="2" fontId="20" numFmtId="0" xfId="0" applyAlignment="1" applyBorder="1" applyFont="1">
      <alignment horizontal="center" vertical="center"/>
    </xf>
    <xf borderId="62" fillId="0" fontId="15" numFmtId="0" xfId="0" applyBorder="1" applyFont="1"/>
    <xf borderId="63" fillId="0" fontId="15" numFmtId="0" xfId="0" applyBorder="1" applyFont="1"/>
    <xf borderId="4" fillId="9" fontId="20" numFmtId="0" xfId="0" applyAlignment="1" applyBorder="1" applyFill="1" applyFont="1">
      <alignment horizontal="center" shrinkToFit="0" vertical="center" wrapText="1"/>
    </xf>
    <xf borderId="6" fillId="9" fontId="20" numFmtId="0" xfId="0" applyAlignment="1" applyBorder="1" applyFont="1">
      <alignment horizontal="center" shrinkToFit="0" vertical="center" wrapText="1"/>
    </xf>
    <xf borderId="64" fillId="9" fontId="20" numFmtId="0" xfId="0" applyAlignment="1" applyBorder="1" applyFont="1">
      <alignment horizontal="center" shrinkToFit="0" vertical="center" wrapText="1"/>
    </xf>
    <xf borderId="5" fillId="3" fontId="20" numFmtId="0" xfId="0" applyAlignment="1" applyBorder="1" applyFont="1">
      <alignment horizontal="left" vertical="center"/>
    </xf>
    <xf borderId="65" fillId="3" fontId="11" numFmtId="1" xfId="0" applyAlignment="1" applyBorder="1" applyFont="1" applyNumberFormat="1">
      <alignment horizontal="center" vertical="center"/>
    </xf>
    <xf borderId="6" fillId="3" fontId="11" numFmtId="9" xfId="0" applyAlignment="1" applyBorder="1" applyFont="1" applyNumberFormat="1">
      <alignment horizontal="center" vertical="center"/>
    </xf>
    <xf borderId="4" fillId="3" fontId="11" numFmtId="1" xfId="0" applyAlignment="1" applyBorder="1" applyFont="1" applyNumberFormat="1">
      <alignment horizontal="center" vertical="center"/>
    </xf>
    <xf borderId="64" fillId="3" fontId="11" numFmtId="9" xfId="0" applyAlignment="1" applyBorder="1" applyFont="1" applyNumberFormat="1">
      <alignment horizontal="center" vertical="center"/>
    </xf>
    <xf borderId="5" fillId="0" fontId="20" numFmtId="0" xfId="0" applyAlignment="1" applyBorder="1" applyFont="1">
      <alignment horizontal="left" vertical="center"/>
    </xf>
    <xf borderId="65" fillId="10" fontId="11" numFmtId="1" xfId="0" applyAlignment="1" applyBorder="1" applyFill="1" applyFont="1" applyNumberFormat="1">
      <alignment horizontal="center" vertical="center"/>
    </xf>
    <xf borderId="6" fillId="10" fontId="11" numFmtId="9" xfId="0" applyAlignment="1" applyBorder="1" applyFont="1" applyNumberFormat="1">
      <alignment horizontal="center" vertical="center"/>
    </xf>
    <xf borderId="4" fillId="10" fontId="11" numFmtId="1" xfId="0" applyAlignment="1" applyBorder="1" applyFont="1" applyNumberFormat="1">
      <alignment horizontal="center" vertical="center"/>
    </xf>
    <xf borderId="64" fillId="10" fontId="11" numFmtId="9" xfId="0" applyAlignment="1" applyBorder="1" applyFont="1" applyNumberFormat="1">
      <alignment horizontal="center" vertical="center"/>
    </xf>
    <xf borderId="66" fillId="0" fontId="20" numFmtId="0" xfId="0" applyAlignment="1" applyBorder="1" applyFont="1">
      <alignment horizontal="center" vertical="center"/>
    </xf>
    <xf borderId="67" fillId="6" fontId="9" numFmtId="1" xfId="0" applyAlignment="1" applyBorder="1" applyFont="1" applyNumberFormat="1">
      <alignment horizontal="center" vertical="center"/>
    </xf>
    <xf borderId="68" fillId="6" fontId="9" numFmtId="9" xfId="0" applyAlignment="1" applyBorder="1" applyFont="1" applyNumberFormat="1">
      <alignment horizontal="center" vertical="center"/>
    </xf>
    <xf borderId="68" fillId="6" fontId="9" numFmtId="1" xfId="0" applyAlignment="1" applyBorder="1" applyFont="1" applyNumberFormat="1">
      <alignment horizontal="center" vertical="center"/>
    </xf>
    <xf borderId="69" fillId="6" fontId="9" numFmtId="9" xfId="0" applyAlignment="1" applyBorder="1" applyFont="1" applyNumberFormat="1">
      <alignment horizontal="center" vertical="center"/>
    </xf>
    <xf borderId="70" fillId="6" fontId="9" numFmtId="1" xfId="0" applyAlignment="1" applyBorder="1" applyFont="1" applyNumberFormat="1">
      <alignment horizontal="center" vertical="center"/>
    </xf>
    <xf borderId="71" fillId="6" fontId="9" numFmtId="9" xfId="0" applyAlignment="1" applyBorder="1" applyFont="1" applyNumberFormat="1">
      <alignment horizontal="center" vertical="center"/>
    </xf>
    <xf borderId="72" fillId="6" fontId="9" numFmtId="1" xfId="0" applyAlignment="1" applyBorder="1" applyFont="1" applyNumberFormat="1">
      <alignment horizontal="center" vertical="center"/>
    </xf>
    <xf borderId="73" fillId="6" fontId="9" numFmtId="9" xfId="0" applyAlignment="1" applyBorder="1" applyFont="1" applyNumberFormat="1">
      <alignment horizontal="center" vertical="center"/>
    </xf>
    <xf borderId="73" fillId="6" fontId="9" numFmtId="1" xfId="0" applyAlignment="1" applyBorder="1" applyFont="1" applyNumberFormat="1">
      <alignment horizontal="center" vertical="center"/>
    </xf>
    <xf borderId="74" fillId="6" fontId="9" numFmtId="9" xfId="0" applyAlignment="1" applyBorder="1" applyFont="1" applyNumberFormat="1">
      <alignment horizontal="center" vertical="center"/>
    </xf>
    <xf borderId="51" fillId="2" fontId="21" numFmtId="9" xfId="0" applyAlignment="1" applyBorder="1" applyFont="1" applyNumberFormat="1">
      <alignment horizontal="center" vertical="center"/>
    </xf>
    <xf borderId="51" fillId="11" fontId="19" numFmtId="0" xfId="0" applyAlignment="1" applyBorder="1" applyFill="1" applyFont="1">
      <alignment horizontal="center" vertical="center"/>
    </xf>
    <xf borderId="75" fillId="12" fontId="9" numFmtId="0" xfId="0" applyAlignment="1" applyBorder="1" applyFill="1" applyFont="1">
      <alignment horizontal="center" vertical="center"/>
    </xf>
    <xf borderId="15" fillId="12" fontId="20" numFmtId="0" xfId="0" applyAlignment="1" applyBorder="1" applyFont="1">
      <alignment horizontal="center" vertical="center"/>
    </xf>
    <xf borderId="39" fillId="0" fontId="15" numFmtId="0" xfId="0" applyBorder="1" applyFont="1"/>
    <xf borderId="76" fillId="12" fontId="9" numFmtId="0" xfId="0" applyAlignment="1" applyBorder="1" applyFont="1">
      <alignment horizontal="center" vertical="center"/>
    </xf>
    <xf borderId="5" fillId="13" fontId="20" numFmtId="0" xfId="0" applyAlignment="1" applyBorder="1" applyFill="1" applyFont="1">
      <alignment horizontal="center" shrinkToFit="0" vertical="center" wrapText="1"/>
    </xf>
    <xf borderId="5" fillId="0" fontId="11" numFmtId="1" xfId="0" applyAlignment="1" applyBorder="1" applyFont="1" applyNumberFormat="1">
      <alignment horizontal="center" vertical="center"/>
    </xf>
    <xf borderId="5" fillId="0" fontId="11" numFmtId="9" xfId="0" applyAlignment="1" applyBorder="1" applyFont="1" applyNumberFormat="1">
      <alignment horizontal="center" vertical="center"/>
    </xf>
    <xf borderId="5" fillId="14" fontId="20" numFmtId="0" xfId="0" applyAlignment="1" applyBorder="1" applyFill="1" applyFont="1">
      <alignment horizontal="left" vertical="center"/>
    </xf>
    <xf borderId="5" fillId="14" fontId="11" numFmtId="1" xfId="0" applyAlignment="1" applyBorder="1" applyFont="1" applyNumberFormat="1">
      <alignment horizontal="center" vertical="center"/>
    </xf>
    <xf borderId="5" fillId="14" fontId="11" numFmtId="9" xfId="0" applyAlignment="1" applyBorder="1" applyFont="1" applyNumberFormat="1">
      <alignment horizontal="center" vertical="center"/>
    </xf>
    <xf borderId="30" fillId="0" fontId="11" numFmtId="1" xfId="0" applyAlignment="1" applyBorder="1" applyFont="1" applyNumberFormat="1">
      <alignment horizontal="center" vertical="center"/>
    </xf>
    <xf borderId="30" fillId="0" fontId="11" numFmtId="9" xfId="0" applyAlignment="1" applyBorder="1" applyFont="1" applyNumberFormat="1">
      <alignment horizontal="center" vertical="center"/>
    </xf>
    <xf borderId="77" fillId="13" fontId="9" numFmtId="1" xfId="0" applyAlignment="1" applyBorder="1" applyFont="1" applyNumberFormat="1">
      <alignment horizontal="center" vertical="center"/>
    </xf>
    <xf borderId="78" fillId="13" fontId="9" numFmtId="9" xfId="0" applyAlignment="1" applyBorder="1" applyFont="1" applyNumberFormat="1">
      <alignment horizontal="center" vertical="center"/>
    </xf>
    <xf borderId="78" fillId="13" fontId="9" numFmtId="1" xfId="0" applyAlignment="1" applyBorder="1" applyFont="1" applyNumberFormat="1">
      <alignment horizontal="center" vertical="center"/>
    </xf>
    <xf borderId="79" fillId="13" fontId="9" numFmtId="9" xfId="0" applyAlignment="1" applyBorder="1" applyFont="1" applyNumberFormat="1">
      <alignment horizontal="center" vertical="center"/>
    </xf>
    <xf borderId="51" fillId="12" fontId="22" numFmtId="9" xfId="0" applyAlignment="1" applyBorder="1" applyFont="1" applyNumberFormat="1">
      <alignment horizontal="center" vertical="center"/>
    </xf>
  </cellXfs>
  <cellStyles count="1">
    <cellStyle xfId="0" name="Normal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F2F2F2"/>
          <bgColor rgb="FFF2F2F2"/>
        </patternFill>
      </fill>
      <border/>
    </dxf>
    <dxf>
      <font>
        <b/>
      </font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>
        <b/>
        <color rgb="FF9C0006"/>
      </font>
      <fill>
        <patternFill patternType="solid">
          <fgColor rgb="FFFFC7CE"/>
          <bgColor rgb="FFFFC7CE"/>
        </patternFill>
      </fill>
      <border/>
    </dxf>
    <dxf>
      <font>
        <b/>
        <color theme="1"/>
      </font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A5A5A5"/>
          <bgColor rgb="FFA5A5A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22.29"/>
    <col customWidth="1" min="3" max="3" width="7.14"/>
    <col customWidth="1" min="4" max="4" width="47.71"/>
    <col customWidth="1" min="5" max="5" width="48.57"/>
    <col customWidth="1" min="6" max="7" width="25.29"/>
    <col customWidth="1" min="8" max="26" width="9.29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 t="s">
        <v>7</v>
      </c>
      <c r="B2" s="6" t="s">
        <v>8</v>
      </c>
      <c r="C2" s="6" t="s">
        <v>9</v>
      </c>
      <c r="D2" s="6" t="s">
        <v>10</v>
      </c>
      <c r="E2" s="6" t="s">
        <v>11</v>
      </c>
      <c r="F2" s="7" t="s">
        <v>12</v>
      </c>
      <c r="G2" s="7" t="s">
        <v>13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4.25" customHeight="1">
      <c r="A3" s="6" t="s">
        <v>14</v>
      </c>
      <c r="B3" s="6" t="s">
        <v>8</v>
      </c>
      <c r="C3" s="6" t="s">
        <v>15</v>
      </c>
      <c r="D3" s="6" t="s">
        <v>16</v>
      </c>
      <c r="E3" s="6" t="s">
        <v>11</v>
      </c>
      <c r="F3" s="7" t="s">
        <v>12</v>
      </c>
      <c r="G3" s="7" t="s">
        <v>12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6" t="s">
        <v>17</v>
      </c>
      <c r="B4" s="6" t="s">
        <v>8</v>
      </c>
      <c r="C4" s="6" t="s">
        <v>18</v>
      </c>
      <c r="D4" s="6" t="s">
        <v>19</v>
      </c>
      <c r="E4" s="6" t="s">
        <v>20</v>
      </c>
      <c r="F4" s="7" t="s">
        <v>12</v>
      </c>
      <c r="G4" s="7" t="s">
        <v>12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4.25" customHeight="1">
      <c r="A5" s="6" t="s">
        <v>21</v>
      </c>
      <c r="B5" s="6" t="s">
        <v>8</v>
      </c>
      <c r="C5" s="6" t="s">
        <v>22</v>
      </c>
      <c r="D5" s="6" t="s">
        <v>23</v>
      </c>
      <c r="E5" s="6" t="s">
        <v>20</v>
      </c>
      <c r="F5" s="7" t="s">
        <v>12</v>
      </c>
      <c r="G5" s="7" t="s">
        <v>13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4.25" customHeight="1">
      <c r="A6" s="6" t="s">
        <v>24</v>
      </c>
      <c r="B6" s="6" t="s">
        <v>8</v>
      </c>
      <c r="C6" s="6" t="s">
        <v>25</v>
      </c>
      <c r="D6" s="6" t="s">
        <v>26</v>
      </c>
      <c r="E6" s="6" t="s">
        <v>27</v>
      </c>
      <c r="F6" s="7" t="s">
        <v>28</v>
      </c>
      <c r="G6" s="7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4.25" customHeight="1">
      <c r="A7" s="6" t="s">
        <v>29</v>
      </c>
      <c r="B7" s="6" t="s">
        <v>8</v>
      </c>
      <c r="C7" s="6" t="s">
        <v>30</v>
      </c>
      <c r="D7" s="6" t="s">
        <v>31</v>
      </c>
      <c r="E7" s="6" t="s">
        <v>32</v>
      </c>
      <c r="F7" s="7" t="s">
        <v>28</v>
      </c>
      <c r="G7" s="7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4.25" customHeight="1">
      <c r="A8" s="6" t="s">
        <v>33</v>
      </c>
      <c r="B8" s="6" t="s">
        <v>8</v>
      </c>
      <c r="C8" s="6" t="s">
        <v>34</v>
      </c>
      <c r="D8" s="6" t="s">
        <v>35</v>
      </c>
      <c r="E8" s="6" t="s">
        <v>20</v>
      </c>
      <c r="F8" s="7" t="s">
        <v>12</v>
      </c>
      <c r="G8" s="7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4.25" customHeight="1">
      <c r="A9" s="6" t="s">
        <v>14</v>
      </c>
      <c r="B9" s="6" t="s">
        <v>8</v>
      </c>
      <c r="C9" s="6" t="s">
        <v>15</v>
      </c>
      <c r="D9" s="6" t="s">
        <v>16</v>
      </c>
      <c r="E9" s="6" t="s">
        <v>20</v>
      </c>
      <c r="F9" s="7" t="s">
        <v>12</v>
      </c>
      <c r="G9" s="7" t="s">
        <v>12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6" t="s">
        <v>36</v>
      </c>
      <c r="B10" s="6" t="s">
        <v>8</v>
      </c>
      <c r="C10" s="6" t="s">
        <v>37</v>
      </c>
      <c r="D10" s="6" t="s">
        <v>38</v>
      </c>
      <c r="E10" s="6" t="s">
        <v>39</v>
      </c>
      <c r="F10" s="7" t="s">
        <v>12</v>
      </c>
      <c r="G10" s="7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4.25" customHeight="1">
      <c r="A11" s="6" t="s">
        <v>33</v>
      </c>
      <c r="B11" s="6" t="s">
        <v>8</v>
      </c>
      <c r="C11" s="6" t="s">
        <v>34</v>
      </c>
      <c r="D11" s="6" t="s">
        <v>35</v>
      </c>
      <c r="E11" s="6" t="s">
        <v>39</v>
      </c>
      <c r="F11" s="7" t="s">
        <v>12</v>
      </c>
      <c r="G11" s="7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4.25" customHeight="1">
      <c r="A12" s="6" t="s">
        <v>21</v>
      </c>
      <c r="B12" s="6" t="s">
        <v>8</v>
      </c>
      <c r="C12" s="6" t="s">
        <v>40</v>
      </c>
      <c r="D12" s="6" t="s">
        <v>41</v>
      </c>
      <c r="E12" s="6" t="s">
        <v>27</v>
      </c>
      <c r="F12" s="7" t="s">
        <v>28</v>
      </c>
      <c r="G12" s="7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4.25" customHeight="1">
      <c r="A13" s="6" t="s">
        <v>42</v>
      </c>
      <c r="B13" s="6" t="s">
        <v>8</v>
      </c>
      <c r="C13" s="6" t="s">
        <v>43</v>
      </c>
      <c r="D13" s="6" t="s">
        <v>44</v>
      </c>
      <c r="E13" s="6" t="s">
        <v>32</v>
      </c>
      <c r="F13" s="7" t="s">
        <v>12</v>
      </c>
      <c r="G13" s="7" t="s">
        <v>12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6" t="s">
        <v>45</v>
      </c>
      <c r="B14" s="6" t="s">
        <v>8</v>
      </c>
      <c r="C14" s="6" t="s">
        <v>46</v>
      </c>
      <c r="D14" s="6" t="s">
        <v>47</v>
      </c>
      <c r="E14" s="6" t="s">
        <v>20</v>
      </c>
      <c r="F14" s="7" t="s">
        <v>12</v>
      </c>
      <c r="G14" s="7" t="s">
        <v>12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4.25" customHeight="1">
      <c r="A15" s="6" t="s">
        <v>21</v>
      </c>
      <c r="B15" s="6" t="s">
        <v>8</v>
      </c>
      <c r="C15" s="6" t="s">
        <v>22</v>
      </c>
      <c r="D15" s="6" t="s">
        <v>23</v>
      </c>
      <c r="E15" s="6" t="s">
        <v>11</v>
      </c>
      <c r="F15" s="7" t="s">
        <v>12</v>
      </c>
      <c r="G15" s="7" t="s">
        <v>13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4.25" customHeight="1">
      <c r="A16" s="6" t="s">
        <v>33</v>
      </c>
      <c r="B16" s="6" t="s">
        <v>8</v>
      </c>
      <c r="C16" s="6" t="s">
        <v>34</v>
      </c>
      <c r="D16" s="6" t="s">
        <v>35</v>
      </c>
      <c r="E16" s="6" t="s">
        <v>48</v>
      </c>
      <c r="F16" s="7" t="s">
        <v>12</v>
      </c>
      <c r="G16" s="7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4.25" customHeight="1">
      <c r="A17" s="6" t="s">
        <v>49</v>
      </c>
      <c r="B17" s="6" t="s">
        <v>8</v>
      </c>
      <c r="C17" s="6" t="s">
        <v>50</v>
      </c>
      <c r="D17" s="6" t="s">
        <v>51</v>
      </c>
      <c r="E17" s="6" t="s">
        <v>48</v>
      </c>
      <c r="F17" s="7" t="s">
        <v>12</v>
      </c>
      <c r="G17" s="7" t="s">
        <v>12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4.25" customHeight="1">
      <c r="A18" s="6" t="s">
        <v>24</v>
      </c>
      <c r="B18" s="6" t="s">
        <v>8</v>
      </c>
      <c r="C18" s="6" t="s">
        <v>52</v>
      </c>
      <c r="D18" s="6" t="s">
        <v>53</v>
      </c>
      <c r="E18" s="6" t="s">
        <v>54</v>
      </c>
      <c r="F18" s="7" t="s">
        <v>12</v>
      </c>
      <c r="G18" s="7" t="s">
        <v>12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4.25" customHeight="1">
      <c r="A19" s="6" t="s">
        <v>55</v>
      </c>
      <c r="B19" s="6" t="s">
        <v>8</v>
      </c>
      <c r="C19" s="6" t="s">
        <v>56</v>
      </c>
      <c r="D19" s="6" t="s">
        <v>57</v>
      </c>
      <c r="E19" s="6" t="s">
        <v>11</v>
      </c>
      <c r="F19" s="7" t="s">
        <v>12</v>
      </c>
      <c r="G19" s="7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4.25" customHeight="1">
      <c r="A20" s="6" t="s">
        <v>17</v>
      </c>
      <c r="B20" s="6" t="s">
        <v>8</v>
      </c>
      <c r="C20" s="6" t="s">
        <v>58</v>
      </c>
      <c r="D20" s="6" t="s">
        <v>59</v>
      </c>
      <c r="E20" s="6" t="s">
        <v>48</v>
      </c>
      <c r="F20" s="7" t="s">
        <v>12</v>
      </c>
      <c r="G20" s="7" t="s">
        <v>12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4.25" customHeight="1">
      <c r="A21" s="6" t="s">
        <v>42</v>
      </c>
      <c r="B21" s="6" t="s">
        <v>8</v>
      </c>
      <c r="C21" s="6" t="s">
        <v>43</v>
      </c>
      <c r="D21" s="6" t="s">
        <v>44</v>
      </c>
      <c r="E21" s="6" t="s">
        <v>11</v>
      </c>
      <c r="F21" s="7" t="s">
        <v>12</v>
      </c>
      <c r="G21" s="7" t="s">
        <v>12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4.25" customHeight="1">
      <c r="A22" s="6" t="s">
        <v>42</v>
      </c>
      <c r="B22" s="6" t="s">
        <v>8</v>
      </c>
      <c r="C22" s="6" t="s">
        <v>43</v>
      </c>
      <c r="D22" s="6" t="s">
        <v>44</v>
      </c>
      <c r="E22" s="6" t="s">
        <v>20</v>
      </c>
      <c r="F22" s="7" t="s">
        <v>12</v>
      </c>
      <c r="G22" s="7" t="s">
        <v>12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4.25" customHeight="1">
      <c r="A23" s="6" t="s">
        <v>49</v>
      </c>
      <c r="B23" s="6" t="s">
        <v>8</v>
      </c>
      <c r="C23" s="6" t="s">
        <v>50</v>
      </c>
      <c r="D23" s="6" t="s">
        <v>51</v>
      </c>
      <c r="E23" s="6" t="s">
        <v>39</v>
      </c>
      <c r="F23" s="7" t="s">
        <v>12</v>
      </c>
      <c r="G23" s="7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6" t="s">
        <v>17</v>
      </c>
      <c r="B24" s="6" t="s">
        <v>8</v>
      </c>
      <c r="C24" s="6" t="s">
        <v>60</v>
      </c>
      <c r="D24" s="6" t="s">
        <v>61</v>
      </c>
      <c r="E24" s="6" t="s">
        <v>48</v>
      </c>
      <c r="F24" s="7" t="s">
        <v>12</v>
      </c>
      <c r="G24" s="7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6" t="s">
        <v>49</v>
      </c>
      <c r="B25" s="6" t="s">
        <v>8</v>
      </c>
      <c r="C25" s="6" t="s">
        <v>50</v>
      </c>
      <c r="D25" s="6" t="s">
        <v>51</v>
      </c>
      <c r="E25" s="6" t="s">
        <v>54</v>
      </c>
      <c r="F25" s="7" t="s">
        <v>12</v>
      </c>
      <c r="G25" s="7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4.25" customHeight="1">
      <c r="A26" s="6" t="s">
        <v>62</v>
      </c>
      <c r="B26" s="6" t="s">
        <v>8</v>
      </c>
      <c r="C26" s="6" t="s">
        <v>63</v>
      </c>
      <c r="D26" s="6" t="s">
        <v>64</v>
      </c>
      <c r="E26" s="6" t="s">
        <v>32</v>
      </c>
      <c r="F26" s="7" t="s">
        <v>12</v>
      </c>
      <c r="G26" s="7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4.25" customHeight="1">
      <c r="A27" s="6" t="s">
        <v>65</v>
      </c>
      <c r="B27" s="6" t="s">
        <v>8</v>
      </c>
      <c r="C27" s="6" t="s">
        <v>66</v>
      </c>
      <c r="D27" s="6" t="s">
        <v>67</v>
      </c>
      <c r="E27" s="6" t="s">
        <v>48</v>
      </c>
      <c r="F27" s="7" t="s">
        <v>12</v>
      </c>
      <c r="G27" s="7" t="s">
        <v>12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4.25" customHeight="1">
      <c r="A28" s="6" t="s">
        <v>49</v>
      </c>
      <c r="B28" s="6" t="s">
        <v>8</v>
      </c>
      <c r="C28" s="6" t="s">
        <v>68</v>
      </c>
      <c r="D28" s="6" t="s">
        <v>69</v>
      </c>
      <c r="E28" s="6" t="s">
        <v>48</v>
      </c>
      <c r="F28" s="7" t="s">
        <v>12</v>
      </c>
      <c r="G28" s="7" t="s">
        <v>12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4.25" customHeight="1">
      <c r="A29" s="6" t="s">
        <v>42</v>
      </c>
      <c r="B29" s="6" t="s">
        <v>8</v>
      </c>
      <c r="C29" s="6" t="s">
        <v>70</v>
      </c>
      <c r="D29" s="6" t="s">
        <v>71</v>
      </c>
      <c r="E29" s="6" t="s">
        <v>32</v>
      </c>
      <c r="F29" s="7" t="s">
        <v>12</v>
      </c>
      <c r="G29" s="7" t="s">
        <v>12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4.25" customHeight="1">
      <c r="A30" s="6" t="s">
        <v>29</v>
      </c>
      <c r="B30" s="6" t="s">
        <v>8</v>
      </c>
      <c r="C30" s="6" t="s">
        <v>30</v>
      </c>
      <c r="D30" s="6" t="s">
        <v>31</v>
      </c>
      <c r="E30" s="6" t="s">
        <v>27</v>
      </c>
      <c r="F30" s="7" t="s">
        <v>28</v>
      </c>
      <c r="G30" s="7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4.25" customHeight="1">
      <c r="A31" s="6" t="s">
        <v>72</v>
      </c>
      <c r="B31" s="6" t="s">
        <v>8</v>
      </c>
      <c r="C31" s="6" t="s">
        <v>73</v>
      </c>
      <c r="D31" s="6" t="s">
        <v>74</v>
      </c>
      <c r="E31" s="6" t="s">
        <v>20</v>
      </c>
      <c r="F31" s="7" t="s">
        <v>12</v>
      </c>
      <c r="G31" s="7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4.25" customHeight="1">
      <c r="A32" s="6" t="s">
        <v>7</v>
      </c>
      <c r="B32" s="6" t="s">
        <v>8</v>
      </c>
      <c r="C32" s="6" t="s">
        <v>75</v>
      </c>
      <c r="D32" s="6" t="s">
        <v>76</v>
      </c>
      <c r="E32" s="6" t="s">
        <v>48</v>
      </c>
      <c r="F32" s="7" t="s">
        <v>28</v>
      </c>
      <c r="G32" s="7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4.25" customHeight="1">
      <c r="A33" s="6" t="s">
        <v>72</v>
      </c>
      <c r="B33" s="6" t="s">
        <v>8</v>
      </c>
      <c r="C33" s="6" t="s">
        <v>77</v>
      </c>
      <c r="D33" s="6" t="s">
        <v>78</v>
      </c>
      <c r="E33" s="6" t="s">
        <v>48</v>
      </c>
      <c r="F33" s="7" t="s">
        <v>28</v>
      </c>
      <c r="G33" s="7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4.25" customHeight="1">
      <c r="A34" s="6" t="s">
        <v>17</v>
      </c>
      <c r="B34" s="6" t="s">
        <v>8</v>
      </c>
      <c r="C34" s="6" t="s">
        <v>18</v>
      </c>
      <c r="D34" s="6" t="s">
        <v>19</v>
      </c>
      <c r="E34" s="6" t="s">
        <v>48</v>
      </c>
      <c r="F34" s="7" t="s">
        <v>12</v>
      </c>
      <c r="G34" s="7" t="s">
        <v>12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4.25" customHeight="1">
      <c r="A35" s="6" t="s">
        <v>79</v>
      </c>
      <c r="B35" s="6" t="s">
        <v>8</v>
      </c>
      <c r="C35" s="6" t="s">
        <v>80</v>
      </c>
      <c r="D35" s="6" t="s">
        <v>81</v>
      </c>
      <c r="E35" s="6" t="s">
        <v>27</v>
      </c>
      <c r="F35" s="7" t="s">
        <v>28</v>
      </c>
      <c r="G35" s="7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4.25" customHeight="1">
      <c r="A36" s="6" t="s">
        <v>24</v>
      </c>
      <c r="B36" s="6" t="s">
        <v>8</v>
      </c>
      <c r="C36" s="6" t="s">
        <v>82</v>
      </c>
      <c r="D36" s="6" t="s">
        <v>83</v>
      </c>
      <c r="E36" s="6" t="s">
        <v>32</v>
      </c>
      <c r="F36" s="7" t="s">
        <v>28</v>
      </c>
      <c r="G36" s="7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4.25" customHeight="1">
      <c r="A37" s="6" t="s">
        <v>84</v>
      </c>
      <c r="B37" s="6" t="s">
        <v>8</v>
      </c>
      <c r="C37" s="6" t="s">
        <v>85</v>
      </c>
      <c r="D37" s="6" t="s">
        <v>86</v>
      </c>
      <c r="E37" s="6" t="s">
        <v>48</v>
      </c>
      <c r="F37" s="7" t="s">
        <v>28</v>
      </c>
      <c r="G37" s="7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4.25" customHeight="1">
      <c r="A38" s="6" t="s">
        <v>72</v>
      </c>
      <c r="B38" s="6" t="s">
        <v>8</v>
      </c>
      <c r="C38" s="6" t="s">
        <v>73</v>
      </c>
      <c r="D38" s="6" t="s">
        <v>74</v>
      </c>
      <c r="E38" s="6" t="s">
        <v>87</v>
      </c>
      <c r="F38" s="7" t="s">
        <v>12</v>
      </c>
      <c r="G38" s="7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4.25" customHeight="1">
      <c r="A39" s="6" t="s">
        <v>29</v>
      </c>
      <c r="B39" s="6" t="s">
        <v>8</v>
      </c>
      <c r="C39" s="6" t="s">
        <v>30</v>
      </c>
      <c r="D39" s="6" t="s">
        <v>31</v>
      </c>
      <c r="E39" s="6" t="s">
        <v>48</v>
      </c>
      <c r="F39" s="7" t="s">
        <v>28</v>
      </c>
      <c r="G39" s="7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4.25" customHeight="1">
      <c r="A40" s="6" t="s">
        <v>17</v>
      </c>
      <c r="B40" s="6" t="s">
        <v>8</v>
      </c>
      <c r="C40" s="6" t="s">
        <v>18</v>
      </c>
      <c r="D40" s="6" t="s">
        <v>19</v>
      </c>
      <c r="E40" s="6" t="s">
        <v>27</v>
      </c>
      <c r="F40" s="7" t="s">
        <v>12</v>
      </c>
      <c r="G40" s="7" t="s">
        <v>12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4.25" customHeight="1">
      <c r="A41" s="6" t="s">
        <v>21</v>
      </c>
      <c r="B41" s="6" t="s">
        <v>8</v>
      </c>
      <c r="C41" s="6" t="s">
        <v>40</v>
      </c>
      <c r="D41" s="6" t="s">
        <v>41</v>
      </c>
      <c r="E41" s="6" t="s">
        <v>48</v>
      </c>
      <c r="F41" s="7" t="s">
        <v>28</v>
      </c>
      <c r="G41" s="7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4.25" customHeight="1">
      <c r="A42" s="6" t="s">
        <v>88</v>
      </c>
      <c r="B42" s="6" t="s">
        <v>8</v>
      </c>
      <c r="C42" s="6" t="s">
        <v>89</v>
      </c>
      <c r="D42" s="6" t="s">
        <v>90</v>
      </c>
      <c r="E42" s="6" t="s">
        <v>48</v>
      </c>
      <c r="F42" s="7" t="s">
        <v>28</v>
      </c>
      <c r="G42" s="7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4.25" customHeight="1">
      <c r="A43" s="6" t="s">
        <v>29</v>
      </c>
      <c r="B43" s="6" t="s">
        <v>8</v>
      </c>
      <c r="C43" s="6" t="s">
        <v>30</v>
      </c>
      <c r="D43" s="6" t="s">
        <v>31</v>
      </c>
      <c r="E43" s="6" t="s">
        <v>20</v>
      </c>
      <c r="F43" s="7" t="s">
        <v>28</v>
      </c>
      <c r="G43" s="7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4.25" customHeight="1">
      <c r="A44" s="6" t="s">
        <v>42</v>
      </c>
      <c r="B44" s="6" t="s">
        <v>8</v>
      </c>
      <c r="C44" s="6" t="s">
        <v>70</v>
      </c>
      <c r="D44" s="6" t="s">
        <v>71</v>
      </c>
      <c r="E44" s="6" t="s">
        <v>27</v>
      </c>
      <c r="F44" s="7" t="s">
        <v>12</v>
      </c>
      <c r="G44" s="7" t="s">
        <v>12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4.25" customHeight="1">
      <c r="A45" s="6" t="s">
        <v>62</v>
      </c>
      <c r="B45" s="6" t="s">
        <v>8</v>
      </c>
      <c r="C45" s="6" t="s">
        <v>91</v>
      </c>
      <c r="D45" s="6" t="s">
        <v>92</v>
      </c>
      <c r="E45" s="6" t="s">
        <v>32</v>
      </c>
      <c r="F45" s="7" t="s">
        <v>12</v>
      </c>
      <c r="G45" s="7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4.25" customHeight="1">
      <c r="A46" s="6" t="s">
        <v>29</v>
      </c>
      <c r="B46" s="6" t="s">
        <v>8</v>
      </c>
      <c r="C46" s="6" t="s">
        <v>30</v>
      </c>
      <c r="D46" s="6" t="s">
        <v>31</v>
      </c>
      <c r="E46" s="6" t="s">
        <v>11</v>
      </c>
      <c r="F46" s="7" t="s">
        <v>12</v>
      </c>
      <c r="G46" s="7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4.25" customHeight="1">
      <c r="A47" s="6" t="s">
        <v>29</v>
      </c>
      <c r="B47" s="6" t="s">
        <v>8</v>
      </c>
      <c r="C47" s="6" t="s">
        <v>30</v>
      </c>
      <c r="D47" s="6" t="s">
        <v>31</v>
      </c>
      <c r="E47" s="6" t="s">
        <v>39</v>
      </c>
      <c r="F47" s="7" t="s">
        <v>12</v>
      </c>
      <c r="G47" s="7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4.25" customHeight="1">
      <c r="A48" s="6" t="s">
        <v>7</v>
      </c>
      <c r="B48" s="6" t="s">
        <v>8</v>
      </c>
      <c r="C48" s="6" t="s">
        <v>75</v>
      </c>
      <c r="D48" s="6" t="s">
        <v>76</v>
      </c>
      <c r="E48" s="6" t="s">
        <v>39</v>
      </c>
      <c r="F48" s="7" t="s">
        <v>12</v>
      </c>
      <c r="G48" s="7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4.25" customHeight="1">
      <c r="A49" s="6" t="s">
        <v>72</v>
      </c>
      <c r="B49" s="6" t="s">
        <v>8</v>
      </c>
      <c r="C49" s="6" t="s">
        <v>77</v>
      </c>
      <c r="D49" s="6" t="s">
        <v>78</v>
      </c>
      <c r="E49" s="6" t="s">
        <v>39</v>
      </c>
      <c r="F49" s="7" t="s">
        <v>12</v>
      </c>
      <c r="G49" s="7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4.25" customHeight="1">
      <c r="A50" s="6" t="s">
        <v>93</v>
      </c>
      <c r="B50" s="6" t="s">
        <v>8</v>
      </c>
      <c r="C50" s="6" t="s">
        <v>94</v>
      </c>
      <c r="D50" s="6" t="s">
        <v>95</v>
      </c>
      <c r="E50" s="6" t="s">
        <v>32</v>
      </c>
      <c r="F50" s="7" t="s">
        <v>12</v>
      </c>
      <c r="G50" s="7" t="s">
        <v>12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4.25" customHeight="1">
      <c r="A51" s="6" t="s">
        <v>17</v>
      </c>
      <c r="B51" s="6" t="s">
        <v>8</v>
      </c>
      <c r="C51" s="6" t="s">
        <v>96</v>
      </c>
      <c r="D51" s="6" t="s">
        <v>97</v>
      </c>
      <c r="E51" s="6" t="s">
        <v>87</v>
      </c>
      <c r="F51" s="7" t="s">
        <v>12</v>
      </c>
      <c r="G51" s="7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4.25" customHeight="1">
      <c r="A52" s="6" t="s">
        <v>79</v>
      </c>
      <c r="B52" s="6" t="s">
        <v>8</v>
      </c>
      <c r="C52" s="6" t="s">
        <v>98</v>
      </c>
      <c r="D52" s="6" t="s">
        <v>99</v>
      </c>
      <c r="E52" s="6" t="s">
        <v>32</v>
      </c>
      <c r="F52" s="7" t="s">
        <v>28</v>
      </c>
      <c r="G52" s="7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4.25" customHeight="1">
      <c r="A53" s="6" t="s">
        <v>45</v>
      </c>
      <c r="B53" s="6" t="s">
        <v>8</v>
      </c>
      <c r="C53" s="6" t="s">
        <v>100</v>
      </c>
      <c r="D53" s="6" t="s">
        <v>101</v>
      </c>
      <c r="E53" s="6" t="s">
        <v>11</v>
      </c>
      <c r="F53" s="7" t="s">
        <v>12</v>
      </c>
      <c r="G53" s="7" t="s">
        <v>12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4.25" customHeight="1">
      <c r="A54" s="6" t="s">
        <v>102</v>
      </c>
      <c r="B54" s="6" t="s">
        <v>8</v>
      </c>
      <c r="C54" s="6" t="s">
        <v>103</v>
      </c>
      <c r="D54" s="6" t="s">
        <v>104</v>
      </c>
      <c r="E54" s="6" t="s">
        <v>27</v>
      </c>
      <c r="F54" s="7" t="s">
        <v>12</v>
      </c>
      <c r="G54" s="7" t="s">
        <v>12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4.25" customHeight="1">
      <c r="A55" s="6" t="s">
        <v>42</v>
      </c>
      <c r="B55" s="6" t="s">
        <v>8</v>
      </c>
      <c r="C55" s="6" t="s">
        <v>70</v>
      </c>
      <c r="D55" s="6" t="s">
        <v>71</v>
      </c>
      <c r="E55" s="6" t="s">
        <v>48</v>
      </c>
      <c r="F55" s="7" t="s">
        <v>12</v>
      </c>
      <c r="G55" s="7" t="s">
        <v>12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4.25" customHeight="1">
      <c r="A56" s="6" t="s">
        <v>102</v>
      </c>
      <c r="B56" s="6" t="s">
        <v>8</v>
      </c>
      <c r="C56" s="6" t="s">
        <v>103</v>
      </c>
      <c r="D56" s="6" t="s">
        <v>104</v>
      </c>
      <c r="E56" s="6" t="s">
        <v>48</v>
      </c>
      <c r="F56" s="7" t="s">
        <v>12</v>
      </c>
      <c r="G56" s="7" t="s">
        <v>12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4.25" customHeight="1">
      <c r="A57" s="6" t="s">
        <v>105</v>
      </c>
      <c r="B57" s="6" t="s">
        <v>8</v>
      </c>
      <c r="C57" s="6" t="s">
        <v>106</v>
      </c>
      <c r="D57" s="6" t="s">
        <v>107</v>
      </c>
      <c r="E57" s="6" t="s">
        <v>11</v>
      </c>
      <c r="F57" s="7" t="s">
        <v>28</v>
      </c>
      <c r="G57" s="7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4.25" customHeight="1">
      <c r="A58" s="6" t="s">
        <v>45</v>
      </c>
      <c r="B58" s="6" t="s">
        <v>8</v>
      </c>
      <c r="C58" s="6" t="s">
        <v>100</v>
      </c>
      <c r="D58" s="6" t="s">
        <v>101</v>
      </c>
      <c r="E58" s="6" t="s">
        <v>20</v>
      </c>
      <c r="F58" s="7" t="s">
        <v>12</v>
      </c>
      <c r="G58" s="7" t="s">
        <v>12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4.25" customHeight="1">
      <c r="A59" s="6" t="s">
        <v>24</v>
      </c>
      <c r="B59" s="6" t="s">
        <v>8</v>
      </c>
      <c r="C59" s="6" t="s">
        <v>108</v>
      </c>
      <c r="D59" s="6" t="s">
        <v>109</v>
      </c>
      <c r="E59" s="6" t="s">
        <v>48</v>
      </c>
      <c r="F59" s="7" t="s">
        <v>12</v>
      </c>
      <c r="G59" s="7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4.25" customHeight="1">
      <c r="A60" s="6" t="s">
        <v>79</v>
      </c>
      <c r="B60" s="6" t="s">
        <v>8</v>
      </c>
      <c r="C60" s="6" t="s">
        <v>80</v>
      </c>
      <c r="D60" s="6" t="s">
        <v>81</v>
      </c>
      <c r="E60" s="6" t="s">
        <v>48</v>
      </c>
      <c r="F60" s="7" t="s">
        <v>28</v>
      </c>
      <c r="G60" s="7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4.25" customHeight="1">
      <c r="A61" s="6" t="s">
        <v>42</v>
      </c>
      <c r="B61" s="6" t="s">
        <v>8</v>
      </c>
      <c r="C61" s="6" t="s">
        <v>70</v>
      </c>
      <c r="D61" s="6" t="s">
        <v>71</v>
      </c>
      <c r="E61" s="6" t="s">
        <v>39</v>
      </c>
      <c r="F61" s="7" t="s">
        <v>12</v>
      </c>
      <c r="G61" s="7" t="s">
        <v>12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4.25" customHeight="1">
      <c r="A62" s="6" t="s">
        <v>110</v>
      </c>
      <c r="B62" s="6" t="s">
        <v>8</v>
      </c>
      <c r="C62" s="6" t="s">
        <v>111</v>
      </c>
      <c r="D62" s="6" t="s">
        <v>112</v>
      </c>
      <c r="E62" s="6" t="s">
        <v>32</v>
      </c>
      <c r="F62" s="7" t="s">
        <v>12</v>
      </c>
      <c r="G62" s="7" t="s">
        <v>12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4.25" customHeight="1">
      <c r="A63" s="6" t="s">
        <v>62</v>
      </c>
      <c r="B63" s="6" t="s">
        <v>8</v>
      </c>
      <c r="C63" s="6" t="s">
        <v>63</v>
      </c>
      <c r="D63" s="6" t="s">
        <v>64</v>
      </c>
      <c r="E63" s="6" t="s">
        <v>20</v>
      </c>
      <c r="F63" s="7" t="s">
        <v>12</v>
      </c>
      <c r="G63" s="7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4.25" customHeight="1">
      <c r="A64" s="6" t="s">
        <v>21</v>
      </c>
      <c r="B64" s="6" t="s">
        <v>8</v>
      </c>
      <c r="C64" s="6" t="s">
        <v>113</v>
      </c>
      <c r="D64" s="6" t="s">
        <v>114</v>
      </c>
      <c r="E64" s="6" t="s">
        <v>27</v>
      </c>
      <c r="F64" s="7" t="s">
        <v>28</v>
      </c>
      <c r="G64" s="7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4.25" customHeight="1">
      <c r="A65" s="6" t="s">
        <v>65</v>
      </c>
      <c r="B65" s="6" t="s">
        <v>8</v>
      </c>
      <c r="C65" s="6" t="s">
        <v>115</v>
      </c>
      <c r="D65" s="6" t="s">
        <v>116</v>
      </c>
      <c r="E65" s="6" t="s">
        <v>32</v>
      </c>
      <c r="F65" s="7" t="s">
        <v>12</v>
      </c>
      <c r="G65" s="7" t="s">
        <v>12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4.25" customHeight="1">
      <c r="A66" s="6" t="s">
        <v>117</v>
      </c>
      <c r="B66" s="6" t="s">
        <v>8</v>
      </c>
      <c r="C66" s="6" t="s">
        <v>118</v>
      </c>
      <c r="D66" s="6" t="s">
        <v>119</v>
      </c>
      <c r="E66" s="6" t="s">
        <v>32</v>
      </c>
      <c r="F66" s="7" t="s">
        <v>28</v>
      </c>
      <c r="G66" s="7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4.25" customHeight="1">
      <c r="A67" s="6" t="s">
        <v>21</v>
      </c>
      <c r="B67" s="6" t="s">
        <v>8</v>
      </c>
      <c r="C67" s="6" t="s">
        <v>113</v>
      </c>
      <c r="D67" s="6" t="s">
        <v>114</v>
      </c>
      <c r="E67" s="6" t="s">
        <v>32</v>
      </c>
      <c r="F67" s="7" t="s">
        <v>28</v>
      </c>
      <c r="G67" s="7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4.25" customHeight="1">
      <c r="A68" s="6" t="s">
        <v>102</v>
      </c>
      <c r="B68" s="6" t="s">
        <v>8</v>
      </c>
      <c r="C68" s="6" t="s">
        <v>120</v>
      </c>
      <c r="D68" s="6" t="s">
        <v>121</v>
      </c>
      <c r="E68" s="6" t="s">
        <v>87</v>
      </c>
      <c r="F68" s="7" t="s">
        <v>28</v>
      </c>
      <c r="G68" s="7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4.25" customHeight="1">
      <c r="A69" s="6" t="s">
        <v>122</v>
      </c>
      <c r="B69" s="6" t="s">
        <v>8</v>
      </c>
      <c r="C69" s="6" t="s">
        <v>123</v>
      </c>
      <c r="D69" s="6" t="s">
        <v>124</v>
      </c>
      <c r="E69" s="6" t="s">
        <v>27</v>
      </c>
      <c r="F69" s="7" t="s">
        <v>12</v>
      </c>
      <c r="G69" s="7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4.25" customHeight="1">
      <c r="A70" s="6" t="s">
        <v>102</v>
      </c>
      <c r="B70" s="6" t="s">
        <v>8</v>
      </c>
      <c r="C70" s="6" t="s">
        <v>120</v>
      </c>
      <c r="D70" s="6" t="s">
        <v>121</v>
      </c>
      <c r="E70" s="6" t="s">
        <v>20</v>
      </c>
      <c r="F70" s="7" t="s">
        <v>28</v>
      </c>
      <c r="G70" s="7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4.25" customHeight="1">
      <c r="A71" s="6" t="s">
        <v>79</v>
      </c>
      <c r="B71" s="6" t="s">
        <v>8</v>
      </c>
      <c r="C71" s="6" t="s">
        <v>98</v>
      </c>
      <c r="D71" s="6" t="s">
        <v>99</v>
      </c>
      <c r="E71" s="6" t="s">
        <v>27</v>
      </c>
      <c r="F71" s="7" t="s">
        <v>28</v>
      </c>
      <c r="G71" s="7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4.25" customHeight="1">
      <c r="A72" s="6" t="s">
        <v>21</v>
      </c>
      <c r="B72" s="6" t="s">
        <v>8</v>
      </c>
      <c r="C72" s="6" t="s">
        <v>113</v>
      </c>
      <c r="D72" s="6" t="s">
        <v>114</v>
      </c>
      <c r="E72" s="6" t="s">
        <v>11</v>
      </c>
      <c r="F72" s="7" t="s">
        <v>28</v>
      </c>
      <c r="G72" s="7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4.25" customHeight="1">
      <c r="A73" s="6" t="s">
        <v>105</v>
      </c>
      <c r="B73" s="6" t="s">
        <v>8</v>
      </c>
      <c r="C73" s="6" t="s">
        <v>125</v>
      </c>
      <c r="D73" s="6" t="s">
        <v>126</v>
      </c>
      <c r="E73" s="6" t="s">
        <v>48</v>
      </c>
      <c r="F73" s="7" t="s">
        <v>28</v>
      </c>
      <c r="G73" s="7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4.25" customHeight="1">
      <c r="A74" s="6" t="s">
        <v>49</v>
      </c>
      <c r="B74" s="6" t="s">
        <v>8</v>
      </c>
      <c r="C74" s="6" t="s">
        <v>127</v>
      </c>
      <c r="D74" s="6" t="s">
        <v>128</v>
      </c>
      <c r="E74" s="6" t="s">
        <v>11</v>
      </c>
      <c r="F74" s="7" t="s">
        <v>12</v>
      </c>
      <c r="G74" s="7" t="s">
        <v>12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4.25" customHeight="1">
      <c r="A75" s="6" t="s">
        <v>45</v>
      </c>
      <c r="B75" s="6" t="s">
        <v>8</v>
      </c>
      <c r="C75" s="6" t="s">
        <v>100</v>
      </c>
      <c r="D75" s="6" t="s">
        <v>101</v>
      </c>
      <c r="E75" s="6" t="s">
        <v>32</v>
      </c>
      <c r="F75" s="7" t="s">
        <v>12</v>
      </c>
      <c r="G75" s="7" t="s">
        <v>12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4.25" customHeight="1">
      <c r="A76" s="6" t="s">
        <v>105</v>
      </c>
      <c r="B76" s="6" t="s">
        <v>8</v>
      </c>
      <c r="C76" s="6" t="s">
        <v>125</v>
      </c>
      <c r="D76" s="6" t="s">
        <v>126</v>
      </c>
      <c r="E76" s="6" t="s">
        <v>32</v>
      </c>
      <c r="F76" s="7" t="s">
        <v>13</v>
      </c>
      <c r="G76" s="7" t="s">
        <v>13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4.25" customHeight="1">
      <c r="A77" s="6" t="s">
        <v>110</v>
      </c>
      <c r="B77" s="6" t="s">
        <v>8</v>
      </c>
      <c r="C77" s="6" t="s">
        <v>111</v>
      </c>
      <c r="D77" s="6" t="s">
        <v>112</v>
      </c>
      <c r="E77" s="6" t="s">
        <v>11</v>
      </c>
      <c r="F77" s="7" t="s">
        <v>12</v>
      </c>
      <c r="G77" s="7" t="s">
        <v>12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4.25" customHeight="1">
      <c r="A78" s="6" t="s">
        <v>129</v>
      </c>
      <c r="B78" s="6" t="s">
        <v>8</v>
      </c>
      <c r="C78" s="6" t="s">
        <v>130</v>
      </c>
      <c r="D78" s="6" t="s">
        <v>131</v>
      </c>
      <c r="E78" s="6" t="s">
        <v>27</v>
      </c>
      <c r="F78" s="7" t="s">
        <v>28</v>
      </c>
      <c r="G78" s="7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4.25" customHeight="1">
      <c r="A79" s="6" t="s">
        <v>88</v>
      </c>
      <c r="B79" s="6" t="s">
        <v>8</v>
      </c>
      <c r="C79" s="6" t="s">
        <v>89</v>
      </c>
      <c r="D79" s="6" t="s">
        <v>90</v>
      </c>
      <c r="E79" s="6" t="s">
        <v>11</v>
      </c>
      <c r="F79" s="7" t="s">
        <v>28</v>
      </c>
      <c r="G79" s="7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4.25" customHeight="1">
      <c r="A80" s="6" t="s">
        <v>24</v>
      </c>
      <c r="B80" s="6" t="s">
        <v>8</v>
      </c>
      <c r="C80" s="6" t="s">
        <v>25</v>
      </c>
      <c r="D80" s="6" t="s">
        <v>26</v>
      </c>
      <c r="E80" s="6" t="s">
        <v>48</v>
      </c>
      <c r="F80" s="7" t="s">
        <v>28</v>
      </c>
      <c r="G80" s="7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4.25" customHeight="1">
      <c r="A81" s="6" t="s">
        <v>33</v>
      </c>
      <c r="B81" s="6" t="s">
        <v>8</v>
      </c>
      <c r="C81" s="6" t="s">
        <v>34</v>
      </c>
      <c r="D81" s="6" t="s">
        <v>35</v>
      </c>
      <c r="E81" s="6" t="s">
        <v>11</v>
      </c>
      <c r="F81" s="7" t="s">
        <v>12</v>
      </c>
      <c r="G81" s="7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4.25" customHeight="1">
      <c r="A82" s="6" t="s">
        <v>93</v>
      </c>
      <c r="B82" s="6" t="s">
        <v>8</v>
      </c>
      <c r="C82" s="6" t="s">
        <v>94</v>
      </c>
      <c r="D82" s="6" t="s">
        <v>95</v>
      </c>
      <c r="E82" s="6" t="s">
        <v>11</v>
      </c>
      <c r="F82" s="7" t="s">
        <v>12</v>
      </c>
      <c r="G82" s="7" t="s">
        <v>12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4.25" customHeight="1">
      <c r="A83" s="6" t="s">
        <v>132</v>
      </c>
      <c r="B83" s="6" t="s">
        <v>8</v>
      </c>
      <c r="C83" s="6" t="s">
        <v>133</v>
      </c>
      <c r="D83" s="6" t="s">
        <v>134</v>
      </c>
      <c r="E83" s="6" t="s">
        <v>39</v>
      </c>
      <c r="F83" s="7" t="s">
        <v>28</v>
      </c>
      <c r="G83" s="7" t="s">
        <v>28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4.25" customHeight="1">
      <c r="A84" s="6" t="s">
        <v>62</v>
      </c>
      <c r="B84" s="6" t="s">
        <v>8</v>
      </c>
      <c r="C84" s="6" t="s">
        <v>63</v>
      </c>
      <c r="D84" s="6" t="s">
        <v>64</v>
      </c>
      <c r="E84" s="6" t="s">
        <v>48</v>
      </c>
      <c r="F84" s="7" t="s">
        <v>12</v>
      </c>
      <c r="G84" s="7" t="s">
        <v>28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4.25" customHeight="1">
      <c r="A85" s="6" t="s">
        <v>93</v>
      </c>
      <c r="B85" s="6" t="s">
        <v>8</v>
      </c>
      <c r="C85" s="6" t="s">
        <v>94</v>
      </c>
      <c r="D85" s="6" t="s">
        <v>95</v>
      </c>
      <c r="E85" s="6" t="s">
        <v>20</v>
      </c>
      <c r="F85" s="7" t="s">
        <v>12</v>
      </c>
      <c r="G85" s="7" t="s">
        <v>12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4.25" customHeight="1">
      <c r="A86" s="6" t="s">
        <v>135</v>
      </c>
      <c r="B86" s="6" t="s">
        <v>8</v>
      </c>
      <c r="C86" s="6" t="s">
        <v>136</v>
      </c>
      <c r="D86" s="6" t="s">
        <v>137</v>
      </c>
      <c r="E86" s="6" t="s">
        <v>48</v>
      </c>
      <c r="F86" s="7" t="s">
        <v>28</v>
      </c>
      <c r="G86" s="7" t="s">
        <v>28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4.25" customHeight="1">
      <c r="A87" s="6" t="s">
        <v>102</v>
      </c>
      <c r="B87" s="6" t="s">
        <v>8</v>
      </c>
      <c r="C87" s="6" t="s">
        <v>103</v>
      </c>
      <c r="D87" s="6" t="s">
        <v>104</v>
      </c>
      <c r="E87" s="6" t="s">
        <v>11</v>
      </c>
      <c r="F87" s="7" t="s">
        <v>12</v>
      </c>
      <c r="G87" s="7" t="s">
        <v>12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4.25" customHeight="1">
      <c r="A88" s="6" t="s">
        <v>102</v>
      </c>
      <c r="B88" s="6" t="s">
        <v>8</v>
      </c>
      <c r="C88" s="6" t="s">
        <v>103</v>
      </c>
      <c r="D88" s="6" t="s">
        <v>104</v>
      </c>
      <c r="E88" s="6" t="s">
        <v>32</v>
      </c>
      <c r="F88" s="7" t="s">
        <v>12</v>
      </c>
      <c r="G88" s="7" t="s">
        <v>12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4.25" customHeight="1">
      <c r="A89" s="6" t="s">
        <v>88</v>
      </c>
      <c r="B89" s="6" t="s">
        <v>8</v>
      </c>
      <c r="C89" s="6" t="s">
        <v>89</v>
      </c>
      <c r="D89" s="6" t="s">
        <v>90</v>
      </c>
      <c r="E89" s="6" t="s">
        <v>20</v>
      </c>
      <c r="F89" s="7" t="s">
        <v>28</v>
      </c>
      <c r="G89" s="7" t="s">
        <v>28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4.25" customHeight="1">
      <c r="A90" s="6" t="s">
        <v>33</v>
      </c>
      <c r="B90" s="6" t="s">
        <v>8</v>
      </c>
      <c r="C90" s="6" t="s">
        <v>34</v>
      </c>
      <c r="D90" s="6" t="s">
        <v>35</v>
      </c>
      <c r="E90" s="6" t="s">
        <v>27</v>
      </c>
      <c r="F90" s="7" t="s">
        <v>12</v>
      </c>
      <c r="G90" s="7" t="s">
        <v>28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4.25" customHeight="1">
      <c r="A91" s="6" t="s">
        <v>132</v>
      </c>
      <c r="B91" s="6" t="s">
        <v>8</v>
      </c>
      <c r="C91" s="6" t="s">
        <v>133</v>
      </c>
      <c r="D91" s="6" t="s">
        <v>134</v>
      </c>
      <c r="E91" s="6" t="s">
        <v>20</v>
      </c>
      <c r="F91" s="7" t="s">
        <v>28</v>
      </c>
      <c r="G91" s="7" t="s">
        <v>28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4.25" customHeight="1">
      <c r="A92" s="6" t="s">
        <v>122</v>
      </c>
      <c r="B92" s="6" t="s">
        <v>8</v>
      </c>
      <c r="C92" s="6" t="s">
        <v>123</v>
      </c>
      <c r="D92" s="6" t="s">
        <v>124</v>
      </c>
      <c r="E92" s="6" t="s">
        <v>48</v>
      </c>
      <c r="F92" s="7" t="s">
        <v>12</v>
      </c>
      <c r="G92" s="7" t="s">
        <v>28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4.25" customHeight="1">
      <c r="A93" s="6" t="s">
        <v>102</v>
      </c>
      <c r="B93" s="6" t="s">
        <v>8</v>
      </c>
      <c r="C93" s="6" t="s">
        <v>103</v>
      </c>
      <c r="D93" s="6" t="s">
        <v>104</v>
      </c>
      <c r="E93" s="6" t="s">
        <v>87</v>
      </c>
      <c r="F93" s="7" t="s">
        <v>12</v>
      </c>
      <c r="G93" s="7" t="s">
        <v>12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4.25" customHeight="1">
      <c r="A94" s="6" t="s">
        <v>110</v>
      </c>
      <c r="B94" s="6" t="s">
        <v>8</v>
      </c>
      <c r="C94" s="6" t="s">
        <v>138</v>
      </c>
      <c r="D94" s="6" t="s">
        <v>139</v>
      </c>
      <c r="E94" s="6" t="s">
        <v>32</v>
      </c>
      <c r="F94" s="7" t="s">
        <v>12</v>
      </c>
      <c r="G94" s="7" t="s">
        <v>12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4.25" customHeight="1">
      <c r="A95" s="6" t="s">
        <v>105</v>
      </c>
      <c r="B95" s="6" t="s">
        <v>8</v>
      </c>
      <c r="C95" s="6" t="s">
        <v>106</v>
      </c>
      <c r="D95" s="6" t="s">
        <v>107</v>
      </c>
      <c r="E95" s="6" t="s">
        <v>48</v>
      </c>
      <c r="F95" s="7" t="s">
        <v>28</v>
      </c>
      <c r="G95" s="7" t="s">
        <v>28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4.25" customHeight="1">
      <c r="A96" s="6" t="s">
        <v>45</v>
      </c>
      <c r="B96" s="6" t="s">
        <v>8</v>
      </c>
      <c r="C96" s="6" t="s">
        <v>100</v>
      </c>
      <c r="D96" s="6" t="s">
        <v>101</v>
      </c>
      <c r="E96" s="6" t="s">
        <v>27</v>
      </c>
      <c r="F96" s="7" t="s">
        <v>12</v>
      </c>
      <c r="G96" s="7" t="s">
        <v>12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4.25" customHeight="1">
      <c r="A97" s="6" t="s">
        <v>24</v>
      </c>
      <c r="B97" s="6" t="s">
        <v>8</v>
      </c>
      <c r="C97" s="6" t="s">
        <v>108</v>
      </c>
      <c r="D97" s="6" t="s">
        <v>109</v>
      </c>
      <c r="E97" s="6" t="s">
        <v>39</v>
      </c>
      <c r="F97" s="7" t="s">
        <v>28</v>
      </c>
      <c r="G97" s="7" t="s">
        <v>28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4.25" customHeight="1">
      <c r="A98" s="6" t="s">
        <v>79</v>
      </c>
      <c r="B98" s="6" t="s">
        <v>8</v>
      </c>
      <c r="C98" s="6" t="s">
        <v>80</v>
      </c>
      <c r="D98" s="6" t="s">
        <v>81</v>
      </c>
      <c r="E98" s="6" t="s">
        <v>39</v>
      </c>
      <c r="F98" s="7" t="s">
        <v>28</v>
      </c>
      <c r="G98" s="7" t="s">
        <v>28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4.25" customHeight="1">
      <c r="A99" s="6" t="s">
        <v>17</v>
      </c>
      <c r="B99" s="6" t="s">
        <v>8</v>
      </c>
      <c r="C99" s="6" t="s">
        <v>58</v>
      </c>
      <c r="D99" s="6" t="s">
        <v>59</v>
      </c>
      <c r="E99" s="6" t="s">
        <v>54</v>
      </c>
      <c r="F99" s="7" t="s">
        <v>12</v>
      </c>
      <c r="G99" s="7" t="s">
        <v>12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4.25" customHeight="1">
      <c r="A100" s="6" t="s">
        <v>93</v>
      </c>
      <c r="B100" s="6" t="s">
        <v>8</v>
      </c>
      <c r="C100" s="6" t="s">
        <v>94</v>
      </c>
      <c r="D100" s="6" t="s">
        <v>95</v>
      </c>
      <c r="E100" s="6" t="s">
        <v>39</v>
      </c>
      <c r="F100" s="7" t="s">
        <v>12</v>
      </c>
      <c r="G100" s="7" t="s">
        <v>12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4.25" customHeight="1">
      <c r="A101" s="6" t="s">
        <v>132</v>
      </c>
      <c r="B101" s="6" t="s">
        <v>8</v>
      </c>
      <c r="C101" s="6" t="s">
        <v>133</v>
      </c>
      <c r="D101" s="6" t="s">
        <v>134</v>
      </c>
      <c r="E101" s="6" t="s">
        <v>11</v>
      </c>
      <c r="F101" s="7" t="s">
        <v>28</v>
      </c>
      <c r="G101" s="7" t="s">
        <v>28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4.25" customHeight="1">
      <c r="A102" s="6" t="s">
        <v>65</v>
      </c>
      <c r="B102" s="6" t="s">
        <v>8</v>
      </c>
      <c r="C102" s="6" t="s">
        <v>140</v>
      </c>
      <c r="D102" s="6" t="s">
        <v>141</v>
      </c>
      <c r="E102" s="6" t="s">
        <v>20</v>
      </c>
      <c r="F102" s="7" t="s">
        <v>28</v>
      </c>
      <c r="G102" s="7" t="s">
        <v>28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4.25" customHeight="1">
      <c r="A103" s="6" t="s">
        <v>79</v>
      </c>
      <c r="B103" s="6" t="s">
        <v>8</v>
      </c>
      <c r="C103" s="6" t="s">
        <v>98</v>
      </c>
      <c r="D103" s="6" t="s">
        <v>99</v>
      </c>
      <c r="E103" s="6" t="s">
        <v>48</v>
      </c>
      <c r="F103" s="7" t="s">
        <v>28</v>
      </c>
      <c r="G103" s="7" t="s">
        <v>28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4.25" customHeight="1">
      <c r="A104" s="6" t="s">
        <v>102</v>
      </c>
      <c r="B104" s="6" t="s">
        <v>8</v>
      </c>
      <c r="C104" s="6" t="s">
        <v>103</v>
      </c>
      <c r="D104" s="6" t="s">
        <v>104</v>
      </c>
      <c r="E104" s="6" t="s">
        <v>39</v>
      </c>
      <c r="F104" s="7" t="s">
        <v>12</v>
      </c>
      <c r="G104" s="7" t="s">
        <v>12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4.25" customHeight="1">
      <c r="A105" s="6" t="s">
        <v>122</v>
      </c>
      <c r="B105" s="6" t="s">
        <v>8</v>
      </c>
      <c r="C105" s="6" t="s">
        <v>123</v>
      </c>
      <c r="D105" s="6" t="s">
        <v>124</v>
      </c>
      <c r="E105" s="6" t="s">
        <v>32</v>
      </c>
      <c r="F105" s="7" t="s">
        <v>28</v>
      </c>
      <c r="G105" s="7" t="s">
        <v>28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4.25" customHeight="1">
      <c r="A106" s="6" t="s">
        <v>135</v>
      </c>
      <c r="B106" s="6" t="s">
        <v>8</v>
      </c>
      <c r="C106" s="6" t="s">
        <v>142</v>
      </c>
      <c r="D106" s="6" t="s">
        <v>143</v>
      </c>
      <c r="E106" s="6" t="s">
        <v>39</v>
      </c>
      <c r="F106" s="7" t="s">
        <v>12</v>
      </c>
      <c r="G106" s="7" t="s">
        <v>28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4.25" customHeight="1">
      <c r="A107" s="6" t="s">
        <v>17</v>
      </c>
      <c r="B107" s="6" t="s">
        <v>8</v>
      </c>
      <c r="C107" s="6" t="s">
        <v>60</v>
      </c>
      <c r="D107" s="6" t="s">
        <v>61</v>
      </c>
      <c r="E107" s="6" t="s">
        <v>11</v>
      </c>
      <c r="F107" s="7" t="s">
        <v>12</v>
      </c>
      <c r="G107" s="7" t="s">
        <v>28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4.25" customHeight="1">
      <c r="A108" s="6" t="s">
        <v>102</v>
      </c>
      <c r="B108" s="6" t="s">
        <v>8</v>
      </c>
      <c r="C108" s="6" t="s">
        <v>103</v>
      </c>
      <c r="D108" s="6" t="s">
        <v>104</v>
      </c>
      <c r="E108" s="6" t="s">
        <v>20</v>
      </c>
      <c r="F108" s="7" t="s">
        <v>12</v>
      </c>
      <c r="G108" s="7" t="s">
        <v>12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4.25" customHeight="1">
      <c r="A109" s="6" t="s">
        <v>65</v>
      </c>
      <c r="B109" s="6" t="s">
        <v>8</v>
      </c>
      <c r="C109" s="6" t="s">
        <v>140</v>
      </c>
      <c r="D109" s="6" t="s">
        <v>141</v>
      </c>
      <c r="E109" s="6" t="s">
        <v>11</v>
      </c>
      <c r="F109" s="7" t="s">
        <v>28</v>
      </c>
      <c r="G109" s="7" t="s">
        <v>28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4.25" customHeight="1">
      <c r="A110" s="6" t="s">
        <v>49</v>
      </c>
      <c r="B110" s="6" t="s">
        <v>8</v>
      </c>
      <c r="C110" s="6" t="s">
        <v>68</v>
      </c>
      <c r="D110" s="6" t="s">
        <v>69</v>
      </c>
      <c r="E110" s="6" t="s">
        <v>27</v>
      </c>
      <c r="F110" s="7" t="s">
        <v>12</v>
      </c>
      <c r="G110" s="7" t="s">
        <v>12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4.25" customHeight="1">
      <c r="A111" s="6" t="s">
        <v>21</v>
      </c>
      <c r="B111" s="6" t="s">
        <v>8</v>
      </c>
      <c r="C111" s="6" t="s">
        <v>22</v>
      </c>
      <c r="D111" s="6" t="s">
        <v>23</v>
      </c>
      <c r="E111" s="6" t="s">
        <v>48</v>
      </c>
      <c r="F111" s="7" t="s">
        <v>28</v>
      </c>
      <c r="G111" s="7" t="s">
        <v>13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6" t="s">
        <v>105</v>
      </c>
      <c r="B112" s="6" t="s">
        <v>8</v>
      </c>
      <c r="C112" s="6" t="s">
        <v>106</v>
      </c>
      <c r="D112" s="6" t="s">
        <v>107</v>
      </c>
      <c r="E112" s="6" t="s">
        <v>39</v>
      </c>
      <c r="F112" s="7" t="s">
        <v>28</v>
      </c>
      <c r="G112" s="7" t="s">
        <v>28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4.25" customHeight="1">
      <c r="A113" s="6" t="s">
        <v>55</v>
      </c>
      <c r="B113" s="6" t="s">
        <v>8</v>
      </c>
      <c r="C113" s="6" t="s">
        <v>56</v>
      </c>
      <c r="D113" s="6" t="s">
        <v>57</v>
      </c>
      <c r="E113" s="6" t="s">
        <v>27</v>
      </c>
      <c r="F113" s="7" t="s">
        <v>12</v>
      </c>
      <c r="G113" s="7" t="s">
        <v>28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4.25" customHeight="1">
      <c r="A114" s="6" t="s">
        <v>79</v>
      </c>
      <c r="B114" s="6" t="s">
        <v>8</v>
      </c>
      <c r="C114" s="6" t="s">
        <v>98</v>
      </c>
      <c r="D114" s="6" t="s">
        <v>99</v>
      </c>
      <c r="E114" s="6" t="s">
        <v>39</v>
      </c>
      <c r="F114" s="7" t="s">
        <v>28</v>
      </c>
      <c r="G114" s="7" t="s">
        <v>28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4.25" customHeight="1">
      <c r="A115" s="6" t="s">
        <v>129</v>
      </c>
      <c r="B115" s="6" t="s">
        <v>8</v>
      </c>
      <c r="C115" s="6" t="s">
        <v>130</v>
      </c>
      <c r="D115" s="6" t="s">
        <v>131</v>
      </c>
      <c r="E115" s="6" t="s">
        <v>48</v>
      </c>
      <c r="F115" s="7" t="s">
        <v>28</v>
      </c>
      <c r="G115" s="7" t="s">
        <v>28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4.25" customHeight="1">
      <c r="A116" s="6" t="s">
        <v>135</v>
      </c>
      <c r="B116" s="6" t="s">
        <v>8</v>
      </c>
      <c r="C116" s="6" t="s">
        <v>142</v>
      </c>
      <c r="D116" s="6" t="s">
        <v>143</v>
      </c>
      <c r="E116" s="6" t="s">
        <v>20</v>
      </c>
      <c r="F116" s="7" t="s">
        <v>12</v>
      </c>
      <c r="G116" s="7" t="s">
        <v>28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4.25" customHeight="1">
      <c r="A117" s="6" t="s">
        <v>29</v>
      </c>
      <c r="B117" s="6" t="s">
        <v>8</v>
      </c>
      <c r="C117" s="6" t="s">
        <v>144</v>
      </c>
      <c r="D117" s="6" t="s">
        <v>145</v>
      </c>
      <c r="E117" s="6" t="s">
        <v>20</v>
      </c>
      <c r="F117" s="7" t="s">
        <v>12</v>
      </c>
      <c r="G117" s="7" t="s">
        <v>28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4.25" customHeight="1">
      <c r="A118" s="6" t="s">
        <v>29</v>
      </c>
      <c r="B118" s="6" t="s">
        <v>8</v>
      </c>
      <c r="C118" s="6" t="s">
        <v>144</v>
      </c>
      <c r="D118" s="6" t="s">
        <v>145</v>
      </c>
      <c r="E118" s="6" t="s">
        <v>11</v>
      </c>
      <c r="F118" s="7" t="s">
        <v>12</v>
      </c>
      <c r="G118" s="7" t="s">
        <v>28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4.25" customHeight="1">
      <c r="A119" s="6" t="s">
        <v>132</v>
      </c>
      <c r="B119" s="6" t="s">
        <v>8</v>
      </c>
      <c r="C119" s="6" t="s">
        <v>146</v>
      </c>
      <c r="D119" s="6" t="s">
        <v>147</v>
      </c>
      <c r="E119" s="6" t="s">
        <v>27</v>
      </c>
      <c r="F119" s="7" t="s">
        <v>28</v>
      </c>
      <c r="G119" s="7" t="s">
        <v>28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4.25" customHeight="1">
      <c r="A120" s="6" t="s">
        <v>129</v>
      </c>
      <c r="B120" s="6" t="s">
        <v>8</v>
      </c>
      <c r="C120" s="6" t="s">
        <v>130</v>
      </c>
      <c r="D120" s="6" t="s">
        <v>131</v>
      </c>
      <c r="E120" s="6" t="s">
        <v>39</v>
      </c>
      <c r="F120" s="7" t="s">
        <v>28</v>
      </c>
      <c r="G120" s="7" t="s">
        <v>28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4.25" customHeight="1">
      <c r="A121" s="6" t="s">
        <v>55</v>
      </c>
      <c r="B121" s="6" t="s">
        <v>8</v>
      </c>
      <c r="C121" s="6" t="s">
        <v>56</v>
      </c>
      <c r="D121" s="6" t="s">
        <v>57</v>
      </c>
      <c r="E121" s="6" t="s">
        <v>48</v>
      </c>
      <c r="F121" s="7" t="s">
        <v>12</v>
      </c>
      <c r="G121" s="7" t="s">
        <v>28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4.25" customHeight="1">
      <c r="A122" s="6" t="s">
        <v>29</v>
      </c>
      <c r="B122" s="6" t="s">
        <v>8</v>
      </c>
      <c r="C122" s="6" t="s">
        <v>144</v>
      </c>
      <c r="D122" s="6" t="s">
        <v>145</v>
      </c>
      <c r="E122" s="6" t="s">
        <v>32</v>
      </c>
      <c r="F122" s="7" t="s">
        <v>12</v>
      </c>
      <c r="G122" s="7" t="s">
        <v>28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4.25" customHeight="1">
      <c r="A123" s="6" t="s">
        <v>79</v>
      </c>
      <c r="B123" s="6" t="s">
        <v>8</v>
      </c>
      <c r="C123" s="6" t="s">
        <v>98</v>
      </c>
      <c r="D123" s="6" t="s">
        <v>99</v>
      </c>
      <c r="E123" s="6" t="s">
        <v>11</v>
      </c>
      <c r="F123" s="7" t="s">
        <v>28</v>
      </c>
      <c r="G123" s="7" t="s">
        <v>28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4.25" customHeight="1">
      <c r="A124" s="6" t="s">
        <v>102</v>
      </c>
      <c r="B124" s="6" t="s">
        <v>8</v>
      </c>
      <c r="C124" s="6" t="s">
        <v>120</v>
      </c>
      <c r="D124" s="6" t="s">
        <v>121</v>
      </c>
      <c r="E124" s="6" t="s">
        <v>32</v>
      </c>
      <c r="F124" s="7" t="s">
        <v>28</v>
      </c>
      <c r="G124" s="7" t="s">
        <v>28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4.25" customHeight="1">
      <c r="A125" s="6" t="s">
        <v>55</v>
      </c>
      <c r="B125" s="6" t="s">
        <v>8</v>
      </c>
      <c r="C125" s="6" t="s">
        <v>56</v>
      </c>
      <c r="D125" s="6" t="s">
        <v>57</v>
      </c>
      <c r="E125" s="6" t="s">
        <v>20</v>
      </c>
      <c r="F125" s="7" t="s">
        <v>12</v>
      </c>
      <c r="G125" s="7" t="s">
        <v>28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4.25" customHeight="1">
      <c r="A126" s="6" t="s">
        <v>45</v>
      </c>
      <c r="B126" s="6" t="s">
        <v>8</v>
      </c>
      <c r="C126" s="6" t="s">
        <v>100</v>
      </c>
      <c r="D126" s="6" t="s">
        <v>101</v>
      </c>
      <c r="E126" s="6" t="s">
        <v>48</v>
      </c>
      <c r="F126" s="7" t="s">
        <v>12</v>
      </c>
      <c r="G126" s="7" t="s">
        <v>12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4.25" customHeight="1">
      <c r="A127" s="6" t="s">
        <v>65</v>
      </c>
      <c r="B127" s="6" t="s">
        <v>8</v>
      </c>
      <c r="C127" s="6" t="s">
        <v>115</v>
      </c>
      <c r="D127" s="6" t="s">
        <v>116</v>
      </c>
      <c r="E127" s="6" t="s">
        <v>20</v>
      </c>
      <c r="F127" s="7" t="s">
        <v>12</v>
      </c>
      <c r="G127" s="7" t="s">
        <v>12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4.25" customHeight="1">
      <c r="A128" s="6" t="s">
        <v>135</v>
      </c>
      <c r="B128" s="6" t="s">
        <v>8</v>
      </c>
      <c r="C128" s="6" t="s">
        <v>142</v>
      </c>
      <c r="D128" s="6" t="s">
        <v>143</v>
      </c>
      <c r="E128" s="6" t="s">
        <v>27</v>
      </c>
      <c r="F128" s="7" t="s">
        <v>12</v>
      </c>
      <c r="G128" s="7" t="s">
        <v>28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4.25" customHeight="1">
      <c r="A129" s="6" t="s">
        <v>102</v>
      </c>
      <c r="B129" s="6" t="s">
        <v>8</v>
      </c>
      <c r="C129" s="6" t="s">
        <v>120</v>
      </c>
      <c r="D129" s="6" t="s">
        <v>121</v>
      </c>
      <c r="E129" s="6" t="s">
        <v>39</v>
      </c>
      <c r="F129" s="7" t="s">
        <v>12</v>
      </c>
      <c r="G129" s="7" t="s">
        <v>28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4.25" customHeight="1">
      <c r="A130" s="6" t="s">
        <v>24</v>
      </c>
      <c r="B130" s="6" t="s">
        <v>8</v>
      </c>
      <c r="C130" s="6" t="s">
        <v>82</v>
      </c>
      <c r="D130" s="6" t="s">
        <v>83</v>
      </c>
      <c r="E130" s="6" t="s">
        <v>11</v>
      </c>
      <c r="F130" s="7" t="s">
        <v>28</v>
      </c>
      <c r="G130" s="7" t="s">
        <v>28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4.25" customHeight="1">
      <c r="A131" s="6" t="s">
        <v>62</v>
      </c>
      <c r="B131" s="6" t="s">
        <v>8</v>
      </c>
      <c r="C131" s="6" t="s">
        <v>63</v>
      </c>
      <c r="D131" s="6" t="s">
        <v>64</v>
      </c>
      <c r="E131" s="6" t="s">
        <v>27</v>
      </c>
      <c r="F131" s="7" t="s">
        <v>12</v>
      </c>
      <c r="G131" s="7" t="s">
        <v>28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4.25" customHeight="1">
      <c r="A132" s="6" t="s">
        <v>135</v>
      </c>
      <c r="B132" s="6" t="s">
        <v>8</v>
      </c>
      <c r="C132" s="6" t="s">
        <v>142</v>
      </c>
      <c r="D132" s="6" t="s">
        <v>143</v>
      </c>
      <c r="E132" s="6" t="s">
        <v>48</v>
      </c>
      <c r="F132" s="7" t="s">
        <v>12</v>
      </c>
      <c r="G132" s="7" t="s">
        <v>28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4.25" customHeight="1">
      <c r="A133" s="6" t="s">
        <v>88</v>
      </c>
      <c r="B133" s="6" t="s">
        <v>8</v>
      </c>
      <c r="C133" s="6" t="s">
        <v>148</v>
      </c>
      <c r="D133" s="6" t="s">
        <v>149</v>
      </c>
      <c r="E133" s="6" t="s">
        <v>27</v>
      </c>
      <c r="F133" s="7" t="s">
        <v>28</v>
      </c>
      <c r="G133" s="7" t="s">
        <v>28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4.25" customHeight="1">
      <c r="A134" s="6" t="s">
        <v>65</v>
      </c>
      <c r="B134" s="6" t="s">
        <v>8</v>
      </c>
      <c r="C134" s="6" t="s">
        <v>140</v>
      </c>
      <c r="D134" s="6" t="s">
        <v>141</v>
      </c>
      <c r="E134" s="6" t="s">
        <v>48</v>
      </c>
      <c r="F134" s="7" t="s">
        <v>28</v>
      </c>
      <c r="G134" s="7" t="s">
        <v>28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4.25" customHeight="1">
      <c r="A135" s="6" t="s">
        <v>65</v>
      </c>
      <c r="B135" s="6" t="s">
        <v>8</v>
      </c>
      <c r="C135" s="6" t="s">
        <v>140</v>
      </c>
      <c r="D135" s="6" t="s">
        <v>141</v>
      </c>
      <c r="E135" s="6" t="s">
        <v>27</v>
      </c>
      <c r="F135" s="7" t="s">
        <v>28</v>
      </c>
      <c r="G135" s="7" t="s">
        <v>28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4.25" customHeight="1">
      <c r="A136" s="6" t="s">
        <v>72</v>
      </c>
      <c r="B136" s="6" t="s">
        <v>8</v>
      </c>
      <c r="C136" s="6" t="s">
        <v>150</v>
      </c>
      <c r="D136" s="6" t="s">
        <v>151</v>
      </c>
      <c r="E136" s="6" t="s">
        <v>20</v>
      </c>
      <c r="F136" s="7" t="s">
        <v>28</v>
      </c>
      <c r="G136" s="7" t="s">
        <v>28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4.25" customHeight="1">
      <c r="A137" s="6" t="s">
        <v>105</v>
      </c>
      <c r="B137" s="6" t="s">
        <v>8</v>
      </c>
      <c r="C137" s="6" t="s">
        <v>152</v>
      </c>
      <c r="D137" s="6" t="s">
        <v>153</v>
      </c>
      <c r="E137" s="6" t="s">
        <v>27</v>
      </c>
      <c r="F137" s="7" t="s">
        <v>28</v>
      </c>
      <c r="G137" s="7" t="s">
        <v>28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4.25" customHeight="1">
      <c r="A138" s="6" t="s">
        <v>72</v>
      </c>
      <c r="B138" s="6" t="s">
        <v>8</v>
      </c>
      <c r="C138" s="6" t="s">
        <v>150</v>
      </c>
      <c r="D138" s="6" t="s">
        <v>151</v>
      </c>
      <c r="E138" s="6" t="s">
        <v>11</v>
      </c>
      <c r="F138" s="7" t="s">
        <v>28</v>
      </c>
      <c r="G138" s="7" t="s">
        <v>28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4.25" customHeight="1">
      <c r="A139" s="6" t="s">
        <v>122</v>
      </c>
      <c r="B139" s="6" t="s">
        <v>8</v>
      </c>
      <c r="C139" s="6" t="s">
        <v>154</v>
      </c>
      <c r="D139" s="6" t="s">
        <v>155</v>
      </c>
      <c r="E139" s="6" t="s">
        <v>32</v>
      </c>
      <c r="F139" s="7" t="s">
        <v>28</v>
      </c>
      <c r="G139" s="7" t="s">
        <v>13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4.25" customHeight="1">
      <c r="A140" s="6" t="s">
        <v>55</v>
      </c>
      <c r="B140" s="6" t="s">
        <v>8</v>
      </c>
      <c r="C140" s="6" t="s">
        <v>156</v>
      </c>
      <c r="D140" s="6" t="s">
        <v>157</v>
      </c>
      <c r="E140" s="6" t="s">
        <v>39</v>
      </c>
      <c r="F140" s="7" t="s">
        <v>28</v>
      </c>
      <c r="G140" s="7" t="s">
        <v>28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4.25" customHeight="1">
      <c r="A141" s="6" t="s">
        <v>55</v>
      </c>
      <c r="B141" s="6" t="s">
        <v>8</v>
      </c>
      <c r="C141" s="6" t="s">
        <v>156</v>
      </c>
      <c r="D141" s="6" t="s">
        <v>157</v>
      </c>
      <c r="E141" s="6" t="s">
        <v>48</v>
      </c>
      <c r="F141" s="7" t="s">
        <v>28</v>
      </c>
      <c r="G141" s="7" t="s">
        <v>28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4.25" customHeight="1">
      <c r="A142" s="6" t="s">
        <v>65</v>
      </c>
      <c r="B142" s="6" t="s">
        <v>8</v>
      </c>
      <c r="C142" s="6" t="s">
        <v>140</v>
      </c>
      <c r="D142" s="6" t="s">
        <v>141</v>
      </c>
      <c r="E142" s="6" t="s">
        <v>32</v>
      </c>
      <c r="F142" s="7" t="s">
        <v>28</v>
      </c>
      <c r="G142" s="7" t="s">
        <v>28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4.25" customHeight="1">
      <c r="A143" s="6" t="s">
        <v>105</v>
      </c>
      <c r="B143" s="6" t="s">
        <v>8</v>
      </c>
      <c r="C143" s="6" t="s">
        <v>152</v>
      </c>
      <c r="D143" s="6" t="s">
        <v>153</v>
      </c>
      <c r="E143" s="6" t="s">
        <v>48</v>
      </c>
      <c r="F143" s="7" t="s">
        <v>28</v>
      </c>
      <c r="G143" s="7" t="s">
        <v>28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4.25" customHeight="1">
      <c r="A144" s="6" t="s">
        <v>158</v>
      </c>
      <c r="B144" s="6" t="s">
        <v>8</v>
      </c>
      <c r="C144" s="6" t="s">
        <v>159</v>
      </c>
      <c r="D144" s="6" t="s">
        <v>160</v>
      </c>
      <c r="E144" s="6" t="s">
        <v>39</v>
      </c>
      <c r="F144" s="7" t="s">
        <v>28</v>
      </c>
      <c r="G144" s="7" t="s">
        <v>28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4.25" customHeight="1">
      <c r="A145" s="6" t="s">
        <v>158</v>
      </c>
      <c r="B145" s="6" t="s">
        <v>8</v>
      </c>
      <c r="C145" s="6" t="s">
        <v>161</v>
      </c>
      <c r="D145" s="6" t="s">
        <v>162</v>
      </c>
      <c r="E145" s="6" t="s">
        <v>48</v>
      </c>
      <c r="F145" s="7" t="s">
        <v>28</v>
      </c>
      <c r="G145" s="7" t="s">
        <v>28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4.25" customHeight="1">
      <c r="A146" s="6" t="s">
        <v>158</v>
      </c>
      <c r="B146" s="6" t="s">
        <v>8</v>
      </c>
      <c r="C146" s="6" t="s">
        <v>161</v>
      </c>
      <c r="D146" s="6" t="s">
        <v>162</v>
      </c>
      <c r="E146" s="6" t="s">
        <v>27</v>
      </c>
      <c r="F146" s="7" t="s">
        <v>28</v>
      </c>
      <c r="G146" s="7" t="s">
        <v>28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4.25" customHeight="1">
      <c r="A147" s="6" t="s">
        <v>158</v>
      </c>
      <c r="B147" s="6" t="s">
        <v>8</v>
      </c>
      <c r="C147" s="6" t="s">
        <v>161</v>
      </c>
      <c r="D147" s="6" t="s">
        <v>162</v>
      </c>
      <c r="E147" s="6" t="s">
        <v>32</v>
      </c>
      <c r="F147" s="7" t="s">
        <v>28</v>
      </c>
      <c r="G147" s="7" t="s">
        <v>28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4.25" customHeight="1">
      <c r="A148" s="6" t="s">
        <v>132</v>
      </c>
      <c r="B148" s="6" t="s">
        <v>8</v>
      </c>
      <c r="C148" s="6" t="s">
        <v>146</v>
      </c>
      <c r="D148" s="6" t="s">
        <v>147</v>
      </c>
      <c r="E148" s="6" t="s">
        <v>48</v>
      </c>
      <c r="F148" s="7" t="s">
        <v>28</v>
      </c>
      <c r="G148" s="7" t="s">
        <v>28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4.25" customHeight="1">
      <c r="A149" s="6" t="s">
        <v>79</v>
      </c>
      <c r="B149" s="6" t="s">
        <v>8</v>
      </c>
      <c r="C149" s="6" t="s">
        <v>80</v>
      </c>
      <c r="D149" s="6" t="s">
        <v>81</v>
      </c>
      <c r="E149" s="6" t="s">
        <v>32</v>
      </c>
      <c r="F149" s="7" t="s">
        <v>28</v>
      </c>
      <c r="G149" s="7" t="s">
        <v>28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4.25" customHeight="1">
      <c r="A150" s="6" t="s">
        <v>110</v>
      </c>
      <c r="B150" s="6" t="s">
        <v>8</v>
      </c>
      <c r="C150" s="6" t="s">
        <v>138</v>
      </c>
      <c r="D150" s="6" t="s">
        <v>139</v>
      </c>
      <c r="E150" s="6" t="s">
        <v>27</v>
      </c>
      <c r="F150" s="7" t="s">
        <v>28</v>
      </c>
      <c r="G150" s="7" t="s">
        <v>28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4.25" customHeight="1">
      <c r="A151" s="6" t="s">
        <v>158</v>
      </c>
      <c r="B151" s="6" t="s">
        <v>8</v>
      </c>
      <c r="C151" s="6" t="s">
        <v>161</v>
      </c>
      <c r="D151" s="6" t="s">
        <v>162</v>
      </c>
      <c r="E151" s="6" t="s">
        <v>20</v>
      </c>
      <c r="F151" s="7" t="s">
        <v>28</v>
      </c>
      <c r="G151" s="7" t="s">
        <v>28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4.25" customHeight="1">
      <c r="A152" s="6" t="s">
        <v>158</v>
      </c>
      <c r="B152" s="6" t="s">
        <v>8</v>
      </c>
      <c r="C152" s="6" t="s">
        <v>161</v>
      </c>
      <c r="D152" s="6" t="s">
        <v>162</v>
      </c>
      <c r="E152" s="6" t="s">
        <v>39</v>
      </c>
      <c r="F152" s="7" t="s">
        <v>28</v>
      </c>
      <c r="G152" s="7" t="s">
        <v>28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4.25" customHeight="1">
      <c r="A153" s="6" t="s">
        <v>72</v>
      </c>
      <c r="B153" s="6" t="s">
        <v>8</v>
      </c>
      <c r="C153" s="6" t="s">
        <v>163</v>
      </c>
      <c r="D153" s="6" t="s">
        <v>164</v>
      </c>
      <c r="E153" s="6" t="s">
        <v>48</v>
      </c>
      <c r="F153" s="7" t="s">
        <v>28</v>
      </c>
      <c r="G153" s="7" t="s">
        <v>28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4.25" customHeight="1">
      <c r="A154" s="6" t="s">
        <v>17</v>
      </c>
      <c r="B154" s="6" t="s">
        <v>8</v>
      </c>
      <c r="C154" s="6" t="s">
        <v>96</v>
      </c>
      <c r="D154" s="6" t="s">
        <v>97</v>
      </c>
      <c r="E154" s="6" t="s">
        <v>39</v>
      </c>
      <c r="F154" s="7" t="s">
        <v>28</v>
      </c>
      <c r="G154" s="7" t="s">
        <v>28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4.25" customHeight="1">
      <c r="A155" s="6" t="s">
        <v>122</v>
      </c>
      <c r="B155" s="6" t="s">
        <v>8</v>
      </c>
      <c r="C155" s="6" t="s">
        <v>123</v>
      </c>
      <c r="D155" s="6" t="s">
        <v>124</v>
      </c>
      <c r="E155" s="6" t="s">
        <v>20</v>
      </c>
      <c r="F155" s="7" t="s">
        <v>28</v>
      </c>
      <c r="G155" s="7" t="s">
        <v>28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4.25" customHeight="1">
      <c r="A156" s="6" t="s">
        <v>93</v>
      </c>
      <c r="B156" s="6" t="s">
        <v>8</v>
      </c>
      <c r="C156" s="6" t="s">
        <v>94</v>
      </c>
      <c r="D156" s="6" t="s">
        <v>95</v>
      </c>
      <c r="E156" s="6" t="s">
        <v>48</v>
      </c>
      <c r="F156" s="7" t="s">
        <v>28</v>
      </c>
      <c r="G156" s="7" t="s">
        <v>28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4.25" customHeight="1">
      <c r="A157" s="6" t="s">
        <v>110</v>
      </c>
      <c r="B157" s="6" t="s">
        <v>8</v>
      </c>
      <c r="C157" s="6" t="s">
        <v>138</v>
      </c>
      <c r="D157" s="6" t="s">
        <v>139</v>
      </c>
      <c r="E157" s="6" t="s">
        <v>48</v>
      </c>
      <c r="F157" s="7" t="s">
        <v>28</v>
      </c>
      <c r="G157" s="7" t="s">
        <v>28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4.25" customHeight="1">
      <c r="A158" s="6" t="s">
        <v>21</v>
      </c>
      <c r="B158" s="6" t="s">
        <v>8</v>
      </c>
      <c r="C158" s="6" t="s">
        <v>113</v>
      </c>
      <c r="D158" s="6" t="s">
        <v>114</v>
      </c>
      <c r="E158" s="6" t="s">
        <v>48</v>
      </c>
      <c r="F158" s="7" t="s">
        <v>28</v>
      </c>
      <c r="G158" s="7" t="s">
        <v>28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4.25" customHeight="1">
      <c r="A159" s="6" t="s">
        <v>55</v>
      </c>
      <c r="B159" s="6" t="s">
        <v>8</v>
      </c>
      <c r="C159" s="6" t="s">
        <v>165</v>
      </c>
      <c r="D159" s="6" t="s">
        <v>166</v>
      </c>
      <c r="E159" s="6" t="s">
        <v>11</v>
      </c>
      <c r="F159" s="7" t="s">
        <v>28</v>
      </c>
      <c r="G159" s="7" t="s">
        <v>28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4.25" customHeight="1">
      <c r="A160" s="6" t="s">
        <v>55</v>
      </c>
      <c r="B160" s="6" t="s">
        <v>8</v>
      </c>
      <c r="C160" s="6" t="s">
        <v>165</v>
      </c>
      <c r="D160" s="6" t="s">
        <v>166</v>
      </c>
      <c r="E160" s="6" t="s">
        <v>20</v>
      </c>
      <c r="F160" s="7" t="s">
        <v>28</v>
      </c>
      <c r="G160" s="7" t="s">
        <v>28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4.25" customHeight="1">
      <c r="A161" s="6" t="s">
        <v>24</v>
      </c>
      <c r="B161" s="6" t="s">
        <v>8</v>
      </c>
      <c r="C161" s="6" t="s">
        <v>167</v>
      </c>
      <c r="D161" s="6" t="s">
        <v>168</v>
      </c>
      <c r="E161" s="6" t="s">
        <v>32</v>
      </c>
      <c r="F161" s="7" t="s">
        <v>28</v>
      </c>
      <c r="G161" s="7" t="s">
        <v>28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4.25" customHeight="1">
      <c r="A162" s="6" t="s">
        <v>105</v>
      </c>
      <c r="B162" s="6" t="s">
        <v>8</v>
      </c>
      <c r="C162" s="6" t="s">
        <v>152</v>
      </c>
      <c r="D162" s="6" t="s">
        <v>153</v>
      </c>
      <c r="E162" s="6" t="s">
        <v>32</v>
      </c>
      <c r="F162" s="7" t="s">
        <v>28</v>
      </c>
      <c r="G162" s="7" t="s">
        <v>28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4.25" customHeight="1">
      <c r="A163" s="6" t="s">
        <v>169</v>
      </c>
      <c r="B163" s="6" t="s">
        <v>8</v>
      </c>
      <c r="C163" s="6" t="s">
        <v>170</v>
      </c>
      <c r="D163" s="6" t="s">
        <v>171</v>
      </c>
      <c r="E163" s="6" t="s">
        <v>27</v>
      </c>
      <c r="F163" s="7" t="s">
        <v>28</v>
      </c>
      <c r="G163" s="7" t="s">
        <v>28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4.25" customHeight="1">
      <c r="A164" s="6" t="s">
        <v>55</v>
      </c>
      <c r="B164" s="6" t="s">
        <v>8</v>
      </c>
      <c r="C164" s="6" t="s">
        <v>165</v>
      </c>
      <c r="D164" s="6" t="s">
        <v>166</v>
      </c>
      <c r="E164" s="6" t="s">
        <v>54</v>
      </c>
      <c r="F164" s="7" t="s">
        <v>28</v>
      </c>
      <c r="G164" s="7" t="s">
        <v>28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4.25" customHeight="1">
      <c r="A165" s="6" t="s">
        <v>17</v>
      </c>
      <c r="B165" s="6" t="s">
        <v>8</v>
      </c>
      <c r="C165" s="6" t="s">
        <v>60</v>
      </c>
      <c r="D165" s="6" t="s">
        <v>61</v>
      </c>
      <c r="E165" s="6" t="s">
        <v>27</v>
      </c>
      <c r="F165" s="7" t="s">
        <v>28</v>
      </c>
      <c r="G165" s="7" t="s">
        <v>28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4.25" customHeight="1">
      <c r="A166" s="6" t="s">
        <v>132</v>
      </c>
      <c r="B166" s="6" t="s">
        <v>8</v>
      </c>
      <c r="C166" s="6" t="s">
        <v>172</v>
      </c>
      <c r="D166" s="6" t="s">
        <v>173</v>
      </c>
      <c r="E166" s="6" t="s">
        <v>27</v>
      </c>
      <c r="F166" s="7" t="s">
        <v>28</v>
      </c>
      <c r="G166" s="7" t="s">
        <v>28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4.25" customHeight="1">
      <c r="A167" s="6" t="s">
        <v>49</v>
      </c>
      <c r="B167" s="6" t="s">
        <v>8</v>
      </c>
      <c r="C167" s="6" t="s">
        <v>174</v>
      </c>
      <c r="D167" s="6" t="s">
        <v>175</v>
      </c>
      <c r="E167" s="6" t="s">
        <v>11</v>
      </c>
      <c r="F167" s="7" t="s">
        <v>28</v>
      </c>
      <c r="G167" s="7" t="s">
        <v>28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4.25" customHeight="1">
      <c r="A168" s="6" t="s">
        <v>45</v>
      </c>
      <c r="B168" s="6" t="s">
        <v>8</v>
      </c>
      <c r="C168" s="6" t="s">
        <v>176</v>
      </c>
      <c r="D168" s="6" t="s">
        <v>177</v>
      </c>
      <c r="E168" s="6" t="s">
        <v>27</v>
      </c>
      <c r="F168" s="7" t="s">
        <v>28</v>
      </c>
      <c r="G168" s="7" t="s">
        <v>28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4.25" customHeight="1">
      <c r="A169" s="6" t="s">
        <v>129</v>
      </c>
      <c r="B169" s="6" t="s">
        <v>8</v>
      </c>
      <c r="C169" s="6" t="s">
        <v>178</v>
      </c>
      <c r="D169" s="6" t="s">
        <v>179</v>
      </c>
      <c r="E169" s="6" t="s">
        <v>27</v>
      </c>
      <c r="F169" s="7" t="s">
        <v>28</v>
      </c>
      <c r="G169" s="7" t="s">
        <v>28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4.25" customHeight="1">
      <c r="A170" s="6" t="s">
        <v>24</v>
      </c>
      <c r="B170" s="6" t="s">
        <v>8</v>
      </c>
      <c r="C170" s="6" t="s">
        <v>82</v>
      </c>
      <c r="D170" s="6" t="s">
        <v>83</v>
      </c>
      <c r="E170" s="6" t="s">
        <v>27</v>
      </c>
      <c r="F170" s="7" t="s">
        <v>28</v>
      </c>
      <c r="G170" s="7" t="s">
        <v>28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4.25" customHeight="1">
      <c r="A171" s="6" t="s">
        <v>24</v>
      </c>
      <c r="B171" s="6" t="s">
        <v>8</v>
      </c>
      <c r="C171" s="6" t="s">
        <v>25</v>
      </c>
      <c r="D171" s="6" t="s">
        <v>26</v>
      </c>
      <c r="E171" s="6" t="s">
        <v>54</v>
      </c>
      <c r="F171" s="7" t="s">
        <v>28</v>
      </c>
      <c r="G171" s="7" t="s">
        <v>28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4.25" customHeight="1">
      <c r="A172" s="6" t="s">
        <v>36</v>
      </c>
      <c r="B172" s="6" t="s">
        <v>8</v>
      </c>
      <c r="C172" s="6" t="s">
        <v>180</v>
      </c>
      <c r="D172" s="6" t="s">
        <v>181</v>
      </c>
      <c r="E172" s="6" t="s">
        <v>20</v>
      </c>
      <c r="F172" s="7" t="s">
        <v>28</v>
      </c>
      <c r="G172" s="7" t="s">
        <v>28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4.25" customHeight="1">
      <c r="A173" s="6" t="s">
        <v>110</v>
      </c>
      <c r="B173" s="6" t="s">
        <v>8</v>
      </c>
      <c r="C173" s="6" t="s">
        <v>138</v>
      </c>
      <c r="D173" s="6" t="s">
        <v>139</v>
      </c>
      <c r="E173" s="6" t="s">
        <v>20</v>
      </c>
      <c r="F173" s="7" t="s">
        <v>28</v>
      </c>
      <c r="G173" s="7" t="s">
        <v>28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4.25" customHeight="1">
      <c r="A174" s="6" t="s">
        <v>110</v>
      </c>
      <c r="B174" s="6" t="s">
        <v>8</v>
      </c>
      <c r="C174" s="6" t="s">
        <v>138</v>
      </c>
      <c r="D174" s="6" t="s">
        <v>139</v>
      </c>
      <c r="E174" s="6" t="s">
        <v>11</v>
      </c>
      <c r="F174" s="7" t="s">
        <v>28</v>
      </c>
      <c r="G174" s="7" t="s">
        <v>28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4.25" customHeight="1">
      <c r="A175" s="6" t="s">
        <v>88</v>
      </c>
      <c r="B175" s="6" t="s">
        <v>8</v>
      </c>
      <c r="C175" s="6" t="s">
        <v>148</v>
      </c>
      <c r="D175" s="6" t="s">
        <v>149</v>
      </c>
      <c r="E175" s="6" t="s">
        <v>32</v>
      </c>
      <c r="F175" s="7" t="s">
        <v>28</v>
      </c>
      <c r="G175" s="7" t="s">
        <v>28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4.25" customHeight="1">
      <c r="A176" s="6" t="s">
        <v>36</v>
      </c>
      <c r="B176" s="6" t="s">
        <v>8</v>
      </c>
      <c r="C176" s="6" t="s">
        <v>180</v>
      </c>
      <c r="D176" s="6" t="s">
        <v>181</v>
      </c>
      <c r="E176" s="6" t="s">
        <v>32</v>
      </c>
      <c r="F176" s="7" t="s">
        <v>28</v>
      </c>
      <c r="G176" s="7" t="s">
        <v>28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4.25" customHeight="1">
      <c r="A177" s="6" t="s">
        <v>21</v>
      </c>
      <c r="B177" s="6" t="s">
        <v>8</v>
      </c>
      <c r="C177" s="6" t="s">
        <v>22</v>
      </c>
      <c r="D177" s="6" t="s">
        <v>23</v>
      </c>
      <c r="E177" s="6" t="s">
        <v>27</v>
      </c>
      <c r="F177" s="7" t="s">
        <v>28</v>
      </c>
      <c r="G177" s="7" t="s">
        <v>13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4.25" customHeight="1">
      <c r="A178" s="6" t="s">
        <v>169</v>
      </c>
      <c r="B178" s="6" t="s">
        <v>8</v>
      </c>
      <c r="C178" s="6" t="s">
        <v>170</v>
      </c>
      <c r="D178" s="6" t="s">
        <v>171</v>
      </c>
      <c r="E178" s="6" t="s">
        <v>20</v>
      </c>
      <c r="F178" s="7" t="s">
        <v>28</v>
      </c>
      <c r="G178" s="7" t="s">
        <v>28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4.25" customHeight="1">
      <c r="A179" s="6" t="s">
        <v>132</v>
      </c>
      <c r="B179" s="6" t="s">
        <v>8</v>
      </c>
      <c r="C179" s="6" t="s">
        <v>172</v>
      </c>
      <c r="D179" s="6" t="s">
        <v>173</v>
      </c>
      <c r="E179" s="6" t="s">
        <v>48</v>
      </c>
      <c r="F179" s="7" t="s">
        <v>28</v>
      </c>
      <c r="G179" s="7" t="s">
        <v>28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4.25" customHeight="1">
      <c r="A180" s="6" t="s">
        <v>33</v>
      </c>
      <c r="B180" s="6" t="s">
        <v>8</v>
      </c>
      <c r="C180" s="6" t="s">
        <v>34</v>
      </c>
      <c r="D180" s="6" t="s">
        <v>35</v>
      </c>
      <c r="E180" s="6" t="s">
        <v>32</v>
      </c>
      <c r="F180" s="7" t="s">
        <v>28</v>
      </c>
      <c r="G180" s="7" t="s">
        <v>28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4.25" customHeight="1">
      <c r="A181" s="6" t="s">
        <v>132</v>
      </c>
      <c r="B181" s="6" t="s">
        <v>8</v>
      </c>
      <c r="C181" s="6" t="s">
        <v>146</v>
      </c>
      <c r="D181" s="6" t="s">
        <v>147</v>
      </c>
      <c r="E181" s="6" t="s">
        <v>39</v>
      </c>
      <c r="F181" s="7" t="s">
        <v>28</v>
      </c>
      <c r="G181" s="7" t="s">
        <v>28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4.25" customHeight="1">
      <c r="A182" s="6" t="s">
        <v>132</v>
      </c>
      <c r="B182" s="6" t="s">
        <v>8</v>
      </c>
      <c r="C182" s="6" t="s">
        <v>146</v>
      </c>
      <c r="D182" s="6" t="s">
        <v>147</v>
      </c>
      <c r="E182" s="6" t="s">
        <v>32</v>
      </c>
      <c r="F182" s="7" t="s">
        <v>28</v>
      </c>
      <c r="G182" s="7" t="s">
        <v>28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4.25" customHeight="1">
      <c r="A183" s="6" t="s">
        <v>169</v>
      </c>
      <c r="B183" s="6" t="s">
        <v>8</v>
      </c>
      <c r="C183" s="6" t="s">
        <v>170</v>
      </c>
      <c r="D183" s="6" t="s">
        <v>171</v>
      </c>
      <c r="E183" s="6" t="s">
        <v>48</v>
      </c>
      <c r="F183" s="7" t="s">
        <v>28</v>
      </c>
      <c r="G183" s="7" t="s">
        <v>28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4.25" customHeight="1">
      <c r="A184" s="6" t="s">
        <v>36</v>
      </c>
      <c r="B184" s="6" t="s">
        <v>8</v>
      </c>
      <c r="C184" s="6" t="s">
        <v>180</v>
      </c>
      <c r="D184" s="6" t="s">
        <v>181</v>
      </c>
      <c r="E184" s="6" t="s">
        <v>27</v>
      </c>
      <c r="F184" s="7" t="s">
        <v>28</v>
      </c>
      <c r="G184" s="7" t="s">
        <v>28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4.25" customHeight="1">
      <c r="A185" s="6" t="s">
        <v>36</v>
      </c>
      <c r="B185" s="6" t="s">
        <v>8</v>
      </c>
      <c r="C185" s="6" t="s">
        <v>37</v>
      </c>
      <c r="D185" s="6" t="s">
        <v>38</v>
      </c>
      <c r="E185" s="6" t="s">
        <v>48</v>
      </c>
      <c r="F185" s="7" t="s">
        <v>28</v>
      </c>
      <c r="G185" s="7" t="s">
        <v>28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4.25" customHeight="1">
      <c r="A186" s="6" t="s">
        <v>122</v>
      </c>
      <c r="B186" s="6" t="s">
        <v>8</v>
      </c>
      <c r="C186" s="6" t="s">
        <v>154</v>
      </c>
      <c r="D186" s="6" t="s">
        <v>155</v>
      </c>
      <c r="E186" s="6" t="s">
        <v>27</v>
      </c>
      <c r="F186" s="7" t="s">
        <v>28</v>
      </c>
      <c r="G186" s="7" t="s">
        <v>13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4.25" customHeight="1">
      <c r="A187" s="6" t="s">
        <v>33</v>
      </c>
      <c r="B187" s="6" t="s">
        <v>8</v>
      </c>
      <c r="C187" s="6" t="s">
        <v>182</v>
      </c>
      <c r="D187" s="6" t="s">
        <v>183</v>
      </c>
      <c r="E187" s="6" t="s">
        <v>20</v>
      </c>
      <c r="F187" s="7" t="s">
        <v>28</v>
      </c>
      <c r="G187" s="7" t="s">
        <v>28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4.25" customHeight="1">
      <c r="A188" s="6" t="s">
        <v>24</v>
      </c>
      <c r="B188" s="6" t="s">
        <v>8</v>
      </c>
      <c r="C188" s="6" t="s">
        <v>108</v>
      </c>
      <c r="D188" s="6" t="s">
        <v>109</v>
      </c>
      <c r="E188" s="6" t="s">
        <v>11</v>
      </c>
      <c r="F188" s="7" t="s">
        <v>28</v>
      </c>
      <c r="G188" s="7" t="s">
        <v>28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4.25" customHeight="1">
      <c r="A189" s="6" t="s">
        <v>36</v>
      </c>
      <c r="B189" s="6" t="s">
        <v>8</v>
      </c>
      <c r="C189" s="6" t="s">
        <v>37</v>
      </c>
      <c r="D189" s="6" t="s">
        <v>38</v>
      </c>
      <c r="E189" s="6" t="s">
        <v>32</v>
      </c>
      <c r="F189" s="7" t="s">
        <v>28</v>
      </c>
      <c r="G189" s="7" t="s">
        <v>28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4.25" customHeight="1">
      <c r="A190" s="6" t="s">
        <v>72</v>
      </c>
      <c r="B190" s="6" t="s">
        <v>8</v>
      </c>
      <c r="C190" s="6" t="s">
        <v>150</v>
      </c>
      <c r="D190" s="6" t="s">
        <v>151</v>
      </c>
      <c r="E190" s="6" t="s">
        <v>48</v>
      </c>
      <c r="F190" s="7" t="s">
        <v>28</v>
      </c>
      <c r="G190" s="7" t="s">
        <v>28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4.25" customHeight="1">
      <c r="A191" s="6" t="s">
        <v>24</v>
      </c>
      <c r="B191" s="6" t="s">
        <v>8</v>
      </c>
      <c r="C191" s="6" t="s">
        <v>82</v>
      </c>
      <c r="D191" s="6" t="s">
        <v>83</v>
      </c>
      <c r="E191" s="6" t="s">
        <v>39</v>
      </c>
      <c r="F191" s="7" t="s">
        <v>28</v>
      </c>
      <c r="G191" s="7" t="s">
        <v>28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4.25" customHeight="1">
      <c r="A192" s="6" t="s">
        <v>24</v>
      </c>
      <c r="B192" s="6" t="s">
        <v>8</v>
      </c>
      <c r="C192" s="6" t="s">
        <v>82</v>
      </c>
      <c r="D192" s="6" t="s">
        <v>83</v>
      </c>
      <c r="E192" s="6" t="s">
        <v>48</v>
      </c>
      <c r="F192" s="7" t="s">
        <v>28</v>
      </c>
      <c r="G192" s="7" t="s">
        <v>28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4.25" customHeight="1">
      <c r="A193" s="6" t="s">
        <v>45</v>
      </c>
      <c r="B193" s="6" t="s">
        <v>8</v>
      </c>
      <c r="C193" s="6" t="s">
        <v>176</v>
      </c>
      <c r="D193" s="6" t="s">
        <v>177</v>
      </c>
      <c r="E193" s="6" t="s">
        <v>39</v>
      </c>
      <c r="F193" s="7" t="s">
        <v>28</v>
      </c>
      <c r="G193" s="7" t="s">
        <v>28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4.25" customHeight="1">
      <c r="A194" s="6" t="s">
        <v>102</v>
      </c>
      <c r="B194" s="6" t="s">
        <v>8</v>
      </c>
      <c r="C194" s="6" t="s">
        <v>184</v>
      </c>
      <c r="D194" s="6" t="s">
        <v>185</v>
      </c>
      <c r="E194" s="6" t="s">
        <v>11</v>
      </c>
      <c r="F194" s="7" t="s">
        <v>28</v>
      </c>
      <c r="G194" s="7" t="s">
        <v>28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4.25" customHeight="1">
      <c r="A195" s="6" t="s">
        <v>45</v>
      </c>
      <c r="B195" s="6" t="s">
        <v>8</v>
      </c>
      <c r="C195" s="6" t="s">
        <v>176</v>
      </c>
      <c r="D195" s="6" t="s">
        <v>177</v>
      </c>
      <c r="E195" s="6" t="s">
        <v>48</v>
      </c>
      <c r="F195" s="7" t="s">
        <v>28</v>
      </c>
      <c r="G195" s="7" t="s">
        <v>28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4.25" customHeight="1">
      <c r="A196" s="6" t="s">
        <v>129</v>
      </c>
      <c r="B196" s="6" t="s">
        <v>8</v>
      </c>
      <c r="C196" s="6" t="s">
        <v>178</v>
      </c>
      <c r="D196" s="6" t="s">
        <v>179</v>
      </c>
      <c r="E196" s="6" t="s">
        <v>39</v>
      </c>
      <c r="F196" s="7" t="s">
        <v>28</v>
      </c>
      <c r="G196" s="7" t="s">
        <v>28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4.25" customHeight="1">
      <c r="A197" s="6" t="s">
        <v>129</v>
      </c>
      <c r="B197" s="6" t="s">
        <v>8</v>
      </c>
      <c r="C197" s="6" t="s">
        <v>178</v>
      </c>
      <c r="D197" s="6" t="s">
        <v>179</v>
      </c>
      <c r="E197" s="6" t="s">
        <v>48</v>
      </c>
      <c r="F197" s="7" t="s">
        <v>28</v>
      </c>
      <c r="G197" s="7" t="s">
        <v>28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4.25" customHeight="1">
      <c r="A198" s="6" t="s">
        <v>24</v>
      </c>
      <c r="B198" s="6" t="s">
        <v>8</v>
      </c>
      <c r="C198" s="6" t="s">
        <v>52</v>
      </c>
      <c r="D198" s="6" t="s">
        <v>53</v>
      </c>
      <c r="E198" s="6" t="s">
        <v>39</v>
      </c>
      <c r="F198" s="7" t="s">
        <v>28</v>
      </c>
      <c r="G198" s="7" t="s">
        <v>28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4.25" customHeight="1">
      <c r="A199" s="6" t="s">
        <v>55</v>
      </c>
      <c r="B199" s="6" t="s">
        <v>8</v>
      </c>
      <c r="C199" s="6" t="s">
        <v>165</v>
      </c>
      <c r="D199" s="6" t="s">
        <v>166</v>
      </c>
      <c r="E199" s="6" t="s">
        <v>32</v>
      </c>
      <c r="F199" s="7" t="s">
        <v>28</v>
      </c>
      <c r="G199" s="7" t="s">
        <v>28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4.25" customHeight="1">
      <c r="A200" s="6" t="s">
        <v>132</v>
      </c>
      <c r="B200" s="6" t="s">
        <v>8</v>
      </c>
      <c r="C200" s="6" t="s">
        <v>186</v>
      </c>
      <c r="D200" s="6" t="s">
        <v>187</v>
      </c>
      <c r="E200" s="6" t="s">
        <v>27</v>
      </c>
      <c r="F200" s="7" t="s">
        <v>28</v>
      </c>
      <c r="G200" s="7" t="s">
        <v>28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4.25" customHeight="1">
      <c r="A201" s="6" t="s">
        <v>110</v>
      </c>
      <c r="B201" s="6" t="s">
        <v>8</v>
      </c>
      <c r="C201" s="6" t="s">
        <v>188</v>
      </c>
      <c r="D201" s="6" t="s">
        <v>189</v>
      </c>
      <c r="E201" s="6" t="s">
        <v>20</v>
      </c>
      <c r="F201" s="7" t="s">
        <v>28</v>
      </c>
      <c r="G201" s="7" t="s">
        <v>28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4.25" customHeight="1">
      <c r="A202" s="6" t="s">
        <v>29</v>
      </c>
      <c r="B202" s="6" t="s">
        <v>8</v>
      </c>
      <c r="C202" s="6" t="s">
        <v>144</v>
      </c>
      <c r="D202" s="6" t="s">
        <v>145</v>
      </c>
      <c r="E202" s="6" t="s">
        <v>27</v>
      </c>
      <c r="F202" s="7" t="s">
        <v>28</v>
      </c>
      <c r="G202" s="7" t="s">
        <v>28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4.25" customHeight="1">
      <c r="A203" s="6" t="s">
        <v>132</v>
      </c>
      <c r="B203" s="6" t="s">
        <v>8</v>
      </c>
      <c r="C203" s="6" t="s">
        <v>186</v>
      </c>
      <c r="D203" s="6" t="s">
        <v>187</v>
      </c>
      <c r="E203" s="6" t="s">
        <v>32</v>
      </c>
      <c r="F203" s="7" t="s">
        <v>28</v>
      </c>
      <c r="G203" s="7" t="s">
        <v>28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4.25" customHeight="1">
      <c r="A204" s="6" t="s">
        <v>7</v>
      </c>
      <c r="B204" s="6" t="s">
        <v>8</v>
      </c>
      <c r="C204" s="6" t="s">
        <v>75</v>
      </c>
      <c r="D204" s="6" t="s">
        <v>76</v>
      </c>
      <c r="E204" s="6" t="s">
        <v>32</v>
      </c>
      <c r="F204" s="7" t="s">
        <v>28</v>
      </c>
      <c r="G204" s="7" t="s">
        <v>28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4.25" customHeight="1">
      <c r="A205" s="6" t="s">
        <v>49</v>
      </c>
      <c r="B205" s="6" t="s">
        <v>8</v>
      </c>
      <c r="C205" s="6" t="s">
        <v>190</v>
      </c>
      <c r="D205" s="6" t="s">
        <v>191</v>
      </c>
      <c r="E205" s="6" t="s">
        <v>20</v>
      </c>
      <c r="F205" s="7" t="s">
        <v>28</v>
      </c>
      <c r="G205" s="7" t="s">
        <v>28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4.25" customHeight="1">
      <c r="A206" s="6" t="s">
        <v>36</v>
      </c>
      <c r="B206" s="6" t="s">
        <v>8</v>
      </c>
      <c r="C206" s="6" t="s">
        <v>180</v>
      </c>
      <c r="D206" s="6" t="s">
        <v>181</v>
      </c>
      <c r="E206" s="6" t="s">
        <v>48</v>
      </c>
      <c r="F206" s="7" t="s">
        <v>28</v>
      </c>
      <c r="G206" s="7" t="s">
        <v>28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4.25" customHeight="1">
      <c r="A207" s="6" t="s">
        <v>24</v>
      </c>
      <c r="B207" s="6" t="s">
        <v>8</v>
      </c>
      <c r="C207" s="6" t="s">
        <v>192</v>
      </c>
      <c r="D207" s="6" t="s">
        <v>193</v>
      </c>
      <c r="E207" s="6" t="s">
        <v>20</v>
      </c>
      <c r="F207" s="7" t="s">
        <v>28</v>
      </c>
      <c r="G207" s="7" t="s">
        <v>28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4.25" customHeight="1">
      <c r="A208" s="6" t="s">
        <v>45</v>
      </c>
      <c r="B208" s="6" t="s">
        <v>8</v>
      </c>
      <c r="C208" s="6" t="s">
        <v>176</v>
      </c>
      <c r="D208" s="6" t="s">
        <v>177</v>
      </c>
      <c r="E208" s="6" t="s">
        <v>11</v>
      </c>
      <c r="F208" s="7" t="s">
        <v>28</v>
      </c>
      <c r="G208" s="7" t="s">
        <v>28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4.25" customHeight="1">
      <c r="A209" s="6" t="s">
        <v>42</v>
      </c>
      <c r="B209" s="6" t="s">
        <v>8</v>
      </c>
      <c r="C209" s="6" t="s">
        <v>194</v>
      </c>
      <c r="D209" s="6" t="s">
        <v>195</v>
      </c>
      <c r="E209" s="6" t="s">
        <v>32</v>
      </c>
      <c r="F209" s="7" t="s">
        <v>28</v>
      </c>
      <c r="G209" s="7" t="s">
        <v>28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4.25" customHeight="1">
      <c r="A210" s="6" t="s">
        <v>24</v>
      </c>
      <c r="B210" s="6" t="s">
        <v>8</v>
      </c>
      <c r="C210" s="6" t="s">
        <v>52</v>
      </c>
      <c r="D210" s="6" t="s">
        <v>53</v>
      </c>
      <c r="E210" s="6" t="s">
        <v>48</v>
      </c>
      <c r="F210" s="7" t="s">
        <v>28</v>
      </c>
      <c r="G210" s="7" t="s">
        <v>28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4.25" customHeight="1">
      <c r="A211" s="6" t="s">
        <v>24</v>
      </c>
      <c r="B211" s="6" t="s">
        <v>8</v>
      </c>
      <c r="C211" s="6" t="s">
        <v>82</v>
      </c>
      <c r="D211" s="6" t="s">
        <v>83</v>
      </c>
      <c r="E211" s="6" t="s">
        <v>54</v>
      </c>
      <c r="F211" s="7" t="s">
        <v>28</v>
      </c>
      <c r="G211" s="7" t="s">
        <v>28</v>
      </c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4.25" customHeight="1">
      <c r="A212" s="6" t="s">
        <v>42</v>
      </c>
      <c r="B212" s="6" t="s">
        <v>8</v>
      </c>
      <c r="C212" s="6" t="s">
        <v>194</v>
      </c>
      <c r="D212" s="6" t="s">
        <v>195</v>
      </c>
      <c r="E212" s="6" t="s">
        <v>27</v>
      </c>
      <c r="F212" s="7" t="s">
        <v>28</v>
      </c>
      <c r="G212" s="7" t="s">
        <v>28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4.25" customHeight="1">
      <c r="A213" s="6" t="s">
        <v>21</v>
      </c>
      <c r="B213" s="6" t="s">
        <v>8</v>
      </c>
      <c r="C213" s="6" t="s">
        <v>113</v>
      </c>
      <c r="D213" s="6" t="s">
        <v>114</v>
      </c>
      <c r="E213" s="6" t="s">
        <v>39</v>
      </c>
      <c r="F213" s="7" t="s">
        <v>28</v>
      </c>
      <c r="G213" s="7" t="s">
        <v>28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4.25" customHeight="1">
      <c r="A214" s="6" t="s">
        <v>158</v>
      </c>
      <c r="B214" s="6" t="s">
        <v>8</v>
      </c>
      <c r="C214" s="6" t="s">
        <v>159</v>
      </c>
      <c r="D214" s="6" t="s">
        <v>160</v>
      </c>
      <c r="E214" s="6" t="s">
        <v>20</v>
      </c>
      <c r="F214" s="7" t="s">
        <v>28</v>
      </c>
      <c r="G214" s="7" t="s">
        <v>28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4.25" customHeight="1">
      <c r="A215" s="6" t="s">
        <v>24</v>
      </c>
      <c r="B215" s="6" t="s">
        <v>8</v>
      </c>
      <c r="C215" s="6" t="s">
        <v>167</v>
      </c>
      <c r="D215" s="6" t="s">
        <v>168</v>
      </c>
      <c r="E215" s="6" t="s">
        <v>11</v>
      </c>
      <c r="F215" s="7" t="s">
        <v>28</v>
      </c>
      <c r="G215" s="7" t="s">
        <v>28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4.25" customHeight="1">
      <c r="A216" s="6" t="s">
        <v>72</v>
      </c>
      <c r="B216" s="6" t="s">
        <v>8</v>
      </c>
      <c r="C216" s="6" t="s">
        <v>150</v>
      </c>
      <c r="D216" s="6" t="s">
        <v>151</v>
      </c>
      <c r="E216" s="6" t="s">
        <v>32</v>
      </c>
      <c r="F216" s="7" t="s">
        <v>28</v>
      </c>
      <c r="G216" s="7" t="s">
        <v>28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4.25" customHeight="1">
      <c r="A217" s="6" t="s">
        <v>29</v>
      </c>
      <c r="B217" s="6" t="s">
        <v>8</v>
      </c>
      <c r="C217" s="6" t="s">
        <v>144</v>
      </c>
      <c r="D217" s="6" t="s">
        <v>145</v>
      </c>
      <c r="E217" s="6" t="s">
        <v>48</v>
      </c>
      <c r="F217" s="7" t="s">
        <v>28</v>
      </c>
      <c r="G217" s="7" t="s">
        <v>28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4.25" customHeight="1">
      <c r="A218" s="6" t="s">
        <v>93</v>
      </c>
      <c r="B218" s="6" t="s">
        <v>8</v>
      </c>
      <c r="C218" s="6" t="s">
        <v>196</v>
      </c>
      <c r="D218" s="6" t="s">
        <v>197</v>
      </c>
      <c r="E218" s="6" t="s">
        <v>48</v>
      </c>
      <c r="F218" s="7" t="s">
        <v>28</v>
      </c>
      <c r="G218" s="7" t="s">
        <v>13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4.25" customHeight="1">
      <c r="A219" s="6" t="s">
        <v>24</v>
      </c>
      <c r="B219" s="6" t="s">
        <v>8</v>
      </c>
      <c r="C219" s="6" t="s">
        <v>167</v>
      </c>
      <c r="D219" s="6" t="s">
        <v>168</v>
      </c>
      <c r="E219" s="6" t="s">
        <v>27</v>
      </c>
      <c r="F219" s="7" t="s">
        <v>28</v>
      </c>
      <c r="G219" s="7" t="s">
        <v>28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4.25" customHeight="1">
      <c r="A220" s="6" t="s">
        <v>79</v>
      </c>
      <c r="B220" s="6" t="s">
        <v>8</v>
      </c>
      <c r="C220" s="6" t="s">
        <v>80</v>
      </c>
      <c r="D220" s="6" t="s">
        <v>81</v>
      </c>
      <c r="E220" s="6" t="s">
        <v>20</v>
      </c>
      <c r="F220" s="7" t="s">
        <v>28</v>
      </c>
      <c r="G220" s="7" t="s">
        <v>28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4.25" customHeight="1">
      <c r="A221" s="6" t="s">
        <v>17</v>
      </c>
      <c r="B221" s="6" t="s">
        <v>8</v>
      </c>
      <c r="C221" s="6" t="s">
        <v>60</v>
      </c>
      <c r="D221" s="6" t="s">
        <v>61</v>
      </c>
      <c r="E221" s="6" t="s">
        <v>32</v>
      </c>
      <c r="F221" s="7" t="s">
        <v>28</v>
      </c>
      <c r="G221" s="7" t="s">
        <v>28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4.25" customHeight="1">
      <c r="A222" s="6" t="s">
        <v>135</v>
      </c>
      <c r="B222" s="6" t="s">
        <v>8</v>
      </c>
      <c r="C222" s="6" t="s">
        <v>136</v>
      </c>
      <c r="D222" s="6" t="s">
        <v>137</v>
      </c>
      <c r="E222" s="6" t="s">
        <v>27</v>
      </c>
      <c r="F222" s="7" t="s">
        <v>28</v>
      </c>
      <c r="G222" s="7" t="s">
        <v>28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4.25" customHeight="1">
      <c r="A223" s="6" t="s">
        <v>135</v>
      </c>
      <c r="B223" s="6" t="s">
        <v>8</v>
      </c>
      <c r="C223" s="6" t="s">
        <v>136</v>
      </c>
      <c r="D223" s="6" t="s">
        <v>137</v>
      </c>
      <c r="E223" s="6" t="s">
        <v>32</v>
      </c>
      <c r="F223" s="7" t="s">
        <v>28</v>
      </c>
      <c r="G223" s="7" t="s">
        <v>28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4.25" customHeight="1">
      <c r="A224" s="6" t="s">
        <v>17</v>
      </c>
      <c r="B224" s="6" t="s">
        <v>8</v>
      </c>
      <c r="C224" s="6" t="s">
        <v>58</v>
      </c>
      <c r="D224" s="6" t="s">
        <v>59</v>
      </c>
      <c r="E224" s="6" t="s">
        <v>11</v>
      </c>
      <c r="F224" s="7" t="s">
        <v>28</v>
      </c>
      <c r="G224" s="7" t="s">
        <v>28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4.25" customHeight="1">
      <c r="A225" s="6" t="s">
        <v>49</v>
      </c>
      <c r="B225" s="6" t="s">
        <v>8</v>
      </c>
      <c r="C225" s="6" t="s">
        <v>198</v>
      </c>
      <c r="D225" s="6" t="s">
        <v>199</v>
      </c>
      <c r="E225" s="6" t="s">
        <v>27</v>
      </c>
      <c r="F225" s="7" t="s">
        <v>28</v>
      </c>
      <c r="G225" s="7" t="s">
        <v>28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4.25" customHeight="1">
      <c r="A226" s="6" t="s">
        <v>36</v>
      </c>
      <c r="B226" s="6" t="s">
        <v>8</v>
      </c>
      <c r="C226" s="6" t="s">
        <v>37</v>
      </c>
      <c r="D226" s="6" t="s">
        <v>38</v>
      </c>
      <c r="E226" s="6" t="s">
        <v>27</v>
      </c>
      <c r="F226" s="7" t="s">
        <v>28</v>
      </c>
      <c r="G226" s="7" t="s">
        <v>28</v>
      </c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4.25" customHeight="1">
      <c r="A227" s="6" t="s">
        <v>36</v>
      </c>
      <c r="B227" s="6" t="s">
        <v>8</v>
      </c>
      <c r="C227" s="6" t="s">
        <v>37</v>
      </c>
      <c r="D227" s="6" t="s">
        <v>38</v>
      </c>
      <c r="E227" s="6" t="s">
        <v>11</v>
      </c>
      <c r="F227" s="7" t="s">
        <v>28</v>
      </c>
      <c r="G227" s="7" t="s">
        <v>28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4.25" customHeight="1">
      <c r="A228" s="6" t="s">
        <v>33</v>
      </c>
      <c r="B228" s="6" t="s">
        <v>8</v>
      </c>
      <c r="C228" s="6" t="s">
        <v>182</v>
      </c>
      <c r="D228" s="6" t="s">
        <v>183</v>
      </c>
      <c r="E228" s="6" t="s">
        <v>32</v>
      </c>
      <c r="F228" s="7" t="s">
        <v>28</v>
      </c>
      <c r="G228" s="7" t="s">
        <v>28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4.25" customHeight="1">
      <c r="A229" s="6" t="s">
        <v>42</v>
      </c>
      <c r="B229" s="6" t="s">
        <v>8</v>
      </c>
      <c r="C229" s="6" t="s">
        <v>194</v>
      </c>
      <c r="D229" s="6" t="s">
        <v>195</v>
      </c>
      <c r="E229" s="6" t="s">
        <v>48</v>
      </c>
      <c r="F229" s="7" t="s">
        <v>28</v>
      </c>
      <c r="G229" s="7" t="s">
        <v>28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4.25" customHeight="1">
      <c r="A230" s="6" t="s">
        <v>45</v>
      </c>
      <c r="B230" s="6" t="s">
        <v>8</v>
      </c>
      <c r="C230" s="6" t="s">
        <v>176</v>
      </c>
      <c r="D230" s="6" t="s">
        <v>177</v>
      </c>
      <c r="E230" s="6" t="s">
        <v>20</v>
      </c>
      <c r="F230" s="7" t="s">
        <v>28</v>
      </c>
      <c r="G230" s="7" t="s">
        <v>28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4.25" customHeight="1">
      <c r="A231" s="6" t="s">
        <v>117</v>
      </c>
      <c r="B231" s="6" t="s">
        <v>8</v>
      </c>
      <c r="C231" s="6" t="s">
        <v>118</v>
      </c>
      <c r="D231" s="6" t="s">
        <v>119</v>
      </c>
      <c r="E231" s="6" t="s">
        <v>48</v>
      </c>
      <c r="F231" s="7" t="s">
        <v>28</v>
      </c>
      <c r="G231" s="7" t="s">
        <v>28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4.25" customHeight="1">
      <c r="A232" s="6" t="s">
        <v>49</v>
      </c>
      <c r="B232" s="6" t="s">
        <v>8</v>
      </c>
      <c r="C232" s="6" t="s">
        <v>127</v>
      </c>
      <c r="D232" s="6" t="s">
        <v>128</v>
      </c>
      <c r="E232" s="6" t="s">
        <v>39</v>
      </c>
      <c r="F232" s="7" t="s">
        <v>28</v>
      </c>
      <c r="G232" s="7" t="s">
        <v>28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4.25" customHeight="1">
      <c r="A233" s="6" t="s">
        <v>122</v>
      </c>
      <c r="B233" s="6" t="s">
        <v>8</v>
      </c>
      <c r="C233" s="6" t="s">
        <v>154</v>
      </c>
      <c r="D233" s="6" t="s">
        <v>155</v>
      </c>
      <c r="E233" s="6" t="s">
        <v>48</v>
      </c>
      <c r="F233" s="7" t="s">
        <v>28</v>
      </c>
      <c r="G233" s="7" t="s">
        <v>13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4.25" customHeight="1">
      <c r="A234" s="6" t="s">
        <v>24</v>
      </c>
      <c r="B234" s="6" t="s">
        <v>8</v>
      </c>
      <c r="C234" s="6" t="s">
        <v>167</v>
      </c>
      <c r="D234" s="6" t="s">
        <v>168</v>
      </c>
      <c r="E234" s="6" t="s">
        <v>48</v>
      </c>
      <c r="F234" s="7" t="s">
        <v>28</v>
      </c>
      <c r="G234" s="7" t="s">
        <v>28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4.25" customHeight="1">
      <c r="A235" s="6" t="s">
        <v>132</v>
      </c>
      <c r="B235" s="6" t="s">
        <v>8</v>
      </c>
      <c r="C235" s="6" t="s">
        <v>186</v>
      </c>
      <c r="D235" s="6" t="s">
        <v>187</v>
      </c>
      <c r="E235" s="6" t="s">
        <v>48</v>
      </c>
      <c r="F235" s="7" t="s">
        <v>28</v>
      </c>
      <c r="G235" s="7" t="s">
        <v>28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4.25" customHeight="1">
      <c r="A236" s="6" t="s">
        <v>49</v>
      </c>
      <c r="B236" s="6" t="s">
        <v>8</v>
      </c>
      <c r="C236" s="6" t="s">
        <v>198</v>
      </c>
      <c r="D236" s="6" t="s">
        <v>199</v>
      </c>
      <c r="E236" s="6" t="s">
        <v>39</v>
      </c>
      <c r="F236" s="7" t="s">
        <v>28</v>
      </c>
      <c r="G236" s="7" t="s">
        <v>28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4.25" customHeight="1">
      <c r="A237" s="6" t="s">
        <v>169</v>
      </c>
      <c r="B237" s="6" t="s">
        <v>8</v>
      </c>
      <c r="C237" s="6" t="s">
        <v>170</v>
      </c>
      <c r="D237" s="6" t="s">
        <v>171</v>
      </c>
      <c r="E237" s="6" t="s">
        <v>32</v>
      </c>
      <c r="F237" s="7" t="s">
        <v>28</v>
      </c>
      <c r="G237" s="7" t="s">
        <v>28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4.25" customHeight="1">
      <c r="A238" s="6" t="s">
        <v>132</v>
      </c>
      <c r="B238" s="6" t="s">
        <v>8</v>
      </c>
      <c r="C238" s="6" t="s">
        <v>186</v>
      </c>
      <c r="D238" s="6" t="s">
        <v>187</v>
      </c>
      <c r="E238" s="6" t="s">
        <v>20</v>
      </c>
      <c r="F238" s="7" t="s">
        <v>28</v>
      </c>
      <c r="G238" s="7" t="s">
        <v>28</v>
      </c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4.25" customHeight="1">
      <c r="A239" s="6" t="s">
        <v>117</v>
      </c>
      <c r="B239" s="6" t="s">
        <v>8</v>
      </c>
      <c r="C239" s="6" t="s">
        <v>200</v>
      </c>
      <c r="D239" s="6" t="s">
        <v>201</v>
      </c>
      <c r="E239" s="6" t="s">
        <v>39</v>
      </c>
      <c r="F239" s="7" t="s">
        <v>28</v>
      </c>
      <c r="G239" s="7" t="s">
        <v>28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4.25" customHeight="1">
      <c r="A240" s="6" t="s">
        <v>36</v>
      </c>
      <c r="B240" s="6" t="s">
        <v>8</v>
      </c>
      <c r="C240" s="6" t="s">
        <v>37</v>
      </c>
      <c r="D240" s="6" t="s">
        <v>38</v>
      </c>
      <c r="E240" s="6" t="s">
        <v>20</v>
      </c>
      <c r="F240" s="7" t="s">
        <v>28</v>
      </c>
      <c r="G240" s="7" t="s">
        <v>28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4.25" customHeight="1">
      <c r="A241" s="6" t="s">
        <v>122</v>
      </c>
      <c r="B241" s="6" t="s">
        <v>8</v>
      </c>
      <c r="C241" s="6" t="s">
        <v>154</v>
      </c>
      <c r="D241" s="6" t="s">
        <v>155</v>
      </c>
      <c r="E241" s="6" t="s">
        <v>20</v>
      </c>
      <c r="F241" s="7" t="s">
        <v>13</v>
      </c>
      <c r="G241" s="7" t="s">
        <v>13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4.25" customHeight="1">
      <c r="A242" s="6" t="s">
        <v>24</v>
      </c>
      <c r="B242" s="6" t="s">
        <v>8</v>
      </c>
      <c r="C242" s="6" t="s">
        <v>167</v>
      </c>
      <c r="D242" s="6" t="s">
        <v>168</v>
      </c>
      <c r="E242" s="6" t="s">
        <v>20</v>
      </c>
      <c r="F242" s="7" t="s">
        <v>28</v>
      </c>
      <c r="G242" s="7" t="s">
        <v>28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4.25" customHeight="1">
      <c r="A243" s="6" t="s">
        <v>49</v>
      </c>
      <c r="B243" s="6" t="s">
        <v>8</v>
      </c>
      <c r="C243" s="6" t="s">
        <v>68</v>
      </c>
      <c r="D243" s="6" t="s">
        <v>69</v>
      </c>
      <c r="E243" s="6" t="s">
        <v>11</v>
      </c>
      <c r="F243" s="7" t="s">
        <v>28</v>
      </c>
      <c r="G243" s="7" t="s">
        <v>28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4.25" customHeight="1">
      <c r="A244" s="6" t="s">
        <v>55</v>
      </c>
      <c r="B244" s="6" t="s">
        <v>8</v>
      </c>
      <c r="C244" s="6" t="s">
        <v>156</v>
      </c>
      <c r="D244" s="6" t="s">
        <v>157</v>
      </c>
      <c r="E244" s="6" t="s">
        <v>27</v>
      </c>
      <c r="F244" s="7" t="s">
        <v>28</v>
      </c>
      <c r="G244" s="7" t="s">
        <v>28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4.25" customHeight="1">
      <c r="A245" s="6" t="s">
        <v>132</v>
      </c>
      <c r="B245" s="6" t="s">
        <v>8</v>
      </c>
      <c r="C245" s="6" t="s">
        <v>186</v>
      </c>
      <c r="D245" s="6" t="s">
        <v>187</v>
      </c>
      <c r="E245" s="6" t="s">
        <v>11</v>
      </c>
      <c r="F245" s="7" t="s">
        <v>28</v>
      </c>
      <c r="G245" s="7" t="s">
        <v>28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4.25" customHeight="1">
      <c r="A246" s="6" t="s">
        <v>65</v>
      </c>
      <c r="B246" s="6" t="s">
        <v>8</v>
      </c>
      <c r="C246" s="6" t="s">
        <v>115</v>
      </c>
      <c r="D246" s="6" t="s">
        <v>116</v>
      </c>
      <c r="E246" s="6" t="s">
        <v>11</v>
      </c>
      <c r="F246" s="7" t="s">
        <v>28</v>
      </c>
      <c r="G246" s="7" t="s">
        <v>28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4.25" customHeight="1">
      <c r="A247" s="6" t="s">
        <v>45</v>
      </c>
      <c r="B247" s="6" t="s">
        <v>8</v>
      </c>
      <c r="C247" s="6" t="s">
        <v>46</v>
      </c>
      <c r="D247" s="6" t="s">
        <v>47</v>
      </c>
      <c r="E247" s="6" t="s">
        <v>48</v>
      </c>
      <c r="F247" s="7" t="s">
        <v>28</v>
      </c>
      <c r="G247" s="7" t="s">
        <v>28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4.25" customHeight="1">
      <c r="A248" s="6" t="s">
        <v>117</v>
      </c>
      <c r="B248" s="6" t="s">
        <v>8</v>
      </c>
      <c r="C248" s="6" t="s">
        <v>118</v>
      </c>
      <c r="D248" s="6" t="s">
        <v>119</v>
      </c>
      <c r="E248" s="6" t="s">
        <v>39</v>
      </c>
      <c r="F248" s="7" t="s">
        <v>28</v>
      </c>
      <c r="G248" s="7" t="s">
        <v>28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4.25" customHeight="1">
      <c r="A249" s="6" t="s">
        <v>72</v>
      </c>
      <c r="B249" s="6" t="s">
        <v>8</v>
      </c>
      <c r="C249" s="6" t="s">
        <v>150</v>
      </c>
      <c r="D249" s="6" t="s">
        <v>151</v>
      </c>
      <c r="E249" s="6" t="s">
        <v>27</v>
      </c>
      <c r="F249" s="7" t="s">
        <v>28</v>
      </c>
      <c r="G249" s="7" t="s">
        <v>28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4.25" customHeight="1">
      <c r="A250" s="6" t="s">
        <v>42</v>
      </c>
      <c r="B250" s="6" t="s">
        <v>8</v>
      </c>
      <c r="C250" s="6" t="s">
        <v>194</v>
      </c>
      <c r="D250" s="6" t="s">
        <v>195</v>
      </c>
      <c r="E250" s="6" t="s">
        <v>11</v>
      </c>
      <c r="F250" s="7" t="s">
        <v>28</v>
      </c>
      <c r="G250" s="7" t="s">
        <v>28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4.25" customHeight="1">
      <c r="A251" s="6" t="s">
        <v>49</v>
      </c>
      <c r="B251" s="6" t="s">
        <v>8</v>
      </c>
      <c r="C251" s="6" t="s">
        <v>190</v>
      </c>
      <c r="D251" s="6" t="s">
        <v>191</v>
      </c>
      <c r="E251" s="6" t="s">
        <v>39</v>
      </c>
      <c r="F251" s="7" t="s">
        <v>28</v>
      </c>
      <c r="G251" s="7" t="s">
        <v>28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4.25" customHeight="1">
      <c r="A252" s="6" t="s">
        <v>42</v>
      </c>
      <c r="B252" s="6" t="s">
        <v>8</v>
      </c>
      <c r="C252" s="6" t="s">
        <v>194</v>
      </c>
      <c r="D252" s="6" t="s">
        <v>195</v>
      </c>
      <c r="E252" s="6" t="s">
        <v>20</v>
      </c>
      <c r="F252" s="7" t="s">
        <v>28</v>
      </c>
      <c r="G252" s="7" t="s">
        <v>28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4.25" customHeight="1">
      <c r="A253" s="6" t="s">
        <v>45</v>
      </c>
      <c r="B253" s="6" t="s">
        <v>8</v>
      </c>
      <c r="C253" s="6" t="s">
        <v>46</v>
      </c>
      <c r="D253" s="6" t="s">
        <v>47</v>
      </c>
      <c r="E253" s="6" t="s">
        <v>11</v>
      </c>
      <c r="F253" s="7" t="s">
        <v>28</v>
      </c>
      <c r="G253" s="7" t="s">
        <v>28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4.25" customHeight="1">
      <c r="A254" s="6" t="s">
        <v>135</v>
      </c>
      <c r="B254" s="6" t="s">
        <v>8</v>
      </c>
      <c r="C254" s="6" t="s">
        <v>136</v>
      </c>
      <c r="D254" s="6" t="s">
        <v>137</v>
      </c>
      <c r="E254" s="6" t="s">
        <v>11</v>
      </c>
      <c r="F254" s="7" t="s">
        <v>28</v>
      </c>
      <c r="G254" s="7" t="s">
        <v>28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4.25" customHeight="1">
      <c r="A255" s="6" t="s">
        <v>93</v>
      </c>
      <c r="B255" s="6" t="s">
        <v>8</v>
      </c>
      <c r="C255" s="6" t="s">
        <v>196</v>
      </c>
      <c r="D255" s="6" t="s">
        <v>197</v>
      </c>
      <c r="E255" s="6" t="s">
        <v>27</v>
      </c>
      <c r="F255" s="7" t="s">
        <v>13</v>
      </c>
      <c r="G255" s="7" t="s">
        <v>13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4.25" customHeight="1">
      <c r="A256" s="6" t="s">
        <v>55</v>
      </c>
      <c r="B256" s="6" t="s">
        <v>8</v>
      </c>
      <c r="C256" s="6" t="s">
        <v>156</v>
      </c>
      <c r="D256" s="6" t="s">
        <v>157</v>
      </c>
      <c r="E256" s="6" t="s">
        <v>32</v>
      </c>
      <c r="F256" s="7" t="s">
        <v>28</v>
      </c>
      <c r="G256" s="7" t="s">
        <v>28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4.25" customHeight="1">
      <c r="A257" s="6" t="s">
        <v>135</v>
      </c>
      <c r="B257" s="6" t="s">
        <v>8</v>
      </c>
      <c r="C257" s="6" t="s">
        <v>136</v>
      </c>
      <c r="D257" s="6" t="s">
        <v>137</v>
      </c>
      <c r="E257" s="6" t="s">
        <v>39</v>
      </c>
      <c r="F257" s="7" t="s">
        <v>28</v>
      </c>
      <c r="G257" s="7" t="s">
        <v>28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4.25" customHeight="1">
      <c r="A258" s="6" t="s">
        <v>93</v>
      </c>
      <c r="B258" s="6" t="s">
        <v>8</v>
      </c>
      <c r="C258" s="6" t="s">
        <v>196</v>
      </c>
      <c r="D258" s="6" t="s">
        <v>197</v>
      </c>
      <c r="E258" s="6" t="s">
        <v>32</v>
      </c>
      <c r="F258" s="7" t="s">
        <v>28</v>
      </c>
      <c r="G258" s="7" t="s">
        <v>13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4.25" customHeight="1">
      <c r="A259" s="6" t="s">
        <v>135</v>
      </c>
      <c r="B259" s="6" t="s">
        <v>8</v>
      </c>
      <c r="C259" s="6" t="s">
        <v>136</v>
      </c>
      <c r="D259" s="6" t="s">
        <v>137</v>
      </c>
      <c r="E259" s="6" t="s">
        <v>54</v>
      </c>
      <c r="F259" s="7" t="s">
        <v>28</v>
      </c>
      <c r="G259" s="7" t="s">
        <v>28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4.25" customHeight="1">
      <c r="A260" s="6" t="s">
        <v>29</v>
      </c>
      <c r="B260" s="6" t="s">
        <v>8</v>
      </c>
      <c r="C260" s="6" t="s">
        <v>202</v>
      </c>
      <c r="D260" s="6" t="s">
        <v>203</v>
      </c>
      <c r="E260" s="6" t="s">
        <v>20</v>
      </c>
      <c r="F260" s="7" t="s">
        <v>28</v>
      </c>
      <c r="G260" s="7" t="s">
        <v>28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4.25" customHeight="1">
      <c r="A261" s="6" t="s">
        <v>17</v>
      </c>
      <c r="B261" s="6" t="s">
        <v>8</v>
      </c>
      <c r="C261" s="6" t="s">
        <v>96</v>
      </c>
      <c r="D261" s="6" t="s">
        <v>97</v>
      </c>
      <c r="E261" s="6" t="s">
        <v>11</v>
      </c>
      <c r="F261" s="7" t="s">
        <v>28</v>
      </c>
      <c r="G261" s="7" t="s">
        <v>28</v>
      </c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4.25" customHeight="1">
      <c r="A262" s="6" t="s">
        <v>21</v>
      </c>
      <c r="B262" s="6" t="s">
        <v>8</v>
      </c>
      <c r="C262" s="6" t="s">
        <v>40</v>
      </c>
      <c r="D262" s="6" t="s">
        <v>41</v>
      </c>
      <c r="E262" s="6" t="s">
        <v>39</v>
      </c>
      <c r="F262" s="7" t="s">
        <v>28</v>
      </c>
      <c r="G262" s="7" t="s">
        <v>28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4.25" customHeight="1">
      <c r="A263" s="6" t="s">
        <v>102</v>
      </c>
      <c r="B263" s="6" t="s">
        <v>8</v>
      </c>
      <c r="C263" s="6" t="s">
        <v>120</v>
      </c>
      <c r="D263" s="6" t="s">
        <v>121</v>
      </c>
      <c r="E263" s="6" t="s">
        <v>11</v>
      </c>
      <c r="F263" s="7" t="s">
        <v>28</v>
      </c>
      <c r="G263" s="7" t="s">
        <v>28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4.25" customHeight="1">
      <c r="A264" s="6" t="s">
        <v>93</v>
      </c>
      <c r="B264" s="6" t="s">
        <v>8</v>
      </c>
      <c r="C264" s="6" t="s">
        <v>196</v>
      </c>
      <c r="D264" s="6" t="s">
        <v>197</v>
      </c>
      <c r="E264" s="6" t="s">
        <v>11</v>
      </c>
      <c r="F264" s="7" t="s">
        <v>28</v>
      </c>
      <c r="G264" s="7" t="s">
        <v>13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4.25" customHeight="1">
      <c r="A265" s="6" t="s">
        <v>29</v>
      </c>
      <c r="B265" s="6" t="s">
        <v>8</v>
      </c>
      <c r="C265" s="6" t="s">
        <v>202</v>
      </c>
      <c r="D265" s="6" t="s">
        <v>203</v>
      </c>
      <c r="E265" s="6" t="s">
        <v>11</v>
      </c>
      <c r="F265" s="7" t="s">
        <v>13</v>
      </c>
      <c r="G265" s="7" t="s">
        <v>13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4.25" customHeight="1">
      <c r="A266" s="6" t="s">
        <v>204</v>
      </c>
      <c r="B266" s="6" t="s">
        <v>8</v>
      </c>
      <c r="C266" s="6" t="s">
        <v>205</v>
      </c>
      <c r="D266" s="6" t="s">
        <v>206</v>
      </c>
      <c r="E266" s="6" t="s">
        <v>39</v>
      </c>
      <c r="F266" s="7" t="s">
        <v>13</v>
      </c>
      <c r="G266" s="7" t="s">
        <v>13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4.25" customHeight="1">
      <c r="A267" s="6" t="s">
        <v>24</v>
      </c>
      <c r="B267" s="6" t="s">
        <v>8</v>
      </c>
      <c r="C267" s="6" t="s">
        <v>207</v>
      </c>
      <c r="D267" s="6" t="s">
        <v>208</v>
      </c>
      <c r="E267" s="6" t="s">
        <v>32</v>
      </c>
      <c r="F267" s="7" t="s">
        <v>13</v>
      </c>
      <c r="G267" s="7" t="s">
        <v>13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4.25" customHeight="1">
      <c r="A268" s="6" t="s">
        <v>24</v>
      </c>
      <c r="B268" s="6" t="s">
        <v>8</v>
      </c>
      <c r="C268" s="6" t="s">
        <v>207</v>
      </c>
      <c r="D268" s="6" t="s">
        <v>208</v>
      </c>
      <c r="E268" s="6" t="s">
        <v>48</v>
      </c>
      <c r="F268" s="7" t="s">
        <v>13</v>
      </c>
      <c r="G268" s="7" t="s">
        <v>13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4.25" customHeight="1">
      <c r="A269" s="6" t="s">
        <v>24</v>
      </c>
      <c r="B269" s="6" t="s">
        <v>8</v>
      </c>
      <c r="C269" s="6" t="s">
        <v>207</v>
      </c>
      <c r="D269" s="6" t="s">
        <v>208</v>
      </c>
      <c r="E269" s="6" t="s">
        <v>87</v>
      </c>
      <c r="F269" s="7" t="s">
        <v>13</v>
      </c>
      <c r="G269" s="7" t="s">
        <v>13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4.25" customHeight="1">
      <c r="A270" s="6" t="s">
        <v>24</v>
      </c>
      <c r="B270" s="6" t="s">
        <v>8</v>
      </c>
      <c r="C270" s="6" t="s">
        <v>207</v>
      </c>
      <c r="D270" s="6" t="s">
        <v>208</v>
      </c>
      <c r="E270" s="6" t="s">
        <v>27</v>
      </c>
      <c r="F270" s="7" t="s">
        <v>13</v>
      </c>
      <c r="G270" s="7" t="s">
        <v>13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4.25" customHeight="1">
      <c r="A271" s="6" t="s">
        <v>24</v>
      </c>
      <c r="B271" s="6" t="s">
        <v>8</v>
      </c>
      <c r="C271" s="6" t="s">
        <v>207</v>
      </c>
      <c r="D271" s="6" t="s">
        <v>208</v>
      </c>
      <c r="E271" s="6" t="s">
        <v>11</v>
      </c>
      <c r="F271" s="7" t="s">
        <v>13</v>
      </c>
      <c r="G271" s="7" t="s">
        <v>13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4.25" customHeight="1">
      <c r="A272" s="6" t="s">
        <v>24</v>
      </c>
      <c r="B272" s="6" t="s">
        <v>8</v>
      </c>
      <c r="C272" s="6" t="s">
        <v>207</v>
      </c>
      <c r="D272" s="6" t="s">
        <v>208</v>
      </c>
      <c r="E272" s="6" t="s">
        <v>39</v>
      </c>
      <c r="F272" s="7" t="s">
        <v>13</v>
      </c>
      <c r="G272" s="7" t="s">
        <v>13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4.25" customHeight="1">
      <c r="A273" s="6" t="s">
        <v>49</v>
      </c>
      <c r="B273" s="6" t="s">
        <v>8</v>
      </c>
      <c r="C273" s="6" t="s">
        <v>127</v>
      </c>
      <c r="D273" s="6" t="s">
        <v>128</v>
      </c>
      <c r="E273" s="6" t="s">
        <v>32</v>
      </c>
      <c r="F273" s="7" t="s">
        <v>12</v>
      </c>
      <c r="G273" s="7" t="s">
        <v>12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4.25" customHeight="1">
      <c r="A274" s="6" t="s">
        <v>72</v>
      </c>
      <c r="B274" s="6" t="s">
        <v>8</v>
      </c>
      <c r="C274" s="6" t="s">
        <v>209</v>
      </c>
      <c r="D274" s="6" t="s">
        <v>210</v>
      </c>
      <c r="E274" s="6" t="s">
        <v>32</v>
      </c>
      <c r="F274" s="7" t="s">
        <v>211</v>
      </c>
      <c r="G274" s="7" t="s">
        <v>211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4.25" customHeight="1">
      <c r="A275" s="6" t="s">
        <v>72</v>
      </c>
      <c r="B275" s="6" t="s">
        <v>8</v>
      </c>
      <c r="C275" s="6" t="s">
        <v>209</v>
      </c>
      <c r="D275" s="6" t="s">
        <v>210</v>
      </c>
      <c r="E275" s="6" t="s">
        <v>20</v>
      </c>
      <c r="F275" s="7" t="s">
        <v>211</v>
      </c>
      <c r="G275" s="7" t="s">
        <v>211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4.25" customHeight="1">
      <c r="A276" s="6" t="s">
        <v>24</v>
      </c>
      <c r="B276" s="6" t="s">
        <v>8</v>
      </c>
      <c r="C276" s="6" t="s">
        <v>212</v>
      </c>
      <c r="D276" s="6" t="s">
        <v>213</v>
      </c>
      <c r="E276" s="6" t="s">
        <v>32</v>
      </c>
      <c r="F276" s="7" t="s">
        <v>214</v>
      </c>
      <c r="G276" s="7" t="s">
        <v>215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4.25" customHeight="1">
      <c r="A277" s="6" t="s">
        <v>158</v>
      </c>
      <c r="B277" s="6" t="s">
        <v>8</v>
      </c>
      <c r="C277" s="6" t="s">
        <v>216</v>
      </c>
      <c r="D277" s="6" t="s">
        <v>217</v>
      </c>
      <c r="E277" s="6" t="s">
        <v>27</v>
      </c>
      <c r="F277" s="7" t="s">
        <v>215</v>
      </c>
      <c r="G277" s="7" t="s">
        <v>215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4.25" customHeight="1">
      <c r="A278" s="6" t="s">
        <v>79</v>
      </c>
      <c r="B278" s="6" t="s">
        <v>8</v>
      </c>
      <c r="C278" s="6" t="s">
        <v>218</v>
      </c>
      <c r="D278" s="6" t="s">
        <v>219</v>
      </c>
      <c r="E278" s="6" t="s">
        <v>20</v>
      </c>
      <c r="F278" s="7" t="s">
        <v>220</v>
      </c>
      <c r="G278" s="7" t="s">
        <v>221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4.25" customHeight="1">
      <c r="A279" s="6" t="s">
        <v>117</v>
      </c>
      <c r="B279" s="6" t="s">
        <v>8</v>
      </c>
      <c r="C279" s="6" t="s">
        <v>222</v>
      </c>
      <c r="D279" s="6" t="s">
        <v>223</v>
      </c>
      <c r="E279" s="6" t="s">
        <v>20</v>
      </c>
      <c r="F279" s="7" t="s">
        <v>224</v>
      </c>
      <c r="G279" s="7" t="s">
        <v>224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4.25" customHeight="1">
      <c r="A280" s="6" t="s">
        <v>17</v>
      </c>
      <c r="B280" s="6" t="s">
        <v>8</v>
      </c>
      <c r="C280" s="6" t="s">
        <v>225</v>
      </c>
      <c r="D280" s="6" t="s">
        <v>226</v>
      </c>
      <c r="E280" s="6" t="s">
        <v>20</v>
      </c>
      <c r="F280" s="7" t="s">
        <v>227</v>
      </c>
      <c r="G280" s="7" t="s">
        <v>227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4.25" customHeight="1">
      <c r="A281" s="6" t="s">
        <v>169</v>
      </c>
      <c r="B281" s="6" t="s">
        <v>8</v>
      </c>
      <c r="C281" s="6" t="s">
        <v>228</v>
      </c>
      <c r="D281" s="6" t="s">
        <v>229</v>
      </c>
      <c r="E281" s="6" t="s">
        <v>20</v>
      </c>
      <c r="F281" s="7" t="s">
        <v>230</v>
      </c>
      <c r="G281" s="7" t="s">
        <v>230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4.25" customHeight="1">
      <c r="A282" s="6" t="s">
        <v>14</v>
      </c>
      <c r="B282" s="6" t="s">
        <v>8</v>
      </c>
      <c r="C282" s="6" t="s">
        <v>231</v>
      </c>
      <c r="D282" s="6" t="s">
        <v>232</v>
      </c>
      <c r="E282" s="6" t="s">
        <v>20</v>
      </c>
      <c r="F282" s="7" t="s">
        <v>233</v>
      </c>
      <c r="G282" s="7" t="s">
        <v>233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4.25" customHeight="1">
      <c r="A283" s="6" t="s">
        <v>14</v>
      </c>
      <c r="B283" s="6" t="s">
        <v>8</v>
      </c>
      <c r="C283" s="6" t="s">
        <v>231</v>
      </c>
      <c r="D283" s="6" t="s">
        <v>232</v>
      </c>
      <c r="E283" s="6" t="s">
        <v>11</v>
      </c>
      <c r="F283" s="7" t="s">
        <v>233</v>
      </c>
      <c r="G283" s="7" t="s">
        <v>233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4.25" customHeight="1">
      <c r="A284" s="6" t="s">
        <v>17</v>
      </c>
      <c r="B284" s="6" t="s">
        <v>8</v>
      </c>
      <c r="C284" s="6" t="s">
        <v>234</v>
      </c>
      <c r="D284" s="6" t="s">
        <v>235</v>
      </c>
      <c r="E284" s="6" t="s">
        <v>48</v>
      </c>
      <c r="F284" s="7" t="s">
        <v>224</v>
      </c>
      <c r="G284" s="7" t="s">
        <v>215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4.25" customHeight="1">
      <c r="A285" s="6" t="s">
        <v>17</v>
      </c>
      <c r="B285" s="6" t="s">
        <v>8</v>
      </c>
      <c r="C285" s="6" t="s">
        <v>234</v>
      </c>
      <c r="D285" s="6" t="s">
        <v>235</v>
      </c>
      <c r="E285" s="6" t="s">
        <v>32</v>
      </c>
      <c r="F285" s="7" t="s">
        <v>224</v>
      </c>
      <c r="G285" s="7" t="s">
        <v>215</v>
      </c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4.25" customHeight="1">
      <c r="A286" s="6" t="s">
        <v>17</v>
      </c>
      <c r="B286" s="6" t="s">
        <v>8</v>
      </c>
      <c r="C286" s="6" t="s">
        <v>234</v>
      </c>
      <c r="D286" s="6" t="s">
        <v>235</v>
      </c>
      <c r="E286" s="6" t="s">
        <v>27</v>
      </c>
      <c r="F286" s="7" t="s">
        <v>224</v>
      </c>
      <c r="G286" s="7" t="s">
        <v>215</v>
      </c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4.25" customHeight="1">
      <c r="A287" s="6" t="s">
        <v>17</v>
      </c>
      <c r="B287" s="6" t="s">
        <v>8</v>
      </c>
      <c r="C287" s="6" t="s">
        <v>234</v>
      </c>
      <c r="D287" s="6" t="s">
        <v>235</v>
      </c>
      <c r="E287" s="6" t="s">
        <v>54</v>
      </c>
      <c r="F287" s="7" t="s">
        <v>224</v>
      </c>
      <c r="G287" s="7" t="s">
        <v>215</v>
      </c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4.25" customHeight="1">
      <c r="A288" s="6" t="s">
        <v>17</v>
      </c>
      <c r="B288" s="6" t="s">
        <v>8</v>
      </c>
      <c r="C288" s="6" t="s">
        <v>234</v>
      </c>
      <c r="D288" s="6" t="s">
        <v>235</v>
      </c>
      <c r="E288" s="6" t="s">
        <v>39</v>
      </c>
      <c r="F288" s="7" t="s">
        <v>224</v>
      </c>
      <c r="G288" s="7" t="s">
        <v>215</v>
      </c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4.25" customHeight="1">
      <c r="A289" s="6" t="s">
        <v>158</v>
      </c>
      <c r="B289" s="6" t="s">
        <v>8</v>
      </c>
      <c r="C289" s="6" t="s">
        <v>216</v>
      </c>
      <c r="D289" s="6" t="s">
        <v>217</v>
      </c>
      <c r="E289" s="6" t="s">
        <v>32</v>
      </c>
      <c r="F289" s="7" t="s">
        <v>215</v>
      </c>
      <c r="G289" s="7" t="s">
        <v>215</v>
      </c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4.25" customHeight="1">
      <c r="A290" s="6" t="s">
        <v>102</v>
      </c>
      <c r="B290" s="6" t="s">
        <v>8</v>
      </c>
      <c r="C290" s="6" t="s">
        <v>236</v>
      </c>
      <c r="D290" s="6" t="s">
        <v>237</v>
      </c>
      <c r="E290" s="6" t="s">
        <v>32</v>
      </c>
      <c r="F290" s="7" t="s">
        <v>238</v>
      </c>
      <c r="G290" s="7" t="s">
        <v>224</v>
      </c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4.25" customHeight="1">
      <c r="A291" s="6" t="s">
        <v>88</v>
      </c>
      <c r="B291" s="6" t="s">
        <v>8</v>
      </c>
      <c r="C291" s="6" t="s">
        <v>239</v>
      </c>
      <c r="D291" s="6" t="s">
        <v>240</v>
      </c>
      <c r="E291" s="6" t="s">
        <v>39</v>
      </c>
      <c r="F291" s="7" t="s">
        <v>224</v>
      </c>
      <c r="G291" s="7" t="s">
        <v>224</v>
      </c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4.25" customHeight="1">
      <c r="A292" s="6" t="s">
        <v>72</v>
      </c>
      <c r="B292" s="6" t="s">
        <v>8</v>
      </c>
      <c r="C292" s="6" t="s">
        <v>241</v>
      </c>
      <c r="D292" s="6" t="s">
        <v>242</v>
      </c>
      <c r="E292" s="6" t="s">
        <v>20</v>
      </c>
      <c r="F292" s="7" t="s">
        <v>243</v>
      </c>
      <c r="G292" s="7" t="s">
        <v>243</v>
      </c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4.25" customHeight="1">
      <c r="A293" s="6" t="s">
        <v>72</v>
      </c>
      <c r="B293" s="6" t="s">
        <v>8</v>
      </c>
      <c r="C293" s="6" t="s">
        <v>244</v>
      </c>
      <c r="D293" s="6" t="s">
        <v>245</v>
      </c>
      <c r="E293" s="6" t="s">
        <v>32</v>
      </c>
      <c r="F293" s="7" t="s">
        <v>238</v>
      </c>
      <c r="G293" s="7" t="s">
        <v>238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4.25" customHeight="1">
      <c r="A294" s="6" t="s">
        <v>21</v>
      </c>
      <c r="B294" s="6" t="s">
        <v>8</v>
      </c>
      <c r="C294" s="6" t="s">
        <v>246</v>
      </c>
      <c r="D294" s="6" t="s">
        <v>247</v>
      </c>
      <c r="E294" s="6" t="s">
        <v>48</v>
      </c>
      <c r="F294" s="7" t="s">
        <v>227</v>
      </c>
      <c r="G294" s="7" t="s">
        <v>227</v>
      </c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4.25" customHeight="1">
      <c r="A295" s="6" t="s">
        <v>36</v>
      </c>
      <c r="B295" s="6" t="s">
        <v>8</v>
      </c>
      <c r="C295" s="6" t="s">
        <v>248</v>
      </c>
      <c r="D295" s="6" t="s">
        <v>249</v>
      </c>
      <c r="E295" s="6" t="s">
        <v>27</v>
      </c>
      <c r="F295" s="7" t="s">
        <v>238</v>
      </c>
      <c r="G295" s="7" t="s">
        <v>215</v>
      </c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4.25" customHeight="1">
      <c r="A296" s="6" t="s">
        <v>117</v>
      </c>
      <c r="B296" s="6" t="s">
        <v>8</v>
      </c>
      <c r="C296" s="6" t="s">
        <v>250</v>
      </c>
      <c r="D296" s="6" t="s">
        <v>251</v>
      </c>
      <c r="E296" s="6" t="s">
        <v>27</v>
      </c>
      <c r="F296" s="7" t="s">
        <v>224</v>
      </c>
      <c r="G296" s="7" t="s">
        <v>215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4.25" customHeight="1">
      <c r="A297" s="6" t="s">
        <v>72</v>
      </c>
      <c r="B297" s="6" t="s">
        <v>8</v>
      </c>
      <c r="C297" s="6" t="s">
        <v>252</v>
      </c>
      <c r="D297" s="6" t="s">
        <v>253</v>
      </c>
      <c r="E297" s="6" t="s">
        <v>27</v>
      </c>
      <c r="F297" s="7" t="s">
        <v>238</v>
      </c>
      <c r="G297" s="7" t="s">
        <v>224</v>
      </c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4.25" customHeight="1">
      <c r="A298" s="6" t="s">
        <v>49</v>
      </c>
      <c r="B298" s="6" t="s">
        <v>8</v>
      </c>
      <c r="C298" s="6" t="s">
        <v>254</v>
      </c>
      <c r="D298" s="6" t="s">
        <v>255</v>
      </c>
      <c r="E298" s="6" t="s">
        <v>39</v>
      </c>
      <c r="F298" s="7" t="s">
        <v>215</v>
      </c>
      <c r="G298" s="7" t="s">
        <v>256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4.25" customHeight="1">
      <c r="A299" s="6" t="s">
        <v>117</v>
      </c>
      <c r="B299" s="6" t="s">
        <v>8</v>
      </c>
      <c r="C299" s="6" t="s">
        <v>250</v>
      </c>
      <c r="D299" s="6" t="s">
        <v>251</v>
      </c>
      <c r="E299" s="6" t="s">
        <v>54</v>
      </c>
      <c r="F299" s="7" t="s">
        <v>215</v>
      </c>
      <c r="G299" s="7" t="s">
        <v>215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4.25" customHeight="1">
      <c r="A300" s="6" t="s">
        <v>72</v>
      </c>
      <c r="B300" s="6" t="s">
        <v>8</v>
      </c>
      <c r="C300" s="6" t="s">
        <v>257</v>
      </c>
      <c r="D300" s="6" t="s">
        <v>258</v>
      </c>
      <c r="E300" s="6" t="s">
        <v>20</v>
      </c>
      <c r="F300" s="7" t="s">
        <v>259</v>
      </c>
      <c r="G300" s="7" t="s">
        <v>259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4.25" customHeight="1">
      <c r="A301" s="6" t="s">
        <v>7</v>
      </c>
      <c r="B301" s="6" t="s">
        <v>8</v>
      </c>
      <c r="C301" s="6" t="s">
        <v>75</v>
      </c>
      <c r="D301" s="6" t="s">
        <v>76</v>
      </c>
      <c r="E301" s="6" t="s">
        <v>11</v>
      </c>
      <c r="F301" s="7" t="s">
        <v>259</v>
      </c>
      <c r="G301" s="7" t="s">
        <v>259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4.25" customHeight="1">
      <c r="A302" s="6" t="s">
        <v>21</v>
      </c>
      <c r="B302" s="6" t="s">
        <v>8</v>
      </c>
      <c r="C302" s="6" t="s">
        <v>260</v>
      </c>
      <c r="D302" s="6" t="s">
        <v>261</v>
      </c>
      <c r="E302" s="6" t="s">
        <v>20</v>
      </c>
      <c r="F302" s="7" t="s">
        <v>215</v>
      </c>
      <c r="G302" s="7" t="s">
        <v>227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4.25" customHeight="1">
      <c r="A303" s="6" t="s">
        <v>24</v>
      </c>
      <c r="B303" s="6" t="s">
        <v>8</v>
      </c>
      <c r="C303" s="6" t="s">
        <v>262</v>
      </c>
      <c r="D303" s="6" t="s">
        <v>263</v>
      </c>
      <c r="E303" s="6" t="s">
        <v>32</v>
      </c>
      <c r="F303" s="7" t="s">
        <v>264</v>
      </c>
      <c r="G303" s="7" t="s">
        <v>264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4.25" customHeight="1">
      <c r="A304" s="6" t="s">
        <v>7</v>
      </c>
      <c r="B304" s="6" t="s">
        <v>8</v>
      </c>
      <c r="C304" s="6" t="s">
        <v>75</v>
      </c>
      <c r="D304" s="6" t="s">
        <v>76</v>
      </c>
      <c r="E304" s="6" t="s">
        <v>20</v>
      </c>
      <c r="F304" s="7" t="s">
        <v>265</v>
      </c>
      <c r="G304" s="7" t="s">
        <v>266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4.25" customHeight="1">
      <c r="A305" s="6" t="s">
        <v>132</v>
      </c>
      <c r="B305" s="6" t="s">
        <v>8</v>
      </c>
      <c r="C305" s="6" t="s">
        <v>267</v>
      </c>
      <c r="D305" s="6" t="s">
        <v>268</v>
      </c>
      <c r="E305" s="6" t="s">
        <v>39</v>
      </c>
      <c r="F305" s="7" t="s">
        <v>265</v>
      </c>
      <c r="G305" s="7" t="s">
        <v>264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4.25" customHeight="1">
      <c r="A306" s="6" t="s">
        <v>72</v>
      </c>
      <c r="B306" s="6" t="s">
        <v>8</v>
      </c>
      <c r="C306" s="6" t="s">
        <v>269</v>
      </c>
      <c r="D306" s="6" t="s">
        <v>270</v>
      </c>
      <c r="E306" s="6" t="s">
        <v>20</v>
      </c>
      <c r="F306" s="7" t="s">
        <v>265</v>
      </c>
      <c r="G306" s="7" t="s">
        <v>265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4.25" customHeight="1">
      <c r="A307" s="6" t="s">
        <v>135</v>
      </c>
      <c r="B307" s="6" t="s">
        <v>8</v>
      </c>
      <c r="C307" s="6" t="s">
        <v>271</v>
      </c>
      <c r="D307" s="6" t="s">
        <v>272</v>
      </c>
      <c r="E307" s="6" t="s">
        <v>32</v>
      </c>
      <c r="F307" s="7" t="s">
        <v>243</v>
      </c>
      <c r="G307" s="7" t="s">
        <v>215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4.25" customHeight="1">
      <c r="A308" s="6" t="s">
        <v>72</v>
      </c>
      <c r="B308" s="6" t="s">
        <v>8</v>
      </c>
      <c r="C308" s="6" t="s">
        <v>269</v>
      </c>
      <c r="D308" s="6" t="s">
        <v>270</v>
      </c>
      <c r="E308" s="6" t="s">
        <v>32</v>
      </c>
      <c r="F308" s="7" t="s">
        <v>227</v>
      </c>
      <c r="G308" s="7" t="s">
        <v>227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4.25" customHeight="1">
      <c r="A309" s="6" t="s">
        <v>129</v>
      </c>
      <c r="B309" s="6" t="s">
        <v>8</v>
      </c>
      <c r="C309" s="6" t="s">
        <v>273</v>
      </c>
      <c r="D309" s="6" t="s">
        <v>274</v>
      </c>
      <c r="E309" s="6" t="s">
        <v>48</v>
      </c>
      <c r="F309" s="7" t="s">
        <v>256</v>
      </c>
      <c r="G309" s="7" t="s">
        <v>227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4.25" customHeight="1">
      <c r="A310" s="6" t="s">
        <v>93</v>
      </c>
      <c r="B310" s="6" t="s">
        <v>8</v>
      </c>
      <c r="C310" s="6" t="s">
        <v>275</v>
      </c>
      <c r="D310" s="6" t="s">
        <v>276</v>
      </c>
      <c r="E310" s="6" t="s">
        <v>39</v>
      </c>
      <c r="F310" s="7" t="s">
        <v>227</v>
      </c>
      <c r="G310" s="7" t="s">
        <v>227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4.25" customHeight="1">
      <c r="A311" s="6" t="s">
        <v>129</v>
      </c>
      <c r="B311" s="6" t="s">
        <v>8</v>
      </c>
      <c r="C311" s="6" t="s">
        <v>273</v>
      </c>
      <c r="D311" s="6" t="s">
        <v>274</v>
      </c>
      <c r="E311" s="6" t="s">
        <v>27</v>
      </c>
      <c r="F311" s="7" t="s">
        <v>256</v>
      </c>
      <c r="G311" s="7" t="s">
        <v>227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4.25" customHeight="1">
      <c r="A312" s="6" t="s">
        <v>129</v>
      </c>
      <c r="B312" s="6" t="s">
        <v>8</v>
      </c>
      <c r="C312" s="6" t="s">
        <v>273</v>
      </c>
      <c r="D312" s="6" t="s">
        <v>274</v>
      </c>
      <c r="E312" s="6" t="s">
        <v>54</v>
      </c>
      <c r="F312" s="7" t="s">
        <v>256</v>
      </c>
      <c r="G312" s="7" t="s">
        <v>227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4.25" customHeight="1">
      <c r="A313" s="6" t="s">
        <v>129</v>
      </c>
      <c r="B313" s="6" t="s">
        <v>8</v>
      </c>
      <c r="C313" s="6" t="s">
        <v>273</v>
      </c>
      <c r="D313" s="6" t="s">
        <v>274</v>
      </c>
      <c r="E313" s="6" t="s">
        <v>39</v>
      </c>
      <c r="F313" s="7" t="s">
        <v>256</v>
      </c>
      <c r="G313" s="7" t="s">
        <v>227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4.25" customHeight="1">
      <c r="A314" s="6" t="s">
        <v>105</v>
      </c>
      <c r="B314" s="6" t="s">
        <v>8</v>
      </c>
      <c r="C314" s="6" t="s">
        <v>277</v>
      </c>
      <c r="D314" s="6" t="s">
        <v>278</v>
      </c>
      <c r="E314" s="6" t="s">
        <v>27</v>
      </c>
      <c r="F314" s="7" t="s">
        <v>215</v>
      </c>
      <c r="G314" s="7" t="s">
        <v>227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4.25" customHeight="1">
      <c r="A315" s="6" t="s">
        <v>21</v>
      </c>
      <c r="B315" s="6" t="s">
        <v>8</v>
      </c>
      <c r="C315" s="6" t="s">
        <v>279</v>
      </c>
      <c r="D315" s="6" t="s">
        <v>280</v>
      </c>
      <c r="E315" s="6" t="s">
        <v>54</v>
      </c>
      <c r="F315" s="7" t="s">
        <v>224</v>
      </c>
      <c r="G315" s="7" t="s">
        <v>224</v>
      </c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4.25" customHeight="1">
      <c r="A316" s="6" t="s">
        <v>169</v>
      </c>
      <c r="B316" s="6" t="s">
        <v>8</v>
      </c>
      <c r="C316" s="6" t="s">
        <v>281</v>
      </c>
      <c r="D316" s="6" t="s">
        <v>282</v>
      </c>
      <c r="E316" s="6" t="s">
        <v>27</v>
      </c>
      <c r="F316" s="7" t="s">
        <v>215</v>
      </c>
      <c r="G316" s="7" t="s">
        <v>215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4.25" customHeight="1">
      <c r="A317" s="6" t="s">
        <v>24</v>
      </c>
      <c r="B317" s="6" t="s">
        <v>8</v>
      </c>
      <c r="C317" s="6" t="s">
        <v>283</v>
      </c>
      <c r="D317" s="6" t="s">
        <v>284</v>
      </c>
      <c r="E317" s="6" t="s">
        <v>27</v>
      </c>
      <c r="F317" s="7" t="s">
        <v>215</v>
      </c>
      <c r="G317" s="7" t="s">
        <v>215</v>
      </c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4.25" customHeight="1">
      <c r="A318" s="6" t="s">
        <v>24</v>
      </c>
      <c r="B318" s="6" t="s">
        <v>8</v>
      </c>
      <c r="C318" s="6" t="s">
        <v>283</v>
      </c>
      <c r="D318" s="6" t="s">
        <v>284</v>
      </c>
      <c r="E318" s="6" t="s">
        <v>39</v>
      </c>
      <c r="F318" s="7" t="s">
        <v>215</v>
      </c>
      <c r="G318" s="7" t="s">
        <v>215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4.25" customHeight="1">
      <c r="A319" s="6" t="s">
        <v>93</v>
      </c>
      <c r="B319" s="6" t="s">
        <v>8</v>
      </c>
      <c r="C319" s="6" t="s">
        <v>285</v>
      </c>
      <c r="D319" s="6" t="s">
        <v>286</v>
      </c>
      <c r="E319" s="6" t="s">
        <v>11</v>
      </c>
      <c r="F319" s="7" t="s">
        <v>287</v>
      </c>
      <c r="G319" s="7" t="s">
        <v>287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4.25" customHeight="1">
      <c r="A320" s="6" t="s">
        <v>110</v>
      </c>
      <c r="B320" s="6" t="s">
        <v>8</v>
      </c>
      <c r="C320" s="6" t="s">
        <v>288</v>
      </c>
      <c r="D320" s="6" t="s">
        <v>289</v>
      </c>
      <c r="E320" s="6" t="s">
        <v>20</v>
      </c>
      <c r="F320" s="7" t="s">
        <v>238</v>
      </c>
      <c r="G320" s="7" t="s">
        <v>215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4.25" customHeight="1">
      <c r="A321" s="6" t="s">
        <v>129</v>
      </c>
      <c r="B321" s="6" t="s">
        <v>8</v>
      </c>
      <c r="C321" s="6" t="s">
        <v>290</v>
      </c>
      <c r="D321" s="6" t="s">
        <v>291</v>
      </c>
      <c r="E321" s="6" t="s">
        <v>27</v>
      </c>
      <c r="F321" s="7" t="s">
        <v>256</v>
      </c>
      <c r="G321" s="7" t="s">
        <v>256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4.25" customHeight="1">
      <c r="A322" s="6" t="s">
        <v>72</v>
      </c>
      <c r="B322" s="6" t="s">
        <v>8</v>
      </c>
      <c r="C322" s="6" t="s">
        <v>292</v>
      </c>
      <c r="D322" s="6" t="s">
        <v>293</v>
      </c>
      <c r="E322" s="6" t="s">
        <v>48</v>
      </c>
      <c r="F322" s="7" t="s">
        <v>28</v>
      </c>
      <c r="G322" s="7" t="s">
        <v>28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4.25" customHeight="1">
      <c r="A323" s="6" t="s">
        <v>36</v>
      </c>
      <c r="B323" s="6" t="s">
        <v>8</v>
      </c>
      <c r="C323" s="6" t="s">
        <v>294</v>
      </c>
      <c r="D323" s="6" t="s">
        <v>295</v>
      </c>
      <c r="E323" s="6" t="s">
        <v>20</v>
      </c>
      <c r="F323" s="7" t="s">
        <v>12</v>
      </c>
      <c r="G323" s="7" t="s">
        <v>12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4.25" customHeight="1">
      <c r="A324" s="6" t="s">
        <v>105</v>
      </c>
      <c r="B324" s="6" t="s">
        <v>8</v>
      </c>
      <c r="C324" s="6" t="s">
        <v>296</v>
      </c>
      <c r="D324" s="6" t="s">
        <v>297</v>
      </c>
      <c r="E324" s="6" t="s">
        <v>27</v>
      </c>
      <c r="F324" s="7" t="s">
        <v>215</v>
      </c>
      <c r="G324" s="7" t="s">
        <v>215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4.25" customHeight="1">
      <c r="A325" s="6" t="s">
        <v>169</v>
      </c>
      <c r="B325" s="6" t="s">
        <v>8</v>
      </c>
      <c r="C325" s="6" t="s">
        <v>298</v>
      </c>
      <c r="D325" s="6" t="s">
        <v>299</v>
      </c>
      <c r="E325" s="6" t="s">
        <v>32</v>
      </c>
      <c r="F325" s="7" t="s">
        <v>264</v>
      </c>
      <c r="G325" s="7" t="s">
        <v>264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4.25" customHeight="1">
      <c r="A326" s="6" t="s">
        <v>132</v>
      </c>
      <c r="B326" s="6" t="s">
        <v>8</v>
      </c>
      <c r="C326" s="6" t="s">
        <v>172</v>
      </c>
      <c r="D326" s="6" t="s">
        <v>173</v>
      </c>
      <c r="E326" s="6" t="s">
        <v>32</v>
      </c>
      <c r="F326" s="7" t="s">
        <v>300</v>
      </c>
      <c r="G326" s="7" t="s">
        <v>300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4.25" customHeight="1">
      <c r="A327" s="6" t="s">
        <v>105</v>
      </c>
      <c r="B327" s="6" t="s">
        <v>8</v>
      </c>
      <c r="C327" s="6" t="s">
        <v>106</v>
      </c>
      <c r="D327" s="6" t="s">
        <v>107</v>
      </c>
      <c r="E327" s="6" t="s">
        <v>20</v>
      </c>
      <c r="F327" s="7" t="s">
        <v>301</v>
      </c>
      <c r="G327" s="7" t="s">
        <v>301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4.25" customHeight="1">
      <c r="A328" s="6" t="s">
        <v>65</v>
      </c>
      <c r="B328" s="6" t="s">
        <v>8</v>
      </c>
      <c r="C328" s="6" t="s">
        <v>302</v>
      </c>
      <c r="D328" s="6" t="s">
        <v>303</v>
      </c>
      <c r="E328" s="6" t="s">
        <v>32</v>
      </c>
      <c r="F328" s="7" t="s">
        <v>256</v>
      </c>
      <c r="G328" s="7" t="s">
        <v>256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4.25" customHeight="1">
      <c r="A329" s="6" t="s">
        <v>65</v>
      </c>
      <c r="B329" s="6" t="s">
        <v>8</v>
      </c>
      <c r="C329" s="6" t="s">
        <v>304</v>
      </c>
      <c r="D329" s="6" t="s">
        <v>305</v>
      </c>
      <c r="E329" s="6" t="s">
        <v>11</v>
      </c>
      <c r="F329" s="7" t="s">
        <v>224</v>
      </c>
      <c r="G329" s="7" t="s">
        <v>215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4.25" customHeight="1">
      <c r="A330" s="6" t="s">
        <v>132</v>
      </c>
      <c r="B330" s="6" t="s">
        <v>8</v>
      </c>
      <c r="C330" s="6" t="s">
        <v>306</v>
      </c>
      <c r="D330" s="6" t="s">
        <v>307</v>
      </c>
      <c r="E330" s="6" t="s">
        <v>27</v>
      </c>
      <c r="F330" s="7" t="s">
        <v>12</v>
      </c>
      <c r="G330" s="7" t="s">
        <v>12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4.25" customHeight="1">
      <c r="A331" s="6" t="s">
        <v>65</v>
      </c>
      <c r="B331" s="6" t="s">
        <v>8</v>
      </c>
      <c r="C331" s="6" t="s">
        <v>308</v>
      </c>
      <c r="D331" s="6" t="s">
        <v>309</v>
      </c>
      <c r="E331" s="6" t="s">
        <v>48</v>
      </c>
      <c r="F331" s="7" t="s">
        <v>227</v>
      </c>
      <c r="G331" s="7" t="s">
        <v>227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4.25" customHeight="1">
      <c r="A332" s="6" t="s">
        <v>135</v>
      </c>
      <c r="B332" s="6" t="s">
        <v>8</v>
      </c>
      <c r="C332" s="6" t="s">
        <v>142</v>
      </c>
      <c r="D332" s="6" t="s">
        <v>143</v>
      </c>
      <c r="E332" s="6" t="s">
        <v>32</v>
      </c>
      <c r="F332" s="7" t="s">
        <v>12</v>
      </c>
      <c r="G332" s="7" t="s">
        <v>28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4.25" customHeight="1">
      <c r="A333" s="6" t="s">
        <v>105</v>
      </c>
      <c r="B333" s="6" t="s">
        <v>8</v>
      </c>
      <c r="C333" s="6" t="s">
        <v>106</v>
      </c>
      <c r="D333" s="6" t="s">
        <v>107</v>
      </c>
      <c r="E333" s="6" t="s">
        <v>32</v>
      </c>
      <c r="F333" s="7" t="s">
        <v>28</v>
      </c>
      <c r="G333" s="7" t="s">
        <v>28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4.25" customHeight="1">
      <c r="A334" s="6" t="s">
        <v>93</v>
      </c>
      <c r="B334" s="6" t="s">
        <v>8</v>
      </c>
      <c r="C334" s="6" t="s">
        <v>310</v>
      </c>
      <c r="D334" s="6" t="s">
        <v>311</v>
      </c>
      <c r="E334" s="6" t="s">
        <v>11</v>
      </c>
      <c r="F334" s="7" t="s">
        <v>256</v>
      </c>
      <c r="G334" s="7" t="s">
        <v>256</v>
      </c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4.25" customHeight="1">
      <c r="A335" s="6" t="s">
        <v>17</v>
      </c>
      <c r="B335" s="6" t="s">
        <v>8</v>
      </c>
      <c r="C335" s="6" t="s">
        <v>60</v>
      </c>
      <c r="D335" s="6" t="s">
        <v>61</v>
      </c>
      <c r="E335" s="6" t="s">
        <v>20</v>
      </c>
      <c r="F335" s="7" t="s">
        <v>28</v>
      </c>
      <c r="G335" s="7" t="s">
        <v>28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4.25" customHeight="1">
      <c r="A336" s="6" t="s">
        <v>21</v>
      </c>
      <c r="B336" s="6" t="s">
        <v>8</v>
      </c>
      <c r="C336" s="6" t="s">
        <v>279</v>
      </c>
      <c r="D336" s="6" t="s">
        <v>280</v>
      </c>
      <c r="E336" s="6" t="s">
        <v>27</v>
      </c>
      <c r="F336" s="7" t="s">
        <v>224</v>
      </c>
      <c r="G336" s="7" t="s">
        <v>224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4.25" customHeight="1">
      <c r="A337" s="6" t="s">
        <v>21</v>
      </c>
      <c r="B337" s="6" t="s">
        <v>8</v>
      </c>
      <c r="C337" s="6" t="s">
        <v>279</v>
      </c>
      <c r="D337" s="6" t="s">
        <v>280</v>
      </c>
      <c r="E337" s="6" t="s">
        <v>39</v>
      </c>
      <c r="F337" s="7" t="s">
        <v>224</v>
      </c>
      <c r="G337" s="7" t="s">
        <v>224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4.25" customHeight="1">
      <c r="A338" s="6" t="s">
        <v>21</v>
      </c>
      <c r="B338" s="6" t="s">
        <v>8</v>
      </c>
      <c r="C338" s="6" t="s">
        <v>279</v>
      </c>
      <c r="D338" s="6" t="s">
        <v>280</v>
      </c>
      <c r="E338" s="6" t="s">
        <v>48</v>
      </c>
      <c r="F338" s="7" t="s">
        <v>224</v>
      </c>
      <c r="G338" s="7" t="s">
        <v>224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4.25" customHeight="1">
      <c r="A339" s="6" t="s">
        <v>132</v>
      </c>
      <c r="B339" s="6" t="s">
        <v>8</v>
      </c>
      <c r="C339" s="6" t="s">
        <v>312</v>
      </c>
      <c r="D339" s="6" t="s">
        <v>313</v>
      </c>
      <c r="E339" s="6" t="s">
        <v>48</v>
      </c>
      <c r="F339" s="7" t="s">
        <v>256</v>
      </c>
      <c r="G339" s="7" t="s">
        <v>256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4.25" customHeight="1">
      <c r="A340" s="6" t="s">
        <v>62</v>
      </c>
      <c r="B340" s="6" t="s">
        <v>8</v>
      </c>
      <c r="C340" s="6" t="s">
        <v>314</v>
      </c>
      <c r="D340" s="6" t="s">
        <v>315</v>
      </c>
      <c r="E340" s="6" t="s">
        <v>27</v>
      </c>
      <c r="F340" s="7" t="s">
        <v>238</v>
      </c>
      <c r="G340" s="7" t="s">
        <v>224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4.25" customHeight="1">
      <c r="A341" s="6" t="s">
        <v>132</v>
      </c>
      <c r="B341" s="6" t="s">
        <v>8</v>
      </c>
      <c r="C341" s="6" t="s">
        <v>316</v>
      </c>
      <c r="D341" s="6" t="s">
        <v>317</v>
      </c>
      <c r="E341" s="6" t="s">
        <v>32</v>
      </c>
      <c r="F341" s="7" t="s">
        <v>227</v>
      </c>
      <c r="G341" s="7" t="s">
        <v>227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4.25" customHeight="1">
      <c r="A342" s="6" t="s">
        <v>49</v>
      </c>
      <c r="B342" s="6" t="s">
        <v>8</v>
      </c>
      <c r="C342" s="6" t="s">
        <v>198</v>
      </c>
      <c r="D342" s="6" t="s">
        <v>199</v>
      </c>
      <c r="E342" s="6" t="s">
        <v>48</v>
      </c>
      <c r="F342" s="7" t="s">
        <v>28</v>
      </c>
      <c r="G342" s="7" t="s">
        <v>28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4.25" customHeight="1">
      <c r="A343" s="6" t="s">
        <v>93</v>
      </c>
      <c r="B343" s="6" t="s">
        <v>8</v>
      </c>
      <c r="C343" s="6" t="s">
        <v>318</v>
      </c>
      <c r="D343" s="6" t="s">
        <v>319</v>
      </c>
      <c r="E343" s="6" t="s">
        <v>27</v>
      </c>
      <c r="F343" s="7" t="s">
        <v>215</v>
      </c>
      <c r="G343" s="7" t="s">
        <v>215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4.25" customHeight="1">
      <c r="A344" s="6" t="s">
        <v>132</v>
      </c>
      <c r="B344" s="6" t="s">
        <v>8</v>
      </c>
      <c r="C344" s="6" t="s">
        <v>172</v>
      </c>
      <c r="D344" s="6" t="s">
        <v>173</v>
      </c>
      <c r="E344" s="6" t="s">
        <v>11</v>
      </c>
      <c r="F344" s="7" t="s">
        <v>300</v>
      </c>
      <c r="G344" s="7" t="s">
        <v>300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4.25" customHeight="1">
      <c r="A345" s="6" t="s">
        <v>132</v>
      </c>
      <c r="B345" s="6" t="s">
        <v>8</v>
      </c>
      <c r="C345" s="6" t="s">
        <v>172</v>
      </c>
      <c r="D345" s="6" t="s">
        <v>173</v>
      </c>
      <c r="E345" s="6" t="s">
        <v>20</v>
      </c>
      <c r="F345" s="7" t="s">
        <v>300</v>
      </c>
      <c r="G345" s="7" t="s">
        <v>300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4.25" customHeight="1">
      <c r="A346" s="6" t="s">
        <v>158</v>
      </c>
      <c r="B346" s="6" t="s">
        <v>8</v>
      </c>
      <c r="C346" s="6" t="s">
        <v>320</v>
      </c>
      <c r="D346" s="6" t="s">
        <v>321</v>
      </c>
      <c r="E346" s="6" t="s">
        <v>20</v>
      </c>
      <c r="F346" s="7" t="s">
        <v>28</v>
      </c>
      <c r="G346" s="7" t="s">
        <v>28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4.25" customHeight="1">
      <c r="A347" s="6" t="s">
        <v>49</v>
      </c>
      <c r="B347" s="6" t="s">
        <v>8</v>
      </c>
      <c r="C347" s="6" t="s">
        <v>174</v>
      </c>
      <c r="D347" s="6" t="s">
        <v>175</v>
      </c>
      <c r="E347" s="6" t="s">
        <v>32</v>
      </c>
      <c r="F347" s="7" t="s">
        <v>12</v>
      </c>
      <c r="G347" s="7" t="s">
        <v>28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4.25" customHeight="1">
      <c r="A348" s="6" t="s">
        <v>49</v>
      </c>
      <c r="B348" s="6" t="s">
        <v>8</v>
      </c>
      <c r="C348" s="6" t="s">
        <v>174</v>
      </c>
      <c r="D348" s="6" t="s">
        <v>175</v>
      </c>
      <c r="E348" s="6" t="s">
        <v>39</v>
      </c>
      <c r="F348" s="7" t="s">
        <v>264</v>
      </c>
      <c r="G348" s="7" t="s">
        <v>28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4.25" customHeight="1">
      <c r="A349" s="6" t="s">
        <v>49</v>
      </c>
      <c r="B349" s="6" t="s">
        <v>8</v>
      </c>
      <c r="C349" s="6" t="s">
        <v>174</v>
      </c>
      <c r="D349" s="6" t="s">
        <v>175</v>
      </c>
      <c r="E349" s="6" t="s">
        <v>20</v>
      </c>
      <c r="F349" s="7" t="s">
        <v>12</v>
      </c>
      <c r="G349" s="7" t="s">
        <v>28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4.25" customHeight="1">
      <c r="A350" s="6" t="s">
        <v>49</v>
      </c>
      <c r="B350" s="6" t="s">
        <v>8</v>
      </c>
      <c r="C350" s="6" t="s">
        <v>174</v>
      </c>
      <c r="D350" s="6" t="s">
        <v>175</v>
      </c>
      <c r="E350" s="6" t="s">
        <v>27</v>
      </c>
      <c r="F350" s="7" t="s">
        <v>12</v>
      </c>
      <c r="G350" s="7" t="s">
        <v>28</v>
      </c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4.25" customHeight="1">
      <c r="A351" s="6" t="s">
        <v>49</v>
      </c>
      <c r="B351" s="6" t="s">
        <v>8</v>
      </c>
      <c r="C351" s="6" t="s">
        <v>174</v>
      </c>
      <c r="D351" s="6" t="s">
        <v>175</v>
      </c>
      <c r="E351" s="6" t="s">
        <v>48</v>
      </c>
      <c r="F351" s="7" t="s">
        <v>12</v>
      </c>
      <c r="G351" s="7" t="s">
        <v>28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4.25" customHeight="1">
      <c r="A352" s="6" t="s">
        <v>49</v>
      </c>
      <c r="B352" s="6" t="s">
        <v>8</v>
      </c>
      <c r="C352" s="6" t="s">
        <v>127</v>
      </c>
      <c r="D352" s="6" t="s">
        <v>128</v>
      </c>
      <c r="E352" s="6" t="s">
        <v>48</v>
      </c>
      <c r="F352" s="7" t="s">
        <v>28</v>
      </c>
      <c r="G352" s="7" t="s">
        <v>28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4.25" customHeight="1">
      <c r="A353" s="6" t="s">
        <v>117</v>
      </c>
      <c r="B353" s="6" t="s">
        <v>8</v>
      </c>
      <c r="C353" s="6" t="s">
        <v>322</v>
      </c>
      <c r="D353" s="6" t="s">
        <v>323</v>
      </c>
      <c r="E353" s="6" t="s">
        <v>32</v>
      </c>
      <c r="F353" s="7" t="s">
        <v>12</v>
      </c>
      <c r="G353" s="7" t="s">
        <v>12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4.25" customHeight="1">
      <c r="A354" s="6" t="s">
        <v>17</v>
      </c>
      <c r="B354" s="6" t="s">
        <v>8</v>
      </c>
      <c r="C354" s="6" t="s">
        <v>96</v>
      </c>
      <c r="D354" s="6" t="s">
        <v>97</v>
      </c>
      <c r="E354" s="6" t="s">
        <v>32</v>
      </c>
      <c r="F354" s="7" t="s">
        <v>28</v>
      </c>
      <c r="G354" s="7" t="s">
        <v>28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4.25" customHeight="1">
      <c r="A355" s="6" t="s">
        <v>33</v>
      </c>
      <c r="B355" s="6" t="s">
        <v>8</v>
      </c>
      <c r="C355" s="6" t="s">
        <v>182</v>
      </c>
      <c r="D355" s="6" t="s">
        <v>183</v>
      </c>
      <c r="E355" s="6" t="s">
        <v>27</v>
      </c>
      <c r="F355" s="7" t="s">
        <v>28</v>
      </c>
      <c r="G355" s="7" t="s">
        <v>28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4.25" customHeight="1">
      <c r="A356" s="6" t="s">
        <v>33</v>
      </c>
      <c r="B356" s="6" t="s">
        <v>8</v>
      </c>
      <c r="C356" s="6" t="s">
        <v>324</v>
      </c>
      <c r="D356" s="6" t="s">
        <v>325</v>
      </c>
      <c r="E356" s="6" t="s">
        <v>27</v>
      </c>
      <c r="F356" s="7" t="s">
        <v>227</v>
      </c>
      <c r="G356" s="7" t="s">
        <v>227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4.25" customHeight="1">
      <c r="A357" s="6" t="s">
        <v>102</v>
      </c>
      <c r="B357" s="6" t="s">
        <v>8</v>
      </c>
      <c r="C357" s="6" t="s">
        <v>326</v>
      </c>
      <c r="D357" s="6" t="s">
        <v>327</v>
      </c>
      <c r="E357" s="6" t="s">
        <v>48</v>
      </c>
      <c r="F357" s="7" t="s">
        <v>215</v>
      </c>
      <c r="G357" s="7" t="s">
        <v>215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4.25" customHeight="1">
      <c r="A358" s="6" t="s">
        <v>24</v>
      </c>
      <c r="B358" s="6" t="s">
        <v>8</v>
      </c>
      <c r="C358" s="6" t="s">
        <v>328</v>
      </c>
      <c r="D358" s="6" t="s">
        <v>329</v>
      </c>
      <c r="E358" s="6" t="s">
        <v>32</v>
      </c>
      <c r="F358" s="7" t="s">
        <v>264</v>
      </c>
      <c r="G358" s="7" t="s">
        <v>264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4.25" customHeight="1">
      <c r="A359" s="6" t="s">
        <v>72</v>
      </c>
      <c r="B359" s="6" t="s">
        <v>8</v>
      </c>
      <c r="C359" s="6" t="s">
        <v>330</v>
      </c>
      <c r="D359" s="6" t="s">
        <v>331</v>
      </c>
      <c r="E359" s="6" t="s">
        <v>32</v>
      </c>
      <c r="F359" s="7" t="s">
        <v>238</v>
      </c>
      <c r="G359" s="7" t="s">
        <v>238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4.25" customHeight="1">
      <c r="A360" s="6" t="s">
        <v>72</v>
      </c>
      <c r="B360" s="6" t="s">
        <v>8</v>
      </c>
      <c r="C360" s="6" t="s">
        <v>252</v>
      </c>
      <c r="D360" s="6" t="s">
        <v>253</v>
      </c>
      <c r="E360" s="6" t="s">
        <v>54</v>
      </c>
      <c r="F360" s="7" t="s">
        <v>332</v>
      </c>
      <c r="G360" s="7" t="s">
        <v>224</v>
      </c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4.25" customHeight="1">
      <c r="A361" s="6" t="s">
        <v>72</v>
      </c>
      <c r="B361" s="6" t="s">
        <v>8</v>
      </c>
      <c r="C361" s="6" t="s">
        <v>252</v>
      </c>
      <c r="D361" s="6" t="s">
        <v>253</v>
      </c>
      <c r="E361" s="6" t="s">
        <v>48</v>
      </c>
      <c r="F361" s="7" t="s">
        <v>332</v>
      </c>
      <c r="G361" s="7" t="s">
        <v>224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4.25" customHeight="1">
      <c r="A362" s="6" t="s">
        <v>24</v>
      </c>
      <c r="B362" s="6" t="s">
        <v>8</v>
      </c>
      <c r="C362" s="6" t="s">
        <v>333</v>
      </c>
      <c r="D362" s="6" t="s">
        <v>334</v>
      </c>
      <c r="E362" s="6" t="s">
        <v>48</v>
      </c>
      <c r="F362" s="7" t="s">
        <v>238</v>
      </c>
      <c r="G362" s="7" t="s">
        <v>238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4.25" customHeight="1">
      <c r="A363" s="6" t="s">
        <v>45</v>
      </c>
      <c r="B363" s="6" t="s">
        <v>8</v>
      </c>
      <c r="C363" s="6" t="s">
        <v>335</v>
      </c>
      <c r="D363" s="6" t="s">
        <v>336</v>
      </c>
      <c r="E363" s="6" t="s">
        <v>27</v>
      </c>
      <c r="F363" s="7" t="s">
        <v>28</v>
      </c>
      <c r="G363" s="7" t="s">
        <v>28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4.25" customHeight="1">
      <c r="A364" s="6" t="s">
        <v>36</v>
      </c>
      <c r="B364" s="6" t="s">
        <v>8</v>
      </c>
      <c r="C364" s="6" t="s">
        <v>294</v>
      </c>
      <c r="D364" s="6" t="s">
        <v>295</v>
      </c>
      <c r="E364" s="6" t="s">
        <v>11</v>
      </c>
      <c r="F364" s="7" t="s">
        <v>12</v>
      </c>
      <c r="G364" s="7" t="s">
        <v>12</v>
      </c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4.25" customHeight="1">
      <c r="A365" s="6" t="s">
        <v>24</v>
      </c>
      <c r="B365" s="6" t="s">
        <v>8</v>
      </c>
      <c r="C365" s="6" t="s">
        <v>333</v>
      </c>
      <c r="D365" s="6" t="s">
        <v>334</v>
      </c>
      <c r="E365" s="6" t="s">
        <v>39</v>
      </c>
      <c r="F365" s="7" t="s">
        <v>238</v>
      </c>
      <c r="G365" s="7" t="s">
        <v>238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4.25" customHeight="1">
      <c r="A366" s="6" t="s">
        <v>72</v>
      </c>
      <c r="B366" s="6" t="s">
        <v>8</v>
      </c>
      <c r="C366" s="6" t="s">
        <v>337</v>
      </c>
      <c r="D366" s="6" t="s">
        <v>338</v>
      </c>
      <c r="E366" s="6" t="s">
        <v>32</v>
      </c>
      <c r="F366" s="7" t="s">
        <v>238</v>
      </c>
      <c r="G366" s="7" t="s">
        <v>238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4.25" customHeight="1">
      <c r="A367" s="6" t="s">
        <v>79</v>
      </c>
      <c r="B367" s="6" t="s">
        <v>8</v>
      </c>
      <c r="C367" s="6" t="s">
        <v>339</v>
      </c>
      <c r="D367" s="6" t="s">
        <v>340</v>
      </c>
      <c r="E367" s="6" t="s">
        <v>32</v>
      </c>
      <c r="F367" s="7" t="s">
        <v>215</v>
      </c>
      <c r="G367" s="7" t="s">
        <v>215</v>
      </c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4.25" customHeight="1">
      <c r="A368" s="6" t="s">
        <v>110</v>
      </c>
      <c r="B368" s="6" t="s">
        <v>8</v>
      </c>
      <c r="C368" s="6" t="s">
        <v>341</v>
      </c>
      <c r="D368" s="6" t="s">
        <v>342</v>
      </c>
      <c r="E368" s="6" t="s">
        <v>32</v>
      </c>
      <c r="F368" s="7" t="s">
        <v>224</v>
      </c>
      <c r="G368" s="7" t="s">
        <v>224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4.25" customHeight="1">
      <c r="A369" s="6" t="s">
        <v>129</v>
      </c>
      <c r="B369" s="6" t="s">
        <v>8</v>
      </c>
      <c r="C369" s="6" t="s">
        <v>273</v>
      </c>
      <c r="D369" s="6" t="s">
        <v>274</v>
      </c>
      <c r="E369" s="6" t="s">
        <v>32</v>
      </c>
      <c r="F369" s="7" t="s">
        <v>215</v>
      </c>
      <c r="G369" s="7" t="s">
        <v>227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4.25" customHeight="1">
      <c r="A370" s="6" t="s">
        <v>45</v>
      </c>
      <c r="B370" s="6" t="s">
        <v>8</v>
      </c>
      <c r="C370" s="6" t="s">
        <v>46</v>
      </c>
      <c r="D370" s="6" t="s">
        <v>47</v>
      </c>
      <c r="E370" s="6" t="s">
        <v>32</v>
      </c>
      <c r="F370" s="7" t="s">
        <v>12</v>
      </c>
      <c r="G370" s="7" t="s">
        <v>12</v>
      </c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4.25" customHeight="1">
      <c r="A371" s="6" t="s">
        <v>135</v>
      </c>
      <c r="B371" s="6" t="s">
        <v>8</v>
      </c>
      <c r="C371" s="6" t="s">
        <v>142</v>
      </c>
      <c r="D371" s="6" t="s">
        <v>143</v>
      </c>
      <c r="E371" s="6" t="s">
        <v>11</v>
      </c>
      <c r="F371" s="7" t="s">
        <v>12</v>
      </c>
      <c r="G371" s="7" t="s">
        <v>28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4.25" customHeight="1">
      <c r="A372" s="6" t="s">
        <v>21</v>
      </c>
      <c r="B372" s="6" t="s">
        <v>8</v>
      </c>
      <c r="C372" s="6" t="s">
        <v>343</v>
      </c>
      <c r="D372" s="6" t="s">
        <v>344</v>
      </c>
      <c r="E372" s="6" t="s">
        <v>32</v>
      </c>
      <c r="F372" s="7" t="s">
        <v>345</v>
      </c>
      <c r="G372" s="7" t="s">
        <v>215</v>
      </c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4.25" customHeight="1">
      <c r="A373" s="6" t="s">
        <v>110</v>
      </c>
      <c r="B373" s="6" t="s">
        <v>8</v>
      </c>
      <c r="C373" s="6" t="s">
        <v>346</v>
      </c>
      <c r="D373" s="6" t="s">
        <v>347</v>
      </c>
      <c r="E373" s="6" t="s">
        <v>32</v>
      </c>
      <c r="F373" s="7" t="s">
        <v>227</v>
      </c>
      <c r="G373" s="7" t="s">
        <v>264</v>
      </c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4.25" customHeight="1">
      <c r="A374" s="6" t="s">
        <v>110</v>
      </c>
      <c r="B374" s="6" t="s">
        <v>8</v>
      </c>
      <c r="C374" s="6" t="s">
        <v>346</v>
      </c>
      <c r="D374" s="6" t="s">
        <v>347</v>
      </c>
      <c r="E374" s="6" t="s">
        <v>20</v>
      </c>
      <c r="F374" s="7" t="s">
        <v>227</v>
      </c>
      <c r="G374" s="7" t="s">
        <v>264</v>
      </c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4.25" customHeight="1">
      <c r="A375" s="6" t="s">
        <v>65</v>
      </c>
      <c r="B375" s="6" t="s">
        <v>8</v>
      </c>
      <c r="C375" s="6" t="s">
        <v>66</v>
      </c>
      <c r="D375" s="6" t="s">
        <v>67</v>
      </c>
      <c r="E375" s="6" t="s">
        <v>32</v>
      </c>
      <c r="F375" s="7" t="s">
        <v>264</v>
      </c>
      <c r="G375" s="7" t="s">
        <v>12</v>
      </c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4.25" customHeight="1">
      <c r="A376" s="6" t="s">
        <v>117</v>
      </c>
      <c r="B376" s="6" t="s">
        <v>8</v>
      </c>
      <c r="C376" s="6" t="s">
        <v>348</v>
      </c>
      <c r="D376" s="6" t="s">
        <v>349</v>
      </c>
      <c r="E376" s="6" t="s">
        <v>54</v>
      </c>
      <c r="F376" s="7" t="s">
        <v>227</v>
      </c>
      <c r="G376" s="7" t="s">
        <v>227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4.25" customHeight="1">
      <c r="A377" s="6" t="s">
        <v>117</v>
      </c>
      <c r="B377" s="6" t="s">
        <v>8</v>
      </c>
      <c r="C377" s="6" t="s">
        <v>348</v>
      </c>
      <c r="D377" s="6" t="s">
        <v>349</v>
      </c>
      <c r="E377" s="6" t="s">
        <v>39</v>
      </c>
      <c r="F377" s="7" t="s">
        <v>227</v>
      </c>
      <c r="G377" s="7" t="s">
        <v>227</v>
      </c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4.25" customHeight="1">
      <c r="A378" s="6" t="s">
        <v>129</v>
      </c>
      <c r="B378" s="6" t="s">
        <v>8</v>
      </c>
      <c r="C378" s="6" t="s">
        <v>350</v>
      </c>
      <c r="D378" s="6" t="s">
        <v>351</v>
      </c>
      <c r="E378" s="6" t="s">
        <v>20</v>
      </c>
      <c r="F378" s="7" t="s">
        <v>352</v>
      </c>
      <c r="G378" s="7" t="s">
        <v>352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4.25" customHeight="1">
      <c r="A379" s="6" t="s">
        <v>110</v>
      </c>
      <c r="B379" s="6" t="s">
        <v>8</v>
      </c>
      <c r="C379" s="6" t="s">
        <v>346</v>
      </c>
      <c r="D379" s="6" t="s">
        <v>347</v>
      </c>
      <c r="E379" s="6" t="s">
        <v>48</v>
      </c>
      <c r="F379" s="7" t="s">
        <v>227</v>
      </c>
      <c r="G379" s="7" t="s">
        <v>264</v>
      </c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4.25" customHeight="1">
      <c r="A380" s="6" t="s">
        <v>110</v>
      </c>
      <c r="B380" s="6" t="s">
        <v>8</v>
      </c>
      <c r="C380" s="6" t="s">
        <v>346</v>
      </c>
      <c r="D380" s="6" t="s">
        <v>347</v>
      </c>
      <c r="E380" s="6" t="s">
        <v>27</v>
      </c>
      <c r="F380" s="7" t="s">
        <v>227</v>
      </c>
      <c r="G380" s="7" t="s">
        <v>264</v>
      </c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4.25" customHeight="1">
      <c r="A381" s="6" t="s">
        <v>65</v>
      </c>
      <c r="B381" s="6" t="s">
        <v>8</v>
      </c>
      <c r="C381" s="6" t="s">
        <v>66</v>
      </c>
      <c r="D381" s="6" t="s">
        <v>67</v>
      </c>
      <c r="E381" s="6" t="s">
        <v>11</v>
      </c>
      <c r="F381" s="7" t="s">
        <v>264</v>
      </c>
      <c r="G381" s="7" t="s">
        <v>12</v>
      </c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4.25" customHeight="1">
      <c r="A382" s="6" t="s">
        <v>17</v>
      </c>
      <c r="B382" s="6" t="s">
        <v>8</v>
      </c>
      <c r="C382" s="6" t="s">
        <v>58</v>
      </c>
      <c r="D382" s="6" t="s">
        <v>59</v>
      </c>
      <c r="E382" s="6" t="s">
        <v>27</v>
      </c>
      <c r="F382" s="7" t="s">
        <v>12</v>
      </c>
      <c r="G382" s="7" t="s">
        <v>12</v>
      </c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4.25" customHeight="1">
      <c r="A383" s="6" t="s">
        <v>42</v>
      </c>
      <c r="B383" s="6" t="s">
        <v>8</v>
      </c>
      <c r="C383" s="6" t="s">
        <v>353</v>
      </c>
      <c r="D383" s="6" t="s">
        <v>354</v>
      </c>
      <c r="E383" s="6" t="s">
        <v>11</v>
      </c>
      <c r="F383" s="7" t="s">
        <v>227</v>
      </c>
      <c r="G383" s="7" t="s">
        <v>227</v>
      </c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4.25" customHeight="1">
      <c r="A384" s="6" t="s">
        <v>42</v>
      </c>
      <c r="B384" s="6" t="s">
        <v>8</v>
      </c>
      <c r="C384" s="6" t="s">
        <v>353</v>
      </c>
      <c r="D384" s="6" t="s">
        <v>354</v>
      </c>
      <c r="E384" s="6" t="s">
        <v>32</v>
      </c>
      <c r="F384" s="7" t="s">
        <v>227</v>
      </c>
      <c r="G384" s="7" t="s">
        <v>227</v>
      </c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4.25" customHeight="1">
      <c r="A385" s="6" t="s">
        <v>42</v>
      </c>
      <c r="B385" s="6" t="s">
        <v>8</v>
      </c>
      <c r="C385" s="6" t="s">
        <v>353</v>
      </c>
      <c r="D385" s="6" t="s">
        <v>354</v>
      </c>
      <c r="E385" s="6" t="s">
        <v>48</v>
      </c>
      <c r="F385" s="7" t="s">
        <v>227</v>
      </c>
      <c r="G385" s="7" t="s">
        <v>227</v>
      </c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4.25" customHeight="1">
      <c r="A386" s="6" t="s">
        <v>42</v>
      </c>
      <c r="B386" s="6" t="s">
        <v>8</v>
      </c>
      <c r="C386" s="6" t="s">
        <v>353</v>
      </c>
      <c r="D386" s="6" t="s">
        <v>354</v>
      </c>
      <c r="E386" s="6" t="s">
        <v>27</v>
      </c>
      <c r="F386" s="7" t="s">
        <v>227</v>
      </c>
      <c r="G386" s="7" t="s">
        <v>227</v>
      </c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4.25" customHeight="1">
      <c r="A387" s="6" t="s">
        <v>93</v>
      </c>
      <c r="B387" s="6" t="s">
        <v>8</v>
      </c>
      <c r="C387" s="6" t="s">
        <v>355</v>
      </c>
      <c r="D387" s="6" t="s">
        <v>356</v>
      </c>
      <c r="E387" s="6" t="s">
        <v>39</v>
      </c>
      <c r="F387" s="7" t="s">
        <v>224</v>
      </c>
      <c r="G387" s="7" t="s">
        <v>224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4.25" customHeight="1">
      <c r="A388" s="6" t="s">
        <v>105</v>
      </c>
      <c r="B388" s="6" t="s">
        <v>8</v>
      </c>
      <c r="C388" s="6" t="s">
        <v>106</v>
      </c>
      <c r="D388" s="6" t="s">
        <v>107</v>
      </c>
      <c r="E388" s="6" t="s">
        <v>27</v>
      </c>
      <c r="F388" s="7" t="s">
        <v>28</v>
      </c>
      <c r="G388" s="7" t="s">
        <v>28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4.25" customHeight="1">
      <c r="A389" s="6" t="s">
        <v>21</v>
      </c>
      <c r="B389" s="6" t="s">
        <v>8</v>
      </c>
      <c r="C389" s="6" t="s">
        <v>279</v>
      </c>
      <c r="D389" s="6" t="s">
        <v>280</v>
      </c>
      <c r="E389" s="6" t="s">
        <v>20</v>
      </c>
      <c r="F389" s="7" t="s">
        <v>238</v>
      </c>
      <c r="G389" s="7" t="s">
        <v>238</v>
      </c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4.25" customHeight="1">
      <c r="A390" s="6" t="s">
        <v>62</v>
      </c>
      <c r="B390" s="6" t="s">
        <v>8</v>
      </c>
      <c r="C390" s="6" t="s">
        <v>357</v>
      </c>
      <c r="D390" s="6" t="s">
        <v>358</v>
      </c>
      <c r="E390" s="6" t="s">
        <v>11</v>
      </c>
      <c r="F390" s="7" t="s">
        <v>224</v>
      </c>
      <c r="G390" s="7" t="s">
        <v>215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4.25" customHeight="1">
      <c r="A391" s="6" t="s">
        <v>21</v>
      </c>
      <c r="B391" s="6" t="s">
        <v>8</v>
      </c>
      <c r="C391" s="6" t="s">
        <v>279</v>
      </c>
      <c r="D391" s="6" t="s">
        <v>280</v>
      </c>
      <c r="E391" s="6" t="s">
        <v>32</v>
      </c>
      <c r="F391" s="7" t="s">
        <v>238</v>
      </c>
      <c r="G391" s="7" t="s">
        <v>238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4.25" customHeight="1">
      <c r="A392" s="6" t="s">
        <v>62</v>
      </c>
      <c r="B392" s="6" t="s">
        <v>8</v>
      </c>
      <c r="C392" s="6" t="s">
        <v>357</v>
      </c>
      <c r="D392" s="6" t="s">
        <v>358</v>
      </c>
      <c r="E392" s="6" t="s">
        <v>32</v>
      </c>
      <c r="F392" s="7" t="s">
        <v>215</v>
      </c>
      <c r="G392" s="7" t="s">
        <v>215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4.25" customHeight="1">
      <c r="A393" s="6" t="s">
        <v>21</v>
      </c>
      <c r="B393" s="6" t="s">
        <v>8</v>
      </c>
      <c r="C393" s="6" t="s">
        <v>279</v>
      </c>
      <c r="D393" s="6" t="s">
        <v>280</v>
      </c>
      <c r="E393" s="6" t="s">
        <v>11</v>
      </c>
      <c r="F393" s="7" t="s">
        <v>238</v>
      </c>
      <c r="G393" s="7" t="s">
        <v>238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4.25" customHeight="1">
      <c r="A394" s="6" t="s">
        <v>24</v>
      </c>
      <c r="B394" s="6" t="s">
        <v>8</v>
      </c>
      <c r="C394" s="6" t="s">
        <v>333</v>
      </c>
      <c r="D394" s="6" t="s">
        <v>334</v>
      </c>
      <c r="E394" s="6" t="s">
        <v>27</v>
      </c>
      <c r="F394" s="7" t="s">
        <v>238</v>
      </c>
      <c r="G394" s="7" t="s">
        <v>238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4.25" customHeight="1">
      <c r="A395" s="6" t="s">
        <v>110</v>
      </c>
      <c r="B395" s="6" t="s">
        <v>8</v>
      </c>
      <c r="C395" s="6" t="s">
        <v>188</v>
      </c>
      <c r="D395" s="6" t="s">
        <v>189</v>
      </c>
      <c r="E395" s="6" t="s">
        <v>11</v>
      </c>
      <c r="F395" s="7" t="s">
        <v>28</v>
      </c>
      <c r="G395" s="7" t="s">
        <v>28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4.25" customHeight="1">
      <c r="A396" s="6" t="s">
        <v>65</v>
      </c>
      <c r="B396" s="6" t="s">
        <v>8</v>
      </c>
      <c r="C396" s="6" t="s">
        <v>304</v>
      </c>
      <c r="D396" s="6" t="s">
        <v>305</v>
      </c>
      <c r="E396" s="6" t="s">
        <v>20</v>
      </c>
      <c r="F396" s="7" t="s">
        <v>224</v>
      </c>
      <c r="G396" s="7" t="s">
        <v>215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4.25" customHeight="1">
      <c r="A397" s="6" t="s">
        <v>204</v>
      </c>
      <c r="B397" s="6" t="s">
        <v>8</v>
      </c>
      <c r="C397" s="6" t="s">
        <v>359</v>
      </c>
      <c r="D397" s="6" t="s">
        <v>360</v>
      </c>
      <c r="E397" s="6" t="s">
        <v>20</v>
      </c>
      <c r="F397" s="7" t="s">
        <v>215</v>
      </c>
      <c r="G397" s="7" t="s">
        <v>256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4.25" customHeight="1">
      <c r="A398" s="6" t="s">
        <v>117</v>
      </c>
      <c r="B398" s="6" t="s">
        <v>8</v>
      </c>
      <c r="C398" s="6" t="s">
        <v>250</v>
      </c>
      <c r="D398" s="6" t="s">
        <v>251</v>
      </c>
      <c r="E398" s="6" t="s">
        <v>20</v>
      </c>
      <c r="F398" s="7" t="s">
        <v>215</v>
      </c>
      <c r="G398" s="7" t="s">
        <v>215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4.25" customHeight="1">
      <c r="A399" s="6" t="s">
        <v>72</v>
      </c>
      <c r="B399" s="6" t="s">
        <v>8</v>
      </c>
      <c r="C399" s="6" t="s">
        <v>252</v>
      </c>
      <c r="D399" s="6" t="s">
        <v>253</v>
      </c>
      <c r="E399" s="6" t="s">
        <v>39</v>
      </c>
      <c r="F399" s="7" t="s">
        <v>332</v>
      </c>
      <c r="G399" s="7" t="s">
        <v>224</v>
      </c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4.25" customHeight="1">
      <c r="A400" s="6" t="s">
        <v>79</v>
      </c>
      <c r="B400" s="6" t="s">
        <v>8</v>
      </c>
      <c r="C400" s="6" t="s">
        <v>80</v>
      </c>
      <c r="D400" s="6" t="s">
        <v>81</v>
      </c>
      <c r="E400" s="6" t="s">
        <v>11</v>
      </c>
      <c r="F400" s="7" t="s">
        <v>28</v>
      </c>
      <c r="G400" s="7" t="s">
        <v>28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4.25" customHeight="1">
      <c r="A401" s="6" t="s">
        <v>79</v>
      </c>
      <c r="B401" s="6" t="s">
        <v>8</v>
      </c>
      <c r="C401" s="6" t="s">
        <v>361</v>
      </c>
      <c r="D401" s="6" t="s">
        <v>362</v>
      </c>
      <c r="E401" s="6" t="s">
        <v>27</v>
      </c>
      <c r="F401" s="7" t="s">
        <v>28</v>
      </c>
      <c r="G401" s="7" t="s">
        <v>28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4.25" customHeight="1">
      <c r="A402" s="6" t="s">
        <v>84</v>
      </c>
      <c r="B402" s="6" t="s">
        <v>8</v>
      </c>
      <c r="C402" s="6" t="s">
        <v>363</v>
      </c>
      <c r="D402" s="6" t="s">
        <v>364</v>
      </c>
      <c r="E402" s="6" t="s">
        <v>27</v>
      </c>
      <c r="F402" s="7" t="s">
        <v>215</v>
      </c>
      <c r="G402" s="7" t="s">
        <v>215</v>
      </c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4.25" customHeight="1">
      <c r="A403" s="6" t="s">
        <v>79</v>
      </c>
      <c r="B403" s="6" t="s">
        <v>8</v>
      </c>
      <c r="C403" s="6" t="s">
        <v>361</v>
      </c>
      <c r="D403" s="6" t="s">
        <v>362</v>
      </c>
      <c r="E403" s="6" t="s">
        <v>32</v>
      </c>
      <c r="F403" s="7" t="s">
        <v>28</v>
      </c>
      <c r="G403" s="7" t="s">
        <v>28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4.25" customHeight="1">
      <c r="A404" s="6" t="s">
        <v>79</v>
      </c>
      <c r="B404" s="6" t="s">
        <v>8</v>
      </c>
      <c r="C404" s="6" t="s">
        <v>361</v>
      </c>
      <c r="D404" s="6" t="s">
        <v>362</v>
      </c>
      <c r="E404" s="6" t="s">
        <v>39</v>
      </c>
      <c r="F404" s="7" t="s">
        <v>28</v>
      </c>
      <c r="G404" s="7" t="s">
        <v>28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4.25" customHeight="1">
      <c r="A405" s="6" t="s">
        <v>79</v>
      </c>
      <c r="B405" s="6" t="s">
        <v>8</v>
      </c>
      <c r="C405" s="6" t="s">
        <v>361</v>
      </c>
      <c r="D405" s="6" t="s">
        <v>362</v>
      </c>
      <c r="E405" s="6" t="s">
        <v>48</v>
      </c>
      <c r="F405" s="7" t="s">
        <v>28</v>
      </c>
      <c r="G405" s="7" t="s">
        <v>28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4.25" customHeight="1">
      <c r="A406" s="6" t="s">
        <v>79</v>
      </c>
      <c r="B406" s="6" t="s">
        <v>8</v>
      </c>
      <c r="C406" s="6" t="s">
        <v>361</v>
      </c>
      <c r="D406" s="6" t="s">
        <v>362</v>
      </c>
      <c r="E406" s="6" t="s">
        <v>11</v>
      </c>
      <c r="F406" s="7" t="s">
        <v>28</v>
      </c>
      <c r="G406" s="7" t="s">
        <v>28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4.25" customHeight="1">
      <c r="A407" s="6" t="s">
        <v>79</v>
      </c>
      <c r="B407" s="6" t="s">
        <v>8</v>
      </c>
      <c r="C407" s="6" t="s">
        <v>361</v>
      </c>
      <c r="D407" s="6" t="s">
        <v>362</v>
      </c>
      <c r="E407" s="6" t="s">
        <v>20</v>
      </c>
      <c r="F407" s="7" t="s">
        <v>12</v>
      </c>
      <c r="G407" s="7" t="s">
        <v>28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4.25" customHeight="1">
      <c r="A408" s="6" t="s">
        <v>84</v>
      </c>
      <c r="B408" s="6" t="s">
        <v>8</v>
      </c>
      <c r="C408" s="6" t="s">
        <v>365</v>
      </c>
      <c r="D408" s="6" t="s">
        <v>366</v>
      </c>
      <c r="E408" s="6" t="s">
        <v>32</v>
      </c>
      <c r="F408" s="7" t="s">
        <v>256</v>
      </c>
      <c r="G408" s="7" t="s">
        <v>256</v>
      </c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4.25" customHeight="1">
      <c r="A409" s="6" t="s">
        <v>84</v>
      </c>
      <c r="B409" s="6" t="s">
        <v>8</v>
      </c>
      <c r="C409" s="6" t="s">
        <v>365</v>
      </c>
      <c r="D409" s="6" t="s">
        <v>366</v>
      </c>
      <c r="E409" s="6" t="s">
        <v>27</v>
      </c>
      <c r="F409" s="7" t="s">
        <v>215</v>
      </c>
      <c r="G409" s="7" t="s">
        <v>215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4.25" customHeight="1">
      <c r="A410" s="6" t="s">
        <v>84</v>
      </c>
      <c r="B410" s="6" t="s">
        <v>8</v>
      </c>
      <c r="C410" s="6" t="s">
        <v>365</v>
      </c>
      <c r="D410" s="6" t="s">
        <v>366</v>
      </c>
      <c r="E410" s="6" t="s">
        <v>20</v>
      </c>
      <c r="F410" s="7" t="s">
        <v>238</v>
      </c>
      <c r="G410" s="7" t="s">
        <v>238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4.25" customHeight="1">
      <c r="A411" s="6" t="s">
        <v>62</v>
      </c>
      <c r="B411" s="6" t="s">
        <v>8</v>
      </c>
      <c r="C411" s="6" t="s">
        <v>367</v>
      </c>
      <c r="D411" s="6" t="s">
        <v>368</v>
      </c>
      <c r="E411" s="6" t="s">
        <v>48</v>
      </c>
      <c r="F411" s="7" t="s">
        <v>256</v>
      </c>
      <c r="G411" s="7" t="s">
        <v>227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4.25" customHeight="1">
      <c r="A412" s="6" t="s">
        <v>65</v>
      </c>
      <c r="B412" s="6" t="s">
        <v>8</v>
      </c>
      <c r="C412" s="6" t="s">
        <v>304</v>
      </c>
      <c r="D412" s="6" t="s">
        <v>305</v>
      </c>
      <c r="E412" s="6" t="s">
        <v>48</v>
      </c>
      <c r="F412" s="7" t="s">
        <v>224</v>
      </c>
      <c r="G412" s="7" t="s">
        <v>215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4.25" customHeight="1">
      <c r="A413" s="6" t="s">
        <v>65</v>
      </c>
      <c r="B413" s="6" t="s">
        <v>8</v>
      </c>
      <c r="C413" s="6" t="s">
        <v>304</v>
      </c>
      <c r="D413" s="6" t="s">
        <v>305</v>
      </c>
      <c r="E413" s="6" t="s">
        <v>32</v>
      </c>
      <c r="F413" s="7" t="s">
        <v>224</v>
      </c>
      <c r="G413" s="7" t="s">
        <v>215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4.25" customHeight="1">
      <c r="A414" s="6" t="s">
        <v>49</v>
      </c>
      <c r="B414" s="6" t="s">
        <v>8</v>
      </c>
      <c r="C414" s="6" t="s">
        <v>369</v>
      </c>
      <c r="D414" s="6" t="s">
        <v>370</v>
      </c>
      <c r="E414" s="6" t="s">
        <v>32</v>
      </c>
      <c r="F414" s="7" t="s">
        <v>12</v>
      </c>
      <c r="G414" s="7" t="s">
        <v>13</v>
      </c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4.25" customHeight="1">
      <c r="A415" s="6" t="s">
        <v>49</v>
      </c>
      <c r="B415" s="6" t="s">
        <v>8</v>
      </c>
      <c r="C415" s="6" t="s">
        <v>369</v>
      </c>
      <c r="D415" s="6" t="s">
        <v>370</v>
      </c>
      <c r="E415" s="6" t="s">
        <v>48</v>
      </c>
      <c r="F415" s="7" t="s">
        <v>12</v>
      </c>
      <c r="G415" s="7" t="s">
        <v>13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4.25" customHeight="1">
      <c r="A416" s="6" t="s">
        <v>49</v>
      </c>
      <c r="B416" s="6" t="s">
        <v>8</v>
      </c>
      <c r="C416" s="6" t="s">
        <v>369</v>
      </c>
      <c r="D416" s="6" t="s">
        <v>370</v>
      </c>
      <c r="E416" s="6" t="s">
        <v>27</v>
      </c>
      <c r="F416" s="7" t="s">
        <v>12</v>
      </c>
      <c r="G416" s="7" t="s">
        <v>13</v>
      </c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4.25" customHeight="1">
      <c r="A417" s="6" t="s">
        <v>49</v>
      </c>
      <c r="B417" s="6" t="s">
        <v>8</v>
      </c>
      <c r="C417" s="6" t="s">
        <v>369</v>
      </c>
      <c r="D417" s="6" t="s">
        <v>370</v>
      </c>
      <c r="E417" s="6" t="s">
        <v>39</v>
      </c>
      <c r="F417" s="7" t="s">
        <v>28</v>
      </c>
      <c r="G417" s="7" t="s">
        <v>13</v>
      </c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4.25" customHeight="1">
      <c r="A418" s="6" t="s">
        <v>49</v>
      </c>
      <c r="B418" s="6" t="s">
        <v>8</v>
      </c>
      <c r="C418" s="6" t="s">
        <v>369</v>
      </c>
      <c r="D418" s="6" t="s">
        <v>370</v>
      </c>
      <c r="E418" s="6" t="s">
        <v>54</v>
      </c>
      <c r="F418" s="7" t="s">
        <v>28</v>
      </c>
      <c r="G418" s="7" t="s">
        <v>13</v>
      </c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4.25" customHeight="1">
      <c r="A419" s="6" t="s">
        <v>132</v>
      </c>
      <c r="B419" s="6" t="s">
        <v>8</v>
      </c>
      <c r="C419" s="6" t="s">
        <v>312</v>
      </c>
      <c r="D419" s="6" t="s">
        <v>313</v>
      </c>
      <c r="E419" s="6" t="s">
        <v>32</v>
      </c>
      <c r="F419" s="7" t="s">
        <v>215</v>
      </c>
      <c r="G419" s="7" t="s">
        <v>256</v>
      </c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4.25" customHeight="1">
      <c r="A420" s="6" t="s">
        <v>105</v>
      </c>
      <c r="B420" s="6" t="s">
        <v>8</v>
      </c>
      <c r="C420" s="6" t="s">
        <v>125</v>
      </c>
      <c r="D420" s="6" t="s">
        <v>126</v>
      </c>
      <c r="E420" s="6" t="s">
        <v>20</v>
      </c>
      <c r="F420" s="7" t="s">
        <v>13</v>
      </c>
      <c r="G420" s="7" t="s">
        <v>13</v>
      </c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4.25" customHeight="1">
      <c r="A421" s="6" t="s">
        <v>24</v>
      </c>
      <c r="B421" s="6" t="s">
        <v>8</v>
      </c>
      <c r="C421" s="6" t="s">
        <v>371</v>
      </c>
      <c r="D421" s="6" t="s">
        <v>372</v>
      </c>
      <c r="E421" s="6" t="s">
        <v>27</v>
      </c>
      <c r="F421" s="7" t="s">
        <v>215</v>
      </c>
      <c r="G421" s="7" t="s">
        <v>215</v>
      </c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4.25" customHeight="1">
      <c r="A422" s="6" t="s">
        <v>21</v>
      </c>
      <c r="B422" s="6" t="s">
        <v>8</v>
      </c>
      <c r="C422" s="6" t="s">
        <v>260</v>
      </c>
      <c r="D422" s="6" t="s">
        <v>261</v>
      </c>
      <c r="E422" s="6" t="s">
        <v>32</v>
      </c>
      <c r="F422" s="7" t="s">
        <v>215</v>
      </c>
      <c r="G422" s="7" t="s">
        <v>227</v>
      </c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4.25" customHeight="1">
      <c r="A423" s="6" t="s">
        <v>24</v>
      </c>
      <c r="B423" s="6" t="s">
        <v>8</v>
      </c>
      <c r="C423" s="6" t="s">
        <v>371</v>
      </c>
      <c r="D423" s="6" t="s">
        <v>372</v>
      </c>
      <c r="E423" s="6" t="s">
        <v>48</v>
      </c>
      <c r="F423" s="7" t="s">
        <v>215</v>
      </c>
      <c r="G423" s="7" t="s">
        <v>215</v>
      </c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4.25" customHeight="1">
      <c r="A424" s="6" t="s">
        <v>24</v>
      </c>
      <c r="B424" s="6" t="s">
        <v>8</v>
      </c>
      <c r="C424" s="6" t="s">
        <v>371</v>
      </c>
      <c r="D424" s="6" t="s">
        <v>372</v>
      </c>
      <c r="E424" s="6" t="s">
        <v>54</v>
      </c>
      <c r="F424" s="7" t="s">
        <v>215</v>
      </c>
      <c r="G424" s="7" t="s">
        <v>215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4.25" customHeight="1">
      <c r="A425" s="6" t="s">
        <v>132</v>
      </c>
      <c r="B425" s="6" t="s">
        <v>8</v>
      </c>
      <c r="C425" s="6" t="s">
        <v>312</v>
      </c>
      <c r="D425" s="6" t="s">
        <v>313</v>
      </c>
      <c r="E425" s="6" t="s">
        <v>27</v>
      </c>
      <c r="F425" s="7" t="s">
        <v>256</v>
      </c>
      <c r="G425" s="7" t="s">
        <v>256</v>
      </c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4.25" customHeight="1">
      <c r="A426" s="6" t="s">
        <v>158</v>
      </c>
      <c r="B426" s="6" t="s">
        <v>8</v>
      </c>
      <c r="C426" s="6" t="s">
        <v>159</v>
      </c>
      <c r="D426" s="6" t="s">
        <v>160</v>
      </c>
      <c r="E426" s="6" t="s">
        <v>27</v>
      </c>
      <c r="F426" s="7" t="s">
        <v>28</v>
      </c>
      <c r="G426" s="7" t="s">
        <v>28</v>
      </c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4.25" customHeight="1">
      <c r="A427" s="6" t="s">
        <v>110</v>
      </c>
      <c r="B427" s="6" t="s">
        <v>8</v>
      </c>
      <c r="C427" s="6" t="s">
        <v>346</v>
      </c>
      <c r="D427" s="6" t="s">
        <v>347</v>
      </c>
      <c r="E427" s="6" t="s">
        <v>39</v>
      </c>
      <c r="F427" s="7" t="s">
        <v>227</v>
      </c>
      <c r="G427" s="7" t="s">
        <v>264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4.25" customHeight="1">
      <c r="A428" s="6" t="s">
        <v>117</v>
      </c>
      <c r="B428" s="6" t="s">
        <v>8</v>
      </c>
      <c r="C428" s="6" t="s">
        <v>250</v>
      </c>
      <c r="D428" s="6" t="s">
        <v>251</v>
      </c>
      <c r="E428" s="6" t="s">
        <v>32</v>
      </c>
      <c r="F428" s="7" t="s">
        <v>224</v>
      </c>
      <c r="G428" s="7" t="s">
        <v>215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4.25" customHeight="1">
      <c r="A429" s="6" t="s">
        <v>132</v>
      </c>
      <c r="B429" s="6" t="s">
        <v>8</v>
      </c>
      <c r="C429" s="6" t="s">
        <v>312</v>
      </c>
      <c r="D429" s="6" t="s">
        <v>313</v>
      </c>
      <c r="E429" s="6" t="s">
        <v>11</v>
      </c>
      <c r="F429" s="7" t="s">
        <v>215</v>
      </c>
      <c r="G429" s="7" t="s">
        <v>256</v>
      </c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4.25" customHeight="1">
      <c r="A430" s="6" t="s">
        <v>132</v>
      </c>
      <c r="B430" s="6" t="s">
        <v>8</v>
      </c>
      <c r="C430" s="6" t="s">
        <v>312</v>
      </c>
      <c r="D430" s="6" t="s">
        <v>313</v>
      </c>
      <c r="E430" s="6" t="s">
        <v>20</v>
      </c>
      <c r="F430" s="7" t="s">
        <v>215</v>
      </c>
      <c r="G430" s="7" t="s">
        <v>256</v>
      </c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4.25" customHeight="1">
      <c r="A431" s="6" t="s">
        <v>29</v>
      </c>
      <c r="B431" s="6" t="s">
        <v>8</v>
      </c>
      <c r="C431" s="6" t="s">
        <v>373</v>
      </c>
      <c r="D431" s="6" t="s">
        <v>374</v>
      </c>
      <c r="E431" s="6" t="s">
        <v>20</v>
      </c>
      <c r="F431" s="7" t="s">
        <v>227</v>
      </c>
      <c r="G431" s="7" t="s">
        <v>227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4.25" customHeight="1">
      <c r="A432" s="6" t="s">
        <v>24</v>
      </c>
      <c r="B432" s="6" t="s">
        <v>8</v>
      </c>
      <c r="C432" s="6" t="s">
        <v>375</v>
      </c>
      <c r="D432" s="6" t="s">
        <v>376</v>
      </c>
      <c r="E432" s="6" t="s">
        <v>20</v>
      </c>
      <c r="F432" s="7" t="s">
        <v>377</v>
      </c>
      <c r="G432" s="7" t="s">
        <v>264</v>
      </c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4.25" customHeight="1">
      <c r="A433" s="6" t="s">
        <v>29</v>
      </c>
      <c r="B433" s="6" t="s">
        <v>8</v>
      </c>
      <c r="C433" s="6" t="s">
        <v>373</v>
      </c>
      <c r="D433" s="6" t="s">
        <v>374</v>
      </c>
      <c r="E433" s="6" t="s">
        <v>11</v>
      </c>
      <c r="F433" s="7" t="s">
        <v>227</v>
      </c>
      <c r="G433" s="7" t="s">
        <v>227</v>
      </c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4.25" customHeight="1">
      <c r="A434" s="6" t="s">
        <v>29</v>
      </c>
      <c r="B434" s="6" t="s">
        <v>8</v>
      </c>
      <c r="C434" s="6" t="s">
        <v>373</v>
      </c>
      <c r="D434" s="6" t="s">
        <v>374</v>
      </c>
      <c r="E434" s="6" t="s">
        <v>54</v>
      </c>
      <c r="F434" s="7" t="s">
        <v>227</v>
      </c>
      <c r="G434" s="7" t="s">
        <v>227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4.25" customHeight="1">
      <c r="A435" s="6" t="s">
        <v>17</v>
      </c>
      <c r="B435" s="6" t="s">
        <v>8</v>
      </c>
      <c r="C435" s="6" t="s">
        <v>58</v>
      </c>
      <c r="D435" s="6" t="s">
        <v>59</v>
      </c>
      <c r="E435" s="6" t="s">
        <v>32</v>
      </c>
      <c r="F435" s="7" t="s">
        <v>28</v>
      </c>
      <c r="G435" s="7" t="s">
        <v>28</v>
      </c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4.25" customHeight="1">
      <c r="A436" s="6" t="s">
        <v>29</v>
      </c>
      <c r="B436" s="6" t="s">
        <v>8</v>
      </c>
      <c r="C436" s="6" t="s">
        <v>373</v>
      </c>
      <c r="D436" s="6" t="s">
        <v>374</v>
      </c>
      <c r="E436" s="6" t="s">
        <v>39</v>
      </c>
      <c r="F436" s="7" t="s">
        <v>227</v>
      </c>
      <c r="G436" s="7" t="s">
        <v>227</v>
      </c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4.25" customHeight="1">
      <c r="A437" s="6" t="s">
        <v>29</v>
      </c>
      <c r="B437" s="6" t="s">
        <v>8</v>
      </c>
      <c r="C437" s="6" t="s">
        <v>373</v>
      </c>
      <c r="D437" s="6" t="s">
        <v>374</v>
      </c>
      <c r="E437" s="6" t="s">
        <v>48</v>
      </c>
      <c r="F437" s="7" t="s">
        <v>227</v>
      </c>
      <c r="G437" s="7" t="s">
        <v>227</v>
      </c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4.25" customHeight="1">
      <c r="A438" s="6" t="s">
        <v>29</v>
      </c>
      <c r="B438" s="6" t="s">
        <v>8</v>
      </c>
      <c r="C438" s="6" t="s">
        <v>373</v>
      </c>
      <c r="D438" s="6" t="s">
        <v>374</v>
      </c>
      <c r="E438" s="6" t="s">
        <v>32</v>
      </c>
      <c r="F438" s="7" t="s">
        <v>227</v>
      </c>
      <c r="G438" s="7" t="s">
        <v>227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4.25" customHeight="1">
      <c r="A439" s="6" t="s">
        <v>24</v>
      </c>
      <c r="B439" s="6" t="s">
        <v>8</v>
      </c>
      <c r="C439" s="6" t="s">
        <v>192</v>
      </c>
      <c r="D439" s="6" t="s">
        <v>193</v>
      </c>
      <c r="E439" s="6" t="s">
        <v>27</v>
      </c>
      <c r="F439" s="7" t="s">
        <v>28</v>
      </c>
      <c r="G439" s="7" t="s">
        <v>28</v>
      </c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4.25" customHeight="1">
      <c r="A440" s="6" t="s">
        <v>29</v>
      </c>
      <c r="B440" s="6" t="s">
        <v>8</v>
      </c>
      <c r="C440" s="6" t="s">
        <v>373</v>
      </c>
      <c r="D440" s="6" t="s">
        <v>374</v>
      </c>
      <c r="E440" s="6" t="s">
        <v>27</v>
      </c>
      <c r="F440" s="7" t="s">
        <v>227</v>
      </c>
      <c r="G440" s="7" t="s">
        <v>227</v>
      </c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4.25" customHeight="1">
      <c r="A441" s="6" t="s">
        <v>24</v>
      </c>
      <c r="B441" s="6" t="s">
        <v>8</v>
      </c>
      <c r="C441" s="6" t="s">
        <v>192</v>
      </c>
      <c r="D441" s="6" t="s">
        <v>193</v>
      </c>
      <c r="E441" s="6" t="s">
        <v>48</v>
      </c>
      <c r="F441" s="7" t="s">
        <v>28</v>
      </c>
      <c r="G441" s="7" t="s">
        <v>28</v>
      </c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4.25" customHeight="1">
      <c r="A442" s="6" t="s">
        <v>24</v>
      </c>
      <c r="B442" s="6" t="s">
        <v>8</v>
      </c>
      <c r="C442" s="6" t="s">
        <v>192</v>
      </c>
      <c r="D442" s="6" t="s">
        <v>193</v>
      </c>
      <c r="E442" s="6" t="s">
        <v>39</v>
      </c>
      <c r="F442" s="7" t="s">
        <v>28</v>
      </c>
      <c r="G442" s="7" t="s">
        <v>28</v>
      </c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4.25" customHeight="1">
      <c r="A443" s="6" t="s">
        <v>24</v>
      </c>
      <c r="B443" s="6" t="s">
        <v>8</v>
      </c>
      <c r="C443" s="6" t="s">
        <v>192</v>
      </c>
      <c r="D443" s="6" t="s">
        <v>193</v>
      </c>
      <c r="E443" s="6" t="s">
        <v>54</v>
      </c>
      <c r="F443" s="7" t="s">
        <v>28</v>
      </c>
      <c r="G443" s="7" t="s">
        <v>28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4.25" customHeight="1">
      <c r="A444" s="6" t="s">
        <v>169</v>
      </c>
      <c r="B444" s="6" t="s">
        <v>8</v>
      </c>
      <c r="C444" s="6" t="s">
        <v>378</v>
      </c>
      <c r="D444" s="6" t="s">
        <v>379</v>
      </c>
      <c r="E444" s="6" t="s">
        <v>27</v>
      </c>
      <c r="F444" s="7" t="s">
        <v>28</v>
      </c>
      <c r="G444" s="7" t="s">
        <v>28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4.25" customHeight="1">
      <c r="A445" s="6" t="s">
        <v>105</v>
      </c>
      <c r="B445" s="6" t="s">
        <v>8</v>
      </c>
      <c r="C445" s="6" t="s">
        <v>296</v>
      </c>
      <c r="D445" s="6" t="s">
        <v>297</v>
      </c>
      <c r="E445" s="6" t="s">
        <v>32</v>
      </c>
      <c r="F445" s="7" t="s">
        <v>215</v>
      </c>
      <c r="G445" s="7" t="s">
        <v>215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4.25" customHeight="1">
      <c r="A446" s="6" t="s">
        <v>24</v>
      </c>
      <c r="B446" s="6" t="s">
        <v>8</v>
      </c>
      <c r="C446" s="6" t="s">
        <v>192</v>
      </c>
      <c r="D446" s="6" t="s">
        <v>193</v>
      </c>
      <c r="E446" s="6" t="s">
        <v>32</v>
      </c>
      <c r="F446" s="7" t="s">
        <v>28</v>
      </c>
      <c r="G446" s="7" t="s">
        <v>28</v>
      </c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4.25" customHeight="1">
      <c r="A447" s="6" t="s">
        <v>169</v>
      </c>
      <c r="B447" s="6" t="s">
        <v>8</v>
      </c>
      <c r="C447" s="6" t="s">
        <v>378</v>
      </c>
      <c r="D447" s="6" t="s">
        <v>379</v>
      </c>
      <c r="E447" s="6" t="s">
        <v>20</v>
      </c>
      <c r="F447" s="7" t="s">
        <v>28</v>
      </c>
      <c r="G447" s="7" t="s">
        <v>28</v>
      </c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4.25" customHeight="1">
      <c r="A448" s="6" t="s">
        <v>169</v>
      </c>
      <c r="B448" s="6" t="s">
        <v>8</v>
      </c>
      <c r="C448" s="6" t="s">
        <v>378</v>
      </c>
      <c r="D448" s="6" t="s">
        <v>379</v>
      </c>
      <c r="E448" s="6" t="s">
        <v>32</v>
      </c>
      <c r="F448" s="7" t="s">
        <v>28</v>
      </c>
      <c r="G448" s="7" t="s">
        <v>28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4.25" customHeight="1">
      <c r="A449" s="6" t="s">
        <v>105</v>
      </c>
      <c r="B449" s="6" t="s">
        <v>8</v>
      </c>
      <c r="C449" s="6" t="s">
        <v>296</v>
      </c>
      <c r="D449" s="6" t="s">
        <v>297</v>
      </c>
      <c r="E449" s="6" t="s">
        <v>54</v>
      </c>
      <c r="F449" s="7" t="s">
        <v>215</v>
      </c>
      <c r="G449" s="7" t="s">
        <v>215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4.25" customHeight="1">
      <c r="A450" s="6" t="s">
        <v>169</v>
      </c>
      <c r="B450" s="6" t="s">
        <v>8</v>
      </c>
      <c r="C450" s="6" t="s">
        <v>378</v>
      </c>
      <c r="D450" s="6" t="s">
        <v>379</v>
      </c>
      <c r="E450" s="6" t="s">
        <v>39</v>
      </c>
      <c r="F450" s="7" t="s">
        <v>28</v>
      </c>
      <c r="G450" s="7" t="s">
        <v>28</v>
      </c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4.25" customHeight="1">
      <c r="A451" s="6" t="s">
        <v>117</v>
      </c>
      <c r="B451" s="6" t="s">
        <v>8</v>
      </c>
      <c r="C451" s="6" t="s">
        <v>380</v>
      </c>
      <c r="D451" s="6" t="s">
        <v>381</v>
      </c>
      <c r="E451" s="6" t="s">
        <v>32</v>
      </c>
      <c r="F451" s="7" t="s">
        <v>224</v>
      </c>
      <c r="G451" s="7" t="s">
        <v>264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4.25" customHeight="1">
      <c r="A452" s="6" t="s">
        <v>117</v>
      </c>
      <c r="B452" s="6" t="s">
        <v>8</v>
      </c>
      <c r="C452" s="6" t="s">
        <v>380</v>
      </c>
      <c r="D452" s="6" t="s">
        <v>381</v>
      </c>
      <c r="E452" s="6" t="s">
        <v>20</v>
      </c>
      <c r="F452" s="7" t="s">
        <v>224</v>
      </c>
      <c r="G452" s="7" t="s">
        <v>264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4.25" customHeight="1">
      <c r="A453" s="6" t="s">
        <v>36</v>
      </c>
      <c r="B453" s="6" t="s">
        <v>8</v>
      </c>
      <c r="C453" s="6" t="s">
        <v>382</v>
      </c>
      <c r="D453" s="6" t="s">
        <v>383</v>
      </c>
      <c r="E453" s="6" t="s">
        <v>48</v>
      </c>
      <c r="F453" s="7" t="s">
        <v>224</v>
      </c>
      <c r="G453" s="7" t="s">
        <v>224</v>
      </c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4.25" customHeight="1">
      <c r="A454" s="6" t="s">
        <v>132</v>
      </c>
      <c r="B454" s="6" t="s">
        <v>8</v>
      </c>
      <c r="C454" s="6" t="s">
        <v>312</v>
      </c>
      <c r="D454" s="6" t="s">
        <v>313</v>
      </c>
      <c r="E454" s="6" t="s">
        <v>39</v>
      </c>
      <c r="F454" s="7" t="s">
        <v>256</v>
      </c>
      <c r="G454" s="7" t="s">
        <v>256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4.25" customHeight="1">
      <c r="A455" s="6" t="s">
        <v>105</v>
      </c>
      <c r="B455" s="6" t="s">
        <v>8</v>
      </c>
      <c r="C455" s="6" t="s">
        <v>277</v>
      </c>
      <c r="D455" s="6" t="s">
        <v>278</v>
      </c>
      <c r="E455" s="6" t="s">
        <v>32</v>
      </c>
      <c r="F455" s="7" t="s">
        <v>224</v>
      </c>
      <c r="G455" s="7" t="s">
        <v>227</v>
      </c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4.25" customHeight="1">
      <c r="A456" s="6" t="s">
        <v>36</v>
      </c>
      <c r="B456" s="6" t="s">
        <v>8</v>
      </c>
      <c r="C456" s="6" t="s">
        <v>382</v>
      </c>
      <c r="D456" s="6" t="s">
        <v>383</v>
      </c>
      <c r="E456" s="6" t="s">
        <v>54</v>
      </c>
      <c r="F456" s="7" t="s">
        <v>224</v>
      </c>
      <c r="G456" s="7" t="s">
        <v>215</v>
      </c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4.25" customHeight="1">
      <c r="A457" s="6" t="s">
        <v>110</v>
      </c>
      <c r="B457" s="6" t="s">
        <v>8</v>
      </c>
      <c r="C457" s="6" t="s">
        <v>188</v>
      </c>
      <c r="D457" s="6" t="s">
        <v>189</v>
      </c>
      <c r="E457" s="6" t="s">
        <v>32</v>
      </c>
      <c r="F457" s="7" t="s">
        <v>28</v>
      </c>
      <c r="G457" s="7" t="s">
        <v>28</v>
      </c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4.25" customHeight="1">
      <c r="A458" s="6" t="s">
        <v>33</v>
      </c>
      <c r="B458" s="6" t="s">
        <v>8</v>
      </c>
      <c r="C458" s="6" t="s">
        <v>324</v>
      </c>
      <c r="D458" s="6" t="s">
        <v>325</v>
      </c>
      <c r="E458" s="6" t="s">
        <v>11</v>
      </c>
      <c r="F458" s="7" t="s">
        <v>227</v>
      </c>
      <c r="G458" s="7" t="s">
        <v>227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4.25" customHeight="1">
      <c r="A459" s="6" t="s">
        <v>42</v>
      </c>
      <c r="B459" s="6" t="s">
        <v>8</v>
      </c>
      <c r="C459" s="6" t="s">
        <v>43</v>
      </c>
      <c r="D459" s="6" t="s">
        <v>44</v>
      </c>
      <c r="E459" s="6" t="s">
        <v>27</v>
      </c>
      <c r="F459" s="7" t="s">
        <v>12</v>
      </c>
      <c r="G459" s="7" t="s">
        <v>12</v>
      </c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4.25" customHeight="1">
      <c r="A460" s="6" t="s">
        <v>110</v>
      </c>
      <c r="B460" s="6" t="s">
        <v>8</v>
      </c>
      <c r="C460" s="6" t="s">
        <v>188</v>
      </c>
      <c r="D460" s="6" t="s">
        <v>189</v>
      </c>
      <c r="E460" s="6" t="s">
        <v>48</v>
      </c>
      <c r="F460" s="7" t="s">
        <v>12</v>
      </c>
      <c r="G460" s="7" t="s">
        <v>28</v>
      </c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4.25" customHeight="1">
      <c r="A461" s="6" t="s">
        <v>110</v>
      </c>
      <c r="B461" s="6" t="s">
        <v>8</v>
      </c>
      <c r="C461" s="6" t="s">
        <v>188</v>
      </c>
      <c r="D461" s="6" t="s">
        <v>189</v>
      </c>
      <c r="E461" s="6" t="s">
        <v>39</v>
      </c>
      <c r="F461" s="7" t="s">
        <v>12</v>
      </c>
      <c r="G461" s="7" t="s">
        <v>28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4.25" customHeight="1">
      <c r="A462" s="6" t="s">
        <v>110</v>
      </c>
      <c r="B462" s="6" t="s">
        <v>8</v>
      </c>
      <c r="C462" s="6" t="s">
        <v>188</v>
      </c>
      <c r="D462" s="6" t="s">
        <v>189</v>
      </c>
      <c r="E462" s="6" t="s">
        <v>27</v>
      </c>
      <c r="F462" s="7" t="s">
        <v>28</v>
      </c>
      <c r="G462" s="7" t="s">
        <v>28</v>
      </c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4.25" customHeight="1">
      <c r="A463" s="6" t="s">
        <v>93</v>
      </c>
      <c r="B463" s="6" t="s">
        <v>8</v>
      </c>
      <c r="C463" s="6" t="s">
        <v>384</v>
      </c>
      <c r="D463" s="6" t="s">
        <v>385</v>
      </c>
      <c r="E463" s="6" t="s">
        <v>32</v>
      </c>
      <c r="F463" s="7" t="s">
        <v>227</v>
      </c>
      <c r="G463" s="7" t="s">
        <v>227</v>
      </c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4.25" customHeight="1">
      <c r="A464" s="6" t="s">
        <v>110</v>
      </c>
      <c r="B464" s="6" t="s">
        <v>8</v>
      </c>
      <c r="C464" s="6" t="s">
        <v>386</v>
      </c>
      <c r="D464" s="6" t="s">
        <v>387</v>
      </c>
      <c r="E464" s="6" t="s">
        <v>32</v>
      </c>
      <c r="F464" s="7" t="s">
        <v>224</v>
      </c>
      <c r="G464" s="7" t="s">
        <v>224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4.25" customHeight="1">
      <c r="A465" s="6" t="s">
        <v>93</v>
      </c>
      <c r="B465" s="6" t="s">
        <v>8</v>
      </c>
      <c r="C465" s="6" t="s">
        <v>318</v>
      </c>
      <c r="D465" s="6" t="s">
        <v>319</v>
      </c>
      <c r="E465" s="6" t="s">
        <v>87</v>
      </c>
      <c r="F465" s="7" t="s">
        <v>243</v>
      </c>
      <c r="G465" s="7" t="s">
        <v>215</v>
      </c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4.25" customHeight="1">
      <c r="A466" s="6" t="s">
        <v>110</v>
      </c>
      <c r="B466" s="6" t="s">
        <v>8</v>
      </c>
      <c r="C466" s="6" t="s">
        <v>386</v>
      </c>
      <c r="D466" s="6" t="s">
        <v>387</v>
      </c>
      <c r="E466" s="6" t="s">
        <v>20</v>
      </c>
      <c r="F466" s="7" t="s">
        <v>224</v>
      </c>
      <c r="G466" s="7" t="s">
        <v>224</v>
      </c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4.25" customHeight="1">
      <c r="A467" s="6" t="s">
        <v>388</v>
      </c>
      <c r="B467" s="6" t="s">
        <v>8</v>
      </c>
      <c r="C467" s="6" t="s">
        <v>389</v>
      </c>
      <c r="D467" s="6" t="s">
        <v>390</v>
      </c>
      <c r="E467" s="6" t="s">
        <v>20</v>
      </c>
      <c r="F467" s="7" t="s">
        <v>215</v>
      </c>
      <c r="G467" s="7" t="s">
        <v>256</v>
      </c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4.25" customHeight="1">
      <c r="A468" s="6" t="s">
        <v>388</v>
      </c>
      <c r="B468" s="6" t="s">
        <v>8</v>
      </c>
      <c r="C468" s="6" t="s">
        <v>389</v>
      </c>
      <c r="D468" s="6" t="s">
        <v>390</v>
      </c>
      <c r="E468" s="6" t="s">
        <v>27</v>
      </c>
      <c r="F468" s="7" t="s">
        <v>256</v>
      </c>
      <c r="G468" s="7" t="s">
        <v>256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4.25" customHeight="1">
      <c r="A469" s="6" t="s">
        <v>388</v>
      </c>
      <c r="B469" s="6" t="s">
        <v>8</v>
      </c>
      <c r="C469" s="6" t="s">
        <v>389</v>
      </c>
      <c r="D469" s="6" t="s">
        <v>390</v>
      </c>
      <c r="E469" s="6" t="s">
        <v>48</v>
      </c>
      <c r="F469" s="7" t="s">
        <v>256</v>
      </c>
      <c r="G469" s="7" t="s">
        <v>256</v>
      </c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4.25" customHeight="1">
      <c r="A470" s="6" t="s">
        <v>388</v>
      </c>
      <c r="B470" s="6" t="s">
        <v>8</v>
      </c>
      <c r="C470" s="6" t="s">
        <v>389</v>
      </c>
      <c r="D470" s="6" t="s">
        <v>390</v>
      </c>
      <c r="E470" s="6" t="s">
        <v>32</v>
      </c>
      <c r="F470" s="7" t="s">
        <v>215</v>
      </c>
      <c r="G470" s="7" t="s">
        <v>256</v>
      </c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4.25" customHeight="1">
      <c r="A471" s="6" t="s">
        <v>72</v>
      </c>
      <c r="B471" s="6" t="s">
        <v>8</v>
      </c>
      <c r="C471" s="6" t="s">
        <v>391</v>
      </c>
      <c r="D471" s="6" t="s">
        <v>392</v>
      </c>
      <c r="E471" s="6" t="s">
        <v>32</v>
      </c>
      <c r="F471" s="7" t="s">
        <v>243</v>
      </c>
      <c r="G471" s="7" t="s">
        <v>243</v>
      </c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4.25" customHeight="1">
      <c r="A472" s="6" t="s">
        <v>72</v>
      </c>
      <c r="B472" s="6" t="s">
        <v>8</v>
      </c>
      <c r="C472" s="6" t="s">
        <v>391</v>
      </c>
      <c r="D472" s="6" t="s">
        <v>392</v>
      </c>
      <c r="E472" s="6" t="s">
        <v>20</v>
      </c>
      <c r="F472" s="7" t="s">
        <v>243</v>
      </c>
      <c r="G472" s="7" t="s">
        <v>243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4.25" customHeight="1">
      <c r="A473" s="6" t="s">
        <v>17</v>
      </c>
      <c r="B473" s="6" t="s">
        <v>8</v>
      </c>
      <c r="C473" s="6" t="s">
        <v>96</v>
      </c>
      <c r="D473" s="6" t="s">
        <v>97</v>
      </c>
      <c r="E473" s="6" t="s">
        <v>27</v>
      </c>
      <c r="F473" s="7" t="s">
        <v>28</v>
      </c>
      <c r="G473" s="7" t="s">
        <v>28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4.25" customHeight="1">
      <c r="A474" s="6" t="s">
        <v>169</v>
      </c>
      <c r="B474" s="6" t="s">
        <v>8</v>
      </c>
      <c r="C474" s="6" t="s">
        <v>393</v>
      </c>
      <c r="D474" s="6" t="s">
        <v>394</v>
      </c>
      <c r="E474" s="6" t="s">
        <v>20</v>
      </c>
      <c r="F474" s="7" t="s">
        <v>395</v>
      </c>
      <c r="G474" s="7" t="s">
        <v>238</v>
      </c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4.25" customHeight="1">
      <c r="A475" s="6" t="s">
        <v>49</v>
      </c>
      <c r="B475" s="6" t="s">
        <v>8</v>
      </c>
      <c r="C475" s="6" t="s">
        <v>254</v>
      </c>
      <c r="D475" s="6" t="s">
        <v>255</v>
      </c>
      <c r="E475" s="6" t="s">
        <v>11</v>
      </c>
      <c r="F475" s="7" t="s">
        <v>215</v>
      </c>
      <c r="G475" s="7" t="s">
        <v>256</v>
      </c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4.25" customHeight="1">
      <c r="A476" s="6" t="s">
        <v>49</v>
      </c>
      <c r="B476" s="6" t="s">
        <v>8</v>
      </c>
      <c r="C476" s="6" t="s">
        <v>254</v>
      </c>
      <c r="D476" s="6" t="s">
        <v>255</v>
      </c>
      <c r="E476" s="6" t="s">
        <v>20</v>
      </c>
      <c r="F476" s="7" t="s">
        <v>215</v>
      </c>
      <c r="G476" s="7" t="s">
        <v>256</v>
      </c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4.25" customHeight="1">
      <c r="A477" s="6" t="s">
        <v>169</v>
      </c>
      <c r="B477" s="6" t="s">
        <v>8</v>
      </c>
      <c r="C477" s="6" t="s">
        <v>393</v>
      </c>
      <c r="D477" s="6" t="s">
        <v>394</v>
      </c>
      <c r="E477" s="6" t="s">
        <v>27</v>
      </c>
      <c r="F477" s="7" t="s">
        <v>395</v>
      </c>
      <c r="G477" s="7" t="s">
        <v>238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4.25" customHeight="1">
      <c r="A478" s="6" t="s">
        <v>49</v>
      </c>
      <c r="B478" s="6" t="s">
        <v>8</v>
      </c>
      <c r="C478" s="6" t="s">
        <v>127</v>
      </c>
      <c r="D478" s="6" t="s">
        <v>128</v>
      </c>
      <c r="E478" s="6" t="s">
        <v>27</v>
      </c>
      <c r="F478" s="7" t="s">
        <v>12</v>
      </c>
      <c r="G478" s="7" t="s">
        <v>28</v>
      </c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4.25" customHeight="1">
      <c r="A479" s="6" t="s">
        <v>169</v>
      </c>
      <c r="B479" s="6" t="s">
        <v>8</v>
      </c>
      <c r="C479" s="6" t="s">
        <v>393</v>
      </c>
      <c r="D479" s="6" t="s">
        <v>394</v>
      </c>
      <c r="E479" s="6" t="s">
        <v>48</v>
      </c>
      <c r="F479" s="7" t="s">
        <v>215</v>
      </c>
      <c r="G479" s="7" t="s">
        <v>215</v>
      </c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4.25" customHeight="1">
      <c r="A480" s="6" t="s">
        <v>65</v>
      </c>
      <c r="B480" s="6" t="s">
        <v>8</v>
      </c>
      <c r="C480" s="6" t="s">
        <v>66</v>
      </c>
      <c r="D480" s="6" t="s">
        <v>67</v>
      </c>
      <c r="E480" s="6" t="s">
        <v>27</v>
      </c>
      <c r="F480" s="7" t="s">
        <v>264</v>
      </c>
      <c r="G480" s="7" t="s">
        <v>12</v>
      </c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4.25" customHeight="1">
      <c r="A481" s="6" t="s">
        <v>65</v>
      </c>
      <c r="B481" s="6" t="s">
        <v>8</v>
      </c>
      <c r="C481" s="6" t="s">
        <v>66</v>
      </c>
      <c r="D481" s="6" t="s">
        <v>67</v>
      </c>
      <c r="E481" s="6" t="s">
        <v>39</v>
      </c>
      <c r="F481" s="7" t="s">
        <v>264</v>
      </c>
      <c r="G481" s="7" t="s">
        <v>12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4.25" customHeight="1">
      <c r="A482" s="6" t="s">
        <v>65</v>
      </c>
      <c r="B482" s="6" t="s">
        <v>8</v>
      </c>
      <c r="C482" s="6" t="s">
        <v>66</v>
      </c>
      <c r="D482" s="6" t="s">
        <v>67</v>
      </c>
      <c r="E482" s="6" t="s">
        <v>20</v>
      </c>
      <c r="F482" s="7" t="s">
        <v>264</v>
      </c>
      <c r="G482" s="7" t="s">
        <v>12</v>
      </c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4.25" customHeight="1">
      <c r="A483" s="6" t="s">
        <v>55</v>
      </c>
      <c r="B483" s="6" t="s">
        <v>8</v>
      </c>
      <c r="C483" s="6" t="s">
        <v>396</v>
      </c>
      <c r="D483" s="6" t="s">
        <v>397</v>
      </c>
      <c r="E483" s="6" t="s">
        <v>27</v>
      </c>
      <c r="F483" s="7" t="s">
        <v>238</v>
      </c>
      <c r="G483" s="7" t="s">
        <v>238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4.25" customHeight="1">
      <c r="A484" s="6" t="s">
        <v>49</v>
      </c>
      <c r="B484" s="6" t="s">
        <v>8</v>
      </c>
      <c r="C484" s="6" t="s">
        <v>254</v>
      </c>
      <c r="D484" s="6" t="s">
        <v>255</v>
      </c>
      <c r="E484" s="6" t="s">
        <v>32</v>
      </c>
      <c r="F484" s="7" t="s">
        <v>215</v>
      </c>
      <c r="G484" s="7" t="s">
        <v>256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4.25" customHeight="1">
      <c r="A485" s="6" t="s">
        <v>169</v>
      </c>
      <c r="B485" s="6" t="s">
        <v>8</v>
      </c>
      <c r="C485" s="6" t="s">
        <v>393</v>
      </c>
      <c r="D485" s="6" t="s">
        <v>394</v>
      </c>
      <c r="E485" s="6" t="s">
        <v>39</v>
      </c>
      <c r="F485" s="7" t="s">
        <v>215</v>
      </c>
      <c r="G485" s="7" t="s">
        <v>215</v>
      </c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4.25" customHeight="1">
      <c r="A486" s="6" t="s">
        <v>388</v>
      </c>
      <c r="B486" s="6" t="s">
        <v>8</v>
      </c>
      <c r="C486" s="6" t="s">
        <v>398</v>
      </c>
      <c r="D486" s="6" t="s">
        <v>399</v>
      </c>
      <c r="E486" s="6" t="s">
        <v>48</v>
      </c>
      <c r="F486" s="7" t="s">
        <v>215</v>
      </c>
      <c r="G486" s="7" t="s">
        <v>215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4.25" customHeight="1">
      <c r="A487" s="6" t="s">
        <v>36</v>
      </c>
      <c r="B487" s="6" t="s">
        <v>8</v>
      </c>
      <c r="C487" s="6" t="s">
        <v>382</v>
      </c>
      <c r="D487" s="6" t="s">
        <v>383</v>
      </c>
      <c r="E487" s="6" t="s">
        <v>39</v>
      </c>
      <c r="F487" s="7" t="s">
        <v>224</v>
      </c>
      <c r="G487" s="7" t="s">
        <v>224</v>
      </c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4.25" customHeight="1">
      <c r="A488" s="6" t="s">
        <v>169</v>
      </c>
      <c r="B488" s="6" t="s">
        <v>8</v>
      </c>
      <c r="C488" s="6" t="s">
        <v>378</v>
      </c>
      <c r="D488" s="6" t="s">
        <v>379</v>
      </c>
      <c r="E488" s="6" t="s">
        <v>54</v>
      </c>
      <c r="F488" s="7" t="s">
        <v>28</v>
      </c>
      <c r="G488" s="7" t="s">
        <v>28</v>
      </c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4.25" customHeight="1">
      <c r="A489" s="6" t="s">
        <v>24</v>
      </c>
      <c r="B489" s="6" t="s">
        <v>8</v>
      </c>
      <c r="C489" s="6" t="s">
        <v>400</v>
      </c>
      <c r="D489" s="6" t="s">
        <v>401</v>
      </c>
      <c r="E489" s="6" t="s">
        <v>27</v>
      </c>
      <c r="F489" s="7" t="s">
        <v>238</v>
      </c>
      <c r="G489" s="7" t="s">
        <v>224</v>
      </c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4.25" customHeight="1">
      <c r="A490" s="6" t="s">
        <v>62</v>
      </c>
      <c r="B490" s="6" t="s">
        <v>8</v>
      </c>
      <c r="C490" s="6" t="s">
        <v>357</v>
      </c>
      <c r="D490" s="6" t="s">
        <v>358</v>
      </c>
      <c r="E490" s="6" t="s">
        <v>39</v>
      </c>
      <c r="F490" s="7" t="s">
        <v>215</v>
      </c>
      <c r="G490" s="7" t="s">
        <v>215</v>
      </c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4.25" customHeight="1">
      <c r="A491" s="6" t="s">
        <v>36</v>
      </c>
      <c r="B491" s="6" t="s">
        <v>8</v>
      </c>
      <c r="C491" s="6" t="s">
        <v>382</v>
      </c>
      <c r="D491" s="6" t="s">
        <v>383</v>
      </c>
      <c r="E491" s="6" t="s">
        <v>20</v>
      </c>
      <c r="F491" s="7" t="s">
        <v>224</v>
      </c>
      <c r="G491" s="7" t="s">
        <v>224</v>
      </c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4.25" customHeight="1">
      <c r="A492" s="6" t="s">
        <v>169</v>
      </c>
      <c r="B492" s="6" t="s">
        <v>8</v>
      </c>
      <c r="C492" s="6" t="s">
        <v>393</v>
      </c>
      <c r="D492" s="6" t="s">
        <v>394</v>
      </c>
      <c r="E492" s="6" t="s">
        <v>54</v>
      </c>
      <c r="F492" s="7" t="s">
        <v>395</v>
      </c>
      <c r="G492" s="7" t="s">
        <v>238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4.25" customHeight="1">
      <c r="A493" s="6" t="s">
        <v>24</v>
      </c>
      <c r="B493" s="6" t="s">
        <v>8</v>
      </c>
      <c r="C493" s="6" t="s">
        <v>212</v>
      </c>
      <c r="D493" s="6" t="s">
        <v>213</v>
      </c>
      <c r="E493" s="6" t="s">
        <v>20</v>
      </c>
      <c r="F493" s="7" t="s">
        <v>395</v>
      </c>
      <c r="G493" s="7" t="s">
        <v>215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4.25" customHeight="1">
      <c r="A494" s="6" t="s">
        <v>72</v>
      </c>
      <c r="B494" s="6" t="s">
        <v>8</v>
      </c>
      <c r="C494" s="6" t="s">
        <v>402</v>
      </c>
      <c r="D494" s="6" t="s">
        <v>403</v>
      </c>
      <c r="E494" s="6" t="s">
        <v>32</v>
      </c>
      <c r="F494" s="7" t="s">
        <v>238</v>
      </c>
      <c r="G494" s="7" t="s">
        <v>238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4.25" customHeight="1">
      <c r="A495" s="6" t="s">
        <v>36</v>
      </c>
      <c r="B495" s="6" t="s">
        <v>8</v>
      </c>
      <c r="C495" s="6" t="s">
        <v>248</v>
      </c>
      <c r="D495" s="6" t="s">
        <v>249</v>
      </c>
      <c r="E495" s="6" t="s">
        <v>39</v>
      </c>
      <c r="F495" s="7" t="s">
        <v>215</v>
      </c>
      <c r="G495" s="7" t="s">
        <v>215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4.25" customHeight="1">
      <c r="A496" s="6" t="s">
        <v>36</v>
      </c>
      <c r="B496" s="6" t="s">
        <v>8</v>
      </c>
      <c r="C496" s="6" t="s">
        <v>248</v>
      </c>
      <c r="D496" s="6" t="s">
        <v>249</v>
      </c>
      <c r="E496" s="6" t="s">
        <v>48</v>
      </c>
      <c r="F496" s="7" t="s">
        <v>215</v>
      </c>
      <c r="G496" s="7" t="s">
        <v>215</v>
      </c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4.25" customHeight="1">
      <c r="A497" s="6" t="s">
        <v>42</v>
      </c>
      <c r="B497" s="6" t="s">
        <v>8</v>
      </c>
      <c r="C497" s="6" t="s">
        <v>353</v>
      </c>
      <c r="D497" s="6" t="s">
        <v>354</v>
      </c>
      <c r="E497" s="6" t="s">
        <v>54</v>
      </c>
      <c r="F497" s="7" t="s">
        <v>227</v>
      </c>
      <c r="G497" s="7" t="s">
        <v>227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4.25" customHeight="1">
      <c r="A498" s="6" t="s">
        <v>42</v>
      </c>
      <c r="B498" s="6" t="s">
        <v>8</v>
      </c>
      <c r="C498" s="6" t="s">
        <v>353</v>
      </c>
      <c r="D498" s="6" t="s">
        <v>354</v>
      </c>
      <c r="E498" s="6" t="s">
        <v>20</v>
      </c>
      <c r="F498" s="7" t="s">
        <v>227</v>
      </c>
      <c r="G498" s="7" t="s">
        <v>227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4.25" customHeight="1">
      <c r="A499" s="6" t="s">
        <v>79</v>
      </c>
      <c r="B499" s="6" t="s">
        <v>8</v>
      </c>
      <c r="C499" s="6" t="s">
        <v>404</v>
      </c>
      <c r="D499" s="6" t="s">
        <v>405</v>
      </c>
      <c r="E499" s="6" t="s">
        <v>20</v>
      </c>
      <c r="F499" s="7" t="s">
        <v>395</v>
      </c>
      <c r="G499" s="7" t="s">
        <v>406</v>
      </c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4.25" customHeight="1">
      <c r="A500" s="6" t="s">
        <v>36</v>
      </c>
      <c r="B500" s="6" t="s">
        <v>8</v>
      </c>
      <c r="C500" s="6" t="s">
        <v>382</v>
      </c>
      <c r="D500" s="6" t="s">
        <v>383</v>
      </c>
      <c r="E500" s="6" t="s">
        <v>27</v>
      </c>
      <c r="F500" s="7" t="s">
        <v>224</v>
      </c>
      <c r="G500" s="7" t="s">
        <v>224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4.25" customHeight="1">
      <c r="A501" s="6" t="s">
        <v>14</v>
      </c>
      <c r="B501" s="6" t="s">
        <v>8</v>
      </c>
      <c r="C501" s="6" t="s">
        <v>407</v>
      </c>
      <c r="D501" s="6" t="s">
        <v>408</v>
      </c>
      <c r="E501" s="6" t="s">
        <v>32</v>
      </c>
      <c r="F501" s="7" t="s">
        <v>264</v>
      </c>
      <c r="G501" s="7" t="s">
        <v>264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4.25" customHeight="1">
      <c r="A502" s="6" t="s">
        <v>21</v>
      </c>
      <c r="B502" s="6" t="s">
        <v>8</v>
      </c>
      <c r="C502" s="6" t="s">
        <v>246</v>
      </c>
      <c r="D502" s="6" t="s">
        <v>247</v>
      </c>
      <c r="E502" s="6" t="s">
        <v>20</v>
      </c>
      <c r="F502" s="7" t="s">
        <v>256</v>
      </c>
      <c r="G502" s="7" t="s">
        <v>227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4.25" customHeight="1">
      <c r="A503" s="6" t="s">
        <v>117</v>
      </c>
      <c r="B503" s="6" t="s">
        <v>8</v>
      </c>
      <c r="C503" s="6" t="s">
        <v>250</v>
      </c>
      <c r="D503" s="6" t="s">
        <v>251</v>
      </c>
      <c r="E503" s="6" t="s">
        <v>39</v>
      </c>
      <c r="F503" s="7" t="s">
        <v>224</v>
      </c>
      <c r="G503" s="7" t="s">
        <v>215</v>
      </c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4.25" customHeight="1">
      <c r="A504" s="6" t="s">
        <v>21</v>
      </c>
      <c r="B504" s="6" t="s">
        <v>8</v>
      </c>
      <c r="C504" s="6" t="s">
        <v>246</v>
      </c>
      <c r="D504" s="6" t="s">
        <v>247</v>
      </c>
      <c r="E504" s="6" t="s">
        <v>11</v>
      </c>
      <c r="F504" s="7" t="s">
        <v>227</v>
      </c>
      <c r="G504" s="7" t="s">
        <v>227</v>
      </c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4.25" customHeight="1">
      <c r="A505" s="6" t="s">
        <v>117</v>
      </c>
      <c r="B505" s="6" t="s">
        <v>8</v>
      </c>
      <c r="C505" s="6" t="s">
        <v>250</v>
      </c>
      <c r="D505" s="6" t="s">
        <v>251</v>
      </c>
      <c r="E505" s="6" t="s">
        <v>48</v>
      </c>
      <c r="F505" s="7" t="s">
        <v>224</v>
      </c>
      <c r="G505" s="7" t="s">
        <v>215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4.25" customHeight="1">
      <c r="A506" s="6" t="s">
        <v>21</v>
      </c>
      <c r="B506" s="6" t="s">
        <v>8</v>
      </c>
      <c r="C506" s="6" t="s">
        <v>246</v>
      </c>
      <c r="D506" s="6" t="s">
        <v>247</v>
      </c>
      <c r="E506" s="6" t="s">
        <v>39</v>
      </c>
      <c r="F506" s="7" t="s">
        <v>227</v>
      </c>
      <c r="G506" s="7" t="s">
        <v>227</v>
      </c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4.25" customHeight="1">
      <c r="A507" s="6" t="s">
        <v>72</v>
      </c>
      <c r="B507" s="6" t="s">
        <v>8</v>
      </c>
      <c r="C507" s="6" t="s">
        <v>409</v>
      </c>
      <c r="D507" s="6" t="s">
        <v>410</v>
      </c>
      <c r="E507" s="6" t="s">
        <v>32</v>
      </c>
      <c r="F507" s="7" t="s">
        <v>215</v>
      </c>
      <c r="G507" s="7" t="s">
        <v>215</v>
      </c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4.25" customHeight="1">
      <c r="A508" s="6" t="s">
        <v>72</v>
      </c>
      <c r="B508" s="6" t="s">
        <v>8</v>
      </c>
      <c r="C508" s="6" t="s">
        <v>409</v>
      </c>
      <c r="D508" s="6" t="s">
        <v>410</v>
      </c>
      <c r="E508" s="6" t="s">
        <v>27</v>
      </c>
      <c r="F508" s="7" t="s">
        <v>215</v>
      </c>
      <c r="G508" s="7" t="s">
        <v>215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4.25" customHeight="1">
      <c r="A509" s="6" t="s">
        <v>110</v>
      </c>
      <c r="B509" s="6" t="s">
        <v>8</v>
      </c>
      <c r="C509" s="6" t="s">
        <v>341</v>
      </c>
      <c r="D509" s="6" t="s">
        <v>342</v>
      </c>
      <c r="E509" s="6" t="s">
        <v>20</v>
      </c>
      <c r="F509" s="7" t="s">
        <v>224</v>
      </c>
      <c r="G509" s="7" t="s">
        <v>224</v>
      </c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4.25" customHeight="1">
      <c r="A510" s="6" t="s">
        <v>110</v>
      </c>
      <c r="B510" s="6" t="s">
        <v>8</v>
      </c>
      <c r="C510" s="6" t="s">
        <v>341</v>
      </c>
      <c r="D510" s="6" t="s">
        <v>342</v>
      </c>
      <c r="E510" s="6" t="s">
        <v>48</v>
      </c>
      <c r="F510" s="7" t="s">
        <v>224</v>
      </c>
      <c r="G510" s="7" t="s">
        <v>224</v>
      </c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4.25" customHeight="1">
      <c r="A511" s="6" t="s">
        <v>110</v>
      </c>
      <c r="B511" s="6" t="s">
        <v>8</v>
      </c>
      <c r="C511" s="6" t="s">
        <v>341</v>
      </c>
      <c r="D511" s="6" t="s">
        <v>342</v>
      </c>
      <c r="E511" s="6" t="s">
        <v>39</v>
      </c>
      <c r="F511" s="7" t="s">
        <v>224</v>
      </c>
      <c r="G511" s="7" t="s">
        <v>224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4.25" customHeight="1">
      <c r="A512" s="6" t="s">
        <v>93</v>
      </c>
      <c r="B512" s="6" t="s">
        <v>8</v>
      </c>
      <c r="C512" s="6" t="s">
        <v>384</v>
      </c>
      <c r="D512" s="6" t="s">
        <v>385</v>
      </c>
      <c r="E512" s="6" t="s">
        <v>20</v>
      </c>
      <c r="F512" s="7" t="s">
        <v>256</v>
      </c>
      <c r="G512" s="7" t="s">
        <v>227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4.25" customHeight="1">
      <c r="A513" s="6" t="s">
        <v>110</v>
      </c>
      <c r="B513" s="6" t="s">
        <v>8</v>
      </c>
      <c r="C513" s="6" t="s">
        <v>341</v>
      </c>
      <c r="D513" s="6" t="s">
        <v>342</v>
      </c>
      <c r="E513" s="6" t="s">
        <v>27</v>
      </c>
      <c r="F513" s="7" t="s">
        <v>224</v>
      </c>
      <c r="G513" s="7" t="s">
        <v>224</v>
      </c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4.25" customHeight="1">
      <c r="A514" s="6" t="s">
        <v>169</v>
      </c>
      <c r="B514" s="6" t="s">
        <v>8</v>
      </c>
      <c r="C514" s="6" t="s">
        <v>228</v>
      </c>
      <c r="D514" s="6" t="s">
        <v>229</v>
      </c>
      <c r="E514" s="6" t="s">
        <v>32</v>
      </c>
      <c r="F514" s="7" t="s">
        <v>238</v>
      </c>
      <c r="G514" s="7" t="s">
        <v>238</v>
      </c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4.25" customHeight="1">
      <c r="A515" s="6" t="s">
        <v>169</v>
      </c>
      <c r="B515" s="6" t="s">
        <v>8</v>
      </c>
      <c r="C515" s="6" t="s">
        <v>228</v>
      </c>
      <c r="D515" s="6" t="s">
        <v>229</v>
      </c>
      <c r="E515" s="6" t="s">
        <v>27</v>
      </c>
      <c r="F515" s="7" t="s">
        <v>214</v>
      </c>
      <c r="G515" s="7" t="s">
        <v>238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4.25" customHeight="1">
      <c r="A516" s="6" t="s">
        <v>169</v>
      </c>
      <c r="B516" s="6" t="s">
        <v>8</v>
      </c>
      <c r="C516" s="6" t="s">
        <v>228</v>
      </c>
      <c r="D516" s="6" t="s">
        <v>229</v>
      </c>
      <c r="E516" s="6" t="s">
        <v>39</v>
      </c>
      <c r="F516" s="7" t="s">
        <v>214</v>
      </c>
      <c r="G516" s="7" t="s">
        <v>238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4.25" customHeight="1">
      <c r="A517" s="6" t="s">
        <v>169</v>
      </c>
      <c r="B517" s="6" t="s">
        <v>8</v>
      </c>
      <c r="C517" s="6" t="s">
        <v>228</v>
      </c>
      <c r="D517" s="6" t="s">
        <v>229</v>
      </c>
      <c r="E517" s="6" t="s">
        <v>48</v>
      </c>
      <c r="F517" s="7" t="s">
        <v>238</v>
      </c>
      <c r="G517" s="7" t="s">
        <v>238</v>
      </c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4.25" customHeight="1">
      <c r="A518" s="6" t="s">
        <v>49</v>
      </c>
      <c r="B518" s="6" t="s">
        <v>8</v>
      </c>
      <c r="C518" s="6" t="s">
        <v>411</v>
      </c>
      <c r="D518" s="6" t="s">
        <v>412</v>
      </c>
      <c r="E518" s="6" t="s">
        <v>20</v>
      </c>
      <c r="F518" s="7" t="s">
        <v>238</v>
      </c>
      <c r="G518" s="7" t="s">
        <v>12</v>
      </c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4.25" customHeight="1">
      <c r="A519" s="6" t="s">
        <v>7</v>
      </c>
      <c r="B519" s="6" t="s">
        <v>8</v>
      </c>
      <c r="C519" s="6" t="s">
        <v>413</v>
      </c>
      <c r="D519" s="6" t="s">
        <v>414</v>
      </c>
      <c r="E519" s="6" t="s">
        <v>20</v>
      </c>
      <c r="F519" s="7" t="s">
        <v>345</v>
      </c>
      <c r="G519" s="7" t="s">
        <v>345</v>
      </c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4.25" customHeight="1">
      <c r="A520" s="6" t="s">
        <v>7</v>
      </c>
      <c r="B520" s="6" t="s">
        <v>8</v>
      </c>
      <c r="C520" s="6" t="s">
        <v>413</v>
      </c>
      <c r="D520" s="6" t="s">
        <v>414</v>
      </c>
      <c r="E520" s="6" t="s">
        <v>32</v>
      </c>
      <c r="F520" s="7" t="s">
        <v>345</v>
      </c>
      <c r="G520" s="7" t="s">
        <v>345</v>
      </c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4.25" customHeight="1">
      <c r="A521" s="6" t="s">
        <v>135</v>
      </c>
      <c r="B521" s="6" t="s">
        <v>8</v>
      </c>
      <c r="C521" s="6" t="s">
        <v>415</v>
      </c>
      <c r="D521" s="6" t="s">
        <v>416</v>
      </c>
      <c r="E521" s="6" t="s">
        <v>20</v>
      </c>
      <c r="F521" s="7" t="s">
        <v>243</v>
      </c>
      <c r="G521" s="7" t="s">
        <v>243</v>
      </c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4.25" customHeight="1">
      <c r="A522" s="6" t="s">
        <v>169</v>
      </c>
      <c r="B522" s="6" t="s">
        <v>8</v>
      </c>
      <c r="C522" s="6" t="s">
        <v>281</v>
      </c>
      <c r="D522" s="6" t="s">
        <v>282</v>
      </c>
      <c r="E522" s="6" t="s">
        <v>20</v>
      </c>
      <c r="F522" s="7" t="s">
        <v>243</v>
      </c>
      <c r="G522" s="7" t="s">
        <v>243</v>
      </c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4.25" customHeight="1">
      <c r="A523" s="6" t="s">
        <v>169</v>
      </c>
      <c r="B523" s="6" t="s">
        <v>8</v>
      </c>
      <c r="C523" s="6" t="s">
        <v>281</v>
      </c>
      <c r="D523" s="6" t="s">
        <v>282</v>
      </c>
      <c r="E523" s="6" t="s">
        <v>54</v>
      </c>
      <c r="F523" s="7" t="s">
        <v>243</v>
      </c>
      <c r="G523" s="7" t="s">
        <v>243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4.25" customHeight="1">
      <c r="A524" s="6" t="s">
        <v>169</v>
      </c>
      <c r="B524" s="6" t="s">
        <v>8</v>
      </c>
      <c r="C524" s="6" t="s">
        <v>281</v>
      </c>
      <c r="D524" s="6" t="s">
        <v>282</v>
      </c>
      <c r="E524" s="6" t="s">
        <v>11</v>
      </c>
      <c r="F524" s="7" t="s">
        <v>215</v>
      </c>
      <c r="G524" s="7" t="s">
        <v>215</v>
      </c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4.25" customHeight="1">
      <c r="A525" s="6" t="s">
        <v>24</v>
      </c>
      <c r="B525" s="6" t="s">
        <v>8</v>
      </c>
      <c r="C525" s="6" t="s">
        <v>417</v>
      </c>
      <c r="D525" s="6" t="s">
        <v>418</v>
      </c>
      <c r="E525" s="6" t="s">
        <v>20</v>
      </c>
      <c r="F525" s="7" t="s">
        <v>215</v>
      </c>
      <c r="G525" s="7" t="s">
        <v>215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4.25" customHeight="1">
      <c r="A526" s="6" t="s">
        <v>24</v>
      </c>
      <c r="B526" s="6" t="s">
        <v>8</v>
      </c>
      <c r="C526" s="6" t="s">
        <v>417</v>
      </c>
      <c r="D526" s="6" t="s">
        <v>418</v>
      </c>
      <c r="E526" s="6" t="s">
        <v>32</v>
      </c>
      <c r="F526" s="7" t="s">
        <v>224</v>
      </c>
      <c r="G526" s="7" t="s">
        <v>215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4.25" customHeight="1">
      <c r="A527" s="6" t="s">
        <v>24</v>
      </c>
      <c r="B527" s="6" t="s">
        <v>8</v>
      </c>
      <c r="C527" s="6" t="s">
        <v>417</v>
      </c>
      <c r="D527" s="6" t="s">
        <v>418</v>
      </c>
      <c r="E527" s="6" t="s">
        <v>48</v>
      </c>
      <c r="F527" s="7" t="s">
        <v>215</v>
      </c>
      <c r="G527" s="7" t="s">
        <v>215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4.25" customHeight="1">
      <c r="A528" s="6" t="s">
        <v>24</v>
      </c>
      <c r="B528" s="6" t="s">
        <v>8</v>
      </c>
      <c r="C528" s="6" t="s">
        <v>417</v>
      </c>
      <c r="D528" s="6" t="s">
        <v>418</v>
      </c>
      <c r="E528" s="6" t="s">
        <v>27</v>
      </c>
      <c r="F528" s="7" t="s">
        <v>215</v>
      </c>
      <c r="G528" s="7" t="s">
        <v>215</v>
      </c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4.25" customHeight="1">
      <c r="A529" s="6" t="s">
        <v>33</v>
      </c>
      <c r="B529" s="6" t="s">
        <v>8</v>
      </c>
      <c r="C529" s="6" t="s">
        <v>419</v>
      </c>
      <c r="D529" s="6" t="s">
        <v>420</v>
      </c>
      <c r="E529" s="6" t="s">
        <v>32</v>
      </c>
      <c r="F529" s="7" t="s">
        <v>227</v>
      </c>
      <c r="G529" s="7" t="s">
        <v>12</v>
      </c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4.25" customHeight="1">
      <c r="A530" s="6" t="s">
        <v>33</v>
      </c>
      <c r="B530" s="6" t="s">
        <v>8</v>
      </c>
      <c r="C530" s="6" t="s">
        <v>419</v>
      </c>
      <c r="D530" s="6" t="s">
        <v>420</v>
      </c>
      <c r="E530" s="6" t="s">
        <v>27</v>
      </c>
      <c r="F530" s="7" t="s">
        <v>227</v>
      </c>
      <c r="G530" s="7" t="s">
        <v>12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4.25" customHeight="1">
      <c r="A531" s="6" t="s">
        <v>33</v>
      </c>
      <c r="B531" s="6" t="s">
        <v>8</v>
      </c>
      <c r="C531" s="6" t="s">
        <v>419</v>
      </c>
      <c r="D531" s="6" t="s">
        <v>420</v>
      </c>
      <c r="E531" s="6" t="s">
        <v>39</v>
      </c>
      <c r="F531" s="7" t="s">
        <v>227</v>
      </c>
      <c r="G531" s="7" t="s">
        <v>12</v>
      </c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4.25" customHeight="1">
      <c r="A532" s="6" t="s">
        <v>33</v>
      </c>
      <c r="B532" s="6" t="s">
        <v>8</v>
      </c>
      <c r="C532" s="6" t="s">
        <v>419</v>
      </c>
      <c r="D532" s="6" t="s">
        <v>420</v>
      </c>
      <c r="E532" s="6" t="s">
        <v>48</v>
      </c>
      <c r="F532" s="7" t="s">
        <v>227</v>
      </c>
      <c r="G532" s="7" t="s">
        <v>12</v>
      </c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4.25" customHeight="1">
      <c r="A533" s="6" t="s">
        <v>33</v>
      </c>
      <c r="B533" s="6" t="s">
        <v>8</v>
      </c>
      <c r="C533" s="6" t="s">
        <v>419</v>
      </c>
      <c r="D533" s="6" t="s">
        <v>420</v>
      </c>
      <c r="E533" s="6" t="s">
        <v>11</v>
      </c>
      <c r="F533" s="7" t="s">
        <v>227</v>
      </c>
      <c r="G533" s="7" t="s">
        <v>12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4.25" customHeight="1">
      <c r="A534" s="6" t="s">
        <v>17</v>
      </c>
      <c r="B534" s="6" t="s">
        <v>8</v>
      </c>
      <c r="C534" s="6" t="s">
        <v>96</v>
      </c>
      <c r="D534" s="6" t="s">
        <v>97</v>
      </c>
      <c r="E534" s="6" t="s">
        <v>48</v>
      </c>
      <c r="F534" s="7" t="s">
        <v>28</v>
      </c>
      <c r="G534" s="7" t="s">
        <v>28</v>
      </c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4.25" customHeight="1">
      <c r="A535" s="6" t="s">
        <v>110</v>
      </c>
      <c r="B535" s="6" t="s">
        <v>8</v>
      </c>
      <c r="C535" s="6" t="s">
        <v>111</v>
      </c>
      <c r="D535" s="6" t="s">
        <v>112</v>
      </c>
      <c r="E535" s="6" t="s">
        <v>20</v>
      </c>
      <c r="F535" s="7" t="s">
        <v>406</v>
      </c>
      <c r="G535" s="7" t="s">
        <v>243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4.25" customHeight="1">
      <c r="A536" s="6" t="s">
        <v>105</v>
      </c>
      <c r="B536" s="6" t="s">
        <v>8</v>
      </c>
      <c r="C536" s="6" t="s">
        <v>125</v>
      </c>
      <c r="D536" s="6" t="s">
        <v>126</v>
      </c>
      <c r="E536" s="6" t="s">
        <v>87</v>
      </c>
      <c r="F536" s="7" t="s">
        <v>28</v>
      </c>
      <c r="G536" s="7" t="s">
        <v>28</v>
      </c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4.25" customHeight="1">
      <c r="A537" s="6" t="s">
        <v>72</v>
      </c>
      <c r="B537" s="6" t="s">
        <v>8</v>
      </c>
      <c r="C537" s="6" t="s">
        <v>421</v>
      </c>
      <c r="D537" s="6" t="s">
        <v>422</v>
      </c>
      <c r="E537" s="6" t="s">
        <v>32</v>
      </c>
      <c r="F537" s="7" t="s">
        <v>215</v>
      </c>
      <c r="G537" s="7" t="s">
        <v>215</v>
      </c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4.25" customHeight="1">
      <c r="A538" s="6" t="s">
        <v>24</v>
      </c>
      <c r="B538" s="6" t="s">
        <v>8</v>
      </c>
      <c r="C538" s="6" t="s">
        <v>423</v>
      </c>
      <c r="D538" s="6" t="s">
        <v>424</v>
      </c>
      <c r="E538" s="6" t="s">
        <v>32</v>
      </c>
      <c r="F538" s="7" t="s">
        <v>345</v>
      </c>
      <c r="G538" s="7" t="s">
        <v>345</v>
      </c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4.25" customHeight="1">
      <c r="A539" s="6" t="s">
        <v>122</v>
      </c>
      <c r="B539" s="6" t="s">
        <v>8</v>
      </c>
      <c r="C539" s="6" t="s">
        <v>425</v>
      </c>
      <c r="D539" s="6" t="s">
        <v>426</v>
      </c>
      <c r="E539" s="6" t="s">
        <v>32</v>
      </c>
      <c r="F539" s="7" t="s">
        <v>215</v>
      </c>
      <c r="G539" s="7" t="s">
        <v>215</v>
      </c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4.25" customHeight="1">
      <c r="A540" s="6" t="s">
        <v>204</v>
      </c>
      <c r="B540" s="6" t="s">
        <v>8</v>
      </c>
      <c r="C540" s="6" t="s">
        <v>359</v>
      </c>
      <c r="D540" s="6" t="s">
        <v>360</v>
      </c>
      <c r="E540" s="6" t="s">
        <v>32</v>
      </c>
      <c r="F540" s="7" t="s">
        <v>215</v>
      </c>
      <c r="G540" s="7" t="s">
        <v>256</v>
      </c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4.25" customHeight="1">
      <c r="A541" s="6" t="s">
        <v>204</v>
      </c>
      <c r="B541" s="6" t="s">
        <v>8</v>
      </c>
      <c r="C541" s="6" t="s">
        <v>359</v>
      </c>
      <c r="D541" s="6" t="s">
        <v>360</v>
      </c>
      <c r="E541" s="6" t="s">
        <v>11</v>
      </c>
      <c r="F541" s="7" t="s">
        <v>215</v>
      </c>
      <c r="G541" s="7" t="s">
        <v>256</v>
      </c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4.25" customHeight="1">
      <c r="A542" s="6" t="s">
        <v>42</v>
      </c>
      <c r="B542" s="6" t="s">
        <v>8</v>
      </c>
      <c r="C542" s="6" t="s">
        <v>427</v>
      </c>
      <c r="D542" s="6" t="s">
        <v>428</v>
      </c>
      <c r="E542" s="6" t="s">
        <v>20</v>
      </c>
      <c r="F542" s="7" t="s">
        <v>224</v>
      </c>
      <c r="G542" s="7" t="s">
        <v>224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4.25" customHeight="1">
      <c r="A543" s="6" t="s">
        <v>21</v>
      </c>
      <c r="B543" s="6" t="s">
        <v>8</v>
      </c>
      <c r="C543" s="6" t="s">
        <v>343</v>
      </c>
      <c r="D543" s="6" t="s">
        <v>344</v>
      </c>
      <c r="E543" s="6" t="s">
        <v>20</v>
      </c>
      <c r="F543" s="7" t="s">
        <v>215</v>
      </c>
      <c r="G543" s="7" t="s">
        <v>215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4.25" customHeight="1">
      <c r="A544" s="6" t="s">
        <v>72</v>
      </c>
      <c r="B544" s="6" t="s">
        <v>8</v>
      </c>
      <c r="C544" s="6" t="s">
        <v>429</v>
      </c>
      <c r="D544" s="6" t="s">
        <v>430</v>
      </c>
      <c r="E544" s="6" t="s">
        <v>11</v>
      </c>
      <c r="F544" s="7" t="s">
        <v>224</v>
      </c>
      <c r="G544" s="7" t="s">
        <v>215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4.25" customHeight="1">
      <c r="A545" s="6" t="s">
        <v>24</v>
      </c>
      <c r="B545" s="6" t="s">
        <v>8</v>
      </c>
      <c r="C545" s="6" t="s">
        <v>431</v>
      </c>
      <c r="D545" s="6" t="s">
        <v>432</v>
      </c>
      <c r="E545" s="6" t="s">
        <v>20</v>
      </c>
      <c r="F545" s="7" t="s">
        <v>243</v>
      </c>
      <c r="G545" s="7" t="s">
        <v>243</v>
      </c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4.25" customHeight="1">
      <c r="A546" s="6" t="s">
        <v>36</v>
      </c>
      <c r="B546" s="6" t="s">
        <v>8</v>
      </c>
      <c r="C546" s="6" t="s">
        <v>433</v>
      </c>
      <c r="D546" s="6" t="s">
        <v>434</v>
      </c>
      <c r="E546" s="6" t="s">
        <v>20</v>
      </c>
      <c r="F546" s="7" t="s">
        <v>224</v>
      </c>
      <c r="G546" s="7" t="s">
        <v>224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4.25" customHeight="1">
      <c r="A547" s="6" t="s">
        <v>36</v>
      </c>
      <c r="B547" s="6" t="s">
        <v>8</v>
      </c>
      <c r="C547" s="6" t="s">
        <v>433</v>
      </c>
      <c r="D547" s="6" t="s">
        <v>434</v>
      </c>
      <c r="E547" s="6" t="s">
        <v>11</v>
      </c>
      <c r="F547" s="7" t="s">
        <v>224</v>
      </c>
      <c r="G547" s="7" t="s">
        <v>224</v>
      </c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4.25" customHeight="1">
      <c r="A548" s="6" t="s">
        <v>36</v>
      </c>
      <c r="B548" s="6" t="s">
        <v>8</v>
      </c>
      <c r="C548" s="6" t="s">
        <v>433</v>
      </c>
      <c r="D548" s="6" t="s">
        <v>434</v>
      </c>
      <c r="E548" s="6" t="s">
        <v>48</v>
      </c>
      <c r="F548" s="7" t="s">
        <v>215</v>
      </c>
      <c r="G548" s="7" t="s">
        <v>215</v>
      </c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4.25" customHeight="1">
      <c r="A549" s="6" t="s">
        <v>36</v>
      </c>
      <c r="B549" s="6" t="s">
        <v>8</v>
      </c>
      <c r="C549" s="6" t="s">
        <v>433</v>
      </c>
      <c r="D549" s="6" t="s">
        <v>434</v>
      </c>
      <c r="E549" s="6" t="s">
        <v>39</v>
      </c>
      <c r="F549" s="7" t="s">
        <v>224</v>
      </c>
      <c r="G549" s="7" t="s">
        <v>224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4.25" customHeight="1">
      <c r="A550" s="6" t="s">
        <v>36</v>
      </c>
      <c r="B550" s="6" t="s">
        <v>8</v>
      </c>
      <c r="C550" s="6" t="s">
        <v>433</v>
      </c>
      <c r="D550" s="6" t="s">
        <v>434</v>
      </c>
      <c r="E550" s="6" t="s">
        <v>54</v>
      </c>
      <c r="F550" s="7" t="s">
        <v>224</v>
      </c>
      <c r="G550" s="7" t="s">
        <v>224</v>
      </c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4.25" customHeight="1">
      <c r="A551" s="6" t="s">
        <v>36</v>
      </c>
      <c r="B551" s="6" t="s">
        <v>8</v>
      </c>
      <c r="C551" s="6" t="s">
        <v>433</v>
      </c>
      <c r="D551" s="6" t="s">
        <v>434</v>
      </c>
      <c r="E551" s="6" t="s">
        <v>27</v>
      </c>
      <c r="F551" s="7" t="s">
        <v>224</v>
      </c>
      <c r="G551" s="7" t="s">
        <v>224</v>
      </c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4.25" customHeight="1">
      <c r="A552" s="6" t="s">
        <v>36</v>
      </c>
      <c r="B552" s="6" t="s">
        <v>8</v>
      </c>
      <c r="C552" s="6" t="s">
        <v>433</v>
      </c>
      <c r="D552" s="6" t="s">
        <v>434</v>
      </c>
      <c r="E552" s="6" t="s">
        <v>32</v>
      </c>
      <c r="F552" s="7" t="s">
        <v>224</v>
      </c>
      <c r="G552" s="7" t="s">
        <v>224</v>
      </c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4.25" customHeight="1">
      <c r="A553" s="6" t="s">
        <v>435</v>
      </c>
      <c r="B553" s="6" t="s">
        <v>8</v>
      </c>
      <c r="C553" s="6" t="s">
        <v>436</v>
      </c>
      <c r="D553" s="6" t="s">
        <v>437</v>
      </c>
      <c r="E553" s="6" t="s">
        <v>20</v>
      </c>
      <c r="F553" s="7" t="s">
        <v>215</v>
      </c>
      <c r="G553" s="7" t="s">
        <v>256</v>
      </c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4.25" customHeight="1">
      <c r="A554" s="6" t="s">
        <v>72</v>
      </c>
      <c r="B554" s="6" t="s">
        <v>8</v>
      </c>
      <c r="C554" s="6" t="s">
        <v>438</v>
      </c>
      <c r="D554" s="6" t="s">
        <v>439</v>
      </c>
      <c r="E554" s="6" t="s">
        <v>32</v>
      </c>
      <c r="F554" s="7" t="s">
        <v>224</v>
      </c>
      <c r="G554" s="7" t="s">
        <v>224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4.25" customHeight="1">
      <c r="A555" s="6" t="s">
        <v>24</v>
      </c>
      <c r="B555" s="6" t="s">
        <v>8</v>
      </c>
      <c r="C555" s="6" t="s">
        <v>25</v>
      </c>
      <c r="D555" s="6" t="s">
        <v>26</v>
      </c>
      <c r="E555" s="6" t="s">
        <v>11</v>
      </c>
      <c r="F555" s="7" t="s">
        <v>28</v>
      </c>
      <c r="G555" s="7" t="s">
        <v>28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4.25" customHeight="1">
      <c r="A556" s="6" t="s">
        <v>55</v>
      </c>
      <c r="B556" s="6" t="s">
        <v>8</v>
      </c>
      <c r="C556" s="6" t="s">
        <v>396</v>
      </c>
      <c r="D556" s="6" t="s">
        <v>397</v>
      </c>
      <c r="E556" s="6" t="s">
        <v>11</v>
      </c>
      <c r="F556" s="7" t="s">
        <v>243</v>
      </c>
      <c r="G556" s="7" t="s">
        <v>238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4.25" customHeight="1">
      <c r="A557" s="6" t="s">
        <v>55</v>
      </c>
      <c r="B557" s="6" t="s">
        <v>8</v>
      </c>
      <c r="C557" s="6" t="s">
        <v>396</v>
      </c>
      <c r="D557" s="6" t="s">
        <v>397</v>
      </c>
      <c r="E557" s="6" t="s">
        <v>20</v>
      </c>
      <c r="F557" s="7" t="s">
        <v>243</v>
      </c>
      <c r="G557" s="7" t="s">
        <v>238</v>
      </c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4.25" customHeight="1">
      <c r="A558" s="6" t="s">
        <v>29</v>
      </c>
      <c r="B558" s="6" t="s">
        <v>8</v>
      </c>
      <c r="C558" s="6" t="s">
        <v>440</v>
      </c>
      <c r="D558" s="6" t="s">
        <v>441</v>
      </c>
      <c r="E558" s="6" t="s">
        <v>27</v>
      </c>
      <c r="F558" s="7" t="s">
        <v>243</v>
      </c>
      <c r="G558" s="7" t="s">
        <v>256</v>
      </c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4.25" customHeight="1">
      <c r="A559" s="6" t="s">
        <v>435</v>
      </c>
      <c r="B559" s="6" t="s">
        <v>8</v>
      </c>
      <c r="C559" s="6" t="s">
        <v>436</v>
      </c>
      <c r="D559" s="6" t="s">
        <v>437</v>
      </c>
      <c r="E559" s="6" t="s">
        <v>32</v>
      </c>
      <c r="F559" s="7" t="s">
        <v>215</v>
      </c>
      <c r="G559" s="7" t="s">
        <v>256</v>
      </c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4.25" customHeight="1">
      <c r="A560" s="6" t="s">
        <v>72</v>
      </c>
      <c r="B560" s="6" t="s">
        <v>8</v>
      </c>
      <c r="C560" s="6" t="s">
        <v>163</v>
      </c>
      <c r="D560" s="6" t="s">
        <v>164</v>
      </c>
      <c r="E560" s="6" t="s">
        <v>20</v>
      </c>
      <c r="F560" s="7" t="s">
        <v>243</v>
      </c>
      <c r="G560" s="7" t="s">
        <v>28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4.25" customHeight="1">
      <c r="A561" s="6" t="s">
        <v>21</v>
      </c>
      <c r="B561" s="6" t="s">
        <v>8</v>
      </c>
      <c r="C561" s="6" t="s">
        <v>246</v>
      </c>
      <c r="D561" s="6" t="s">
        <v>247</v>
      </c>
      <c r="E561" s="6" t="s">
        <v>32</v>
      </c>
      <c r="F561" s="7" t="s">
        <v>256</v>
      </c>
      <c r="G561" s="7" t="s">
        <v>227</v>
      </c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4.25" customHeight="1">
      <c r="A562" s="6" t="s">
        <v>72</v>
      </c>
      <c r="B562" s="6" t="s">
        <v>8</v>
      </c>
      <c r="C562" s="6" t="s">
        <v>163</v>
      </c>
      <c r="D562" s="6" t="s">
        <v>164</v>
      </c>
      <c r="E562" s="6" t="s">
        <v>11</v>
      </c>
      <c r="F562" s="7" t="s">
        <v>243</v>
      </c>
      <c r="G562" s="7" t="s">
        <v>28</v>
      </c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4.25" customHeight="1">
      <c r="A563" s="6" t="s">
        <v>158</v>
      </c>
      <c r="B563" s="6" t="s">
        <v>8</v>
      </c>
      <c r="C563" s="6" t="s">
        <v>320</v>
      </c>
      <c r="D563" s="6" t="s">
        <v>321</v>
      </c>
      <c r="E563" s="6" t="s">
        <v>27</v>
      </c>
      <c r="F563" s="7" t="s">
        <v>28</v>
      </c>
      <c r="G563" s="7" t="s">
        <v>28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4.25" customHeight="1">
      <c r="A564" s="6" t="s">
        <v>110</v>
      </c>
      <c r="B564" s="6" t="s">
        <v>8</v>
      </c>
      <c r="C564" s="6" t="s">
        <v>442</v>
      </c>
      <c r="D564" s="6" t="s">
        <v>443</v>
      </c>
      <c r="E564" s="6" t="s">
        <v>32</v>
      </c>
      <c r="F564" s="7" t="s">
        <v>215</v>
      </c>
      <c r="G564" s="7" t="s">
        <v>215</v>
      </c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4.25" customHeight="1">
      <c r="A565" s="6" t="s">
        <v>21</v>
      </c>
      <c r="B565" s="6" t="s">
        <v>8</v>
      </c>
      <c r="C565" s="6" t="s">
        <v>246</v>
      </c>
      <c r="D565" s="6" t="s">
        <v>247</v>
      </c>
      <c r="E565" s="6" t="s">
        <v>27</v>
      </c>
      <c r="F565" s="7" t="s">
        <v>227</v>
      </c>
      <c r="G565" s="7" t="s">
        <v>227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4.25" customHeight="1">
      <c r="A566" s="6" t="s">
        <v>79</v>
      </c>
      <c r="B566" s="6" t="s">
        <v>8</v>
      </c>
      <c r="C566" s="6" t="s">
        <v>444</v>
      </c>
      <c r="D566" s="6" t="s">
        <v>445</v>
      </c>
      <c r="E566" s="6" t="s">
        <v>20</v>
      </c>
      <c r="F566" s="7" t="s">
        <v>227</v>
      </c>
      <c r="G566" s="7" t="s">
        <v>227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4.25" customHeight="1">
      <c r="A567" s="6" t="s">
        <v>42</v>
      </c>
      <c r="B567" s="6" t="s">
        <v>8</v>
      </c>
      <c r="C567" s="6" t="s">
        <v>43</v>
      </c>
      <c r="D567" s="6" t="s">
        <v>44</v>
      </c>
      <c r="E567" s="6" t="s">
        <v>48</v>
      </c>
      <c r="F567" s="7" t="s">
        <v>12</v>
      </c>
      <c r="G567" s="7" t="s">
        <v>12</v>
      </c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4.25" customHeight="1">
      <c r="A568" s="6" t="s">
        <v>102</v>
      </c>
      <c r="B568" s="6" t="s">
        <v>8</v>
      </c>
      <c r="C568" s="6" t="s">
        <v>446</v>
      </c>
      <c r="D568" s="6" t="s">
        <v>447</v>
      </c>
      <c r="E568" s="6" t="s">
        <v>32</v>
      </c>
      <c r="F568" s="7" t="s">
        <v>238</v>
      </c>
      <c r="G568" s="7" t="s">
        <v>215</v>
      </c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4.25" customHeight="1">
      <c r="A569" s="6" t="s">
        <v>388</v>
      </c>
      <c r="B569" s="6" t="s">
        <v>8</v>
      </c>
      <c r="C569" s="6" t="s">
        <v>398</v>
      </c>
      <c r="D569" s="6" t="s">
        <v>399</v>
      </c>
      <c r="E569" s="6" t="s">
        <v>27</v>
      </c>
      <c r="F569" s="7" t="s">
        <v>215</v>
      </c>
      <c r="G569" s="7" t="s">
        <v>215</v>
      </c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4.25" customHeight="1">
      <c r="A570" s="6" t="s">
        <v>93</v>
      </c>
      <c r="B570" s="6" t="s">
        <v>8</v>
      </c>
      <c r="C570" s="6" t="s">
        <v>448</v>
      </c>
      <c r="D570" s="6" t="s">
        <v>449</v>
      </c>
      <c r="E570" s="6" t="s">
        <v>48</v>
      </c>
      <c r="F570" s="7" t="s">
        <v>256</v>
      </c>
      <c r="G570" s="7" t="s">
        <v>256</v>
      </c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4.25" customHeight="1">
      <c r="A571" s="6" t="s">
        <v>29</v>
      </c>
      <c r="B571" s="6" t="s">
        <v>8</v>
      </c>
      <c r="C571" s="6" t="s">
        <v>440</v>
      </c>
      <c r="D571" s="6" t="s">
        <v>441</v>
      </c>
      <c r="E571" s="6" t="s">
        <v>11</v>
      </c>
      <c r="F571" s="7" t="s">
        <v>215</v>
      </c>
      <c r="G571" s="7" t="s">
        <v>256</v>
      </c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4.25" customHeight="1">
      <c r="A572" s="6" t="s">
        <v>29</v>
      </c>
      <c r="B572" s="6" t="s">
        <v>8</v>
      </c>
      <c r="C572" s="6" t="s">
        <v>440</v>
      </c>
      <c r="D572" s="6" t="s">
        <v>441</v>
      </c>
      <c r="E572" s="6" t="s">
        <v>20</v>
      </c>
      <c r="F572" s="7" t="s">
        <v>243</v>
      </c>
      <c r="G572" s="7" t="s">
        <v>256</v>
      </c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4.25" customHeight="1">
      <c r="A573" s="6" t="s">
        <v>29</v>
      </c>
      <c r="B573" s="6" t="s">
        <v>8</v>
      </c>
      <c r="C573" s="6" t="s">
        <v>440</v>
      </c>
      <c r="D573" s="6" t="s">
        <v>441</v>
      </c>
      <c r="E573" s="6" t="s">
        <v>32</v>
      </c>
      <c r="F573" s="7" t="s">
        <v>215</v>
      </c>
      <c r="G573" s="7" t="s">
        <v>256</v>
      </c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4.25" customHeight="1">
      <c r="A574" s="6" t="s">
        <v>435</v>
      </c>
      <c r="B574" s="6" t="s">
        <v>8</v>
      </c>
      <c r="C574" s="6" t="s">
        <v>436</v>
      </c>
      <c r="D574" s="6" t="s">
        <v>437</v>
      </c>
      <c r="E574" s="6" t="s">
        <v>54</v>
      </c>
      <c r="F574" s="7" t="s">
        <v>215</v>
      </c>
      <c r="G574" s="7" t="s">
        <v>256</v>
      </c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4.25" customHeight="1">
      <c r="A575" s="6" t="s">
        <v>93</v>
      </c>
      <c r="B575" s="6" t="s">
        <v>8</v>
      </c>
      <c r="C575" s="6" t="s">
        <v>448</v>
      </c>
      <c r="D575" s="6" t="s">
        <v>449</v>
      </c>
      <c r="E575" s="6" t="s">
        <v>39</v>
      </c>
      <c r="F575" s="7" t="s">
        <v>256</v>
      </c>
      <c r="G575" s="7" t="s">
        <v>256</v>
      </c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4.25" customHeight="1">
      <c r="A576" s="6" t="s">
        <v>169</v>
      </c>
      <c r="B576" s="6" t="s">
        <v>8</v>
      </c>
      <c r="C576" s="6" t="s">
        <v>281</v>
      </c>
      <c r="D576" s="6" t="s">
        <v>282</v>
      </c>
      <c r="E576" s="6" t="s">
        <v>48</v>
      </c>
      <c r="F576" s="7" t="s">
        <v>215</v>
      </c>
      <c r="G576" s="7" t="s">
        <v>215</v>
      </c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4.25" customHeight="1">
      <c r="A577" s="6" t="s">
        <v>158</v>
      </c>
      <c r="B577" s="6" t="s">
        <v>8</v>
      </c>
      <c r="C577" s="6" t="s">
        <v>216</v>
      </c>
      <c r="D577" s="6" t="s">
        <v>217</v>
      </c>
      <c r="E577" s="6" t="s">
        <v>54</v>
      </c>
      <c r="F577" s="7" t="s">
        <v>215</v>
      </c>
      <c r="G577" s="7" t="s">
        <v>256</v>
      </c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4.25" customHeight="1">
      <c r="A578" s="6" t="s">
        <v>158</v>
      </c>
      <c r="B578" s="6" t="s">
        <v>8</v>
      </c>
      <c r="C578" s="6" t="s">
        <v>216</v>
      </c>
      <c r="D578" s="6" t="s">
        <v>217</v>
      </c>
      <c r="E578" s="6" t="s">
        <v>39</v>
      </c>
      <c r="F578" s="7" t="s">
        <v>256</v>
      </c>
      <c r="G578" s="7" t="s">
        <v>256</v>
      </c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4.25" customHeight="1">
      <c r="A579" s="6" t="s">
        <v>158</v>
      </c>
      <c r="B579" s="6" t="s">
        <v>8</v>
      </c>
      <c r="C579" s="6" t="s">
        <v>216</v>
      </c>
      <c r="D579" s="6" t="s">
        <v>217</v>
      </c>
      <c r="E579" s="6" t="s">
        <v>48</v>
      </c>
      <c r="F579" s="7" t="s">
        <v>215</v>
      </c>
      <c r="G579" s="7" t="s">
        <v>256</v>
      </c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4.25" customHeight="1">
      <c r="A580" s="6" t="s">
        <v>435</v>
      </c>
      <c r="B580" s="6" t="s">
        <v>8</v>
      </c>
      <c r="C580" s="6" t="s">
        <v>436</v>
      </c>
      <c r="D580" s="6" t="s">
        <v>437</v>
      </c>
      <c r="E580" s="6" t="s">
        <v>27</v>
      </c>
      <c r="F580" s="7" t="s">
        <v>215</v>
      </c>
      <c r="G580" s="7" t="s">
        <v>256</v>
      </c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4.25" customHeight="1">
      <c r="A581" s="6" t="s">
        <v>49</v>
      </c>
      <c r="B581" s="6" t="s">
        <v>8</v>
      </c>
      <c r="C581" s="6" t="s">
        <v>254</v>
      </c>
      <c r="D581" s="6" t="s">
        <v>255</v>
      </c>
      <c r="E581" s="6" t="s">
        <v>27</v>
      </c>
      <c r="F581" s="7" t="s">
        <v>215</v>
      </c>
      <c r="G581" s="7" t="s">
        <v>256</v>
      </c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4.25" customHeight="1">
      <c r="A582" s="6" t="s">
        <v>158</v>
      </c>
      <c r="B582" s="6" t="s">
        <v>8</v>
      </c>
      <c r="C582" s="6" t="s">
        <v>450</v>
      </c>
      <c r="D582" s="6" t="s">
        <v>451</v>
      </c>
      <c r="E582" s="6" t="s">
        <v>32</v>
      </c>
      <c r="F582" s="7" t="s">
        <v>215</v>
      </c>
      <c r="G582" s="7" t="s">
        <v>215</v>
      </c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4.25" customHeight="1">
      <c r="A583" s="6" t="s">
        <v>14</v>
      </c>
      <c r="B583" s="6" t="s">
        <v>8</v>
      </c>
      <c r="C583" s="6" t="s">
        <v>231</v>
      </c>
      <c r="D583" s="6" t="s">
        <v>232</v>
      </c>
      <c r="E583" s="6" t="s">
        <v>48</v>
      </c>
      <c r="F583" s="7" t="s">
        <v>227</v>
      </c>
      <c r="G583" s="7" t="s">
        <v>227</v>
      </c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4.25" customHeight="1">
      <c r="A584" s="6" t="s">
        <v>110</v>
      </c>
      <c r="B584" s="6" t="s">
        <v>8</v>
      </c>
      <c r="C584" s="6" t="s">
        <v>442</v>
      </c>
      <c r="D584" s="6" t="s">
        <v>443</v>
      </c>
      <c r="E584" s="6" t="s">
        <v>27</v>
      </c>
      <c r="F584" s="7" t="s">
        <v>215</v>
      </c>
      <c r="G584" s="7" t="s">
        <v>215</v>
      </c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4.25" customHeight="1">
      <c r="A585" s="6" t="s">
        <v>72</v>
      </c>
      <c r="B585" s="6" t="s">
        <v>8</v>
      </c>
      <c r="C585" s="6" t="s">
        <v>452</v>
      </c>
      <c r="D585" s="6" t="s">
        <v>453</v>
      </c>
      <c r="E585" s="6" t="s">
        <v>32</v>
      </c>
      <c r="F585" s="7" t="s">
        <v>243</v>
      </c>
      <c r="G585" s="7" t="s">
        <v>243</v>
      </c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4.25" customHeight="1">
      <c r="A586" s="6" t="s">
        <v>158</v>
      </c>
      <c r="B586" s="6" t="s">
        <v>8</v>
      </c>
      <c r="C586" s="6" t="s">
        <v>450</v>
      </c>
      <c r="D586" s="6" t="s">
        <v>451</v>
      </c>
      <c r="E586" s="6" t="s">
        <v>11</v>
      </c>
      <c r="F586" s="7" t="s">
        <v>215</v>
      </c>
      <c r="G586" s="7" t="s">
        <v>215</v>
      </c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4.25" customHeight="1">
      <c r="A587" s="6" t="s">
        <v>110</v>
      </c>
      <c r="B587" s="6" t="s">
        <v>8</v>
      </c>
      <c r="C587" s="6" t="s">
        <v>442</v>
      </c>
      <c r="D587" s="6" t="s">
        <v>443</v>
      </c>
      <c r="E587" s="6" t="s">
        <v>54</v>
      </c>
      <c r="F587" s="7" t="s">
        <v>215</v>
      </c>
      <c r="G587" s="7" t="s">
        <v>215</v>
      </c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4.25" customHeight="1">
      <c r="A588" s="6" t="s">
        <v>158</v>
      </c>
      <c r="B588" s="6" t="s">
        <v>8</v>
      </c>
      <c r="C588" s="6" t="s">
        <v>450</v>
      </c>
      <c r="D588" s="6" t="s">
        <v>451</v>
      </c>
      <c r="E588" s="6" t="s">
        <v>20</v>
      </c>
      <c r="F588" s="7" t="s">
        <v>215</v>
      </c>
      <c r="G588" s="7" t="s">
        <v>215</v>
      </c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4.25" customHeight="1">
      <c r="A589" s="6" t="s">
        <v>84</v>
      </c>
      <c r="B589" s="6" t="s">
        <v>8</v>
      </c>
      <c r="C589" s="6" t="s">
        <v>363</v>
      </c>
      <c r="D589" s="6" t="s">
        <v>364</v>
      </c>
      <c r="E589" s="6" t="s">
        <v>54</v>
      </c>
      <c r="F589" s="7" t="s">
        <v>215</v>
      </c>
      <c r="G589" s="7" t="s">
        <v>215</v>
      </c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4.25" customHeight="1">
      <c r="A590" s="6" t="s">
        <v>29</v>
      </c>
      <c r="B590" s="6" t="s">
        <v>8</v>
      </c>
      <c r="C590" s="6" t="s">
        <v>454</v>
      </c>
      <c r="D590" s="6" t="s">
        <v>455</v>
      </c>
      <c r="E590" s="6" t="s">
        <v>32</v>
      </c>
      <c r="F590" s="7" t="s">
        <v>238</v>
      </c>
      <c r="G590" s="7" t="s">
        <v>238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4.25" customHeight="1">
      <c r="A591" s="6" t="s">
        <v>110</v>
      </c>
      <c r="B591" s="6" t="s">
        <v>8</v>
      </c>
      <c r="C591" s="6" t="s">
        <v>442</v>
      </c>
      <c r="D591" s="6" t="s">
        <v>443</v>
      </c>
      <c r="E591" s="6" t="s">
        <v>39</v>
      </c>
      <c r="F591" s="7" t="s">
        <v>215</v>
      </c>
      <c r="G591" s="7" t="s">
        <v>215</v>
      </c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4.25" customHeight="1">
      <c r="A592" s="6" t="s">
        <v>110</v>
      </c>
      <c r="B592" s="6" t="s">
        <v>8</v>
      </c>
      <c r="C592" s="6" t="s">
        <v>442</v>
      </c>
      <c r="D592" s="6" t="s">
        <v>443</v>
      </c>
      <c r="E592" s="6" t="s">
        <v>48</v>
      </c>
      <c r="F592" s="7" t="s">
        <v>215</v>
      </c>
      <c r="G592" s="7" t="s">
        <v>215</v>
      </c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4.25" customHeight="1">
      <c r="A593" s="6" t="s">
        <v>93</v>
      </c>
      <c r="B593" s="6" t="s">
        <v>8</v>
      </c>
      <c r="C593" s="6" t="s">
        <v>384</v>
      </c>
      <c r="D593" s="6" t="s">
        <v>385</v>
      </c>
      <c r="E593" s="6" t="s">
        <v>39</v>
      </c>
      <c r="F593" s="7" t="s">
        <v>256</v>
      </c>
      <c r="G593" s="7" t="s">
        <v>227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4.25" customHeight="1">
      <c r="A594" s="6" t="s">
        <v>72</v>
      </c>
      <c r="B594" s="6" t="s">
        <v>8</v>
      </c>
      <c r="C594" s="6" t="s">
        <v>438</v>
      </c>
      <c r="D594" s="6" t="s">
        <v>439</v>
      </c>
      <c r="E594" s="6" t="s">
        <v>11</v>
      </c>
      <c r="F594" s="7" t="s">
        <v>224</v>
      </c>
      <c r="G594" s="7" t="s">
        <v>224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4.25" customHeight="1">
      <c r="A595" s="6" t="s">
        <v>102</v>
      </c>
      <c r="B595" s="6" t="s">
        <v>8</v>
      </c>
      <c r="C595" s="6" t="s">
        <v>236</v>
      </c>
      <c r="D595" s="6" t="s">
        <v>237</v>
      </c>
      <c r="E595" s="6" t="s">
        <v>87</v>
      </c>
      <c r="F595" s="7" t="s">
        <v>238</v>
      </c>
      <c r="G595" s="7" t="s">
        <v>224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4.25" customHeight="1">
      <c r="A596" s="6" t="s">
        <v>72</v>
      </c>
      <c r="B596" s="6" t="s">
        <v>8</v>
      </c>
      <c r="C596" s="6" t="s">
        <v>456</v>
      </c>
      <c r="D596" s="6" t="s">
        <v>457</v>
      </c>
      <c r="E596" s="6" t="s">
        <v>27</v>
      </c>
      <c r="F596" s="7" t="s">
        <v>243</v>
      </c>
      <c r="G596" s="7" t="s">
        <v>264</v>
      </c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4.25" customHeight="1">
      <c r="A597" s="6" t="s">
        <v>29</v>
      </c>
      <c r="B597" s="6" t="s">
        <v>8</v>
      </c>
      <c r="C597" s="6" t="s">
        <v>454</v>
      </c>
      <c r="D597" s="6" t="s">
        <v>455</v>
      </c>
      <c r="E597" s="6" t="s">
        <v>11</v>
      </c>
      <c r="F597" s="7" t="s">
        <v>243</v>
      </c>
      <c r="G597" s="7" t="s">
        <v>243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4.25" customHeight="1">
      <c r="A598" s="6" t="s">
        <v>158</v>
      </c>
      <c r="B598" s="6" t="s">
        <v>8</v>
      </c>
      <c r="C598" s="6" t="s">
        <v>320</v>
      </c>
      <c r="D598" s="6" t="s">
        <v>321</v>
      </c>
      <c r="E598" s="6" t="s">
        <v>48</v>
      </c>
      <c r="F598" s="7" t="s">
        <v>28</v>
      </c>
      <c r="G598" s="7" t="s">
        <v>28</v>
      </c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4.25" customHeight="1">
      <c r="A599" s="6" t="s">
        <v>42</v>
      </c>
      <c r="B599" s="6" t="s">
        <v>8</v>
      </c>
      <c r="C599" s="6" t="s">
        <v>427</v>
      </c>
      <c r="D599" s="6" t="s">
        <v>428</v>
      </c>
      <c r="E599" s="6" t="s">
        <v>54</v>
      </c>
      <c r="F599" s="7" t="s">
        <v>224</v>
      </c>
      <c r="G599" s="7" t="s">
        <v>224</v>
      </c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4.25" customHeight="1">
      <c r="A600" s="6" t="s">
        <v>29</v>
      </c>
      <c r="B600" s="6" t="s">
        <v>8</v>
      </c>
      <c r="C600" s="6" t="s">
        <v>454</v>
      </c>
      <c r="D600" s="6" t="s">
        <v>455</v>
      </c>
      <c r="E600" s="6" t="s">
        <v>20</v>
      </c>
      <c r="F600" s="7" t="s">
        <v>243</v>
      </c>
      <c r="G600" s="7" t="s">
        <v>243</v>
      </c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4.25" customHeight="1">
      <c r="A601" s="6" t="s">
        <v>158</v>
      </c>
      <c r="B601" s="6" t="s">
        <v>8</v>
      </c>
      <c r="C601" s="6" t="s">
        <v>458</v>
      </c>
      <c r="D601" s="6" t="s">
        <v>459</v>
      </c>
      <c r="E601" s="6" t="s">
        <v>39</v>
      </c>
      <c r="F601" s="7" t="s">
        <v>215</v>
      </c>
      <c r="G601" s="7" t="s">
        <v>215</v>
      </c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4.25" customHeight="1">
      <c r="A602" s="6" t="s">
        <v>72</v>
      </c>
      <c r="B602" s="6" t="s">
        <v>8</v>
      </c>
      <c r="C602" s="6" t="s">
        <v>460</v>
      </c>
      <c r="D602" s="6" t="s">
        <v>461</v>
      </c>
      <c r="E602" s="6" t="s">
        <v>27</v>
      </c>
      <c r="F602" s="7" t="s">
        <v>215</v>
      </c>
      <c r="G602" s="7" t="s">
        <v>215</v>
      </c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4.25" customHeight="1">
      <c r="A603" s="6" t="s">
        <v>72</v>
      </c>
      <c r="B603" s="6" t="s">
        <v>8</v>
      </c>
      <c r="C603" s="6" t="s">
        <v>462</v>
      </c>
      <c r="D603" s="6" t="s">
        <v>463</v>
      </c>
      <c r="E603" s="6" t="s">
        <v>54</v>
      </c>
      <c r="F603" s="7" t="s">
        <v>215</v>
      </c>
      <c r="G603" s="7" t="s">
        <v>256</v>
      </c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4.25" customHeight="1">
      <c r="A604" s="6" t="s">
        <v>42</v>
      </c>
      <c r="B604" s="6" t="s">
        <v>8</v>
      </c>
      <c r="C604" s="6" t="s">
        <v>427</v>
      </c>
      <c r="D604" s="6" t="s">
        <v>428</v>
      </c>
      <c r="E604" s="6" t="s">
        <v>32</v>
      </c>
      <c r="F604" s="7" t="s">
        <v>224</v>
      </c>
      <c r="G604" s="7" t="s">
        <v>224</v>
      </c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4.25" customHeight="1">
      <c r="A605" s="6" t="s">
        <v>14</v>
      </c>
      <c r="B605" s="6" t="s">
        <v>8</v>
      </c>
      <c r="C605" s="6" t="s">
        <v>231</v>
      </c>
      <c r="D605" s="6" t="s">
        <v>232</v>
      </c>
      <c r="E605" s="6" t="s">
        <v>27</v>
      </c>
      <c r="F605" s="7" t="s">
        <v>227</v>
      </c>
      <c r="G605" s="7" t="s">
        <v>227</v>
      </c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4.25" customHeight="1">
      <c r="A606" s="6" t="s">
        <v>204</v>
      </c>
      <c r="B606" s="6" t="s">
        <v>8</v>
      </c>
      <c r="C606" s="6" t="s">
        <v>464</v>
      </c>
      <c r="D606" s="6" t="s">
        <v>465</v>
      </c>
      <c r="E606" s="6" t="s">
        <v>32</v>
      </c>
      <c r="F606" s="7" t="s">
        <v>12</v>
      </c>
      <c r="G606" s="7" t="s">
        <v>28</v>
      </c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4.25" customHeight="1">
      <c r="A607" s="6" t="s">
        <v>24</v>
      </c>
      <c r="B607" s="6" t="s">
        <v>8</v>
      </c>
      <c r="C607" s="6" t="s">
        <v>466</v>
      </c>
      <c r="D607" s="6" t="s">
        <v>467</v>
      </c>
      <c r="E607" s="6" t="s">
        <v>32</v>
      </c>
      <c r="F607" s="7" t="s">
        <v>243</v>
      </c>
      <c r="G607" s="7" t="s">
        <v>243</v>
      </c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4.25" customHeight="1">
      <c r="A608" s="6" t="s">
        <v>204</v>
      </c>
      <c r="B608" s="6" t="s">
        <v>8</v>
      </c>
      <c r="C608" s="6" t="s">
        <v>464</v>
      </c>
      <c r="D608" s="6" t="s">
        <v>465</v>
      </c>
      <c r="E608" s="6" t="s">
        <v>27</v>
      </c>
      <c r="F608" s="7" t="s">
        <v>12</v>
      </c>
      <c r="G608" s="7" t="s">
        <v>28</v>
      </c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4.25" customHeight="1">
      <c r="A609" s="6" t="s">
        <v>204</v>
      </c>
      <c r="B609" s="6" t="s">
        <v>8</v>
      </c>
      <c r="C609" s="6" t="s">
        <v>464</v>
      </c>
      <c r="D609" s="6" t="s">
        <v>465</v>
      </c>
      <c r="E609" s="6" t="s">
        <v>39</v>
      </c>
      <c r="F609" s="7" t="s">
        <v>12</v>
      </c>
      <c r="G609" s="7" t="s">
        <v>28</v>
      </c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4.25" customHeight="1">
      <c r="A610" s="6" t="s">
        <v>21</v>
      </c>
      <c r="B610" s="6" t="s">
        <v>8</v>
      </c>
      <c r="C610" s="6" t="s">
        <v>260</v>
      </c>
      <c r="D610" s="6" t="s">
        <v>261</v>
      </c>
      <c r="E610" s="6" t="s">
        <v>27</v>
      </c>
      <c r="F610" s="7" t="s">
        <v>215</v>
      </c>
      <c r="G610" s="7" t="s">
        <v>227</v>
      </c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4.25" customHeight="1">
      <c r="A611" s="6" t="s">
        <v>204</v>
      </c>
      <c r="B611" s="6" t="s">
        <v>8</v>
      </c>
      <c r="C611" s="6" t="s">
        <v>464</v>
      </c>
      <c r="D611" s="6" t="s">
        <v>465</v>
      </c>
      <c r="E611" s="6" t="s">
        <v>48</v>
      </c>
      <c r="F611" s="7" t="s">
        <v>12</v>
      </c>
      <c r="G611" s="7" t="s">
        <v>28</v>
      </c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4.25" customHeight="1">
      <c r="A612" s="6" t="s">
        <v>204</v>
      </c>
      <c r="B612" s="6" t="s">
        <v>8</v>
      </c>
      <c r="C612" s="6" t="s">
        <v>464</v>
      </c>
      <c r="D612" s="6" t="s">
        <v>465</v>
      </c>
      <c r="E612" s="6" t="s">
        <v>11</v>
      </c>
      <c r="F612" s="7" t="s">
        <v>12</v>
      </c>
      <c r="G612" s="7" t="s">
        <v>28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4.25" customHeight="1">
      <c r="A613" s="6" t="s">
        <v>204</v>
      </c>
      <c r="B613" s="6" t="s">
        <v>8</v>
      </c>
      <c r="C613" s="6" t="s">
        <v>464</v>
      </c>
      <c r="D613" s="6" t="s">
        <v>465</v>
      </c>
      <c r="E613" s="6" t="s">
        <v>20</v>
      </c>
      <c r="F613" s="7" t="s">
        <v>12</v>
      </c>
      <c r="G613" s="7" t="s">
        <v>28</v>
      </c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4.25" customHeight="1">
      <c r="A614" s="6" t="s">
        <v>93</v>
      </c>
      <c r="B614" s="6" t="s">
        <v>8</v>
      </c>
      <c r="C614" s="6" t="s">
        <v>318</v>
      </c>
      <c r="D614" s="6" t="s">
        <v>319</v>
      </c>
      <c r="E614" s="6" t="s">
        <v>32</v>
      </c>
      <c r="F614" s="7" t="s">
        <v>238</v>
      </c>
      <c r="G614" s="7" t="s">
        <v>215</v>
      </c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4.25" customHeight="1">
      <c r="A615" s="6" t="s">
        <v>72</v>
      </c>
      <c r="B615" s="6" t="s">
        <v>8</v>
      </c>
      <c r="C615" s="6" t="s">
        <v>468</v>
      </c>
      <c r="D615" s="6" t="s">
        <v>469</v>
      </c>
      <c r="E615" s="6" t="s">
        <v>32</v>
      </c>
      <c r="F615" s="7" t="s">
        <v>243</v>
      </c>
      <c r="G615" s="7" t="s">
        <v>243</v>
      </c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4.25" customHeight="1">
      <c r="A616" s="6" t="s">
        <v>93</v>
      </c>
      <c r="B616" s="6" t="s">
        <v>8</v>
      </c>
      <c r="C616" s="6" t="s">
        <v>470</v>
      </c>
      <c r="D616" s="6" t="s">
        <v>471</v>
      </c>
      <c r="E616" s="6" t="s">
        <v>27</v>
      </c>
      <c r="F616" s="7" t="s">
        <v>215</v>
      </c>
      <c r="G616" s="7" t="s">
        <v>256</v>
      </c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4.25" customHeight="1">
      <c r="A617" s="6" t="s">
        <v>72</v>
      </c>
      <c r="B617" s="6" t="s">
        <v>8</v>
      </c>
      <c r="C617" s="6" t="s">
        <v>472</v>
      </c>
      <c r="D617" s="6" t="s">
        <v>473</v>
      </c>
      <c r="E617" s="6" t="s">
        <v>32</v>
      </c>
      <c r="F617" s="7" t="s">
        <v>238</v>
      </c>
      <c r="G617" s="7" t="s">
        <v>238</v>
      </c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4.25" customHeight="1">
      <c r="A618" s="6" t="s">
        <v>62</v>
      </c>
      <c r="B618" s="6" t="s">
        <v>8</v>
      </c>
      <c r="C618" s="6" t="s">
        <v>314</v>
      </c>
      <c r="D618" s="6" t="s">
        <v>315</v>
      </c>
      <c r="E618" s="6" t="s">
        <v>48</v>
      </c>
      <c r="F618" s="7" t="s">
        <v>238</v>
      </c>
      <c r="G618" s="7" t="s">
        <v>224</v>
      </c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4.25" customHeight="1">
      <c r="A619" s="6" t="s">
        <v>62</v>
      </c>
      <c r="B619" s="6" t="s">
        <v>8</v>
      </c>
      <c r="C619" s="6" t="s">
        <v>314</v>
      </c>
      <c r="D619" s="6" t="s">
        <v>315</v>
      </c>
      <c r="E619" s="6" t="s">
        <v>39</v>
      </c>
      <c r="F619" s="7" t="s">
        <v>238</v>
      </c>
      <c r="G619" s="7" t="s">
        <v>224</v>
      </c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4.25" customHeight="1">
      <c r="A620" s="6" t="s">
        <v>158</v>
      </c>
      <c r="B620" s="6" t="s">
        <v>8</v>
      </c>
      <c r="C620" s="6" t="s">
        <v>458</v>
      </c>
      <c r="D620" s="6" t="s">
        <v>459</v>
      </c>
      <c r="E620" s="6" t="s">
        <v>48</v>
      </c>
      <c r="F620" s="7" t="s">
        <v>215</v>
      </c>
      <c r="G620" s="7" t="s">
        <v>215</v>
      </c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4.25" customHeight="1">
      <c r="A621" s="6" t="s">
        <v>62</v>
      </c>
      <c r="B621" s="6" t="s">
        <v>8</v>
      </c>
      <c r="C621" s="6" t="s">
        <v>314</v>
      </c>
      <c r="D621" s="6" t="s">
        <v>315</v>
      </c>
      <c r="E621" s="6" t="s">
        <v>11</v>
      </c>
      <c r="F621" s="7" t="s">
        <v>224</v>
      </c>
      <c r="G621" s="7" t="s">
        <v>224</v>
      </c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4.25" customHeight="1">
      <c r="A622" s="6" t="s">
        <v>72</v>
      </c>
      <c r="B622" s="6" t="s">
        <v>8</v>
      </c>
      <c r="C622" s="6" t="s">
        <v>456</v>
      </c>
      <c r="D622" s="6" t="s">
        <v>457</v>
      </c>
      <c r="E622" s="6" t="s">
        <v>39</v>
      </c>
      <c r="F622" s="7" t="s">
        <v>238</v>
      </c>
      <c r="G622" s="7" t="s">
        <v>264</v>
      </c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4.25" customHeight="1">
      <c r="A623" s="6" t="s">
        <v>72</v>
      </c>
      <c r="B623" s="6" t="s">
        <v>8</v>
      </c>
      <c r="C623" s="6" t="s">
        <v>456</v>
      </c>
      <c r="D623" s="6" t="s">
        <v>457</v>
      </c>
      <c r="E623" s="6" t="s">
        <v>48</v>
      </c>
      <c r="F623" s="7" t="s">
        <v>243</v>
      </c>
      <c r="G623" s="7" t="s">
        <v>264</v>
      </c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4.25" customHeight="1">
      <c r="A624" s="6" t="s">
        <v>72</v>
      </c>
      <c r="B624" s="6" t="s">
        <v>8</v>
      </c>
      <c r="C624" s="6" t="s">
        <v>452</v>
      </c>
      <c r="D624" s="6" t="s">
        <v>453</v>
      </c>
      <c r="E624" s="6" t="s">
        <v>20</v>
      </c>
      <c r="F624" s="7" t="s">
        <v>243</v>
      </c>
      <c r="G624" s="7" t="s">
        <v>243</v>
      </c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4.25" customHeight="1">
      <c r="A625" s="6" t="s">
        <v>72</v>
      </c>
      <c r="B625" s="6" t="s">
        <v>8</v>
      </c>
      <c r="C625" s="6" t="s">
        <v>472</v>
      </c>
      <c r="D625" s="6" t="s">
        <v>473</v>
      </c>
      <c r="E625" s="6" t="s">
        <v>20</v>
      </c>
      <c r="F625" s="7" t="s">
        <v>238</v>
      </c>
      <c r="G625" s="7" t="s">
        <v>238</v>
      </c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4.25" customHeight="1">
      <c r="A626" s="6" t="s">
        <v>169</v>
      </c>
      <c r="B626" s="6" t="s">
        <v>8</v>
      </c>
      <c r="C626" s="6" t="s">
        <v>378</v>
      </c>
      <c r="D626" s="6" t="s">
        <v>379</v>
      </c>
      <c r="E626" s="6" t="s">
        <v>48</v>
      </c>
      <c r="F626" s="7" t="s">
        <v>28</v>
      </c>
      <c r="G626" s="7" t="s">
        <v>28</v>
      </c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4.25" customHeight="1">
      <c r="A627" s="6" t="s">
        <v>72</v>
      </c>
      <c r="B627" s="6" t="s">
        <v>8</v>
      </c>
      <c r="C627" s="6" t="s">
        <v>460</v>
      </c>
      <c r="D627" s="6" t="s">
        <v>461</v>
      </c>
      <c r="E627" s="6" t="s">
        <v>48</v>
      </c>
      <c r="F627" s="7" t="s">
        <v>215</v>
      </c>
      <c r="G627" s="7" t="s">
        <v>215</v>
      </c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4.25" customHeight="1">
      <c r="A628" s="6" t="s">
        <v>117</v>
      </c>
      <c r="B628" s="6" t="s">
        <v>8</v>
      </c>
      <c r="C628" s="6" t="s">
        <v>474</v>
      </c>
      <c r="D628" s="6" t="s">
        <v>475</v>
      </c>
      <c r="E628" s="6" t="s">
        <v>27</v>
      </c>
      <c r="F628" s="7" t="s">
        <v>224</v>
      </c>
      <c r="G628" s="7" t="s">
        <v>224</v>
      </c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4.25" customHeight="1">
      <c r="A629" s="6" t="s">
        <v>135</v>
      </c>
      <c r="B629" s="6" t="s">
        <v>8</v>
      </c>
      <c r="C629" s="6" t="s">
        <v>271</v>
      </c>
      <c r="D629" s="6" t="s">
        <v>272</v>
      </c>
      <c r="E629" s="6" t="s">
        <v>20</v>
      </c>
      <c r="F629" s="7" t="s">
        <v>243</v>
      </c>
      <c r="G629" s="7" t="s">
        <v>264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4.25" customHeight="1">
      <c r="A630" s="6" t="s">
        <v>72</v>
      </c>
      <c r="B630" s="6" t="s">
        <v>8</v>
      </c>
      <c r="C630" s="6" t="s">
        <v>468</v>
      </c>
      <c r="D630" s="6" t="s">
        <v>469</v>
      </c>
      <c r="E630" s="6" t="s">
        <v>20</v>
      </c>
      <c r="F630" s="7" t="s">
        <v>243</v>
      </c>
      <c r="G630" s="7" t="s">
        <v>243</v>
      </c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4.25" customHeight="1">
      <c r="A631" s="6" t="s">
        <v>36</v>
      </c>
      <c r="B631" s="6" t="s">
        <v>8</v>
      </c>
      <c r="C631" s="6" t="s">
        <v>294</v>
      </c>
      <c r="D631" s="6" t="s">
        <v>295</v>
      </c>
      <c r="E631" s="6" t="s">
        <v>32</v>
      </c>
      <c r="F631" s="7" t="s">
        <v>12</v>
      </c>
      <c r="G631" s="7" t="s">
        <v>12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4.25" customHeight="1">
      <c r="A632" s="6" t="s">
        <v>36</v>
      </c>
      <c r="B632" s="6" t="s">
        <v>8</v>
      </c>
      <c r="C632" s="6" t="s">
        <v>294</v>
      </c>
      <c r="D632" s="6" t="s">
        <v>295</v>
      </c>
      <c r="E632" s="6" t="s">
        <v>27</v>
      </c>
      <c r="F632" s="7" t="s">
        <v>28</v>
      </c>
      <c r="G632" s="7" t="s">
        <v>28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4.25" customHeight="1">
      <c r="A633" s="6" t="s">
        <v>72</v>
      </c>
      <c r="B633" s="6" t="s">
        <v>8</v>
      </c>
      <c r="C633" s="6" t="s">
        <v>476</v>
      </c>
      <c r="D633" s="6" t="s">
        <v>477</v>
      </c>
      <c r="E633" s="6" t="s">
        <v>20</v>
      </c>
      <c r="F633" s="7" t="s">
        <v>243</v>
      </c>
      <c r="G633" s="7" t="s">
        <v>243</v>
      </c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4.25" customHeight="1">
      <c r="A634" s="6" t="s">
        <v>36</v>
      </c>
      <c r="B634" s="6" t="s">
        <v>8</v>
      </c>
      <c r="C634" s="6" t="s">
        <v>294</v>
      </c>
      <c r="D634" s="6" t="s">
        <v>295</v>
      </c>
      <c r="E634" s="6" t="s">
        <v>48</v>
      </c>
      <c r="F634" s="7" t="s">
        <v>12</v>
      </c>
      <c r="G634" s="7" t="s">
        <v>12</v>
      </c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4.25" customHeight="1">
      <c r="A635" s="6" t="s">
        <v>17</v>
      </c>
      <c r="B635" s="6" t="s">
        <v>8</v>
      </c>
      <c r="C635" s="6" t="s">
        <v>234</v>
      </c>
      <c r="D635" s="6" t="s">
        <v>235</v>
      </c>
      <c r="E635" s="6" t="s">
        <v>87</v>
      </c>
      <c r="F635" s="7" t="s">
        <v>224</v>
      </c>
      <c r="G635" s="7" t="s">
        <v>215</v>
      </c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4.25" customHeight="1">
      <c r="A636" s="6" t="s">
        <v>24</v>
      </c>
      <c r="B636" s="6" t="s">
        <v>8</v>
      </c>
      <c r="C636" s="6" t="s">
        <v>466</v>
      </c>
      <c r="D636" s="6" t="s">
        <v>467</v>
      </c>
      <c r="E636" s="6" t="s">
        <v>20</v>
      </c>
      <c r="F636" s="7" t="s">
        <v>224</v>
      </c>
      <c r="G636" s="7" t="s">
        <v>224</v>
      </c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4.25" customHeight="1">
      <c r="A637" s="6" t="s">
        <v>21</v>
      </c>
      <c r="B637" s="6" t="s">
        <v>8</v>
      </c>
      <c r="C637" s="6" t="s">
        <v>260</v>
      </c>
      <c r="D637" s="6" t="s">
        <v>261</v>
      </c>
      <c r="E637" s="6" t="s">
        <v>11</v>
      </c>
      <c r="F637" s="7" t="s">
        <v>215</v>
      </c>
      <c r="G637" s="7" t="s">
        <v>227</v>
      </c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4.25" customHeight="1">
      <c r="A638" s="6" t="s">
        <v>72</v>
      </c>
      <c r="B638" s="6" t="s">
        <v>8</v>
      </c>
      <c r="C638" s="6" t="s">
        <v>241</v>
      </c>
      <c r="D638" s="6" t="s">
        <v>242</v>
      </c>
      <c r="E638" s="6" t="s">
        <v>32</v>
      </c>
      <c r="F638" s="7" t="s">
        <v>243</v>
      </c>
      <c r="G638" s="7" t="s">
        <v>224</v>
      </c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4.25" customHeight="1">
      <c r="A639" s="6" t="s">
        <v>158</v>
      </c>
      <c r="B639" s="6" t="s">
        <v>8</v>
      </c>
      <c r="C639" s="6" t="s">
        <v>458</v>
      </c>
      <c r="D639" s="6" t="s">
        <v>459</v>
      </c>
      <c r="E639" s="6" t="s">
        <v>32</v>
      </c>
      <c r="F639" s="7" t="s">
        <v>215</v>
      </c>
      <c r="G639" s="7" t="s">
        <v>215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4.25" customHeight="1">
      <c r="A640" s="6" t="s">
        <v>84</v>
      </c>
      <c r="B640" s="6" t="s">
        <v>8</v>
      </c>
      <c r="C640" s="6" t="s">
        <v>363</v>
      </c>
      <c r="D640" s="6" t="s">
        <v>364</v>
      </c>
      <c r="E640" s="6" t="s">
        <v>20</v>
      </c>
      <c r="F640" s="7" t="s">
        <v>215</v>
      </c>
      <c r="G640" s="7" t="s">
        <v>215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4.25" customHeight="1">
      <c r="A641" s="6" t="s">
        <v>14</v>
      </c>
      <c r="B641" s="6" t="s">
        <v>8</v>
      </c>
      <c r="C641" s="6" t="s">
        <v>231</v>
      </c>
      <c r="D641" s="6" t="s">
        <v>232</v>
      </c>
      <c r="E641" s="6" t="s">
        <v>32</v>
      </c>
      <c r="F641" s="7" t="s">
        <v>227</v>
      </c>
      <c r="G641" s="7" t="s">
        <v>227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4.25" customHeight="1">
      <c r="A642" s="6" t="s">
        <v>129</v>
      </c>
      <c r="B642" s="6" t="s">
        <v>8</v>
      </c>
      <c r="C642" s="6" t="s">
        <v>478</v>
      </c>
      <c r="D642" s="6" t="s">
        <v>479</v>
      </c>
      <c r="E642" s="6" t="s">
        <v>20</v>
      </c>
      <c r="F642" s="7" t="s">
        <v>238</v>
      </c>
      <c r="G642" s="7" t="s">
        <v>238</v>
      </c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4.25" customHeight="1">
      <c r="A643" s="6" t="s">
        <v>7</v>
      </c>
      <c r="B643" s="6" t="s">
        <v>8</v>
      </c>
      <c r="C643" s="6" t="s">
        <v>480</v>
      </c>
      <c r="D643" s="6" t="s">
        <v>481</v>
      </c>
      <c r="E643" s="6" t="s">
        <v>32</v>
      </c>
      <c r="F643" s="7" t="s">
        <v>224</v>
      </c>
      <c r="G643" s="7" t="s">
        <v>224</v>
      </c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4.25" customHeight="1">
      <c r="A644" s="6" t="s">
        <v>7</v>
      </c>
      <c r="B644" s="6" t="s">
        <v>8</v>
      </c>
      <c r="C644" s="6" t="s">
        <v>480</v>
      </c>
      <c r="D644" s="6" t="s">
        <v>481</v>
      </c>
      <c r="E644" s="6" t="s">
        <v>11</v>
      </c>
      <c r="F644" s="7" t="s">
        <v>238</v>
      </c>
      <c r="G644" s="7" t="s">
        <v>224</v>
      </c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4.25" customHeight="1">
      <c r="A645" s="6" t="s">
        <v>72</v>
      </c>
      <c r="B645" s="6" t="s">
        <v>8</v>
      </c>
      <c r="C645" s="6" t="s">
        <v>409</v>
      </c>
      <c r="D645" s="6" t="s">
        <v>410</v>
      </c>
      <c r="E645" s="6" t="s">
        <v>39</v>
      </c>
      <c r="F645" s="7" t="s">
        <v>215</v>
      </c>
      <c r="G645" s="7" t="s">
        <v>215</v>
      </c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4.25" customHeight="1">
      <c r="A646" s="6" t="s">
        <v>72</v>
      </c>
      <c r="B646" s="6" t="s">
        <v>8</v>
      </c>
      <c r="C646" s="6" t="s">
        <v>409</v>
      </c>
      <c r="D646" s="6" t="s">
        <v>410</v>
      </c>
      <c r="E646" s="6" t="s">
        <v>48</v>
      </c>
      <c r="F646" s="7" t="s">
        <v>215</v>
      </c>
      <c r="G646" s="7" t="s">
        <v>215</v>
      </c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4.25" customHeight="1">
      <c r="A647" s="6" t="s">
        <v>93</v>
      </c>
      <c r="B647" s="6" t="s">
        <v>8</v>
      </c>
      <c r="C647" s="6" t="s">
        <v>470</v>
      </c>
      <c r="D647" s="6" t="s">
        <v>471</v>
      </c>
      <c r="E647" s="6" t="s">
        <v>20</v>
      </c>
      <c r="F647" s="7" t="s">
        <v>238</v>
      </c>
      <c r="G647" s="7" t="s">
        <v>215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4.25" customHeight="1">
      <c r="A648" s="6" t="s">
        <v>42</v>
      </c>
      <c r="B648" s="6" t="s">
        <v>8</v>
      </c>
      <c r="C648" s="6" t="s">
        <v>482</v>
      </c>
      <c r="D648" s="6" t="s">
        <v>483</v>
      </c>
      <c r="E648" s="6" t="s">
        <v>32</v>
      </c>
      <c r="F648" s="7" t="s">
        <v>227</v>
      </c>
      <c r="G648" s="7" t="s">
        <v>227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4.25" customHeight="1">
      <c r="A649" s="6" t="s">
        <v>93</v>
      </c>
      <c r="B649" s="6" t="s">
        <v>8</v>
      </c>
      <c r="C649" s="6" t="s">
        <v>470</v>
      </c>
      <c r="D649" s="6" t="s">
        <v>471</v>
      </c>
      <c r="E649" s="6" t="s">
        <v>11</v>
      </c>
      <c r="F649" s="7" t="s">
        <v>238</v>
      </c>
      <c r="G649" s="7" t="s">
        <v>215</v>
      </c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4.25" customHeight="1">
      <c r="A650" s="6" t="s">
        <v>42</v>
      </c>
      <c r="B650" s="6" t="s">
        <v>8</v>
      </c>
      <c r="C650" s="6" t="s">
        <v>427</v>
      </c>
      <c r="D650" s="6" t="s">
        <v>428</v>
      </c>
      <c r="E650" s="6" t="s">
        <v>11</v>
      </c>
      <c r="F650" s="7" t="s">
        <v>224</v>
      </c>
      <c r="G650" s="7" t="s">
        <v>224</v>
      </c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4.25" customHeight="1">
      <c r="A651" s="6" t="s">
        <v>42</v>
      </c>
      <c r="B651" s="6" t="s">
        <v>8</v>
      </c>
      <c r="C651" s="6" t="s">
        <v>427</v>
      </c>
      <c r="D651" s="6" t="s">
        <v>428</v>
      </c>
      <c r="E651" s="6" t="s">
        <v>39</v>
      </c>
      <c r="F651" s="7" t="s">
        <v>238</v>
      </c>
      <c r="G651" s="7" t="s">
        <v>224</v>
      </c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4.25" customHeight="1">
      <c r="A652" s="6" t="s">
        <v>33</v>
      </c>
      <c r="B652" s="6" t="s">
        <v>8</v>
      </c>
      <c r="C652" s="6" t="s">
        <v>484</v>
      </c>
      <c r="D652" s="6" t="s">
        <v>485</v>
      </c>
      <c r="E652" s="6" t="s">
        <v>32</v>
      </c>
      <c r="F652" s="7" t="s">
        <v>227</v>
      </c>
      <c r="G652" s="7" t="s">
        <v>227</v>
      </c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4.25" customHeight="1">
      <c r="A653" s="6" t="s">
        <v>24</v>
      </c>
      <c r="B653" s="6" t="s">
        <v>8</v>
      </c>
      <c r="C653" s="6" t="s">
        <v>486</v>
      </c>
      <c r="D653" s="6" t="s">
        <v>487</v>
      </c>
      <c r="E653" s="6" t="s">
        <v>27</v>
      </c>
      <c r="F653" s="7" t="s">
        <v>224</v>
      </c>
      <c r="G653" s="7" t="s">
        <v>215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4.25" customHeight="1">
      <c r="A654" s="6" t="s">
        <v>24</v>
      </c>
      <c r="B654" s="6" t="s">
        <v>8</v>
      </c>
      <c r="C654" s="6" t="s">
        <v>486</v>
      </c>
      <c r="D654" s="6" t="s">
        <v>487</v>
      </c>
      <c r="E654" s="6" t="s">
        <v>48</v>
      </c>
      <c r="F654" s="7" t="s">
        <v>224</v>
      </c>
      <c r="G654" s="7" t="s">
        <v>215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4.25" customHeight="1">
      <c r="A655" s="6" t="s">
        <v>158</v>
      </c>
      <c r="B655" s="6" t="s">
        <v>8</v>
      </c>
      <c r="C655" s="6" t="s">
        <v>458</v>
      </c>
      <c r="D655" s="6" t="s">
        <v>459</v>
      </c>
      <c r="E655" s="6" t="s">
        <v>11</v>
      </c>
      <c r="F655" s="7" t="s">
        <v>215</v>
      </c>
      <c r="G655" s="7" t="s">
        <v>215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4.25" customHeight="1">
      <c r="A656" s="6" t="s">
        <v>49</v>
      </c>
      <c r="B656" s="6" t="s">
        <v>8</v>
      </c>
      <c r="C656" s="6" t="s">
        <v>50</v>
      </c>
      <c r="D656" s="6" t="s">
        <v>51</v>
      </c>
      <c r="E656" s="6" t="s">
        <v>27</v>
      </c>
      <c r="F656" s="7" t="s">
        <v>12</v>
      </c>
      <c r="G656" s="7" t="s">
        <v>28</v>
      </c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4.25" customHeight="1">
      <c r="A657" s="6" t="s">
        <v>72</v>
      </c>
      <c r="B657" s="6" t="s">
        <v>8</v>
      </c>
      <c r="C657" s="6" t="s">
        <v>488</v>
      </c>
      <c r="D657" s="6" t="s">
        <v>489</v>
      </c>
      <c r="E657" s="6" t="s">
        <v>32</v>
      </c>
      <c r="F657" s="7" t="s">
        <v>215</v>
      </c>
      <c r="G657" s="7" t="s">
        <v>227</v>
      </c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4.25" customHeight="1">
      <c r="A658" s="6" t="s">
        <v>42</v>
      </c>
      <c r="B658" s="6" t="s">
        <v>8</v>
      </c>
      <c r="C658" s="6" t="s">
        <v>482</v>
      </c>
      <c r="D658" s="6" t="s">
        <v>483</v>
      </c>
      <c r="E658" s="6" t="s">
        <v>11</v>
      </c>
      <c r="F658" s="7" t="s">
        <v>227</v>
      </c>
      <c r="G658" s="7" t="s">
        <v>227</v>
      </c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4.25" customHeight="1">
      <c r="A659" s="6" t="s">
        <v>93</v>
      </c>
      <c r="B659" s="6" t="s">
        <v>8</v>
      </c>
      <c r="C659" s="6" t="s">
        <v>448</v>
      </c>
      <c r="D659" s="6" t="s">
        <v>449</v>
      </c>
      <c r="E659" s="6" t="s">
        <v>32</v>
      </c>
      <c r="F659" s="7" t="s">
        <v>256</v>
      </c>
      <c r="G659" s="7" t="s">
        <v>256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4.25" customHeight="1">
      <c r="A660" s="6" t="s">
        <v>42</v>
      </c>
      <c r="B660" s="6" t="s">
        <v>8</v>
      </c>
      <c r="C660" s="6" t="s">
        <v>482</v>
      </c>
      <c r="D660" s="6" t="s">
        <v>483</v>
      </c>
      <c r="E660" s="6" t="s">
        <v>20</v>
      </c>
      <c r="F660" s="7" t="s">
        <v>227</v>
      </c>
      <c r="G660" s="7" t="s">
        <v>227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4.25" customHeight="1">
      <c r="A661" s="6" t="s">
        <v>29</v>
      </c>
      <c r="B661" s="6" t="s">
        <v>8</v>
      </c>
      <c r="C661" s="6" t="s">
        <v>440</v>
      </c>
      <c r="D661" s="6" t="s">
        <v>441</v>
      </c>
      <c r="E661" s="6" t="s">
        <v>39</v>
      </c>
      <c r="F661" s="7" t="s">
        <v>215</v>
      </c>
      <c r="G661" s="7" t="s">
        <v>256</v>
      </c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4.25" customHeight="1">
      <c r="A662" s="6" t="s">
        <v>102</v>
      </c>
      <c r="B662" s="6" t="s">
        <v>8</v>
      </c>
      <c r="C662" s="6" t="s">
        <v>490</v>
      </c>
      <c r="D662" s="6" t="s">
        <v>491</v>
      </c>
      <c r="E662" s="6" t="s">
        <v>32</v>
      </c>
      <c r="F662" s="7" t="s">
        <v>238</v>
      </c>
      <c r="G662" s="7" t="s">
        <v>224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4.25" customHeight="1">
      <c r="A663" s="6" t="s">
        <v>122</v>
      </c>
      <c r="B663" s="6" t="s">
        <v>8</v>
      </c>
      <c r="C663" s="6" t="s">
        <v>425</v>
      </c>
      <c r="D663" s="6" t="s">
        <v>426</v>
      </c>
      <c r="E663" s="6" t="s">
        <v>11</v>
      </c>
      <c r="F663" s="7" t="s">
        <v>224</v>
      </c>
      <c r="G663" s="7" t="s">
        <v>224</v>
      </c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4.25" customHeight="1">
      <c r="A664" s="6" t="s">
        <v>24</v>
      </c>
      <c r="B664" s="6" t="s">
        <v>8</v>
      </c>
      <c r="C664" s="6" t="s">
        <v>492</v>
      </c>
      <c r="D664" s="6" t="s">
        <v>493</v>
      </c>
      <c r="E664" s="6" t="s">
        <v>87</v>
      </c>
      <c r="F664" s="7" t="s">
        <v>238</v>
      </c>
      <c r="G664" s="7" t="s">
        <v>215</v>
      </c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4.25" customHeight="1">
      <c r="A665" s="6" t="s">
        <v>42</v>
      </c>
      <c r="B665" s="6" t="s">
        <v>8</v>
      </c>
      <c r="C665" s="6" t="s">
        <v>427</v>
      </c>
      <c r="D665" s="6" t="s">
        <v>428</v>
      </c>
      <c r="E665" s="6" t="s">
        <v>27</v>
      </c>
      <c r="F665" s="7" t="s">
        <v>224</v>
      </c>
      <c r="G665" s="7" t="s">
        <v>224</v>
      </c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4.25" customHeight="1">
      <c r="A666" s="6" t="s">
        <v>72</v>
      </c>
      <c r="B666" s="6" t="s">
        <v>8</v>
      </c>
      <c r="C666" s="6" t="s">
        <v>494</v>
      </c>
      <c r="D666" s="6" t="s">
        <v>495</v>
      </c>
      <c r="E666" s="6" t="s">
        <v>32</v>
      </c>
      <c r="F666" s="7" t="s">
        <v>238</v>
      </c>
      <c r="G666" s="7" t="s">
        <v>238</v>
      </c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4.25" customHeight="1">
      <c r="A667" s="6" t="s">
        <v>42</v>
      </c>
      <c r="B667" s="6" t="s">
        <v>8</v>
      </c>
      <c r="C667" s="6" t="s">
        <v>482</v>
      </c>
      <c r="D667" s="6" t="s">
        <v>483</v>
      </c>
      <c r="E667" s="6" t="s">
        <v>39</v>
      </c>
      <c r="F667" s="7" t="s">
        <v>227</v>
      </c>
      <c r="G667" s="7" t="s">
        <v>227</v>
      </c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4.25" customHeight="1">
      <c r="A668" s="6" t="s">
        <v>84</v>
      </c>
      <c r="B668" s="6" t="s">
        <v>8</v>
      </c>
      <c r="C668" s="6" t="s">
        <v>363</v>
      </c>
      <c r="D668" s="6" t="s">
        <v>364</v>
      </c>
      <c r="E668" s="6" t="s">
        <v>39</v>
      </c>
      <c r="F668" s="7" t="s">
        <v>215</v>
      </c>
      <c r="G668" s="7" t="s">
        <v>215</v>
      </c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4.25" customHeight="1">
      <c r="A669" s="6" t="s">
        <v>49</v>
      </c>
      <c r="B669" s="6" t="s">
        <v>8</v>
      </c>
      <c r="C669" s="6" t="s">
        <v>411</v>
      </c>
      <c r="D669" s="6" t="s">
        <v>412</v>
      </c>
      <c r="E669" s="6" t="s">
        <v>32</v>
      </c>
      <c r="F669" s="7" t="s">
        <v>12</v>
      </c>
      <c r="G669" s="7" t="s">
        <v>12</v>
      </c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4.25" customHeight="1">
      <c r="A670" s="6" t="s">
        <v>42</v>
      </c>
      <c r="B670" s="6" t="s">
        <v>8</v>
      </c>
      <c r="C670" s="6" t="s">
        <v>482</v>
      </c>
      <c r="D670" s="6" t="s">
        <v>483</v>
      </c>
      <c r="E670" s="6" t="s">
        <v>27</v>
      </c>
      <c r="F670" s="7" t="s">
        <v>227</v>
      </c>
      <c r="G670" s="7" t="s">
        <v>227</v>
      </c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4.25" customHeight="1">
      <c r="A671" s="6" t="s">
        <v>65</v>
      </c>
      <c r="B671" s="6" t="s">
        <v>8</v>
      </c>
      <c r="C671" s="6" t="s">
        <v>308</v>
      </c>
      <c r="D671" s="6" t="s">
        <v>309</v>
      </c>
      <c r="E671" s="6" t="s">
        <v>20</v>
      </c>
      <c r="F671" s="7" t="s">
        <v>227</v>
      </c>
      <c r="G671" s="7" t="s">
        <v>227</v>
      </c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4.25" customHeight="1">
      <c r="A672" s="6" t="s">
        <v>72</v>
      </c>
      <c r="B672" s="6" t="s">
        <v>8</v>
      </c>
      <c r="C672" s="6" t="s">
        <v>244</v>
      </c>
      <c r="D672" s="6" t="s">
        <v>245</v>
      </c>
      <c r="E672" s="6" t="s">
        <v>20</v>
      </c>
      <c r="F672" s="7" t="s">
        <v>238</v>
      </c>
      <c r="G672" s="7" t="s">
        <v>238</v>
      </c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4.25" customHeight="1">
      <c r="A673" s="6" t="s">
        <v>24</v>
      </c>
      <c r="B673" s="6" t="s">
        <v>8</v>
      </c>
      <c r="C673" s="6" t="s">
        <v>496</v>
      </c>
      <c r="D673" s="6" t="s">
        <v>497</v>
      </c>
      <c r="E673" s="6" t="s">
        <v>27</v>
      </c>
      <c r="F673" s="7" t="s">
        <v>238</v>
      </c>
      <c r="G673" s="7" t="s">
        <v>215</v>
      </c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4.25" customHeight="1">
      <c r="A674" s="6" t="s">
        <v>158</v>
      </c>
      <c r="B674" s="6" t="s">
        <v>8</v>
      </c>
      <c r="C674" s="6" t="s">
        <v>320</v>
      </c>
      <c r="D674" s="6" t="s">
        <v>321</v>
      </c>
      <c r="E674" s="6" t="s">
        <v>32</v>
      </c>
      <c r="F674" s="7" t="s">
        <v>28</v>
      </c>
      <c r="G674" s="7" t="s">
        <v>28</v>
      </c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4.25" customHeight="1">
      <c r="A675" s="6" t="s">
        <v>72</v>
      </c>
      <c r="B675" s="6" t="s">
        <v>8</v>
      </c>
      <c r="C675" s="6" t="s">
        <v>488</v>
      </c>
      <c r="D675" s="6" t="s">
        <v>489</v>
      </c>
      <c r="E675" s="6" t="s">
        <v>20</v>
      </c>
      <c r="F675" s="7" t="s">
        <v>238</v>
      </c>
      <c r="G675" s="7" t="s">
        <v>227</v>
      </c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4.25" customHeight="1">
      <c r="A676" s="6" t="s">
        <v>117</v>
      </c>
      <c r="B676" s="6" t="s">
        <v>8</v>
      </c>
      <c r="C676" s="6" t="s">
        <v>498</v>
      </c>
      <c r="D676" s="6" t="s">
        <v>499</v>
      </c>
      <c r="E676" s="6" t="s">
        <v>20</v>
      </c>
      <c r="F676" s="7" t="s">
        <v>238</v>
      </c>
      <c r="G676" s="7" t="s">
        <v>238</v>
      </c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4.25" customHeight="1">
      <c r="A677" s="6" t="s">
        <v>84</v>
      </c>
      <c r="B677" s="6" t="s">
        <v>8</v>
      </c>
      <c r="C677" s="6" t="s">
        <v>363</v>
      </c>
      <c r="D677" s="6" t="s">
        <v>364</v>
      </c>
      <c r="E677" s="6" t="s">
        <v>32</v>
      </c>
      <c r="F677" s="7" t="s">
        <v>215</v>
      </c>
      <c r="G677" s="7" t="s">
        <v>215</v>
      </c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4.25" customHeight="1">
      <c r="A678" s="6" t="s">
        <v>72</v>
      </c>
      <c r="B678" s="6" t="s">
        <v>8</v>
      </c>
      <c r="C678" s="6" t="s">
        <v>488</v>
      </c>
      <c r="D678" s="6" t="s">
        <v>489</v>
      </c>
      <c r="E678" s="6" t="s">
        <v>39</v>
      </c>
      <c r="F678" s="7" t="s">
        <v>238</v>
      </c>
      <c r="G678" s="7" t="s">
        <v>227</v>
      </c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4.25" customHeight="1">
      <c r="A679" s="6" t="s">
        <v>62</v>
      </c>
      <c r="B679" s="6" t="s">
        <v>8</v>
      </c>
      <c r="C679" s="6" t="s">
        <v>314</v>
      </c>
      <c r="D679" s="6" t="s">
        <v>315</v>
      </c>
      <c r="E679" s="6" t="s">
        <v>20</v>
      </c>
      <c r="F679" s="7" t="s">
        <v>238</v>
      </c>
      <c r="G679" s="7" t="s">
        <v>224</v>
      </c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4.25" customHeight="1">
      <c r="A680" s="6" t="s">
        <v>72</v>
      </c>
      <c r="B680" s="6" t="s">
        <v>8</v>
      </c>
      <c r="C680" s="6" t="s">
        <v>488</v>
      </c>
      <c r="D680" s="6" t="s">
        <v>489</v>
      </c>
      <c r="E680" s="6" t="s">
        <v>48</v>
      </c>
      <c r="F680" s="7" t="s">
        <v>238</v>
      </c>
      <c r="G680" s="7" t="s">
        <v>227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4.25" customHeight="1">
      <c r="A681" s="6" t="s">
        <v>93</v>
      </c>
      <c r="B681" s="6" t="s">
        <v>8</v>
      </c>
      <c r="C681" s="6" t="s">
        <v>470</v>
      </c>
      <c r="D681" s="6" t="s">
        <v>471</v>
      </c>
      <c r="E681" s="6" t="s">
        <v>32</v>
      </c>
      <c r="F681" s="7" t="s">
        <v>224</v>
      </c>
      <c r="G681" s="7" t="s">
        <v>215</v>
      </c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4.25" customHeight="1">
      <c r="A682" s="6" t="s">
        <v>117</v>
      </c>
      <c r="B682" s="6" t="s">
        <v>8</v>
      </c>
      <c r="C682" s="6" t="s">
        <v>250</v>
      </c>
      <c r="D682" s="6" t="s">
        <v>251</v>
      </c>
      <c r="E682" s="6" t="s">
        <v>11</v>
      </c>
      <c r="F682" s="7" t="s">
        <v>215</v>
      </c>
      <c r="G682" s="7" t="s">
        <v>215</v>
      </c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4.25" customHeight="1">
      <c r="A683" s="6" t="s">
        <v>117</v>
      </c>
      <c r="B683" s="6" t="s">
        <v>8</v>
      </c>
      <c r="C683" s="6" t="s">
        <v>474</v>
      </c>
      <c r="D683" s="6" t="s">
        <v>475</v>
      </c>
      <c r="E683" s="6" t="s">
        <v>54</v>
      </c>
      <c r="F683" s="7" t="s">
        <v>224</v>
      </c>
      <c r="G683" s="7" t="s">
        <v>224</v>
      </c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4.25" customHeight="1">
      <c r="A684" s="6" t="s">
        <v>72</v>
      </c>
      <c r="B684" s="6" t="s">
        <v>8</v>
      </c>
      <c r="C684" s="6" t="s">
        <v>494</v>
      </c>
      <c r="D684" s="6" t="s">
        <v>495</v>
      </c>
      <c r="E684" s="6" t="s">
        <v>27</v>
      </c>
      <c r="F684" s="7" t="s">
        <v>238</v>
      </c>
      <c r="G684" s="7" t="s">
        <v>238</v>
      </c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4.25" customHeight="1">
      <c r="A685" s="6" t="s">
        <v>158</v>
      </c>
      <c r="B685" s="6" t="s">
        <v>8</v>
      </c>
      <c r="C685" s="6" t="s">
        <v>458</v>
      </c>
      <c r="D685" s="6" t="s">
        <v>459</v>
      </c>
      <c r="E685" s="6" t="s">
        <v>20</v>
      </c>
      <c r="F685" s="7" t="s">
        <v>215</v>
      </c>
      <c r="G685" s="7" t="s">
        <v>215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4.25" customHeight="1">
      <c r="A686" s="6" t="s">
        <v>7</v>
      </c>
      <c r="B686" s="6" t="s">
        <v>8</v>
      </c>
      <c r="C686" s="6" t="s">
        <v>480</v>
      </c>
      <c r="D686" s="6" t="s">
        <v>481</v>
      </c>
      <c r="E686" s="6" t="s">
        <v>20</v>
      </c>
      <c r="F686" s="7" t="s">
        <v>238</v>
      </c>
      <c r="G686" s="7" t="s">
        <v>224</v>
      </c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4.25" customHeight="1">
      <c r="A687" s="6" t="s">
        <v>135</v>
      </c>
      <c r="B687" s="6" t="s">
        <v>8</v>
      </c>
      <c r="C687" s="6" t="s">
        <v>500</v>
      </c>
      <c r="D687" s="6" t="s">
        <v>501</v>
      </c>
      <c r="E687" s="6" t="s">
        <v>54</v>
      </c>
      <c r="F687" s="7" t="s">
        <v>215</v>
      </c>
      <c r="G687" s="7" t="s">
        <v>215</v>
      </c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4.25" customHeight="1">
      <c r="A688" s="6" t="s">
        <v>14</v>
      </c>
      <c r="B688" s="6" t="s">
        <v>8</v>
      </c>
      <c r="C688" s="6" t="s">
        <v>502</v>
      </c>
      <c r="D688" s="6" t="s">
        <v>503</v>
      </c>
      <c r="E688" s="6" t="s">
        <v>27</v>
      </c>
      <c r="F688" s="7" t="s">
        <v>264</v>
      </c>
      <c r="G688" s="7" t="s">
        <v>12</v>
      </c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4.25" customHeight="1">
      <c r="A689" s="6" t="s">
        <v>49</v>
      </c>
      <c r="B689" s="6" t="s">
        <v>8</v>
      </c>
      <c r="C689" s="6" t="s">
        <v>504</v>
      </c>
      <c r="D689" s="6" t="s">
        <v>505</v>
      </c>
      <c r="E689" s="6" t="s">
        <v>20</v>
      </c>
      <c r="F689" s="7" t="s">
        <v>224</v>
      </c>
      <c r="G689" s="7" t="s">
        <v>224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4.25" customHeight="1">
      <c r="A690" s="6" t="s">
        <v>102</v>
      </c>
      <c r="B690" s="6" t="s">
        <v>8</v>
      </c>
      <c r="C690" s="6" t="s">
        <v>490</v>
      </c>
      <c r="D690" s="6" t="s">
        <v>491</v>
      </c>
      <c r="E690" s="6" t="s">
        <v>27</v>
      </c>
      <c r="F690" s="7" t="s">
        <v>238</v>
      </c>
      <c r="G690" s="7" t="s">
        <v>224</v>
      </c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4.25" customHeight="1">
      <c r="A691" s="6" t="s">
        <v>135</v>
      </c>
      <c r="B691" s="6" t="s">
        <v>8</v>
      </c>
      <c r="C691" s="6" t="s">
        <v>500</v>
      </c>
      <c r="D691" s="6" t="s">
        <v>501</v>
      </c>
      <c r="E691" s="6" t="s">
        <v>39</v>
      </c>
      <c r="F691" s="7" t="s">
        <v>215</v>
      </c>
      <c r="G691" s="7" t="s">
        <v>215</v>
      </c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4.25" customHeight="1">
      <c r="A692" s="6" t="s">
        <v>72</v>
      </c>
      <c r="B692" s="6" t="s">
        <v>8</v>
      </c>
      <c r="C692" s="6" t="s">
        <v>462</v>
      </c>
      <c r="D692" s="6" t="s">
        <v>463</v>
      </c>
      <c r="E692" s="6" t="s">
        <v>39</v>
      </c>
      <c r="F692" s="7" t="s">
        <v>215</v>
      </c>
      <c r="G692" s="7" t="s">
        <v>256</v>
      </c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4.25" customHeight="1">
      <c r="A693" s="6" t="s">
        <v>135</v>
      </c>
      <c r="B693" s="6" t="s">
        <v>8</v>
      </c>
      <c r="C693" s="6" t="s">
        <v>500</v>
      </c>
      <c r="D693" s="6" t="s">
        <v>501</v>
      </c>
      <c r="E693" s="6" t="s">
        <v>48</v>
      </c>
      <c r="F693" s="7" t="s">
        <v>215</v>
      </c>
      <c r="G693" s="7" t="s">
        <v>215</v>
      </c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4.25" customHeight="1">
      <c r="A694" s="6" t="s">
        <v>72</v>
      </c>
      <c r="B694" s="6" t="s">
        <v>8</v>
      </c>
      <c r="C694" s="6" t="s">
        <v>292</v>
      </c>
      <c r="D694" s="6" t="s">
        <v>293</v>
      </c>
      <c r="E694" s="6" t="s">
        <v>32</v>
      </c>
      <c r="F694" s="7" t="s">
        <v>238</v>
      </c>
      <c r="G694" s="7" t="s">
        <v>238</v>
      </c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4.25" customHeight="1">
      <c r="A695" s="6" t="s">
        <v>24</v>
      </c>
      <c r="B695" s="6" t="s">
        <v>8</v>
      </c>
      <c r="C695" s="6" t="s">
        <v>506</v>
      </c>
      <c r="D695" s="6" t="s">
        <v>507</v>
      </c>
      <c r="E695" s="6" t="s">
        <v>32</v>
      </c>
      <c r="F695" s="7" t="s">
        <v>238</v>
      </c>
      <c r="G695" s="7" t="s">
        <v>224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4.25" customHeight="1">
      <c r="A696" s="6" t="s">
        <v>204</v>
      </c>
      <c r="B696" s="6" t="s">
        <v>8</v>
      </c>
      <c r="C696" s="6" t="s">
        <v>205</v>
      </c>
      <c r="D696" s="6" t="s">
        <v>206</v>
      </c>
      <c r="E696" s="6" t="s">
        <v>20</v>
      </c>
      <c r="F696" s="7" t="s">
        <v>238</v>
      </c>
      <c r="G696" s="7" t="s">
        <v>28</v>
      </c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4.25" customHeight="1">
      <c r="A697" s="6" t="s">
        <v>93</v>
      </c>
      <c r="B697" s="6" t="s">
        <v>8</v>
      </c>
      <c r="C697" s="6" t="s">
        <v>355</v>
      </c>
      <c r="D697" s="6" t="s">
        <v>356</v>
      </c>
      <c r="E697" s="6" t="s">
        <v>32</v>
      </c>
      <c r="F697" s="7" t="s">
        <v>224</v>
      </c>
      <c r="G697" s="7" t="s">
        <v>224</v>
      </c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4.25" customHeight="1">
      <c r="A698" s="6" t="s">
        <v>72</v>
      </c>
      <c r="B698" s="6" t="s">
        <v>8</v>
      </c>
      <c r="C698" s="6" t="s">
        <v>330</v>
      </c>
      <c r="D698" s="6" t="s">
        <v>331</v>
      </c>
      <c r="E698" s="6" t="s">
        <v>20</v>
      </c>
      <c r="F698" s="7" t="s">
        <v>238</v>
      </c>
      <c r="G698" s="7" t="s">
        <v>238</v>
      </c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4.25" customHeight="1">
      <c r="A699" s="6" t="s">
        <v>72</v>
      </c>
      <c r="B699" s="6" t="s">
        <v>8</v>
      </c>
      <c r="C699" s="6" t="s">
        <v>462</v>
      </c>
      <c r="D699" s="6" t="s">
        <v>463</v>
      </c>
      <c r="E699" s="6" t="s">
        <v>48</v>
      </c>
      <c r="F699" s="7" t="s">
        <v>215</v>
      </c>
      <c r="G699" s="7" t="s">
        <v>256</v>
      </c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4.25" customHeight="1">
      <c r="A700" s="6" t="s">
        <v>45</v>
      </c>
      <c r="B700" s="6" t="s">
        <v>8</v>
      </c>
      <c r="C700" s="6" t="s">
        <v>335</v>
      </c>
      <c r="D700" s="6" t="s">
        <v>336</v>
      </c>
      <c r="E700" s="6" t="s">
        <v>32</v>
      </c>
      <c r="F700" s="7" t="s">
        <v>28</v>
      </c>
      <c r="G700" s="7" t="s">
        <v>28</v>
      </c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4.25" customHeight="1">
      <c r="A701" s="6" t="s">
        <v>72</v>
      </c>
      <c r="B701" s="6" t="s">
        <v>8</v>
      </c>
      <c r="C701" s="6" t="s">
        <v>494</v>
      </c>
      <c r="D701" s="6" t="s">
        <v>495</v>
      </c>
      <c r="E701" s="6" t="s">
        <v>20</v>
      </c>
      <c r="F701" s="7" t="s">
        <v>238</v>
      </c>
      <c r="G701" s="7" t="s">
        <v>238</v>
      </c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4.25" customHeight="1">
      <c r="A702" s="6" t="s">
        <v>72</v>
      </c>
      <c r="B702" s="6" t="s">
        <v>8</v>
      </c>
      <c r="C702" s="6" t="s">
        <v>494</v>
      </c>
      <c r="D702" s="6" t="s">
        <v>495</v>
      </c>
      <c r="E702" s="6" t="s">
        <v>48</v>
      </c>
      <c r="F702" s="7" t="s">
        <v>238</v>
      </c>
      <c r="G702" s="7" t="s">
        <v>238</v>
      </c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4.25" customHeight="1">
      <c r="A703" s="6" t="s">
        <v>169</v>
      </c>
      <c r="B703" s="6" t="s">
        <v>8</v>
      </c>
      <c r="C703" s="6" t="s">
        <v>393</v>
      </c>
      <c r="D703" s="6" t="s">
        <v>394</v>
      </c>
      <c r="E703" s="6" t="s">
        <v>32</v>
      </c>
      <c r="F703" s="7" t="s">
        <v>224</v>
      </c>
      <c r="G703" s="7" t="s">
        <v>215</v>
      </c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4.25" customHeight="1">
      <c r="A704" s="6" t="s">
        <v>17</v>
      </c>
      <c r="B704" s="6" t="s">
        <v>8</v>
      </c>
      <c r="C704" s="6" t="s">
        <v>508</v>
      </c>
      <c r="D704" s="6" t="s">
        <v>509</v>
      </c>
      <c r="E704" s="6" t="s">
        <v>27</v>
      </c>
      <c r="F704" s="7" t="s">
        <v>224</v>
      </c>
      <c r="G704" s="7" t="s">
        <v>215</v>
      </c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4.25" customHeight="1">
      <c r="A705" s="6" t="s">
        <v>93</v>
      </c>
      <c r="B705" s="6" t="s">
        <v>8</v>
      </c>
      <c r="C705" s="6" t="s">
        <v>355</v>
      </c>
      <c r="D705" s="6" t="s">
        <v>356</v>
      </c>
      <c r="E705" s="6" t="s">
        <v>20</v>
      </c>
      <c r="F705" s="7" t="s">
        <v>224</v>
      </c>
      <c r="G705" s="7" t="s">
        <v>224</v>
      </c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4.25" customHeight="1">
      <c r="A706" s="6" t="s">
        <v>122</v>
      </c>
      <c r="B706" s="6" t="s">
        <v>8</v>
      </c>
      <c r="C706" s="6" t="s">
        <v>510</v>
      </c>
      <c r="D706" s="6" t="s">
        <v>511</v>
      </c>
      <c r="E706" s="6" t="s">
        <v>27</v>
      </c>
      <c r="F706" s="7" t="s">
        <v>256</v>
      </c>
      <c r="G706" s="7" t="s">
        <v>256</v>
      </c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4.25" customHeight="1">
      <c r="A707" s="6" t="s">
        <v>72</v>
      </c>
      <c r="B707" s="6" t="s">
        <v>8</v>
      </c>
      <c r="C707" s="6" t="s">
        <v>494</v>
      </c>
      <c r="D707" s="6" t="s">
        <v>495</v>
      </c>
      <c r="E707" s="6" t="s">
        <v>39</v>
      </c>
      <c r="F707" s="7" t="s">
        <v>238</v>
      </c>
      <c r="G707" s="7" t="s">
        <v>238</v>
      </c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4.25" customHeight="1">
      <c r="A708" s="6" t="s">
        <v>122</v>
      </c>
      <c r="B708" s="6" t="s">
        <v>8</v>
      </c>
      <c r="C708" s="6" t="s">
        <v>510</v>
      </c>
      <c r="D708" s="6" t="s">
        <v>511</v>
      </c>
      <c r="E708" s="6" t="s">
        <v>32</v>
      </c>
      <c r="F708" s="7" t="s">
        <v>256</v>
      </c>
      <c r="G708" s="7" t="s">
        <v>256</v>
      </c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4.25" customHeight="1">
      <c r="A709" s="6" t="s">
        <v>122</v>
      </c>
      <c r="B709" s="6" t="s">
        <v>8</v>
      </c>
      <c r="C709" s="6" t="s">
        <v>510</v>
      </c>
      <c r="D709" s="6" t="s">
        <v>511</v>
      </c>
      <c r="E709" s="6" t="s">
        <v>48</v>
      </c>
      <c r="F709" s="7" t="s">
        <v>215</v>
      </c>
      <c r="G709" s="7" t="s">
        <v>256</v>
      </c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4.25" customHeight="1">
      <c r="A710" s="6" t="s">
        <v>42</v>
      </c>
      <c r="B710" s="6" t="s">
        <v>8</v>
      </c>
      <c r="C710" s="6" t="s">
        <v>482</v>
      </c>
      <c r="D710" s="6" t="s">
        <v>483</v>
      </c>
      <c r="E710" s="6" t="s">
        <v>48</v>
      </c>
      <c r="F710" s="7" t="s">
        <v>227</v>
      </c>
      <c r="G710" s="7" t="s">
        <v>227</v>
      </c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4.25" customHeight="1">
      <c r="A711" s="6" t="s">
        <v>122</v>
      </c>
      <c r="B711" s="6" t="s">
        <v>8</v>
      </c>
      <c r="C711" s="6" t="s">
        <v>510</v>
      </c>
      <c r="D711" s="6" t="s">
        <v>511</v>
      </c>
      <c r="E711" s="6" t="s">
        <v>39</v>
      </c>
      <c r="F711" s="7" t="s">
        <v>256</v>
      </c>
      <c r="G711" s="7" t="s">
        <v>256</v>
      </c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4.25" customHeight="1">
      <c r="A712" s="6" t="s">
        <v>122</v>
      </c>
      <c r="B712" s="6" t="s">
        <v>8</v>
      </c>
      <c r="C712" s="6" t="s">
        <v>510</v>
      </c>
      <c r="D712" s="6" t="s">
        <v>511</v>
      </c>
      <c r="E712" s="6" t="s">
        <v>11</v>
      </c>
      <c r="F712" s="7" t="s">
        <v>215</v>
      </c>
      <c r="G712" s="7" t="s">
        <v>256</v>
      </c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4.25" customHeight="1">
      <c r="A713" s="6" t="s">
        <v>102</v>
      </c>
      <c r="B713" s="6" t="s">
        <v>8</v>
      </c>
      <c r="C713" s="6" t="s">
        <v>236</v>
      </c>
      <c r="D713" s="6" t="s">
        <v>237</v>
      </c>
      <c r="E713" s="6" t="s">
        <v>11</v>
      </c>
      <c r="F713" s="7" t="s">
        <v>238</v>
      </c>
      <c r="G713" s="7" t="s">
        <v>224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4.25" customHeight="1">
      <c r="A714" s="6" t="s">
        <v>49</v>
      </c>
      <c r="B714" s="6" t="s">
        <v>8</v>
      </c>
      <c r="C714" s="6" t="s">
        <v>411</v>
      </c>
      <c r="D714" s="6" t="s">
        <v>412</v>
      </c>
      <c r="E714" s="6" t="s">
        <v>27</v>
      </c>
      <c r="F714" s="7" t="s">
        <v>12</v>
      </c>
      <c r="G714" s="7" t="s">
        <v>12</v>
      </c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4.25" customHeight="1">
      <c r="A715" s="6" t="s">
        <v>24</v>
      </c>
      <c r="B715" s="6" t="s">
        <v>8</v>
      </c>
      <c r="C715" s="6" t="s">
        <v>506</v>
      </c>
      <c r="D715" s="6" t="s">
        <v>507</v>
      </c>
      <c r="E715" s="6" t="s">
        <v>20</v>
      </c>
      <c r="F715" s="7" t="s">
        <v>238</v>
      </c>
      <c r="G715" s="7" t="s">
        <v>224</v>
      </c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4.25" customHeight="1">
      <c r="A716" s="6" t="s">
        <v>93</v>
      </c>
      <c r="B716" s="6" t="s">
        <v>8</v>
      </c>
      <c r="C716" s="6" t="s">
        <v>355</v>
      </c>
      <c r="D716" s="6" t="s">
        <v>356</v>
      </c>
      <c r="E716" s="6" t="s">
        <v>87</v>
      </c>
      <c r="F716" s="7" t="s">
        <v>224</v>
      </c>
      <c r="G716" s="7" t="s">
        <v>224</v>
      </c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4.25" customHeight="1">
      <c r="A717" s="6" t="s">
        <v>24</v>
      </c>
      <c r="B717" s="6" t="s">
        <v>8</v>
      </c>
      <c r="C717" s="6" t="s">
        <v>496</v>
      </c>
      <c r="D717" s="6" t="s">
        <v>497</v>
      </c>
      <c r="E717" s="6" t="s">
        <v>39</v>
      </c>
      <c r="F717" s="7" t="s">
        <v>238</v>
      </c>
      <c r="G717" s="7" t="s">
        <v>215</v>
      </c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4.25" customHeight="1">
      <c r="A718" s="6" t="s">
        <v>102</v>
      </c>
      <c r="B718" s="6" t="s">
        <v>8</v>
      </c>
      <c r="C718" s="6" t="s">
        <v>490</v>
      </c>
      <c r="D718" s="6" t="s">
        <v>491</v>
      </c>
      <c r="E718" s="6" t="s">
        <v>39</v>
      </c>
      <c r="F718" s="7" t="s">
        <v>238</v>
      </c>
      <c r="G718" s="7" t="s">
        <v>224</v>
      </c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4.25" customHeight="1">
      <c r="A719" s="6" t="s">
        <v>435</v>
      </c>
      <c r="B719" s="6" t="s">
        <v>8</v>
      </c>
      <c r="C719" s="6" t="s">
        <v>436</v>
      </c>
      <c r="D719" s="6" t="s">
        <v>437</v>
      </c>
      <c r="E719" s="6" t="s">
        <v>11</v>
      </c>
      <c r="F719" s="7" t="s">
        <v>215</v>
      </c>
      <c r="G719" s="7" t="s">
        <v>256</v>
      </c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4.25" customHeight="1">
      <c r="A720" s="6" t="s">
        <v>24</v>
      </c>
      <c r="B720" s="6" t="s">
        <v>8</v>
      </c>
      <c r="C720" s="6" t="s">
        <v>496</v>
      </c>
      <c r="D720" s="6" t="s">
        <v>497</v>
      </c>
      <c r="E720" s="6" t="s">
        <v>48</v>
      </c>
      <c r="F720" s="7" t="s">
        <v>238</v>
      </c>
      <c r="G720" s="7" t="s">
        <v>215</v>
      </c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4.25" customHeight="1">
      <c r="A721" s="6" t="s">
        <v>17</v>
      </c>
      <c r="B721" s="6" t="s">
        <v>8</v>
      </c>
      <c r="C721" s="6" t="s">
        <v>508</v>
      </c>
      <c r="D721" s="6" t="s">
        <v>509</v>
      </c>
      <c r="E721" s="6" t="s">
        <v>39</v>
      </c>
      <c r="F721" s="7" t="s">
        <v>224</v>
      </c>
      <c r="G721" s="7" t="s">
        <v>215</v>
      </c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4.25" customHeight="1">
      <c r="A722" s="6" t="s">
        <v>72</v>
      </c>
      <c r="B722" s="6" t="s">
        <v>8</v>
      </c>
      <c r="C722" s="6" t="s">
        <v>429</v>
      </c>
      <c r="D722" s="6" t="s">
        <v>430</v>
      </c>
      <c r="E722" s="6" t="s">
        <v>27</v>
      </c>
      <c r="F722" s="7" t="s">
        <v>238</v>
      </c>
      <c r="G722" s="7" t="s">
        <v>215</v>
      </c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4.25" customHeight="1">
      <c r="A723" s="6" t="s">
        <v>33</v>
      </c>
      <c r="B723" s="6" t="s">
        <v>8</v>
      </c>
      <c r="C723" s="6" t="s">
        <v>324</v>
      </c>
      <c r="D723" s="6" t="s">
        <v>325</v>
      </c>
      <c r="E723" s="6" t="s">
        <v>54</v>
      </c>
      <c r="F723" s="7" t="s">
        <v>227</v>
      </c>
      <c r="G723" s="7" t="s">
        <v>227</v>
      </c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4.25" customHeight="1">
      <c r="A724" s="6" t="s">
        <v>17</v>
      </c>
      <c r="B724" s="6" t="s">
        <v>8</v>
      </c>
      <c r="C724" s="6" t="s">
        <v>508</v>
      </c>
      <c r="D724" s="6" t="s">
        <v>509</v>
      </c>
      <c r="E724" s="6" t="s">
        <v>32</v>
      </c>
      <c r="F724" s="7" t="s">
        <v>238</v>
      </c>
      <c r="G724" s="7" t="s">
        <v>224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4.25" customHeight="1">
      <c r="A725" s="6" t="s">
        <v>17</v>
      </c>
      <c r="B725" s="6" t="s">
        <v>8</v>
      </c>
      <c r="C725" s="6" t="s">
        <v>508</v>
      </c>
      <c r="D725" s="6" t="s">
        <v>509</v>
      </c>
      <c r="E725" s="6" t="s">
        <v>48</v>
      </c>
      <c r="F725" s="7" t="s">
        <v>215</v>
      </c>
      <c r="G725" s="7" t="s">
        <v>215</v>
      </c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4.25" customHeight="1">
      <c r="A726" s="6" t="s">
        <v>49</v>
      </c>
      <c r="B726" s="6" t="s">
        <v>8</v>
      </c>
      <c r="C726" s="6" t="s">
        <v>411</v>
      </c>
      <c r="D726" s="6" t="s">
        <v>412</v>
      </c>
      <c r="E726" s="6" t="s">
        <v>48</v>
      </c>
      <c r="F726" s="7" t="s">
        <v>12</v>
      </c>
      <c r="G726" s="7" t="s">
        <v>12</v>
      </c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4.25" customHeight="1">
      <c r="A727" s="6" t="s">
        <v>72</v>
      </c>
      <c r="B727" s="6" t="s">
        <v>8</v>
      </c>
      <c r="C727" s="6" t="s">
        <v>429</v>
      </c>
      <c r="D727" s="6" t="s">
        <v>430</v>
      </c>
      <c r="E727" s="6" t="s">
        <v>39</v>
      </c>
      <c r="F727" s="7" t="s">
        <v>238</v>
      </c>
      <c r="G727" s="7" t="s">
        <v>215</v>
      </c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4.25" customHeight="1">
      <c r="A728" s="6" t="s">
        <v>72</v>
      </c>
      <c r="B728" s="6" t="s">
        <v>8</v>
      </c>
      <c r="C728" s="6" t="s">
        <v>429</v>
      </c>
      <c r="D728" s="6" t="s">
        <v>430</v>
      </c>
      <c r="E728" s="6" t="s">
        <v>48</v>
      </c>
      <c r="F728" s="7" t="s">
        <v>215</v>
      </c>
      <c r="G728" s="7" t="s">
        <v>264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4.25" customHeight="1">
      <c r="A729" s="6" t="s">
        <v>17</v>
      </c>
      <c r="B729" s="6" t="s">
        <v>8</v>
      </c>
      <c r="C729" s="6" t="s">
        <v>508</v>
      </c>
      <c r="D729" s="6" t="s">
        <v>509</v>
      </c>
      <c r="E729" s="6" t="s">
        <v>11</v>
      </c>
      <c r="F729" s="7" t="s">
        <v>238</v>
      </c>
      <c r="G729" s="7" t="s">
        <v>215</v>
      </c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4.25" customHeight="1">
      <c r="A730" s="6" t="s">
        <v>24</v>
      </c>
      <c r="B730" s="6" t="s">
        <v>8</v>
      </c>
      <c r="C730" s="6" t="s">
        <v>212</v>
      </c>
      <c r="D730" s="6" t="s">
        <v>213</v>
      </c>
      <c r="E730" s="6" t="s">
        <v>27</v>
      </c>
      <c r="F730" s="7" t="s">
        <v>224</v>
      </c>
      <c r="G730" s="7" t="s">
        <v>215</v>
      </c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4.25" customHeight="1">
      <c r="A731" s="6" t="s">
        <v>158</v>
      </c>
      <c r="B731" s="6" t="s">
        <v>8</v>
      </c>
      <c r="C731" s="6" t="s">
        <v>512</v>
      </c>
      <c r="D731" s="6" t="s">
        <v>513</v>
      </c>
      <c r="E731" s="6" t="s">
        <v>32</v>
      </c>
      <c r="F731" s="7" t="s">
        <v>224</v>
      </c>
      <c r="G731" s="7" t="s">
        <v>224</v>
      </c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4.25" customHeight="1">
      <c r="A732" s="6" t="s">
        <v>17</v>
      </c>
      <c r="B732" s="6" t="s">
        <v>8</v>
      </c>
      <c r="C732" s="6" t="s">
        <v>508</v>
      </c>
      <c r="D732" s="6" t="s">
        <v>509</v>
      </c>
      <c r="E732" s="6" t="s">
        <v>20</v>
      </c>
      <c r="F732" s="7" t="s">
        <v>224</v>
      </c>
      <c r="G732" s="7" t="s">
        <v>224</v>
      </c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4.25" customHeight="1">
      <c r="A733" s="6" t="s">
        <v>17</v>
      </c>
      <c r="B733" s="6" t="s">
        <v>8</v>
      </c>
      <c r="C733" s="6" t="s">
        <v>508</v>
      </c>
      <c r="D733" s="6" t="s">
        <v>509</v>
      </c>
      <c r="E733" s="6" t="s">
        <v>87</v>
      </c>
      <c r="F733" s="7" t="s">
        <v>224</v>
      </c>
      <c r="G733" s="7" t="s">
        <v>224</v>
      </c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4.25" customHeight="1">
      <c r="A734" s="6" t="s">
        <v>24</v>
      </c>
      <c r="B734" s="6" t="s">
        <v>8</v>
      </c>
      <c r="C734" s="6" t="s">
        <v>514</v>
      </c>
      <c r="D734" s="6" t="s">
        <v>515</v>
      </c>
      <c r="E734" s="6" t="s">
        <v>20</v>
      </c>
      <c r="F734" s="7" t="s">
        <v>238</v>
      </c>
      <c r="G734" s="7" t="s">
        <v>238</v>
      </c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4.25" customHeight="1">
      <c r="A735" s="6" t="s">
        <v>17</v>
      </c>
      <c r="B735" s="6" t="s">
        <v>8</v>
      </c>
      <c r="C735" s="6" t="s">
        <v>516</v>
      </c>
      <c r="D735" s="6" t="s">
        <v>517</v>
      </c>
      <c r="E735" s="6" t="s">
        <v>27</v>
      </c>
      <c r="F735" s="7" t="s">
        <v>215</v>
      </c>
      <c r="G735" s="7" t="s">
        <v>256</v>
      </c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4.25" customHeight="1">
      <c r="A736" s="6" t="s">
        <v>102</v>
      </c>
      <c r="B736" s="6" t="s">
        <v>8</v>
      </c>
      <c r="C736" s="6" t="s">
        <v>490</v>
      </c>
      <c r="D736" s="6" t="s">
        <v>491</v>
      </c>
      <c r="E736" s="6" t="s">
        <v>87</v>
      </c>
      <c r="F736" s="7" t="s">
        <v>238</v>
      </c>
      <c r="G736" s="7" t="s">
        <v>224</v>
      </c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4.25" customHeight="1">
      <c r="A737" s="6" t="s">
        <v>17</v>
      </c>
      <c r="B737" s="6" t="s">
        <v>8</v>
      </c>
      <c r="C737" s="6" t="s">
        <v>234</v>
      </c>
      <c r="D737" s="6" t="s">
        <v>235</v>
      </c>
      <c r="E737" s="6" t="s">
        <v>11</v>
      </c>
      <c r="F737" s="7" t="s">
        <v>224</v>
      </c>
      <c r="G737" s="7" t="s">
        <v>215</v>
      </c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4.25" customHeight="1">
      <c r="A738" s="6" t="s">
        <v>65</v>
      </c>
      <c r="B738" s="6" t="s">
        <v>8</v>
      </c>
      <c r="C738" s="6" t="s">
        <v>304</v>
      </c>
      <c r="D738" s="6" t="s">
        <v>305</v>
      </c>
      <c r="E738" s="6" t="s">
        <v>27</v>
      </c>
      <c r="F738" s="7" t="s">
        <v>224</v>
      </c>
      <c r="G738" s="7" t="s">
        <v>215</v>
      </c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4.25" customHeight="1">
      <c r="A739" s="6" t="s">
        <v>110</v>
      </c>
      <c r="B739" s="6" t="s">
        <v>8</v>
      </c>
      <c r="C739" s="6" t="s">
        <v>442</v>
      </c>
      <c r="D739" s="6" t="s">
        <v>443</v>
      </c>
      <c r="E739" s="6" t="s">
        <v>20</v>
      </c>
      <c r="F739" s="7" t="s">
        <v>215</v>
      </c>
      <c r="G739" s="7" t="s">
        <v>215</v>
      </c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4.25" customHeight="1">
      <c r="A740" s="6" t="s">
        <v>158</v>
      </c>
      <c r="B740" s="6" t="s">
        <v>8</v>
      </c>
      <c r="C740" s="6" t="s">
        <v>512</v>
      </c>
      <c r="D740" s="6" t="s">
        <v>513</v>
      </c>
      <c r="E740" s="6" t="s">
        <v>27</v>
      </c>
      <c r="F740" s="7" t="s">
        <v>224</v>
      </c>
      <c r="G740" s="7" t="s">
        <v>224</v>
      </c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4.25" customHeight="1">
      <c r="A741" s="6" t="s">
        <v>72</v>
      </c>
      <c r="B741" s="6" t="s">
        <v>8</v>
      </c>
      <c r="C741" s="6" t="s">
        <v>518</v>
      </c>
      <c r="D741" s="6" t="s">
        <v>519</v>
      </c>
      <c r="E741" s="6" t="s">
        <v>20</v>
      </c>
      <c r="F741" s="7" t="s">
        <v>224</v>
      </c>
      <c r="G741" s="7" t="s">
        <v>224</v>
      </c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4.25" customHeight="1">
      <c r="A742" s="6" t="s">
        <v>129</v>
      </c>
      <c r="B742" s="6" t="s">
        <v>8</v>
      </c>
      <c r="C742" s="6" t="s">
        <v>178</v>
      </c>
      <c r="D742" s="6" t="s">
        <v>179</v>
      </c>
      <c r="E742" s="6" t="s">
        <v>32</v>
      </c>
      <c r="F742" s="7" t="s">
        <v>28</v>
      </c>
      <c r="G742" s="7" t="s">
        <v>28</v>
      </c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4.25" customHeight="1">
      <c r="A743" s="6" t="s">
        <v>72</v>
      </c>
      <c r="B743" s="6" t="s">
        <v>8</v>
      </c>
      <c r="C743" s="6" t="s">
        <v>520</v>
      </c>
      <c r="D743" s="6" t="s">
        <v>521</v>
      </c>
      <c r="E743" s="6" t="s">
        <v>20</v>
      </c>
      <c r="F743" s="7" t="s">
        <v>238</v>
      </c>
      <c r="G743" s="7" t="s">
        <v>238</v>
      </c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4.25" customHeight="1">
      <c r="A744" s="6" t="s">
        <v>117</v>
      </c>
      <c r="B744" s="6" t="s">
        <v>8</v>
      </c>
      <c r="C744" s="6" t="s">
        <v>474</v>
      </c>
      <c r="D744" s="6" t="s">
        <v>475</v>
      </c>
      <c r="E744" s="6" t="s">
        <v>32</v>
      </c>
      <c r="F744" s="7" t="s">
        <v>224</v>
      </c>
      <c r="G744" s="7" t="s">
        <v>224</v>
      </c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4.25" customHeight="1">
      <c r="A745" s="6" t="s">
        <v>93</v>
      </c>
      <c r="B745" s="6" t="s">
        <v>8</v>
      </c>
      <c r="C745" s="6" t="s">
        <v>355</v>
      </c>
      <c r="D745" s="6" t="s">
        <v>356</v>
      </c>
      <c r="E745" s="6" t="s">
        <v>48</v>
      </c>
      <c r="F745" s="7" t="s">
        <v>224</v>
      </c>
      <c r="G745" s="7" t="s">
        <v>224</v>
      </c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4.25" customHeight="1">
      <c r="A746" s="6" t="s">
        <v>79</v>
      </c>
      <c r="B746" s="6" t="s">
        <v>8</v>
      </c>
      <c r="C746" s="6" t="s">
        <v>522</v>
      </c>
      <c r="D746" s="6" t="s">
        <v>523</v>
      </c>
      <c r="E746" s="6" t="s">
        <v>20</v>
      </c>
      <c r="F746" s="7" t="s">
        <v>238</v>
      </c>
      <c r="G746" s="7" t="s">
        <v>256</v>
      </c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4.25" customHeight="1">
      <c r="A747" s="6" t="s">
        <v>93</v>
      </c>
      <c r="B747" s="6" t="s">
        <v>8</v>
      </c>
      <c r="C747" s="6" t="s">
        <v>448</v>
      </c>
      <c r="D747" s="6" t="s">
        <v>449</v>
      </c>
      <c r="E747" s="6" t="s">
        <v>27</v>
      </c>
      <c r="F747" s="7" t="s">
        <v>256</v>
      </c>
      <c r="G747" s="7" t="s">
        <v>256</v>
      </c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4.25" customHeight="1">
      <c r="A748" s="6" t="s">
        <v>102</v>
      </c>
      <c r="B748" s="6" t="s">
        <v>8</v>
      </c>
      <c r="C748" s="6" t="s">
        <v>490</v>
      </c>
      <c r="D748" s="6" t="s">
        <v>491</v>
      </c>
      <c r="E748" s="6" t="s">
        <v>11</v>
      </c>
      <c r="F748" s="7" t="s">
        <v>224</v>
      </c>
      <c r="G748" s="7" t="s">
        <v>224</v>
      </c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4.25" customHeight="1">
      <c r="A749" s="6" t="s">
        <v>72</v>
      </c>
      <c r="B749" s="6" t="s">
        <v>8</v>
      </c>
      <c r="C749" s="6" t="s">
        <v>518</v>
      </c>
      <c r="D749" s="6" t="s">
        <v>519</v>
      </c>
      <c r="E749" s="6" t="s">
        <v>32</v>
      </c>
      <c r="F749" s="7" t="s">
        <v>224</v>
      </c>
      <c r="G749" s="7" t="s">
        <v>224</v>
      </c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4.25" customHeight="1">
      <c r="A750" s="6" t="s">
        <v>72</v>
      </c>
      <c r="B750" s="6" t="s">
        <v>8</v>
      </c>
      <c r="C750" s="6" t="s">
        <v>337</v>
      </c>
      <c r="D750" s="6" t="s">
        <v>338</v>
      </c>
      <c r="E750" s="6" t="s">
        <v>87</v>
      </c>
      <c r="F750" s="7" t="s">
        <v>238</v>
      </c>
      <c r="G750" s="7" t="s">
        <v>238</v>
      </c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4.25" customHeight="1">
      <c r="A751" s="6" t="s">
        <v>158</v>
      </c>
      <c r="B751" s="6" t="s">
        <v>8</v>
      </c>
      <c r="C751" s="6" t="s">
        <v>524</v>
      </c>
      <c r="D751" s="6" t="s">
        <v>525</v>
      </c>
      <c r="E751" s="6" t="s">
        <v>32</v>
      </c>
      <c r="F751" s="7" t="s">
        <v>238</v>
      </c>
      <c r="G751" s="7" t="s">
        <v>224</v>
      </c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4.25" customHeight="1">
      <c r="A752" s="6" t="s">
        <v>122</v>
      </c>
      <c r="B752" s="6" t="s">
        <v>8</v>
      </c>
      <c r="C752" s="6" t="s">
        <v>526</v>
      </c>
      <c r="D752" s="6" t="s">
        <v>527</v>
      </c>
      <c r="E752" s="6" t="s">
        <v>20</v>
      </c>
      <c r="F752" s="7" t="s">
        <v>238</v>
      </c>
      <c r="G752" s="7" t="s">
        <v>224</v>
      </c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4.25" customHeight="1">
      <c r="A753" s="6" t="s">
        <v>102</v>
      </c>
      <c r="B753" s="6" t="s">
        <v>8</v>
      </c>
      <c r="C753" s="6" t="s">
        <v>446</v>
      </c>
      <c r="D753" s="6" t="s">
        <v>447</v>
      </c>
      <c r="E753" s="6" t="s">
        <v>87</v>
      </c>
      <c r="F753" s="7" t="s">
        <v>224</v>
      </c>
      <c r="G753" s="7" t="s">
        <v>215</v>
      </c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4.25" customHeight="1">
      <c r="A754" s="6" t="s">
        <v>102</v>
      </c>
      <c r="B754" s="6" t="s">
        <v>8</v>
      </c>
      <c r="C754" s="6" t="s">
        <v>326</v>
      </c>
      <c r="D754" s="6" t="s">
        <v>327</v>
      </c>
      <c r="E754" s="6" t="s">
        <v>32</v>
      </c>
      <c r="F754" s="7" t="s">
        <v>215</v>
      </c>
      <c r="G754" s="7" t="s">
        <v>215</v>
      </c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4.25" customHeight="1">
      <c r="A755" s="6" t="s">
        <v>55</v>
      </c>
      <c r="B755" s="6" t="s">
        <v>8</v>
      </c>
      <c r="C755" s="6" t="s">
        <v>528</v>
      </c>
      <c r="D755" s="6" t="s">
        <v>529</v>
      </c>
      <c r="E755" s="6" t="s">
        <v>32</v>
      </c>
      <c r="F755" s="7" t="s">
        <v>238</v>
      </c>
      <c r="G755" s="7" t="s">
        <v>238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4.25" customHeight="1">
      <c r="A756" s="6" t="s">
        <v>117</v>
      </c>
      <c r="B756" s="6" t="s">
        <v>8</v>
      </c>
      <c r="C756" s="6" t="s">
        <v>474</v>
      </c>
      <c r="D756" s="6" t="s">
        <v>475</v>
      </c>
      <c r="E756" s="6" t="s">
        <v>48</v>
      </c>
      <c r="F756" s="7" t="s">
        <v>224</v>
      </c>
      <c r="G756" s="7" t="s">
        <v>224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4.25" customHeight="1">
      <c r="A757" s="6" t="s">
        <v>158</v>
      </c>
      <c r="B757" s="6" t="s">
        <v>8</v>
      </c>
      <c r="C757" s="6" t="s">
        <v>512</v>
      </c>
      <c r="D757" s="6" t="s">
        <v>513</v>
      </c>
      <c r="E757" s="6" t="s">
        <v>54</v>
      </c>
      <c r="F757" s="7" t="s">
        <v>224</v>
      </c>
      <c r="G757" s="7" t="s">
        <v>224</v>
      </c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4.25" customHeight="1">
      <c r="A758" s="6" t="s">
        <v>55</v>
      </c>
      <c r="B758" s="6" t="s">
        <v>8</v>
      </c>
      <c r="C758" s="6" t="s">
        <v>396</v>
      </c>
      <c r="D758" s="6" t="s">
        <v>397</v>
      </c>
      <c r="E758" s="6" t="s">
        <v>39</v>
      </c>
      <c r="F758" s="7" t="s">
        <v>224</v>
      </c>
      <c r="G758" s="7" t="s">
        <v>215</v>
      </c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4.25" customHeight="1">
      <c r="A759" s="6" t="s">
        <v>158</v>
      </c>
      <c r="B759" s="6" t="s">
        <v>8</v>
      </c>
      <c r="C759" s="6" t="s">
        <v>512</v>
      </c>
      <c r="D759" s="6" t="s">
        <v>513</v>
      </c>
      <c r="E759" s="6" t="s">
        <v>39</v>
      </c>
      <c r="F759" s="7" t="s">
        <v>224</v>
      </c>
      <c r="G759" s="7" t="s">
        <v>224</v>
      </c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4.25" customHeight="1">
      <c r="A760" s="6" t="s">
        <v>55</v>
      </c>
      <c r="B760" s="6" t="s">
        <v>8</v>
      </c>
      <c r="C760" s="6" t="s">
        <v>528</v>
      </c>
      <c r="D760" s="6" t="s">
        <v>529</v>
      </c>
      <c r="E760" s="6" t="s">
        <v>20</v>
      </c>
      <c r="F760" s="7" t="s">
        <v>238</v>
      </c>
      <c r="G760" s="7" t="s">
        <v>238</v>
      </c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4.25" customHeight="1">
      <c r="A761" s="6" t="s">
        <v>158</v>
      </c>
      <c r="B761" s="6" t="s">
        <v>8</v>
      </c>
      <c r="C761" s="6" t="s">
        <v>512</v>
      </c>
      <c r="D761" s="6" t="s">
        <v>513</v>
      </c>
      <c r="E761" s="6" t="s">
        <v>48</v>
      </c>
      <c r="F761" s="7" t="s">
        <v>224</v>
      </c>
      <c r="G761" s="7" t="s">
        <v>224</v>
      </c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4.25" customHeight="1">
      <c r="A762" s="6" t="s">
        <v>36</v>
      </c>
      <c r="B762" s="6" t="s">
        <v>8</v>
      </c>
      <c r="C762" s="6" t="s">
        <v>530</v>
      </c>
      <c r="D762" s="6" t="s">
        <v>531</v>
      </c>
      <c r="E762" s="6" t="s">
        <v>11</v>
      </c>
      <c r="F762" s="7" t="s">
        <v>238</v>
      </c>
      <c r="G762" s="7" t="s">
        <v>215</v>
      </c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4.25" customHeight="1">
      <c r="A763" s="6" t="s">
        <v>105</v>
      </c>
      <c r="B763" s="6" t="s">
        <v>8</v>
      </c>
      <c r="C763" s="6" t="s">
        <v>532</v>
      </c>
      <c r="D763" s="6" t="s">
        <v>533</v>
      </c>
      <c r="E763" s="6" t="s">
        <v>27</v>
      </c>
      <c r="F763" s="7" t="s">
        <v>215</v>
      </c>
      <c r="G763" s="7" t="s">
        <v>215</v>
      </c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4.25" customHeight="1">
      <c r="A764" s="6" t="s">
        <v>110</v>
      </c>
      <c r="B764" s="6" t="s">
        <v>8</v>
      </c>
      <c r="C764" s="6" t="s">
        <v>288</v>
      </c>
      <c r="D764" s="6" t="s">
        <v>289</v>
      </c>
      <c r="E764" s="6" t="s">
        <v>32</v>
      </c>
      <c r="F764" s="7" t="s">
        <v>238</v>
      </c>
      <c r="G764" s="7" t="s">
        <v>215</v>
      </c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4.25" customHeight="1">
      <c r="A765" s="6" t="s">
        <v>55</v>
      </c>
      <c r="B765" s="6" t="s">
        <v>8</v>
      </c>
      <c r="C765" s="6" t="s">
        <v>534</v>
      </c>
      <c r="D765" s="6" t="s">
        <v>535</v>
      </c>
      <c r="E765" s="6" t="s">
        <v>32</v>
      </c>
      <c r="F765" s="7" t="s">
        <v>238</v>
      </c>
      <c r="G765" s="7" t="s">
        <v>256</v>
      </c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4.25" customHeight="1">
      <c r="A766" s="6" t="s">
        <v>55</v>
      </c>
      <c r="B766" s="6" t="s">
        <v>8</v>
      </c>
      <c r="C766" s="6" t="s">
        <v>528</v>
      </c>
      <c r="D766" s="6" t="s">
        <v>529</v>
      </c>
      <c r="E766" s="6" t="s">
        <v>54</v>
      </c>
      <c r="F766" s="7" t="s">
        <v>238</v>
      </c>
      <c r="G766" s="7" t="s">
        <v>238</v>
      </c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4.25" customHeight="1">
      <c r="A767" s="6" t="s">
        <v>55</v>
      </c>
      <c r="B767" s="6" t="s">
        <v>8</v>
      </c>
      <c r="C767" s="6" t="s">
        <v>396</v>
      </c>
      <c r="D767" s="6" t="s">
        <v>397</v>
      </c>
      <c r="E767" s="6" t="s">
        <v>54</v>
      </c>
      <c r="F767" s="7" t="s">
        <v>224</v>
      </c>
      <c r="G767" s="7" t="s">
        <v>215</v>
      </c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4.25" customHeight="1">
      <c r="A768" s="6" t="s">
        <v>55</v>
      </c>
      <c r="B768" s="6" t="s">
        <v>8</v>
      </c>
      <c r="C768" s="6" t="s">
        <v>528</v>
      </c>
      <c r="D768" s="6" t="s">
        <v>529</v>
      </c>
      <c r="E768" s="6" t="s">
        <v>39</v>
      </c>
      <c r="F768" s="7" t="s">
        <v>238</v>
      </c>
      <c r="G768" s="7" t="s">
        <v>238</v>
      </c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4.25" customHeight="1">
      <c r="A769" s="6" t="s">
        <v>105</v>
      </c>
      <c r="B769" s="6" t="s">
        <v>8</v>
      </c>
      <c r="C769" s="6" t="s">
        <v>532</v>
      </c>
      <c r="D769" s="6" t="s">
        <v>533</v>
      </c>
      <c r="E769" s="6" t="s">
        <v>39</v>
      </c>
      <c r="F769" s="7" t="s">
        <v>215</v>
      </c>
      <c r="G769" s="7" t="s">
        <v>215</v>
      </c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4.25" customHeight="1">
      <c r="A770" s="6" t="s">
        <v>158</v>
      </c>
      <c r="B770" s="6" t="s">
        <v>8</v>
      </c>
      <c r="C770" s="6" t="s">
        <v>524</v>
      </c>
      <c r="D770" s="6" t="s">
        <v>525</v>
      </c>
      <c r="E770" s="6" t="s">
        <v>27</v>
      </c>
      <c r="F770" s="7" t="s">
        <v>238</v>
      </c>
      <c r="G770" s="7" t="s">
        <v>224</v>
      </c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4.25" customHeight="1">
      <c r="A771" s="6" t="s">
        <v>55</v>
      </c>
      <c r="B771" s="6" t="s">
        <v>8</v>
      </c>
      <c r="C771" s="6" t="s">
        <v>528</v>
      </c>
      <c r="D771" s="6" t="s">
        <v>529</v>
      </c>
      <c r="E771" s="6" t="s">
        <v>48</v>
      </c>
      <c r="F771" s="7" t="s">
        <v>238</v>
      </c>
      <c r="G771" s="7" t="s">
        <v>238</v>
      </c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4.25" customHeight="1">
      <c r="A772" s="6" t="s">
        <v>158</v>
      </c>
      <c r="B772" s="6" t="s">
        <v>8</v>
      </c>
      <c r="C772" s="6" t="s">
        <v>512</v>
      </c>
      <c r="D772" s="6" t="s">
        <v>513</v>
      </c>
      <c r="E772" s="6" t="s">
        <v>20</v>
      </c>
      <c r="F772" s="7" t="s">
        <v>224</v>
      </c>
      <c r="G772" s="7" t="s">
        <v>224</v>
      </c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4.25" customHeight="1">
      <c r="A773" s="6" t="s">
        <v>55</v>
      </c>
      <c r="B773" s="6" t="s">
        <v>8</v>
      </c>
      <c r="C773" s="6" t="s">
        <v>528</v>
      </c>
      <c r="D773" s="6" t="s">
        <v>529</v>
      </c>
      <c r="E773" s="6" t="s">
        <v>27</v>
      </c>
      <c r="F773" s="7" t="s">
        <v>238</v>
      </c>
      <c r="G773" s="7" t="s">
        <v>238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4.25" customHeight="1">
      <c r="A774" s="6" t="s">
        <v>93</v>
      </c>
      <c r="B774" s="6" t="s">
        <v>8</v>
      </c>
      <c r="C774" s="6" t="s">
        <v>310</v>
      </c>
      <c r="D774" s="6" t="s">
        <v>311</v>
      </c>
      <c r="E774" s="6" t="s">
        <v>20</v>
      </c>
      <c r="F774" s="7" t="s">
        <v>238</v>
      </c>
      <c r="G774" s="7" t="s">
        <v>256</v>
      </c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4.25" customHeight="1">
      <c r="A775" s="6" t="s">
        <v>158</v>
      </c>
      <c r="B775" s="6" t="s">
        <v>8</v>
      </c>
      <c r="C775" s="6" t="s">
        <v>524</v>
      </c>
      <c r="D775" s="6" t="s">
        <v>525</v>
      </c>
      <c r="E775" s="6" t="s">
        <v>39</v>
      </c>
      <c r="F775" s="7" t="s">
        <v>238</v>
      </c>
      <c r="G775" s="7" t="s">
        <v>224</v>
      </c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4.25" customHeight="1">
      <c r="A776" s="6" t="s">
        <v>110</v>
      </c>
      <c r="B776" s="6" t="s">
        <v>8</v>
      </c>
      <c r="C776" s="6" t="s">
        <v>288</v>
      </c>
      <c r="D776" s="6" t="s">
        <v>289</v>
      </c>
      <c r="E776" s="6" t="s">
        <v>11</v>
      </c>
      <c r="F776" s="7" t="s">
        <v>238</v>
      </c>
      <c r="G776" s="7" t="s">
        <v>215</v>
      </c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4.25" customHeight="1">
      <c r="A777" s="6" t="s">
        <v>158</v>
      </c>
      <c r="B777" s="6" t="s">
        <v>8</v>
      </c>
      <c r="C777" s="6" t="s">
        <v>524</v>
      </c>
      <c r="D777" s="6" t="s">
        <v>525</v>
      </c>
      <c r="E777" s="6" t="s">
        <v>48</v>
      </c>
      <c r="F777" s="7" t="s">
        <v>238</v>
      </c>
      <c r="G777" s="7" t="s">
        <v>224</v>
      </c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4.25" customHeight="1">
      <c r="A778" s="6" t="s">
        <v>36</v>
      </c>
      <c r="B778" s="6" t="s">
        <v>8</v>
      </c>
      <c r="C778" s="6" t="s">
        <v>530</v>
      </c>
      <c r="D778" s="6" t="s">
        <v>531</v>
      </c>
      <c r="E778" s="6" t="s">
        <v>54</v>
      </c>
      <c r="F778" s="7" t="s">
        <v>224</v>
      </c>
      <c r="G778" s="7" t="s">
        <v>215</v>
      </c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4.25" customHeight="1">
      <c r="A779" s="6" t="s">
        <v>17</v>
      </c>
      <c r="B779" s="6" t="s">
        <v>8</v>
      </c>
      <c r="C779" s="6" t="s">
        <v>536</v>
      </c>
      <c r="D779" s="6" t="s">
        <v>537</v>
      </c>
      <c r="E779" s="6" t="s">
        <v>87</v>
      </c>
      <c r="F779" s="7" t="s">
        <v>238</v>
      </c>
      <c r="G779" s="7" t="s">
        <v>28</v>
      </c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4.25" customHeight="1">
      <c r="A780" s="6" t="s">
        <v>158</v>
      </c>
      <c r="B780" s="6" t="s">
        <v>8</v>
      </c>
      <c r="C780" s="6" t="s">
        <v>524</v>
      </c>
      <c r="D780" s="6" t="s">
        <v>525</v>
      </c>
      <c r="E780" s="6" t="s">
        <v>20</v>
      </c>
      <c r="F780" s="7" t="s">
        <v>238</v>
      </c>
      <c r="G780" s="7" t="s">
        <v>224</v>
      </c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4.25" customHeight="1">
      <c r="A781" s="6" t="s">
        <v>17</v>
      </c>
      <c r="B781" s="6" t="s">
        <v>8</v>
      </c>
      <c r="C781" s="6" t="s">
        <v>536</v>
      </c>
      <c r="D781" s="6" t="s">
        <v>537</v>
      </c>
      <c r="E781" s="6" t="s">
        <v>32</v>
      </c>
      <c r="F781" s="7" t="s">
        <v>238</v>
      </c>
      <c r="G781" s="7" t="s">
        <v>224</v>
      </c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4.25" customHeight="1">
      <c r="A782" s="6" t="s">
        <v>24</v>
      </c>
      <c r="B782" s="6" t="s">
        <v>8</v>
      </c>
      <c r="C782" s="6" t="s">
        <v>108</v>
      </c>
      <c r="D782" s="6" t="s">
        <v>109</v>
      </c>
      <c r="E782" s="6" t="s">
        <v>27</v>
      </c>
      <c r="F782" s="7" t="s">
        <v>12</v>
      </c>
      <c r="G782" s="7" t="s">
        <v>28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4.25" customHeight="1">
      <c r="A783" s="6" t="s">
        <v>158</v>
      </c>
      <c r="B783" s="6" t="s">
        <v>8</v>
      </c>
      <c r="C783" s="6" t="s">
        <v>450</v>
      </c>
      <c r="D783" s="6" t="s">
        <v>451</v>
      </c>
      <c r="E783" s="6" t="s">
        <v>48</v>
      </c>
      <c r="F783" s="7" t="s">
        <v>215</v>
      </c>
      <c r="G783" s="7" t="s">
        <v>215</v>
      </c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4.25" customHeight="1">
      <c r="A784" s="6" t="s">
        <v>158</v>
      </c>
      <c r="B784" s="6" t="s">
        <v>8</v>
      </c>
      <c r="C784" s="6" t="s">
        <v>450</v>
      </c>
      <c r="D784" s="6" t="s">
        <v>451</v>
      </c>
      <c r="E784" s="6" t="s">
        <v>27</v>
      </c>
      <c r="F784" s="7" t="s">
        <v>215</v>
      </c>
      <c r="G784" s="7" t="s">
        <v>215</v>
      </c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4.25" customHeight="1">
      <c r="A785" s="6" t="s">
        <v>388</v>
      </c>
      <c r="B785" s="6" t="s">
        <v>8</v>
      </c>
      <c r="C785" s="6" t="s">
        <v>538</v>
      </c>
      <c r="D785" s="6" t="s">
        <v>539</v>
      </c>
      <c r="E785" s="6" t="s">
        <v>32</v>
      </c>
      <c r="F785" s="7" t="s">
        <v>28</v>
      </c>
      <c r="G785" s="7" t="s">
        <v>28</v>
      </c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4.25" customHeight="1">
      <c r="A786" s="6" t="s">
        <v>388</v>
      </c>
      <c r="B786" s="6" t="s">
        <v>8</v>
      </c>
      <c r="C786" s="6" t="s">
        <v>538</v>
      </c>
      <c r="D786" s="6" t="s">
        <v>539</v>
      </c>
      <c r="E786" s="6" t="s">
        <v>27</v>
      </c>
      <c r="F786" s="7" t="s">
        <v>28</v>
      </c>
      <c r="G786" s="7" t="s">
        <v>28</v>
      </c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4.25" customHeight="1">
      <c r="A787" s="6" t="s">
        <v>388</v>
      </c>
      <c r="B787" s="6" t="s">
        <v>8</v>
      </c>
      <c r="C787" s="6" t="s">
        <v>538</v>
      </c>
      <c r="D787" s="6" t="s">
        <v>539</v>
      </c>
      <c r="E787" s="6" t="s">
        <v>48</v>
      </c>
      <c r="F787" s="7" t="s">
        <v>28</v>
      </c>
      <c r="G787" s="7" t="s">
        <v>28</v>
      </c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4.25" customHeight="1">
      <c r="A788" s="6" t="s">
        <v>388</v>
      </c>
      <c r="B788" s="6" t="s">
        <v>8</v>
      </c>
      <c r="C788" s="6" t="s">
        <v>538</v>
      </c>
      <c r="D788" s="6" t="s">
        <v>539</v>
      </c>
      <c r="E788" s="6" t="s">
        <v>11</v>
      </c>
      <c r="F788" s="7" t="s">
        <v>264</v>
      </c>
      <c r="G788" s="7" t="s">
        <v>28</v>
      </c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4.25" customHeight="1">
      <c r="A789" s="6" t="s">
        <v>388</v>
      </c>
      <c r="B789" s="6" t="s">
        <v>8</v>
      </c>
      <c r="C789" s="6" t="s">
        <v>538</v>
      </c>
      <c r="D789" s="6" t="s">
        <v>539</v>
      </c>
      <c r="E789" s="6" t="s">
        <v>20</v>
      </c>
      <c r="F789" s="7" t="s">
        <v>264</v>
      </c>
      <c r="G789" s="7" t="s">
        <v>28</v>
      </c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4.25" customHeight="1">
      <c r="A790" s="6" t="s">
        <v>122</v>
      </c>
      <c r="B790" s="6" t="s">
        <v>8</v>
      </c>
      <c r="C790" s="6" t="s">
        <v>540</v>
      </c>
      <c r="D790" s="6" t="s">
        <v>541</v>
      </c>
      <c r="E790" s="6" t="s">
        <v>20</v>
      </c>
      <c r="F790" s="7" t="s">
        <v>215</v>
      </c>
      <c r="G790" s="7" t="s">
        <v>256</v>
      </c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4.25" customHeight="1">
      <c r="A791" s="6" t="s">
        <v>102</v>
      </c>
      <c r="B791" s="6" t="s">
        <v>8</v>
      </c>
      <c r="C791" s="6" t="s">
        <v>446</v>
      </c>
      <c r="D791" s="6" t="s">
        <v>447</v>
      </c>
      <c r="E791" s="6" t="s">
        <v>27</v>
      </c>
      <c r="F791" s="7" t="s">
        <v>224</v>
      </c>
      <c r="G791" s="7" t="s">
        <v>215</v>
      </c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4.25" customHeight="1">
      <c r="A792" s="6" t="s">
        <v>36</v>
      </c>
      <c r="B792" s="6" t="s">
        <v>8</v>
      </c>
      <c r="C792" s="6" t="s">
        <v>530</v>
      </c>
      <c r="D792" s="6" t="s">
        <v>531</v>
      </c>
      <c r="E792" s="6" t="s">
        <v>39</v>
      </c>
      <c r="F792" s="7" t="s">
        <v>224</v>
      </c>
      <c r="G792" s="7" t="s">
        <v>215</v>
      </c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4.25" customHeight="1">
      <c r="A793" s="6" t="s">
        <v>36</v>
      </c>
      <c r="B793" s="6" t="s">
        <v>8</v>
      </c>
      <c r="C793" s="6" t="s">
        <v>530</v>
      </c>
      <c r="D793" s="6" t="s">
        <v>531</v>
      </c>
      <c r="E793" s="6" t="s">
        <v>48</v>
      </c>
      <c r="F793" s="7" t="s">
        <v>224</v>
      </c>
      <c r="G793" s="7" t="s">
        <v>215</v>
      </c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4.25" customHeight="1">
      <c r="A794" s="6" t="s">
        <v>122</v>
      </c>
      <c r="B794" s="6" t="s">
        <v>8</v>
      </c>
      <c r="C794" s="6" t="s">
        <v>540</v>
      </c>
      <c r="D794" s="6" t="s">
        <v>541</v>
      </c>
      <c r="E794" s="6" t="s">
        <v>39</v>
      </c>
      <c r="F794" s="7" t="s">
        <v>215</v>
      </c>
      <c r="G794" s="7" t="s">
        <v>256</v>
      </c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4.25" customHeight="1">
      <c r="A795" s="6" t="s">
        <v>122</v>
      </c>
      <c r="B795" s="6" t="s">
        <v>8</v>
      </c>
      <c r="C795" s="6" t="s">
        <v>540</v>
      </c>
      <c r="D795" s="6" t="s">
        <v>541</v>
      </c>
      <c r="E795" s="6" t="s">
        <v>27</v>
      </c>
      <c r="F795" s="7" t="s">
        <v>256</v>
      </c>
      <c r="G795" s="7" t="s">
        <v>256</v>
      </c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4.25" customHeight="1">
      <c r="A796" s="6" t="s">
        <v>36</v>
      </c>
      <c r="B796" s="6" t="s">
        <v>8</v>
      </c>
      <c r="C796" s="6" t="s">
        <v>530</v>
      </c>
      <c r="D796" s="6" t="s">
        <v>531</v>
      </c>
      <c r="E796" s="6" t="s">
        <v>27</v>
      </c>
      <c r="F796" s="7" t="s">
        <v>224</v>
      </c>
      <c r="G796" s="7" t="s">
        <v>215</v>
      </c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4.25" customHeight="1">
      <c r="A797" s="6" t="s">
        <v>102</v>
      </c>
      <c r="B797" s="6" t="s">
        <v>8</v>
      </c>
      <c r="C797" s="6" t="s">
        <v>446</v>
      </c>
      <c r="D797" s="6" t="s">
        <v>447</v>
      </c>
      <c r="E797" s="6" t="s">
        <v>39</v>
      </c>
      <c r="F797" s="7" t="s">
        <v>224</v>
      </c>
      <c r="G797" s="7" t="s">
        <v>215</v>
      </c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4.25" customHeight="1">
      <c r="A798" s="6" t="s">
        <v>55</v>
      </c>
      <c r="B798" s="6" t="s">
        <v>8</v>
      </c>
      <c r="C798" s="6" t="s">
        <v>542</v>
      </c>
      <c r="D798" s="6" t="s">
        <v>543</v>
      </c>
      <c r="E798" s="6" t="s">
        <v>32</v>
      </c>
      <c r="F798" s="7" t="s">
        <v>224</v>
      </c>
      <c r="G798" s="7" t="s">
        <v>227</v>
      </c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4.25" customHeight="1">
      <c r="A799" s="6" t="s">
        <v>117</v>
      </c>
      <c r="B799" s="6" t="s">
        <v>8</v>
      </c>
      <c r="C799" s="6" t="s">
        <v>474</v>
      </c>
      <c r="D799" s="6" t="s">
        <v>475</v>
      </c>
      <c r="E799" s="6" t="s">
        <v>39</v>
      </c>
      <c r="F799" s="7" t="s">
        <v>224</v>
      </c>
      <c r="G799" s="7" t="s">
        <v>224</v>
      </c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4.25" customHeight="1">
      <c r="A800" s="6" t="s">
        <v>55</v>
      </c>
      <c r="B800" s="6" t="s">
        <v>8</v>
      </c>
      <c r="C800" s="6" t="s">
        <v>542</v>
      </c>
      <c r="D800" s="6" t="s">
        <v>543</v>
      </c>
      <c r="E800" s="6" t="s">
        <v>27</v>
      </c>
      <c r="F800" s="7" t="s">
        <v>256</v>
      </c>
      <c r="G800" s="7" t="s">
        <v>227</v>
      </c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4.25" customHeight="1">
      <c r="A801" s="6" t="s">
        <v>72</v>
      </c>
      <c r="B801" s="6" t="s">
        <v>8</v>
      </c>
      <c r="C801" s="6" t="s">
        <v>163</v>
      </c>
      <c r="D801" s="6" t="s">
        <v>164</v>
      </c>
      <c r="E801" s="6" t="s">
        <v>32</v>
      </c>
      <c r="F801" s="7" t="s">
        <v>224</v>
      </c>
      <c r="G801" s="7" t="s">
        <v>28</v>
      </c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4.25" customHeight="1">
      <c r="A802" s="6" t="s">
        <v>102</v>
      </c>
      <c r="B802" s="6" t="s">
        <v>8</v>
      </c>
      <c r="C802" s="6" t="s">
        <v>446</v>
      </c>
      <c r="D802" s="6" t="s">
        <v>447</v>
      </c>
      <c r="E802" s="6" t="s">
        <v>48</v>
      </c>
      <c r="F802" s="7" t="s">
        <v>224</v>
      </c>
      <c r="G802" s="7" t="s">
        <v>215</v>
      </c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4.25" customHeight="1">
      <c r="A803" s="6" t="s">
        <v>122</v>
      </c>
      <c r="B803" s="6" t="s">
        <v>8</v>
      </c>
      <c r="C803" s="6" t="s">
        <v>540</v>
      </c>
      <c r="D803" s="6" t="s">
        <v>541</v>
      </c>
      <c r="E803" s="6" t="s">
        <v>32</v>
      </c>
      <c r="F803" s="7" t="s">
        <v>215</v>
      </c>
      <c r="G803" s="7" t="s">
        <v>256</v>
      </c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4.25" customHeight="1">
      <c r="A804" s="6" t="s">
        <v>72</v>
      </c>
      <c r="B804" s="6" t="s">
        <v>8</v>
      </c>
      <c r="C804" s="6" t="s">
        <v>73</v>
      </c>
      <c r="D804" s="6" t="s">
        <v>74</v>
      </c>
      <c r="E804" s="6" t="s">
        <v>27</v>
      </c>
      <c r="F804" s="7" t="s">
        <v>12</v>
      </c>
      <c r="G804" s="7" t="s">
        <v>28</v>
      </c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4.25" customHeight="1">
      <c r="A805" s="6" t="s">
        <v>117</v>
      </c>
      <c r="B805" s="6" t="s">
        <v>8</v>
      </c>
      <c r="C805" s="6" t="s">
        <v>474</v>
      </c>
      <c r="D805" s="6" t="s">
        <v>475</v>
      </c>
      <c r="E805" s="6" t="s">
        <v>20</v>
      </c>
      <c r="F805" s="7" t="s">
        <v>224</v>
      </c>
      <c r="G805" s="7" t="s">
        <v>224</v>
      </c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4.25" customHeight="1">
      <c r="A806" s="6" t="s">
        <v>72</v>
      </c>
      <c r="B806" s="6" t="s">
        <v>8</v>
      </c>
      <c r="C806" s="6" t="s">
        <v>73</v>
      </c>
      <c r="D806" s="6" t="s">
        <v>74</v>
      </c>
      <c r="E806" s="6" t="s">
        <v>48</v>
      </c>
      <c r="F806" s="7" t="s">
        <v>12</v>
      </c>
      <c r="G806" s="7" t="s">
        <v>28</v>
      </c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4.25" customHeight="1">
      <c r="A807" s="6" t="s">
        <v>88</v>
      </c>
      <c r="B807" s="6" t="s">
        <v>8</v>
      </c>
      <c r="C807" s="6" t="s">
        <v>239</v>
      </c>
      <c r="D807" s="6" t="s">
        <v>240</v>
      </c>
      <c r="E807" s="6" t="s">
        <v>11</v>
      </c>
      <c r="F807" s="7" t="s">
        <v>224</v>
      </c>
      <c r="G807" s="7" t="s">
        <v>224</v>
      </c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4.25" customHeight="1">
      <c r="A808" s="6" t="s">
        <v>72</v>
      </c>
      <c r="B808" s="6" t="s">
        <v>8</v>
      </c>
      <c r="C808" s="6" t="s">
        <v>544</v>
      </c>
      <c r="D808" s="6" t="s">
        <v>545</v>
      </c>
      <c r="E808" s="6" t="s">
        <v>32</v>
      </c>
      <c r="F808" s="7" t="s">
        <v>224</v>
      </c>
      <c r="G808" s="7" t="s">
        <v>215</v>
      </c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4.25" customHeight="1">
      <c r="A809" s="6" t="s">
        <v>105</v>
      </c>
      <c r="B809" s="6" t="s">
        <v>8</v>
      </c>
      <c r="C809" s="6" t="s">
        <v>546</v>
      </c>
      <c r="D809" s="6" t="s">
        <v>547</v>
      </c>
      <c r="E809" s="6" t="s">
        <v>11</v>
      </c>
      <c r="F809" s="7" t="s">
        <v>215</v>
      </c>
      <c r="G809" s="7" t="s">
        <v>215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4.25" customHeight="1">
      <c r="A810" s="6" t="s">
        <v>24</v>
      </c>
      <c r="B810" s="6" t="s">
        <v>8</v>
      </c>
      <c r="C810" s="6" t="s">
        <v>400</v>
      </c>
      <c r="D810" s="6" t="s">
        <v>401</v>
      </c>
      <c r="E810" s="6" t="s">
        <v>48</v>
      </c>
      <c r="F810" s="7" t="s">
        <v>224</v>
      </c>
      <c r="G810" s="7" t="s">
        <v>224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4.25" customHeight="1">
      <c r="A811" s="6" t="s">
        <v>122</v>
      </c>
      <c r="B811" s="6" t="s">
        <v>8</v>
      </c>
      <c r="C811" s="6" t="s">
        <v>425</v>
      </c>
      <c r="D811" s="6" t="s">
        <v>426</v>
      </c>
      <c r="E811" s="6" t="s">
        <v>20</v>
      </c>
      <c r="F811" s="7" t="s">
        <v>224</v>
      </c>
      <c r="G811" s="7" t="s">
        <v>224</v>
      </c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4.25" customHeight="1">
      <c r="A812" s="6" t="s">
        <v>110</v>
      </c>
      <c r="B812" s="6" t="s">
        <v>8</v>
      </c>
      <c r="C812" s="6" t="s">
        <v>341</v>
      </c>
      <c r="D812" s="6" t="s">
        <v>342</v>
      </c>
      <c r="E812" s="6" t="s">
        <v>11</v>
      </c>
      <c r="F812" s="7" t="s">
        <v>224</v>
      </c>
      <c r="G812" s="7" t="s">
        <v>224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4.25" customHeight="1">
      <c r="A813" s="6" t="s">
        <v>102</v>
      </c>
      <c r="B813" s="6" t="s">
        <v>8</v>
      </c>
      <c r="C813" s="6" t="s">
        <v>490</v>
      </c>
      <c r="D813" s="6" t="s">
        <v>491</v>
      </c>
      <c r="E813" s="6" t="s">
        <v>48</v>
      </c>
      <c r="F813" s="7" t="s">
        <v>224</v>
      </c>
      <c r="G813" s="7" t="s">
        <v>224</v>
      </c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4.25" customHeight="1">
      <c r="A814" s="6" t="s">
        <v>88</v>
      </c>
      <c r="B814" s="6" t="s">
        <v>8</v>
      </c>
      <c r="C814" s="6" t="s">
        <v>239</v>
      </c>
      <c r="D814" s="6" t="s">
        <v>240</v>
      </c>
      <c r="E814" s="6" t="s">
        <v>32</v>
      </c>
      <c r="F814" s="7" t="s">
        <v>215</v>
      </c>
      <c r="G814" s="7" t="s">
        <v>215</v>
      </c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4.25" customHeight="1">
      <c r="A815" s="6" t="s">
        <v>88</v>
      </c>
      <c r="B815" s="6" t="s">
        <v>8</v>
      </c>
      <c r="C815" s="6" t="s">
        <v>239</v>
      </c>
      <c r="D815" s="6" t="s">
        <v>240</v>
      </c>
      <c r="E815" s="6" t="s">
        <v>27</v>
      </c>
      <c r="F815" s="7" t="s">
        <v>224</v>
      </c>
      <c r="G815" s="7" t="s">
        <v>224</v>
      </c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4.25" customHeight="1">
      <c r="A816" s="6" t="s">
        <v>24</v>
      </c>
      <c r="B816" s="6" t="s">
        <v>8</v>
      </c>
      <c r="C816" s="6" t="s">
        <v>548</v>
      </c>
      <c r="D816" s="6" t="s">
        <v>549</v>
      </c>
      <c r="E816" s="6" t="s">
        <v>32</v>
      </c>
      <c r="F816" s="7" t="s">
        <v>224</v>
      </c>
      <c r="G816" s="7" t="s">
        <v>224</v>
      </c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4.25" customHeight="1">
      <c r="A817" s="6" t="s">
        <v>72</v>
      </c>
      <c r="B817" s="6" t="s">
        <v>8</v>
      </c>
      <c r="C817" s="6" t="s">
        <v>438</v>
      </c>
      <c r="D817" s="6" t="s">
        <v>439</v>
      </c>
      <c r="E817" s="6" t="s">
        <v>20</v>
      </c>
      <c r="F817" s="7" t="s">
        <v>224</v>
      </c>
      <c r="G817" s="7" t="s">
        <v>224</v>
      </c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4.25" customHeight="1">
      <c r="A818" s="6" t="s">
        <v>72</v>
      </c>
      <c r="B818" s="6" t="s">
        <v>8</v>
      </c>
      <c r="C818" s="6" t="s">
        <v>488</v>
      </c>
      <c r="D818" s="6" t="s">
        <v>489</v>
      </c>
      <c r="E818" s="6" t="s">
        <v>27</v>
      </c>
      <c r="F818" s="7" t="s">
        <v>224</v>
      </c>
      <c r="G818" s="7" t="s">
        <v>227</v>
      </c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4.25" customHeight="1">
      <c r="A819" s="6" t="s">
        <v>55</v>
      </c>
      <c r="B819" s="6" t="s">
        <v>8</v>
      </c>
      <c r="C819" s="6" t="s">
        <v>396</v>
      </c>
      <c r="D819" s="6" t="s">
        <v>397</v>
      </c>
      <c r="E819" s="6" t="s">
        <v>48</v>
      </c>
      <c r="F819" s="7" t="s">
        <v>224</v>
      </c>
      <c r="G819" s="7" t="s">
        <v>215</v>
      </c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4.25" customHeight="1">
      <c r="A820" s="6" t="s">
        <v>24</v>
      </c>
      <c r="B820" s="6" t="s">
        <v>8</v>
      </c>
      <c r="C820" s="6" t="s">
        <v>550</v>
      </c>
      <c r="D820" s="6" t="s">
        <v>551</v>
      </c>
      <c r="E820" s="6" t="s">
        <v>32</v>
      </c>
      <c r="F820" s="7" t="s">
        <v>264</v>
      </c>
      <c r="G820" s="7" t="s">
        <v>264</v>
      </c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4.25" customHeight="1">
      <c r="A821" s="6" t="s">
        <v>72</v>
      </c>
      <c r="B821" s="6" t="s">
        <v>8</v>
      </c>
      <c r="C821" s="6" t="s">
        <v>544</v>
      </c>
      <c r="D821" s="6" t="s">
        <v>545</v>
      </c>
      <c r="E821" s="6" t="s">
        <v>20</v>
      </c>
      <c r="F821" s="7" t="s">
        <v>224</v>
      </c>
      <c r="G821" s="7" t="s">
        <v>215</v>
      </c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4.25" customHeight="1">
      <c r="A822" s="6" t="s">
        <v>24</v>
      </c>
      <c r="B822" s="6" t="s">
        <v>8</v>
      </c>
      <c r="C822" s="6" t="s">
        <v>548</v>
      </c>
      <c r="D822" s="6" t="s">
        <v>549</v>
      </c>
      <c r="E822" s="6" t="s">
        <v>27</v>
      </c>
      <c r="F822" s="7" t="s">
        <v>224</v>
      </c>
      <c r="G822" s="7" t="s">
        <v>224</v>
      </c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4.25" customHeight="1">
      <c r="A823" s="6" t="s">
        <v>388</v>
      </c>
      <c r="B823" s="6" t="s">
        <v>8</v>
      </c>
      <c r="C823" s="6" t="s">
        <v>398</v>
      </c>
      <c r="D823" s="6" t="s">
        <v>399</v>
      </c>
      <c r="E823" s="6" t="s">
        <v>32</v>
      </c>
      <c r="F823" s="7" t="s">
        <v>224</v>
      </c>
      <c r="G823" s="7" t="s">
        <v>215</v>
      </c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4.25" customHeight="1">
      <c r="A824" s="6" t="s">
        <v>24</v>
      </c>
      <c r="B824" s="6" t="s">
        <v>8</v>
      </c>
      <c r="C824" s="6" t="s">
        <v>212</v>
      </c>
      <c r="D824" s="6" t="s">
        <v>213</v>
      </c>
      <c r="E824" s="6" t="s">
        <v>48</v>
      </c>
      <c r="F824" s="7" t="s">
        <v>224</v>
      </c>
      <c r="G824" s="7" t="s">
        <v>215</v>
      </c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4.25" customHeight="1">
      <c r="A825" s="6" t="s">
        <v>36</v>
      </c>
      <c r="B825" s="6" t="s">
        <v>8</v>
      </c>
      <c r="C825" s="6" t="s">
        <v>382</v>
      </c>
      <c r="D825" s="6" t="s">
        <v>383</v>
      </c>
      <c r="E825" s="6" t="s">
        <v>11</v>
      </c>
      <c r="F825" s="7" t="s">
        <v>224</v>
      </c>
      <c r="G825" s="7" t="s">
        <v>224</v>
      </c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4.25" customHeight="1">
      <c r="A826" s="6" t="s">
        <v>72</v>
      </c>
      <c r="B826" s="6" t="s">
        <v>8</v>
      </c>
      <c r="C826" s="6" t="s">
        <v>163</v>
      </c>
      <c r="D826" s="6" t="s">
        <v>164</v>
      </c>
      <c r="E826" s="6" t="s">
        <v>39</v>
      </c>
      <c r="F826" s="7" t="s">
        <v>12</v>
      </c>
      <c r="G826" s="7" t="s">
        <v>28</v>
      </c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4.25" customHeight="1">
      <c r="A827" s="6" t="s">
        <v>45</v>
      </c>
      <c r="B827" s="6" t="s">
        <v>8</v>
      </c>
      <c r="C827" s="6" t="s">
        <v>552</v>
      </c>
      <c r="D827" s="6" t="s">
        <v>553</v>
      </c>
      <c r="E827" s="6" t="s">
        <v>20</v>
      </c>
      <c r="F827" s="7" t="s">
        <v>224</v>
      </c>
      <c r="G827" s="7" t="s">
        <v>215</v>
      </c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4.25" customHeight="1">
      <c r="A828" s="6" t="s">
        <v>72</v>
      </c>
      <c r="B828" s="6" t="s">
        <v>8</v>
      </c>
      <c r="C828" s="6" t="s">
        <v>520</v>
      </c>
      <c r="D828" s="6" t="s">
        <v>521</v>
      </c>
      <c r="E828" s="6" t="s">
        <v>32</v>
      </c>
      <c r="F828" s="7" t="s">
        <v>224</v>
      </c>
      <c r="G828" s="7" t="s">
        <v>224</v>
      </c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4.25" customHeight="1">
      <c r="A829" s="6" t="s">
        <v>55</v>
      </c>
      <c r="B829" s="6" t="s">
        <v>8</v>
      </c>
      <c r="C829" s="6" t="s">
        <v>554</v>
      </c>
      <c r="D829" s="6" t="s">
        <v>555</v>
      </c>
      <c r="E829" s="6" t="s">
        <v>48</v>
      </c>
      <c r="F829" s="7" t="s">
        <v>227</v>
      </c>
      <c r="G829" s="7" t="s">
        <v>227</v>
      </c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4.25" customHeight="1">
      <c r="A830" s="6" t="s">
        <v>72</v>
      </c>
      <c r="B830" s="6" t="s">
        <v>8</v>
      </c>
      <c r="C830" s="6" t="s">
        <v>438</v>
      </c>
      <c r="D830" s="6" t="s">
        <v>439</v>
      </c>
      <c r="E830" s="6" t="s">
        <v>87</v>
      </c>
      <c r="F830" s="7" t="s">
        <v>224</v>
      </c>
      <c r="G830" s="7" t="s">
        <v>224</v>
      </c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4.25" customHeight="1">
      <c r="A831" s="6" t="s">
        <v>55</v>
      </c>
      <c r="B831" s="6" t="s">
        <v>8</v>
      </c>
      <c r="C831" s="6" t="s">
        <v>396</v>
      </c>
      <c r="D831" s="6" t="s">
        <v>397</v>
      </c>
      <c r="E831" s="6" t="s">
        <v>32</v>
      </c>
      <c r="F831" s="7" t="s">
        <v>224</v>
      </c>
      <c r="G831" s="7" t="s">
        <v>215</v>
      </c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4.25" customHeight="1">
      <c r="A832" s="6" t="s">
        <v>72</v>
      </c>
      <c r="B832" s="6" t="s">
        <v>8</v>
      </c>
      <c r="C832" s="6" t="s">
        <v>429</v>
      </c>
      <c r="D832" s="6" t="s">
        <v>430</v>
      </c>
      <c r="E832" s="6" t="s">
        <v>32</v>
      </c>
      <c r="F832" s="7" t="s">
        <v>224</v>
      </c>
      <c r="G832" s="7" t="s">
        <v>215</v>
      </c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4.25" customHeight="1">
      <c r="A833" s="6" t="s">
        <v>105</v>
      </c>
      <c r="B833" s="6" t="s">
        <v>8</v>
      </c>
      <c r="C833" s="6" t="s">
        <v>546</v>
      </c>
      <c r="D833" s="6" t="s">
        <v>547</v>
      </c>
      <c r="E833" s="6" t="s">
        <v>20</v>
      </c>
      <c r="F833" s="7" t="s">
        <v>224</v>
      </c>
      <c r="G833" s="7" t="s">
        <v>215</v>
      </c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4.25" customHeight="1">
      <c r="A834" s="6" t="s">
        <v>24</v>
      </c>
      <c r="B834" s="6" t="s">
        <v>8</v>
      </c>
      <c r="C834" s="6" t="s">
        <v>548</v>
      </c>
      <c r="D834" s="6" t="s">
        <v>549</v>
      </c>
      <c r="E834" s="6" t="s">
        <v>39</v>
      </c>
      <c r="F834" s="7" t="s">
        <v>224</v>
      </c>
      <c r="G834" s="7" t="s">
        <v>224</v>
      </c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4.25" customHeight="1">
      <c r="A835" s="6" t="s">
        <v>55</v>
      </c>
      <c r="B835" s="6" t="s">
        <v>8</v>
      </c>
      <c r="C835" s="6" t="s">
        <v>554</v>
      </c>
      <c r="D835" s="6" t="s">
        <v>555</v>
      </c>
      <c r="E835" s="6" t="s">
        <v>27</v>
      </c>
      <c r="F835" s="7" t="s">
        <v>227</v>
      </c>
      <c r="G835" s="7" t="s">
        <v>227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4.25" customHeight="1">
      <c r="A836" s="6" t="s">
        <v>72</v>
      </c>
      <c r="B836" s="6" t="s">
        <v>8</v>
      </c>
      <c r="C836" s="6" t="s">
        <v>556</v>
      </c>
      <c r="D836" s="6" t="s">
        <v>557</v>
      </c>
      <c r="E836" s="6" t="s">
        <v>32</v>
      </c>
      <c r="F836" s="7" t="s">
        <v>215</v>
      </c>
      <c r="G836" s="7" t="s">
        <v>215</v>
      </c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4.25" customHeight="1">
      <c r="A837" s="6" t="s">
        <v>105</v>
      </c>
      <c r="B837" s="6" t="s">
        <v>8</v>
      </c>
      <c r="C837" s="6" t="s">
        <v>546</v>
      </c>
      <c r="D837" s="6" t="s">
        <v>547</v>
      </c>
      <c r="E837" s="6" t="s">
        <v>32</v>
      </c>
      <c r="F837" s="7" t="s">
        <v>224</v>
      </c>
      <c r="G837" s="7" t="s">
        <v>215</v>
      </c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4.25" customHeight="1">
      <c r="A838" s="6" t="s">
        <v>102</v>
      </c>
      <c r="B838" s="6" t="s">
        <v>8</v>
      </c>
      <c r="C838" s="6" t="s">
        <v>558</v>
      </c>
      <c r="D838" s="6" t="s">
        <v>559</v>
      </c>
      <c r="E838" s="6" t="s">
        <v>32</v>
      </c>
      <c r="F838" s="7" t="s">
        <v>215</v>
      </c>
      <c r="G838" s="7" t="s">
        <v>256</v>
      </c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4.25" customHeight="1">
      <c r="A839" s="6" t="s">
        <v>55</v>
      </c>
      <c r="B839" s="6" t="s">
        <v>8</v>
      </c>
      <c r="C839" s="6" t="s">
        <v>554</v>
      </c>
      <c r="D839" s="6" t="s">
        <v>555</v>
      </c>
      <c r="E839" s="6" t="s">
        <v>32</v>
      </c>
      <c r="F839" s="7" t="s">
        <v>227</v>
      </c>
      <c r="G839" s="7" t="s">
        <v>227</v>
      </c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4.25" customHeight="1">
      <c r="A840" s="6" t="s">
        <v>88</v>
      </c>
      <c r="B840" s="6" t="s">
        <v>8</v>
      </c>
      <c r="C840" s="6" t="s">
        <v>239</v>
      </c>
      <c r="D840" s="6" t="s">
        <v>240</v>
      </c>
      <c r="E840" s="6" t="s">
        <v>48</v>
      </c>
      <c r="F840" s="7" t="s">
        <v>224</v>
      </c>
      <c r="G840" s="7" t="s">
        <v>224</v>
      </c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4.25" customHeight="1">
      <c r="A841" s="6" t="s">
        <v>435</v>
      </c>
      <c r="B841" s="6" t="s">
        <v>8</v>
      </c>
      <c r="C841" s="6" t="s">
        <v>560</v>
      </c>
      <c r="D841" s="6" t="s">
        <v>561</v>
      </c>
      <c r="E841" s="6" t="s">
        <v>32</v>
      </c>
      <c r="F841" s="7" t="s">
        <v>224</v>
      </c>
      <c r="G841" s="7" t="s">
        <v>224</v>
      </c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4.25" customHeight="1">
      <c r="A842" s="6" t="s">
        <v>105</v>
      </c>
      <c r="B842" s="6" t="s">
        <v>8</v>
      </c>
      <c r="C842" s="6" t="s">
        <v>296</v>
      </c>
      <c r="D842" s="6" t="s">
        <v>297</v>
      </c>
      <c r="E842" s="6" t="s">
        <v>20</v>
      </c>
      <c r="F842" s="7" t="s">
        <v>215</v>
      </c>
      <c r="G842" s="7" t="s">
        <v>215</v>
      </c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4.25" customHeight="1">
      <c r="A843" s="6" t="s">
        <v>110</v>
      </c>
      <c r="B843" s="6" t="s">
        <v>8</v>
      </c>
      <c r="C843" s="6" t="s">
        <v>288</v>
      </c>
      <c r="D843" s="6" t="s">
        <v>289</v>
      </c>
      <c r="E843" s="6" t="s">
        <v>27</v>
      </c>
      <c r="F843" s="7" t="s">
        <v>224</v>
      </c>
      <c r="G843" s="7" t="s">
        <v>215</v>
      </c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4.25" customHeight="1">
      <c r="A844" s="6" t="s">
        <v>24</v>
      </c>
      <c r="B844" s="6" t="s">
        <v>8</v>
      </c>
      <c r="C844" s="6" t="s">
        <v>562</v>
      </c>
      <c r="D844" s="6" t="s">
        <v>563</v>
      </c>
      <c r="E844" s="6" t="s">
        <v>32</v>
      </c>
      <c r="F844" s="7" t="s">
        <v>215</v>
      </c>
      <c r="G844" s="7" t="s">
        <v>215</v>
      </c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4.25" customHeight="1">
      <c r="A845" s="6" t="s">
        <v>24</v>
      </c>
      <c r="B845" s="6" t="s">
        <v>8</v>
      </c>
      <c r="C845" s="6" t="s">
        <v>564</v>
      </c>
      <c r="D845" s="6" t="s">
        <v>565</v>
      </c>
      <c r="E845" s="6" t="s">
        <v>32</v>
      </c>
      <c r="F845" s="7" t="s">
        <v>215</v>
      </c>
      <c r="G845" s="7" t="s">
        <v>215</v>
      </c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4.25" customHeight="1">
      <c r="A846" s="6" t="s">
        <v>29</v>
      </c>
      <c r="B846" s="6" t="s">
        <v>8</v>
      </c>
      <c r="C846" s="6" t="s">
        <v>202</v>
      </c>
      <c r="D846" s="6" t="s">
        <v>203</v>
      </c>
      <c r="E846" s="6" t="s">
        <v>27</v>
      </c>
      <c r="F846" s="7" t="s">
        <v>13</v>
      </c>
      <c r="G846" s="7" t="s">
        <v>13</v>
      </c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4.25" customHeight="1">
      <c r="A847" s="6" t="s">
        <v>24</v>
      </c>
      <c r="B847" s="6" t="s">
        <v>8</v>
      </c>
      <c r="C847" s="6" t="s">
        <v>400</v>
      </c>
      <c r="D847" s="6" t="s">
        <v>401</v>
      </c>
      <c r="E847" s="6" t="s">
        <v>39</v>
      </c>
      <c r="F847" s="7" t="s">
        <v>224</v>
      </c>
      <c r="G847" s="7" t="s">
        <v>224</v>
      </c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4.25" customHeight="1">
      <c r="A848" s="6" t="s">
        <v>93</v>
      </c>
      <c r="B848" s="6" t="s">
        <v>8</v>
      </c>
      <c r="C848" s="6" t="s">
        <v>355</v>
      </c>
      <c r="D848" s="6" t="s">
        <v>356</v>
      </c>
      <c r="E848" s="6" t="s">
        <v>27</v>
      </c>
      <c r="F848" s="7" t="s">
        <v>224</v>
      </c>
      <c r="G848" s="7" t="s">
        <v>224</v>
      </c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4.25" customHeight="1">
      <c r="A849" s="6" t="s">
        <v>24</v>
      </c>
      <c r="B849" s="6" t="s">
        <v>8</v>
      </c>
      <c r="C849" s="6" t="s">
        <v>486</v>
      </c>
      <c r="D849" s="6" t="s">
        <v>487</v>
      </c>
      <c r="E849" s="6" t="s">
        <v>39</v>
      </c>
      <c r="F849" s="7" t="s">
        <v>224</v>
      </c>
      <c r="G849" s="7" t="s">
        <v>215</v>
      </c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4.25" customHeight="1">
      <c r="A850" s="6" t="s">
        <v>388</v>
      </c>
      <c r="B850" s="6" t="s">
        <v>8</v>
      </c>
      <c r="C850" s="6" t="s">
        <v>398</v>
      </c>
      <c r="D850" s="6" t="s">
        <v>399</v>
      </c>
      <c r="E850" s="6" t="s">
        <v>39</v>
      </c>
      <c r="F850" s="7" t="s">
        <v>215</v>
      </c>
      <c r="G850" s="7" t="s">
        <v>215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4.25" customHeight="1">
      <c r="A851" s="6" t="s">
        <v>93</v>
      </c>
      <c r="B851" s="6" t="s">
        <v>8</v>
      </c>
      <c r="C851" s="6" t="s">
        <v>318</v>
      </c>
      <c r="D851" s="6" t="s">
        <v>319</v>
      </c>
      <c r="E851" s="6" t="s">
        <v>11</v>
      </c>
      <c r="F851" s="7" t="s">
        <v>215</v>
      </c>
      <c r="G851" s="7" t="s">
        <v>215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4.25" customHeight="1">
      <c r="A852" s="6" t="s">
        <v>388</v>
      </c>
      <c r="B852" s="6" t="s">
        <v>8</v>
      </c>
      <c r="C852" s="6" t="s">
        <v>398</v>
      </c>
      <c r="D852" s="6" t="s">
        <v>399</v>
      </c>
      <c r="E852" s="6" t="s">
        <v>11</v>
      </c>
      <c r="F852" s="7" t="s">
        <v>224</v>
      </c>
      <c r="G852" s="7" t="s">
        <v>215</v>
      </c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4.25" customHeight="1">
      <c r="A853" s="6" t="s">
        <v>24</v>
      </c>
      <c r="B853" s="6" t="s">
        <v>8</v>
      </c>
      <c r="C853" s="6" t="s">
        <v>548</v>
      </c>
      <c r="D853" s="6" t="s">
        <v>549</v>
      </c>
      <c r="E853" s="6" t="s">
        <v>48</v>
      </c>
      <c r="F853" s="7" t="s">
        <v>224</v>
      </c>
      <c r="G853" s="7" t="s">
        <v>224</v>
      </c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4.25" customHeight="1">
      <c r="A854" s="6" t="s">
        <v>72</v>
      </c>
      <c r="B854" s="6" t="s">
        <v>8</v>
      </c>
      <c r="C854" s="6" t="s">
        <v>566</v>
      </c>
      <c r="D854" s="6" t="s">
        <v>567</v>
      </c>
      <c r="E854" s="6" t="s">
        <v>27</v>
      </c>
      <c r="F854" s="7" t="s">
        <v>224</v>
      </c>
      <c r="G854" s="7" t="s">
        <v>224</v>
      </c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4.25" customHeight="1">
      <c r="A855" s="6" t="s">
        <v>24</v>
      </c>
      <c r="B855" s="6" t="s">
        <v>8</v>
      </c>
      <c r="C855" s="6" t="s">
        <v>568</v>
      </c>
      <c r="D855" s="6" t="s">
        <v>569</v>
      </c>
      <c r="E855" s="6" t="s">
        <v>87</v>
      </c>
      <c r="F855" s="7" t="s">
        <v>227</v>
      </c>
      <c r="G855" s="7" t="s">
        <v>227</v>
      </c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4.25" customHeight="1">
      <c r="A856" s="6" t="s">
        <v>42</v>
      </c>
      <c r="B856" s="6" t="s">
        <v>8</v>
      </c>
      <c r="C856" s="6" t="s">
        <v>427</v>
      </c>
      <c r="D856" s="6" t="s">
        <v>428</v>
      </c>
      <c r="E856" s="6" t="s">
        <v>48</v>
      </c>
      <c r="F856" s="7" t="s">
        <v>224</v>
      </c>
      <c r="G856" s="7" t="s">
        <v>224</v>
      </c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4.25" customHeight="1">
      <c r="A857" s="6" t="s">
        <v>24</v>
      </c>
      <c r="B857" s="6" t="s">
        <v>8</v>
      </c>
      <c r="C857" s="6" t="s">
        <v>400</v>
      </c>
      <c r="D857" s="6" t="s">
        <v>401</v>
      </c>
      <c r="E857" s="6" t="s">
        <v>54</v>
      </c>
      <c r="F857" s="7" t="s">
        <v>224</v>
      </c>
      <c r="G857" s="7" t="s">
        <v>224</v>
      </c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4.25" customHeight="1">
      <c r="A858" s="6" t="s">
        <v>388</v>
      </c>
      <c r="B858" s="6" t="s">
        <v>8</v>
      </c>
      <c r="C858" s="6" t="s">
        <v>398</v>
      </c>
      <c r="D858" s="6" t="s">
        <v>399</v>
      </c>
      <c r="E858" s="6" t="s">
        <v>20</v>
      </c>
      <c r="F858" s="7" t="s">
        <v>224</v>
      </c>
      <c r="G858" s="7" t="s">
        <v>215</v>
      </c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4.25" customHeight="1">
      <c r="A859" s="6" t="s">
        <v>102</v>
      </c>
      <c r="B859" s="6" t="s">
        <v>8</v>
      </c>
      <c r="C859" s="6" t="s">
        <v>558</v>
      </c>
      <c r="D859" s="6" t="s">
        <v>559</v>
      </c>
      <c r="E859" s="6" t="s">
        <v>27</v>
      </c>
      <c r="F859" s="7" t="s">
        <v>215</v>
      </c>
      <c r="G859" s="7" t="s">
        <v>256</v>
      </c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4.25" customHeight="1">
      <c r="A860" s="6" t="s">
        <v>24</v>
      </c>
      <c r="B860" s="6" t="s">
        <v>8</v>
      </c>
      <c r="C860" s="6" t="s">
        <v>570</v>
      </c>
      <c r="D860" s="6" t="s">
        <v>571</v>
      </c>
      <c r="E860" s="6" t="s">
        <v>20</v>
      </c>
      <c r="F860" s="7" t="s">
        <v>224</v>
      </c>
      <c r="G860" s="7" t="s">
        <v>224</v>
      </c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4.25" customHeight="1">
      <c r="A861" s="6" t="s">
        <v>24</v>
      </c>
      <c r="B861" s="6" t="s">
        <v>8</v>
      </c>
      <c r="C861" s="6" t="s">
        <v>212</v>
      </c>
      <c r="D861" s="6" t="s">
        <v>213</v>
      </c>
      <c r="E861" s="6" t="s">
        <v>54</v>
      </c>
      <c r="F861" s="7" t="s">
        <v>224</v>
      </c>
      <c r="G861" s="7" t="s">
        <v>215</v>
      </c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4.25" customHeight="1">
      <c r="A862" s="6" t="s">
        <v>158</v>
      </c>
      <c r="B862" s="6" t="s">
        <v>8</v>
      </c>
      <c r="C862" s="6" t="s">
        <v>458</v>
      </c>
      <c r="D862" s="6" t="s">
        <v>459</v>
      </c>
      <c r="E862" s="6" t="s">
        <v>27</v>
      </c>
      <c r="F862" s="7" t="s">
        <v>215</v>
      </c>
      <c r="G862" s="7" t="s">
        <v>215</v>
      </c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4.25" customHeight="1">
      <c r="A863" s="6" t="s">
        <v>24</v>
      </c>
      <c r="B863" s="6" t="s">
        <v>8</v>
      </c>
      <c r="C863" s="6" t="s">
        <v>564</v>
      </c>
      <c r="D863" s="6" t="s">
        <v>565</v>
      </c>
      <c r="E863" s="6" t="s">
        <v>20</v>
      </c>
      <c r="F863" s="7" t="s">
        <v>215</v>
      </c>
      <c r="G863" s="7" t="s">
        <v>215</v>
      </c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4.25" customHeight="1">
      <c r="A864" s="6" t="s">
        <v>72</v>
      </c>
      <c r="B864" s="6" t="s">
        <v>8</v>
      </c>
      <c r="C864" s="6" t="s">
        <v>421</v>
      </c>
      <c r="D864" s="6" t="s">
        <v>422</v>
      </c>
      <c r="E864" s="6" t="s">
        <v>27</v>
      </c>
      <c r="F864" s="7" t="s">
        <v>224</v>
      </c>
      <c r="G864" s="7" t="s">
        <v>224</v>
      </c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4.25" customHeight="1">
      <c r="A865" s="6" t="s">
        <v>7</v>
      </c>
      <c r="B865" s="6" t="s">
        <v>8</v>
      </c>
      <c r="C865" s="6" t="s">
        <v>572</v>
      </c>
      <c r="D865" s="6" t="s">
        <v>573</v>
      </c>
      <c r="E865" s="6" t="s">
        <v>20</v>
      </c>
      <c r="F865" s="7" t="s">
        <v>224</v>
      </c>
      <c r="G865" s="7" t="s">
        <v>227</v>
      </c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4.25" customHeight="1">
      <c r="A866" s="6" t="s">
        <v>24</v>
      </c>
      <c r="B866" s="6" t="s">
        <v>8</v>
      </c>
      <c r="C866" s="6" t="s">
        <v>568</v>
      </c>
      <c r="D866" s="6" t="s">
        <v>569</v>
      </c>
      <c r="E866" s="6" t="s">
        <v>48</v>
      </c>
      <c r="F866" s="7" t="s">
        <v>227</v>
      </c>
      <c r="G866" s="7" t="s">
        <v>227</v>
      </c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4.25" customHeight="1">
      <c r="A867" s="6" t="s">
        <v>102</v>
      </c>
      <c r="B867" s="6" t="s">
        <v>8</v>
      </c>
      <c r="C867" s="6" t="s">
        <v>558</v>
      </c>
      <c r="D867" s="6" t="s">
        <v>559</v>
      </c>
      <c r="E867" s="6" t="s">
        <v>48</v>
      </c>
      <c r="F867" s="7" t="s">
        <v>215</v>
      </c>
      <c r="G867" s="7" t="s">
        <v>256</v>
      </c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4.25" customHeight="1">
      <c r="A868" s="6" t="s">
        <v>105</v>
      </c>
      <c r="B868" s="6" t="s">
        <v>8</v>
      </c>
      <c r="C868" s="6" t="s">
        <v>296</v>
      </c>
      <c r="D868" s="6" t="s">
        <v>297</v>
      </c>
      <c r="E868" s="6" t="s">
        <v>11</v>
      </c>
      <c r="F868" s="7" t="s">
        <v>215</v>
      </c>
      <c r="G868" s="7" t="s">
        <v>215</v>
      </c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4.25" customHeight="1">
      <c r="A869" s="6" t="s">
        <v>45</v>
      </c>
      <c r="B869" s="6" t="s">
        <v>8</v>
      </c>
      <c r="C869" s="6" t="s">
        <v>574</v>
      </c>
      <c r="D869" s="6" t="s">
        <v>575</v>
      </c>
      <c r="E869" s="6" t="s">
        <v>39</v>
      </c>
      <c r="F869" s="7" t="s">
        <v>215</v>
      </c>
      <c r="G869" s="7" t="s">
        <v>215</v>
      </c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4.25" customHeight="1">
      <c r="A870" s="6" t="s">
        <v>72</v>
      </c>
      <c r="B870" s="6" t="s">
        <v>8</v>
      </c>
      <c r="C870" s="6" t="s">
        <v>421</v>
      </c>
      <c r="D870" s="6" t="s">
        <v>422</v>
      </c>
      <c r="E870" s="6" t="s">
        <v>48</v>
      </c>
      <c r="F870" s="7" t="s">
        <v>224</v>
      </c>
      <c r="G870" s="7" t="s">
        <v>224</v>
      </c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4.25" customHeight="1">
      <c r="A871" s="6" t="s">
        <v>24</v>
      </c>
      <c r="B871" s="6" t="s">
        <v>8</v>
      </c>
      <c r="C871" s="6" t="s">
        <v>548</v>
      </c>
      <c r="D871" s="6" t="s">
        <v>549</v>
      </c>
      <c r="E871" s="6" t="s">
        <v>11</v>
      </c>
      <c r="F871" s="7" t="s">
        <v>224</v>
      </c>
      <c r="G871" s="7" t="s">
        <v>224</v>
      </c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4.25" customHeight="1">
      <c r="A872" s="6" t="s">
        <v>435</v>
      </c>
      <c r="B872" s="6" t="s">
        <v>8</v>
      </c>
      <c r="C872" s="6" t="s">
        <v>560</v>
      </c>
      <c r="D872" s="6" t="s">
        <v>561</v>
      </c>
      <c r="E872" s="6" t="s">
        <v>27</v>
      </c>
      <c r="F872" s="7" t="s">
        <v>224</v>
      </c>
      <c r="G872" s="7" t="s">
        <v>224</v>
      </c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4.25" customHeight="1">
      <c r="A873" s="6" t="s">
        <v>79</v>
      </c>
      <c r="B873" s="6" t="s">
        <v>8</v>
      </c>
      <c r="C873" s="6" t="s">
        <v>444</v>
      </c>
      <c r="D873" s="6" t="s">
        <v>445</v>
      </c>
      <c r="E873" s="6" t="s">
        <v>11</v>
      </c>
      <c r="F873" s="7" t="s">
        <v>227</v>
      </c>
      <c r="G873" s="7" t="s">
        <v>227</v>
      </c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4.25" customHeight="1">
      <c r="A874" s="6" t="s">
        <v>24</v>
      </c>
      <c r="B874" s="6" t="s">
        <v>8</v>
      </c>
      <c r="C874" s="6" t="s">
        <v>548</v>
      </c>
      <c r="D874" s="6" t="s">
        <v>549</v>
      </c>
      <c r="E874" s="6" t="s">
        <v>20</v>
      </c>
      <c r="F874" s="7" t="s">
        <v>224</v>
      </c>
      <c r="G874" s="7" t="s">
        <v>224</v>
      </c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4.25" customHeight="1">
      <c r="A875" s="6" t="s">
        <v>24</v>
      </c>
      <c r="B875" s="6" t="s">
        <v>8</v>
      </c>
      <c r="C875" s="6" t="s">
        <v>570</v>
      </c>
      <c r="D875" s="6" t="s">
        <v>571</v>
      </c>
      <c r="E875" s="6" t="s">
        <v>32</v>
      </c>
      <c r="F875" s="7" t="s">
        <v>264</v>
      </c>
      <c r="G875" s="7" t="s">
        <v>264</v>
      </c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4.25" customHeight="1">
      <c r="A876" s="6" t="s">
        <v>36</v>
      </c>
      <c r="B876" s="6" t="s">
        <v>8</v>
      </c>
      <c r="C876" s="6" t="s">
        <v>382</v>
      </c>
      <c r="D876" s="6" t="s">
        <v>383</v>
      </c>
      <c r="E876" s="6" t="s">
        <v>32</v>
      </c>
      <c r="F876" s="7" t="s">
        <v>224</v>
      </c>
      <c r="G876" s="7" t="s">
        <v>224</v>
      </c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4.25" customHeight="1">
      <c r="A877" s="6" t="s">
        <v>72</v>
      </c>
      <c r="B877" s="6" t="s">
        <v>8</v>
      </c>
      <c r="C877" s="6" t="s">
        <v>566</v>
      </c>
      <c r="D877" s="6" t="s">
        <v>567</v>
      </c>
      <c r="E877" s="6" t="s">
        <v>54</v>
      </c>
      <c r="F877" s="7" t="s">
        <v>224</v>
      </c>
      <c r="G877" s="7" t="s">
        <v>224</v>
      </c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4.25" customHeight="1">
      <c r="A878" s="6" t="s">
        <v>105</v>
      </c>
      <c r="B878" s="6" t="s">
        <v>8</v>
      </c>
      <c r="C878" s="6" t="s">
        <v>296</v>
      </c>
      <c r="D878" s="6" t="s">
        <v>297</v>
      </c>
      <c r="E878" s="6" t="s">
        <v>48</v>
      </c>
      <c r="F878" s="7" t="s">
        <v>215</v>
      </c>
      <c r="G878" s="7" t="s">
        <v>215</v>
      </c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4.25" customHeight="1">
      <c r="A879" s="6" t="s">
        <v>110</v>
      </c>
      <c r="B879" s="6" t="s">
        <v>8</v>
      </c>
      <c r="C879" s="6" t="s">
        <v>288</v>
      </c>
      <c r="D879" s="6" t="s">
        <v>289</v>
      </c>
      <c r="E879" s="6" t="s">
        <v>54</v>
      </c>
      <c r="F879" s="7" t="s">
        <v>224</v>
      </c>
      <c r="G879" s="7" t="s">
        <v>215</v>
      </c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4.25" customHeight="1">
      <c r="A880" s="6" t="s">
        <v>102</v>
      </c>
      <c r="B880" s="6" t="s">
        <v>8</v>
      </c>
      <c r="C880" s="6" t="s">
        <v>558</v>
      </c>
      <c r="D880" s="6" t="s">
        <v>559</v>
      </c>
      <c r="E880" s="6" t="s">
        <v>87</v>
      </c>
      <c r="F880" s="7" t="s">
        <v>215</v>
      </c>
      <c r="G880" s="7" t="s">
        <v>256</v>
      </c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4.25" customHeight="1">
      <c r="A881" s="6" t="s">
        <v>72</v>
      </c>
      <c r="B881" s="6" t="s">
        <v>8</v>
      </c>
      <c r="C881" s="6" t="s">
        <v>566</v>
      </c>
      <c r="D881" s="6" t="s">
        <v>567</v>
      </c>
      <c r="E881" s="6" t="s">
        <v>39</v>
      </c>
      <c r="F881" s="7" t="s">
        <v>224</v>
      </c>
      <c r="G881" s="7" t="s">
        <v>224</v>
      </c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4.25" customHeight="1">
      <c r="A882" s="6" t="s">
        <v>29</v>
      </c>
      <c r="B882" s="6" t="s">
        <v>8</v>
      </c>
      <c r="C882" s="6" t="s">
        <v>202</v>
      </c>
      <c r="D882" s="6" t="s">
        <v>203</v>
      </c>
      <c r="E882" s="6" t="s">
        <v>48</v>
      </c>
      <c r="F882" s="7" t="s">
        <v>13</v>
      </c>
      <c r="G882" s="7" t="s">
        <v>13</v>
      </c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4.25" customHeight="1">
      <c r="A883" s="6" t="s">
        <v>72</v>
      </c>
      <c r="B883" s="6" t="s">
        <v>8</v>
      </c>
      <c r="C883" s="6" t="s">
        <v>566</v>
      </c>
      <c r="D883" s="6" t="s">
        <v>567</v>
      </c>
      <c r="E883" s="6" t="s">
        <v>48</v>
      </c>
      <c r="F883" s="7" t="s">
        <v>224</v>
      </c>
      <c r="G883" s="7" t="s">
        <v>224</v>
      </c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4.25" customHeight="1">
      <c r="A884" s="6" t="s">
        <v>435</v>
      </c>
      <c r="B884" s="6" t="s">
        <v>8</v>
      </c>
      <c r="C884" s="6" t="s">
        <v>560</v>
      </c>
      <c r="D884" s="6" t="s">
        <v>561</v>
      </c>
      <c r="E884" s="6" t="s">
        <v>48</v>
      </c>
      <c r="F884" s="7" t="s">
        <v>224</v>
      </c>
      <c r="G884" s="7" t="s">
        <v>224</v>
      </c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4.25" customHeight="1">
      <c r="A885" s="6" t="s">
        <v>158</v>
      </c>
      <c r="B885" s="6" t="s">
        <v>8</v>
      </c>
      <c r="C885" s="6" t="s">
        <v>450</v>
      </c>
      <c r="D885" s="6" t="s">
        <v>451</v>
      </c>
      <c r="E885" s="6" t="s">
        <v>39</v>
      </c>
      <c r="F885" s="7" t="s">
        <v>215</v>
      </c>
      <c r="G885" s="7" t="s">
        <v>215</v>
      </c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4.25" customHeight="1">
      <c r="A886" s="6" t="s">
        <v>14</v>
      </c>
      <c r="B886" s="6" t="s">
        <v>8</v>
      </c>
      <c r="C886" s="6" t="s">
        <v>502</v>
      </c>
      <c r="D886" s="6" t="s">
        <v>503</v>
      </c>
      <c r="E886" s="6" t="s">
        <v>48</v>
      </c>
      <c r="F886" s="7" t="s">
        <v>264</v>
      </c>
      <c r="G886" s="7" t="s">
        <v>12</v>
      </c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4.25" customHeight="1">
      <c r="A887" s="6" t="s">
        <v>14</v>
      </c>
      <c r="B887" s="6" t="s">
        <v>8</v>
      </c>
      <c r="C887" s="6" t="s">
        <v>502</v>
      </c>
      <c r="D887" s="6" t="s">
        <v>503</v>
      </c>
      <c r="E887" s="6" t="s">
        <v>32</v>
      </c>
      <c r="F887" s="7" t="s">
        <v>264</v>
      </c>
      <c r="G887" s="7" t="s">
        <v>12</v>
      </c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4.25" customHeight="1">
      <c r="A888" s="6" t="s">
        <v>17</v>
      </c>
      <c r="B888" s="6" t="s">
        <v>8</v>
      </c>
      <c r="C888" s="6" t="s">
        <v>516</v>
      </c>
      <c r="D888" s="6" t="s">
        <v>517</v>
      </c>
      <c r="E888" s="6" t="s">
        <v>11</v>
      </c>
      <c r="F888" s="7" t="s">
        <v>215</v>
      </c>
      <c r="G888" s="7" t="s">
        <v>256</v>
      </c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4.25" customHeight="1">
      <c r="A889" s="6" t="s">
        <v>7</v>
      </c>
      <c r="B889" s="6" t="s">
        <v>8</v>
      </c>
      <c r="C889" s="6" t="s">
        <v>572</v>
      </c>
      <c r="D889" s="6" t="s">
        <v>573</v>
      </c>
      <c r="E889" s="6" t="s">
        <v>11</v>
      </c>
      <c r="F889" s="7" t="s">
        <v>215</v>
      </c>
      <c r="G889" s="7" t="s">
        <v>227</v>
      </c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4.25" customHeight="1">
      <c r="A890" s="6" t="s">
        <v>93</v>
      </c>
      <c r="B890" s="6" t="s">
        <v>8</v>
      </c>
      <c r="C890" s="6" t="s">
        <v>310</v>
      </c>
      <c r="D890" s="6" t="s">
        <v>311</v>
      </c>
      <c r="E890" s="6" t="s">
        <v>32</v>
      </c>
      <c r="F890" s="7" t="s">
        <v>224</v>
      </c>
      <c r="G890" s="7" t="s">
        <v>256</v>
      </c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4.25" customHeight="1">
      <c r="A891" s="6" t="s">
        <v>72</v>
      </c>
      <c r="B891" s="6" t="s">
        <v>8</v>
      </c>
      <c r="C891" s="6" t="s">
        <v>576</v>
      </c>
      <c r="D891" s="6" t="s">
        <v>577</v>
      </c>
      <c r="E891" s="6" t="s">
        <v>20</v>
      </c>
      <c r="F891" s="7" t="s">
        <v>224</v>
      </c>
      <c r="G891" s="7" t="s">
        <v>215</v>
      </c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4.25" customHeight="1">
      <c r="A892" s="6" t="s">
        <v>435</v>
      </c>
      <c r="B892" s="6" t="s">
        <v>8</v>
      </c>
      <c r="C892" s="6" t="s">
        <v>560</v>
      </c>
      <c r="D892" s="6" t="s">
        <v>561</v>
      </c>
      <c r="E892" s="6" t="s">
        <v>20</v>
      </c>
      <c r="F892" s="7" t="s">
        <v>224</v>
      </c>
      <c r="G892" s="7" t="s">
        <v>224</v>
      </c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4.25" customHeight="1">
      <c r="A893" s="6" t="s">
        <v>93</v>
      </c>
      <c r="B893" s="6" t="s">
        <v>8</v>
      </c>
      <c r="C893" s="6" t="s">
        <v>310</v>
      </c>
      <c r="D893" s="6" t="s">
        <v>311</v>
      </c>
      <c r="E893" s="6" t="s">
        <v>54</v>
      </c>
      <c r="F893" s="7" t="s">
        <v>224</v>
      </c>
      <c r="G893" s="7" t="s">
        <v>256</v>
      </c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4.25" customHeight="1">
      <c r="A894" s="6" t="s">
        <v>65</v>
      </c>
      <c r="B894" s="6" t="s">
        <v>8</v>
      </c>
      <c r="C894" s="6" t="s">
        <v>304</v>
      </c>
      <c r="D894" s="6" t="s">
        <v>305</v>
      </c>
      <c r="E894" s="6" t="s">
        <v>39</v>
      </c>
      <c r="F894" s="7" t="s">
        <v>224</v>
      </c>
      <c r="G894" s="7" t="s">
        <v>215</v>
      </c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4.25" customHeight="1">
      <c r="A895" s="6" t="s">
        <v>17</v>
      </c>
      <c r="B895" s="6" t="s">
        <v>8</v>
      </c>
      <c r="C895" s="6" t="s">
        <v>516</v>
      </c>
      <c r="D895" s="6" t="s">
        <v>517</v>
      </c>
      <c r="E895" s="6" t="s">
        <v>20</v>
      </c>
      <c r="F895" s="7" t="s">
        <v>215</v>
      </c>
      <c r="G895" s="7" t="s">
        <v>215</v>
      </c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4.25" customHeight="1">
      <c r="A896" s="6" t="s">
        <v>62</v>
      </c>
      <c r="B896" s="6" t="s">
        <v>8</v>
      </c>
      <c r="C896" s="6" t="s">
        <v>357</v>
      </c>
      <c r="D896" s="6" t="s">
        <v>358</v>
      </c>
      <c r="E896" s="6" t="s">
        <v>27</v>
      </c>
      <c r="F896" s="7" t="s">
        <v>215</v>
      </c>
      <c r="G896" s="7" t="s">
        <v>215</v>
      </c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4.25" customHeight="1">
      <c r="A897" s="6" t="s">
        <v>17</v>
      </c>
      <c r="B897" s="6" t="s">
        <v>8</v>
      </c>
      <c r="C897" s="6" t="s">
        <v>516</v>
      </c>
      <c r="D897" s="6" t="s">
        <v>517</v>
      </c>
      <c r="E897" s="6" t="s">
        <v>32</v>
      </c>
      <c r="F897" s="7" t="s">
        <v>215</v>
      </c>
      <c r="G897" s="7" t="s">
        <v>215</v>
      </c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4.25" customHeight="1">
      <c r="A898" s="6" t="s">
        <v>72</v>
      </c>
      <c r="B898" s="6" t="s">
        <v>8</v>
      </c>
      <c r="C898" s="6" t="s">
        <v>429</v>
      </c>
      <c r="D898" s="6" t="s">
        <v>430</v>
      </c>
      <c r="E898" s="6" t="s">
        <v>20</v>
      </c>
      <c r="F898" s="7" t="s">
        <v>224</v>
      </c>
      <c r="G898" s="7" t="s">
        <v>215</v>
      </c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4.25" customHeight="1">
      <c r="A899" s="6" t="s">
        <v>7</v>
      </c>
      <c r="B899" s="6" t="s">
        <v>8</v>
      </c>
      <c r="C899" s="6" t="s">
        <v>578</v>
      </c>
      <c r="D899" s="6" t="s">
        <v>579</v>
      </c>
      <c r="E899" s="6" t="s">
        <v>20</v>
      </c>
      <c r="F899" s="7" t="s">
        <v>224</v>
      </c>
      <c r="G899" s="7" t="s">
        <v>256</v>
      </c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4.25" customHeight="1">
      <c r="A900" s="6" t="s">
        <v>435</v>
      </c>
      <c r="B900" s="6" t="s">
        <v>8</v>
      </c>
      <c r="C900" s="6" t="s">
        <v>580</v>
      </c>
      <c r="D900" s="6" t="s">
        <v>581</v>
      </c>
      <c r="E900" s="6" t="s">
        <v>32</v>
      </c>
      <c r="F900" s="7" t="s">
        <v>215</v>
      </c>
      <c r="G900" s="7" t="s">
        <v>215</v>
      </c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4.25" customHeight="1">
      <c r="A901" s="6" t="s">
        <v>24</v>
      </c>
      <c r="B901" s="6" t="s">
        <v>8</v>
      </c>
      <c r="C901" s="6" t="s">
        <v>582</v>
      </c>
      <c r="D901" s="6" t="s">
        <v>583</v>
      </c>
      <c r="E901" s="6" t="s">
        <v>27</v>
      </c>
      <c r="F901" s="7" t="s">
        <v>224</v>
      </c>
      <c r="G901" s="7" t="s">
        <v>215</v>
      </c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4.25" customHeight="1">
      <c r="A902" s="6" t="s">
        <v>33</v>
      </c>
      <c r="B902" s="6" t="s">
        <v>8</v>
      </c>
      <c r="C902" s="6" t="s">
        <v>324</v>
      </c>
      <c r="D902" s="6" t="s">
        <v>325</v>
      </c>
      <c r="E902" s="6" t="s">
        <v>32</v>
      </c>
      <c r="F902" s="7" t="s">
        <v>227</v>
      </c>
      <c r="G902" s="7" t="s">
        <v>227</v>
      </c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4.25" customHeight="1">
      <c r="A903" s="6" t="s">
        <v>105</v>
      </c>
      <c r="B903" s="6" t="s">
        <v>8</v>
      </c>
      <c r="C903" s="6" t="s">
        <v>532</v>
      </c>
      <c r="D903" s="6" t="s">
        <v>533</v>
      </c>
      <c r="E903" s="6" t="s">
        <v>32</v>
      </c>
      <c r="F903" s="7" t="s">
        <v>215</v>
      </c>
      <c r="G903" s="7" t="s">
        <v>215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4.25" customHeight="1">
      <c r="A904" s="6" t="s">
        <v>129</v>
      </c>
      <c r="B904" s="6" t="s">
        <v>8</v>
      </c>
      <c r="C904" s="6" t="s">
        <v>290</v>
      </c>
      <c r="D904" s="6" t="s">
        <v>291</v>
      </c>
      <c r="E904" s="6" t="s">
        <v>20</v>
      </c>
      <c r="F904" s="7" t="s">
        <v>215</v>
      </c>
      <c r="G904" s="7" t="s">
        <v>256</v>
      </c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4.25" customHeight="1">
      <c r="A905" s="6" t="s">
        <v>169</v>
      </c>
      <c r="B905" s="6" t="s">
        <v>8</v>
      </c>
      <c r="C905" s="6" t="s">
        <v>281</v>
      </c>
      <c r="D905" s="6" t="s">
        <v>282</v>
      </c>
      <c r="E905" s="6" t="s">
        <v>32</v>
      </c>
      <c r="F905" s="7" t="s">
        <v>224</v>
      </c>
      <c r="G905" s="7" t="s">
        <v>224</v>
      </c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4.25" customHeight="1">
      <c r="A906" s="6" t="s">
        <v>17</v>
      </c>
      <c r="B906" s="6" t="s">
        <v>8</v>
      </c>
      <c r="C906" s="6" t="s">
        <v>516</v>
      </c>
      <c r="D906" s="6" t="s">
        <v>517</v>
      </c>
      <c r="E906" s="6" t="s">
        <v>54</v>
      </c>
      <c r="F906" s="7" t="s">
        <v>215</v>
      </c>
      <c r="G906" s="7" t="s">
        <v>215</v>
      </c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4.25" customHeight="1">
      <c r="A907" s="6" t="s">
        <v>62</v>
      </c>
      <c r="B907" s="6" t="s">
        <v>8</v>
      </c>
      <c r="C907" s="6" t="s">
        <v>357</v>
      </c>
      <c r="D907" s="6" t="s">
        <v>358</v>
      </c>
      <c r="E907" s="6" t="s">
        <v>20</v>
      </c>
      <c r="F907" s="7" t="s">
        <v>224</v>
      </c>
      <c r="G907" s="7" t="s">
        <v>215</v>
      </c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4.25" customHeight="1">
      <c r="A908" s="6" t="s">
        <v>45</v>
      </c>
      <c r="B908" s="6" t="s">
        <v>8</v>
      </c>
      <c r="C908" s="6" t="s">
        <v>574</v>
      </c>
      <c r="D908" s="6" t="s">
        <v>575</v>
      </c>
      <c r="E908" s="6" t="s">
        <v>48</v>
      </c>
      <c r="F908" s="7" t="s">
        <v>215</v>
      </c>
      <c r="G908" s="7" t="s">
        <v>215</v>
      </c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4.25" customHeight="1">
      <c r="A909" s="6" t="s">
        <v>7</v>
      </c>
      <c r="B909" s="6" t="s">
        <v>8</v>
      </c>
      <c r="C909" s="6" t="s">
        <v>578</v>
      </c>
      <c r="D909" s="6" t="s">
        <v>579</v>
      </c>
      <c r="E909" s="6" t="s">
        <v>11</v>
      </c>
      <c r="F909" s="7" t="s">
        <v>224</v>
      </c>
      <c r="G909" s="7" t="s">
        <v>256</v>
      </c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4.25" customHeight="1">
      <c r="A910" s="6" t="s">
        <v>7</v>
      </c>
      <c r="B910" s="6" t="s">
        <v>8</v>
      </c>
      <c r="C910" s="6" t="s">
        <v>578</v>
      </c>
      <c r="D910" s="6" t="s">
        <v>579</v>
      </c>
      <c r="E910" s="6" t="s">
        <v>39</v>
      </c>
      <c r="F910" s="7" t="s">
        <v>224</v>
      </c>
      <c r="G910" s="7" t="s">
        <v>256</v>
      </c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4.25" customHeight="1">
      <c r="A911" s="6" t="s">
        <v>110</v>
      </c>
      <c r="B911" s="6" t="s">
        <v>8</v>
      </c>
      <c r="C911" s="6" t="s">
        <v>584</v>
      </c>
      <c r="D911" s="6" t="s">
        <v>585</v>
      </c>
      <c r="E911" s="6" t="s">
        <v>27</v>
      </c>
      <c r="F911" s="7" t="s">
        <v>224</v>
      </c>
      <c r="G911" s="7" t="s">
        <v>256</v>
      </c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4.25" customHeight="1">
      <c r="A912" s="6" t="s">
        <v>45</v>
      </c>
      <c r="B912" s="6" t="s">
        <v>8</v>
      </c>
      <c r="C912" s="6" t="s">
        <v>552</v>
      </c>
      <c r="D912" s="6" t="s">
        <v>553</v>
      </c>
      <c r="E912" s="6" t="s">
        <v>27</v>
      </c>
      <c r="F912" s="7" t="s">
        <v>256</v>
      </c>
      <c r="G912" s="7" t="s">
        <v>256</v>
      </c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4.25" customHeight="1">
      <c r="A913" s="6" t="s">
        <v>7</v>
      </c>
      <c r="B913" s="6" t="s">
        <v>8</v>
      </c>
      <c r="C913" s="6" t="s">
        <v>578</v>
      </c>
      <c r="D913" s="6" t="s">
        <v>579</v>
      </c>
      <c r="E913" s="6" t="s">
        <v>32</v>
      </c>
      <c r="F913" s="7" t="s">
        <v>224</v>
      </c>
      <c r="G913" s="7" t="s">
        <v>256</v>
      </c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4.25" customHeight="1">
      <c r="A914" s="6" t="s">
        <v>72</v>
      </c>
      <c r="B914" s="6" t="s">
        <v>8</v>
      </c>
      <c r="C914" s="6" t="s">
        <v>576</v>
      </c>
      <c r="D914" s="6" t="s">
        <v>577</v>
      </c>
      <c r="E914" s="6" t="s">
        <v>48</v>
      </c>
      <c r="F914" s="7" t="s">
        <v>215</v>
      </c>
      <c r="G914" s="7" t="s">
        <v>256</v>
      </c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4.25" customHeight="1">
      <c r="A915" s="6" t="s">
        <v>105</v>
      </c>
      <c r="B915" s="6" t="s">
        <v>8</v>
      </c>
      <c r="C915" s="6" t="s">
        <v>546</v>
      </c>
      <c r="D915" s="6" t="s">
        <v>547</v>
      </c>
      <c r="E915" s="6" t="s">
        <v>27</v>
      </c>
      <c r="F915" s="7" t="s">
        <v>215</v>
      </c>
      <c r="G915" s="7" t="s">
        <v>215</v>
      </c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4.25" customHeight="1">
      <c r="A916" s="6" t="s">
        <v>21</v>
      </c>
      <c r="B916" s="6" t="s">
        <v>8</v>
      </c>
      <c r="C916" s="6" t="s">
        <v>260</v>
      </c>
      <c r="D916" s="6" t="s">
        <v>261</v>
      </c>
      <c r="E916" s="6" t="s">
        <v>39</v>
      </c>
      <c r="F916" s="7" t="s">
        <v>215</v>
      </c>
      <c r="G916" s="7" t="s">
        <v>227</v>
      </c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4.25" customHeight="1">
      <c r="A917" s="6" t="s">
        <v>45</v>
      </c>
      <c r="B917" s="6" t="s">
        <v>8</v>
      </c>
      <c r="C917" s="6" t="s">
        <v>574</v>
      </c>
      <c r="D917" s="6" t="s">
        <v>575</v>
      </c>
      <c r="E917" s="6" t="s">
        <v>27</v>
      </c>
      <c r="F917" s="7" t="s">
        <v>215</v>
      </c>
      <c r="G917" s="7" t="s">
        <v>215</v>
      </c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4.25" customHeight="1">
      <c r="A918" s="6" t="s">
        <v>36</v>
      </c>
      <c r="B918" s="6" t="s">
        <v>8</v>
      </c>
      <c r="C918" s="6" t="s">
        <v>530</v>
      </c>
      <c r="D918" s="6" t="s">
        <v>531</v>
      </c>
      <c r="E918" s="6" t="s">
        <v>32</v>
      </c>
      <c r="F918" s="7" t="s">
        <v>224</v>
      </c>
      <c r="G918" s="7" t="s">
        <v>215</v>
      </c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4.25" customHeight="1">
      <c r="A919" s="6" t="s">
        <v>7</v>
      </c>
      <c r="B919" s="6" t="s">
        <v>8</v>
      </c>
      <c r="C919" s="6" t="s">
        <v>578</v>
      </c>
      <c r="D919" s="6" t="s">
        <v>579</v>
      </c>
      <c r="E919" s="6" t="s">
        <v>27</v>
      </c>
      <c r="F919" s="7" t="s">
        <v>215</v>
      </c>
      <c r="G919" s="7" t="s">
        <v>256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4.25" customHeight="1">
      <c r="A920" s="6" t="s">
        <v>55</v>
      </c>
      <c r="B920" s="6" t="s">
        <v>8</v>
      </c>
      <c r="C920" s="6" t="s">
        <v>165</v>
      </c>
      <c r="D920" s="6" t="s">
        <v>166</v>
      </c>
      <c r="E920" s="6" t="s">
        <v>27</v>
      </c>
      <c r="F920" s="7" t="s">
        <v>28</v>
      </c>
      <c r="G920" s="7" t="s">
        <v>28</v>
      </c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4.25" customHeight="1">
      <c r="A921" s="6" t="s">
        <v>435</v>
      </c>
      <c r="B921" s="6" t="s">
        <v>8</v>
      </c>
      <c r="C921" s="6" t="s">
        <v>580</v>
      </c>
      <c r="D921" s="6" t="s">
        <v>581</v>
      </c>
      <c r="E921" s="6" t="s">
        <v>27</v>
      </c>
      <c r="F921" s="7" t="s">
        <v>215</v>
      </c>
      <c r="G921" s="7" t="s">
        <v>215</v>
      </c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4.25" customHeight="1">
      <c r="A922" s="6" t="s">
        <v>55</v>
      </c>
      <c r="B922" s="6" t="s">
        <v>8</v>
      </c>
      <c r="C922" s="6" t="s">
        <v>165</v>
      </c>
      <c r="D922" s="6" t="s">
        <v>166</v>
      </c>
      <c r="E922" s="6" t="s">
        <v>48</v>
      </c>
      <c r="F922" s="7" t="s">
        <v>28</v>
      </c>
      <c r="G922" s="7" t="s">
        <v>28</v>
      </c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4.25" customHeight="1">
      <c r="A923" s="6" t="s">
        <v>129</v>
      </c>
      <c r="B923" s="6" t="s">
        <v>8</v>
      </c>
      <c r="C923" s="6" t="s">
        <v>290</v>
      </c>
      <c r="D923" s="6" t="s">
        <v>291</v>
      </c>
      <c r="E923" s="6" t="s">
        <v>32</v>
      </c>
      <c r="F923" s="7" t="s">
        <v>215</v>
      </c>
      <c r="G923" s="7" t="s">
        <v>256</v>
      </c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4.25" customHeight="1">
      <c r="A924" s="6" t="s">
        <v>88</v>
      </c>
      <c r="B924" s="6" t="s">
        <v>8</v>
      </c>
      <c r="C924" s="6" t="s">
        <v>239</v>
      </c>
      <c r="D924" s="6" t="s">
        <v>240</v>
      </c>
      <c r="E924" s="6" t="s">
        <v>20</v>
      </c>
      <c r="F924" s="7" t="s">
        <v>224</v>
      </c>
      <c r="G924" s="7" t="s">
        <v>224</v>
      </c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4.25" customHeight="1">
      <c r="A925" s="6" t="s">
        <v>132</v>
      </c>
      <c r="B925" s="6" t="s">
        <v>8</v>
      </c>
      <c r="C925" s="6" t="s">
        <v>133</v>
      </c>
      <c r="D925" s="6" t="s">
        <v>134</v>
      </c>
      <c r="E925" s="6" t="s">
        <v>32</v>
      </c>
      <c r="F925" s="7" t="s">
        <v>28</v>
      </c>
      <c r="G925" s="7" t="s">
        <v>28</v>
      </c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4.25" customHeight="1">
      <c r="A926" s="6" t="s">
        <v>105</v>
      </c>
      <c r="B926" s="6" t="s">
        <v>8</v>
      </c>
      <c r="C926" s="6" t="s">
        <v>532</v>
      </c>
      <c r="D926" s="6" t="s">
        <v>533</v>
      </c>
      <c r="E926" s="6" t="s">
        <v>20</v>
      </c>
      <c r="F926" s="7" t="s">
        <v>215</v>
      </c>
      <c r="G926" s="7" t="s">
        <v>215</v>
      </c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4.25" customHeight="1">
      <c r="A927" s="6" t="s">
        <v>110</v>
      </c>
      <c r="B927" s="6" t="s">
        <v>8</v>
      </c>
      <c r="C927" s="6" t="s">
        <v>584</v>
      </c>
      <c r="D927" s="6" t="s">
        <v>585</v>
      </c>
      <c r="E927" s="6" t="s">
        <v>54</v>
      </c>
      <c r="F927" s="7" t="s">
        <v>224</v>
      </c>
      <c r="G927" s="7" t="s">
        <v>256</v>
      </c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4.25" customHeight="1">
      <c r="A928" s="6" t="s">
        <v>7</v>
      </c>
      <c r="B928" s="6" t="s">
        <v>8</v>
      </c>
      <c r="C928" s="6" t="s">
        <v>578</v>
      </c>
      <c r="D928" s="6" t="s">
        <v>579</v>
      </c>
      <c r="E928" s="6" t="s">
        <v>48</v>
      </c>
      <c r="F928" s="7" t="s">
        <v>215</v>
      </c>
      <c r="G928" s="7" t="s">
        <v>256</v>
      </c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4.25" customHeight="1">
      <c r="A929" s="6" t="s">
        <v>110</v>
      </c>
      <c r="B929" s="6" t="s">
        <v>8</v>
      </c>
      <c r="C929" s="6" t="s">
        <v>584</v>
      </c>
      <c r="D929" s="6" t="s">
        <v>585</v>
      </c>
      <c r="E929" s="6" t="s">
        <v>39</v>
      </c>
      <c r="F929" s="7" t="s">
        <v>224</v>
      </c>
      <c r="G929" s="7" t="s">
        <v>256</v>
      </c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4.25" customHeight="1">
      <c r="A930" s="6" t="s">
        <v>169</v>
      </c>
      <c r="B930" s="6" t="s">
        <v>8</v>
      </c>
      <c r="C930" s="6" t="s">
        <v>586</v>
      </c>
      <c r="D930" s="6" t="s">
        <v>587</v>
      </c>
      <c r="E930" s="6" t="s">
        <v>20</v>
      </c>
      <c r="F930" s="7" t="s">
        <v>224</v>
      </c>
      <c r="G930" s="7" t="s">
        <v>224</v>
      </c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4.25" customHeight="1">
      <c r="A931" s="6" t="s">
        <v>110</v>
      </c>
      <c r="B931" s="6" t="s">
        <v>8</v>
      </c>
      <c r="C931" s="6" t="s">
        <v>584</v>
      </c>
      <c r="D931" s="6" t="s">
        <v>585</v>
      </c>
      <c r="E931" s="6" t="s">
        <v>48</v>
      </c>
      <c r="F931" s="7" t="s">
        <v>224</v>
      </c>
      <c r="G931" s="7" t="s">
        <v>256</v>
      </c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4.25" customHeight="1">
      <c r="A932" s="6" t="s">
        <v>36</v>
      </c>
      <c r="B932" s="6" t="s">
        <v>8</v>
      </c>
      <c r="C932" s="6" t="s">
        <v>588</v>
      </c>
      <c r="D932" s="6" t="s">
        <v>589</v>
      </c>
      <c r="E932" s="6" t="s">
        <v>20</v>
      </c>
      <c r="F932" s="7" t="s">
        <v>224</v>
      </c>
      <c r="G932" s="7" t="s">
        <v>215</v>
      </c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4.25" customHeight="1">
      <c r="A933" s="6" t="s">
        <v>62</v>
      </c>
      <c r="B933" s="6" t="s">
        <v>8</v>
      </c>
      <c r="C933" s="6" t="s">
        <v>357</v>
      </c>
      <c r="D933" s="6" t="s">
        <v>358</v>
      </c>
      <c r="E933" s="6" t="s">
        <v>48</v>
      </c>
      <c r="F933" s="7" t="s">
        <v>215</v>
      </c>
      <c r="G933" s="7" t="s">
        <v>215</v>
      </c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4.25" customHeight="1">
      <c r="A934" s="6" t="s">
        <v>72</v>
      </c>
      <c r="B934" s="6" t="s">
        <v>8</v>
      </c>
      <c r="C934" s="6" t="s">
        <v>576</v>
      </c>
      <c r="D934" s="6" t="s">
        <v>577</v>
      </c>
      <c r="E934" s="6" t="s">
        <v>27</v>
      </c>
      <c r="F934" s="7" t="s">
        <v>215</v>
      </c>
      <c r="G934" s="7" t="s">
        <v>256</v>
      </c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4.25" customHeight="1">
      <c r="A935" s="6" t="s">
        <v>17</v>
      </c>
      <c r="B935" s="6" t="s">
        <v>8</v>
      </c>
      <c r="C935" s="6" t="s">
        <v>590</v>
      </c>
      <c r="D935" s="6" t="s">
        <v>591</v>
      </c>
      <c r="E935" s="6" t="s">
        <v>32</v>
      </c>
      <c r="F935" s="7" t="s">
        <v>227</v>
      </c>
      <c r="G935" s="7" t="s">
        <v>227</v>
      </c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4.25" customHeight="1">
      <c r="A936" s="6" t="s">
        <v>169</v>
      </c>
      <c r="B936" s="6" t="s">
        <v>8</v>
      </c>
      <c r="C936" s="6" t="s">
        <v>281</v>
      </c>
      <c r="D936" s="6" t="s">
        <v>282</v>
      </c>
      <c r="E936" s="6" t="s">
        <v>39</v>
      </c>
      <c r="F936" s="7" t="s">
        <v>224</v>
      </c>
      <c r="G936" s="7" t="s">
        <v>224</v>
      </c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4.25" customHeight="1">
      <c r="A937" s="6" t="s">
        <v>435</v>
      </c>
      <c r="B937" s="6" t="s">
        <v>8</v>
      </c>
      <c r="C937" s="6" t="s">
        <v>580</v>
      </c>
      <c r="D937" s="6" t="s">
        <v>581</v>
      </c>
      <c r="E937" s="6" t="s">
        <v>11</v>
      </c>
      <c r="F937" s="7" t="s">
        <v>215</v>
      </c>
      <c r="G937" s="7" t="s">
        <v>215</v>
      </c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4.25" customHeight="1">
      <c r="A938" s="6" t="s">
        <v>55</v>
      </c>
      <c r="B938" s="6" t="s">
        <v>8</v>
      </c>
      <c r="C938" s="6" t="s">
        <v>165</v>
      </c>
      <c r="D938" s="6" t="s">
        <v>166</v>
      </c>
      <c r="E938" s="6" t="s">
        <v>39</v>
      </c>
      <c r="F938" s="7" t="s">
        <v>28</v>
      </c>
      <c r="G938" s="7" t="s">
        <v>28</v>
      </c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4.25" customHeight="1">
      <c r="A939" s="6" t="s">
        <v>105</v>
      </c>
      <c r="B939" s="6" t="s">
        <v>8</v>
      </c>
      <c r="C939" s="6" t="s">
        <v>296</v>
      </c>
      <c r="D939" s="6" t="s">
        <v>297</v>
      </c>
      <c r="E939" s="6" t="s">
        <v>39</v>
      </c>
      <c r="F939" s="7" t="s">
        <v>215</v>
      </c>
      <c r="G939" s="7" t="s">
        <v>215</v>
      </c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4.25" customHeight="1">
      <c r="A940" s="6" t="s">
        <v>17</v>
      </c>
      <c r="B940" s="6" t="s">
        <v>8</v>
      </c>
      <c r="C940" s="6" t="s">
        <v>590</v>
      </c>
      <c r="D940" s="6" t="s">
        <v>591</v>
      </c>
      <c r="E940" s="6" t="s">
        <v>27</v>
      </c>
      <c r="F940" s="7" t="s">
        <v>227</v>
      </c>
      <c r="G940" s="7" t="s">
        <v>227</v>
      </c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4.25" customHeight="1">
      <c r="A941" s="6" t="s">
        <v>17</v>
      </c>
      <c r="B941" s="6" t="s">
        <v>8</v>
      </c>
      <c r="C941" s="6" t="s">
        <v>590</v>
      </c>
      <c r="D941" s="6" t="s">
        <v>591</v>
      </c>
      <c r="E941" s="6" t="s">
        <v>48</v>
      </c>
      <c r="F941" s="7" t="s">
        <v>227</v>
      </c>
      <c r="G941" s="7" t="s">
        <v>227</v>
      </c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4.25" customHeight="1">
      <c r="A942" s="6" t="s">
        <v>72</v>
      </c>
      <c r="B942" s="6" t="s">
        <v>8</v>
      </c>
      <c r="C942" s="6" t="s">
        <v>576</v>
      </c>
      <c r="D942" s="6" t="s">
        <v>577</v>
      </c>
      <c r="E942" s="6" t="s">
        <v>39</v>
      </c>
      <c r="F942" s="7" t="s">
        <v>224</v>
      </c>
      <c r="G942" s="7" t="s">
        <v>215</v>
      </c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4.25" customHeight="1">
      <c r="A943" s="6" t="s">
        <v>435</v>
      </c>
      <c r="B943" s="6" t="s">
        <v>8</v>
      </c>
      <c r="C943" s="6" t="s">
        <v>580</v>
      </c>
      <c r="D943" s="6" t="s">
        <v>581</v>
      </c>
      <c r="E943" s="6" t="s">
        <v>20</v>
      </c>
      <c r="F943" s="7" t="s">
        <v>215</v>
      </c>
      <c r="G943" s="7" t="s">
        <v>215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4.25" customHeight="1">
      <c r="A944" s="6" t="s">
        <v>24</v>
      </c>
      <c r="B944" s="6" t="s">
        <v>8</v>
      </c>
      <c r="C944" s="6" t="s">
        <v>582</v>
      </c>
      <c r="D944" s="6" t="s">
        <v>583</v>
      </c>
      <c r="E944" s="6" t="s">
        <v>39</v>
      </c>
      <c r="F944" s="7" t="s">
        <v>215</v>
      </c>
      <c r="G944" s="7" t="s">
        <v>215</v>
      </c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4.25" customHeight="1">
      <c r="A945" s="6" t="s">
        <v>105</v>
      </c>
      <c r="B945" s="6" t="s">
        <v>8</v>
      </c>
      <c r="C945" s="6" t="s">
        <v>532</v>
      </c>
      <c r="D945" s="6" t="s">
        <v>533</v>
      </c>
      <c r="E945" s="6" t="s">
        <v>48</v>
      </c>
      <c r="F945" s="7" t="s">
        <v>215</v>
      </c>
      <c r="G945" s="7" t="s">
        <v>215</v>
      </c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4.25" customHeight="1">
      <c r="A946" s="6" t="s">
        <v>21</v>
      </c>
      <c r="B946" s="6" t="s">
        <v>8</v>
      </c>
      <c r="C946" s="6" t="s">
        <v>260</v>
      </c>
      <c r="D946" s="6" t="s">
        <v>261</v>
      </c>
      <c r="E946" s="6" t="s">
        <v>48</v>
      </c>
      <c r="F946" s="7" t="s">
        <v>215</v>
      </c>
      <c r="G946" s="7" t="s">
        <v>227</v>
      </c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4.25" customHeight="1">
      <c r="A947" s="6" t="s">
        <v>435</v>
      </c>
      <c r="B947" s="6" t="s">
        <v>8</v>
      </c>
      <c r="C947" s="6" t="s">
        <v>560</v>
      </c>
      <c r="D947" s="6" t="s">
        <v>561</v>
      </c>
      <c r="E947" s="6" t="s">
        <v>11</v>
      </c>
      <c r="F947" s="7" t="s">
        <v>224</v>
      </c>
      <c r="G947" s="7" t="s">
        <v>224</v>
      </c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4.25" customHeight="1">
      <c r="A948" s="6" t="s">
        <v>65</v>
      </c>
      <c r="B948" s="6" t="s">
        <v>8</v>
      </c>
      <c r="C948" s="6" t="s">
        <v>308</v>
      </c>
      <c r="D948" s="6" t="s">
        <v>309</v>
      </c>
      <c r="E948" s="6" t="s">
        <v>27</v>
      </c>
      <c r="F948" s="7" t="s">
        <v>227</v>
      </c>
      <c r="G948" s="7" t="s">
        <v>227</v>
      </c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4.25" customHeight="1">
      <c r="A949" s="6" t="s">
        <v>110</v>
      </c>
      <c r="B949" s="6" t="s">
        <v>8</v>
      </c>
      <c r="C949" s="6" t="s">
        <v>288</v>
      </c>
      <c r="D949" s="6" t="s">
        <v>289</v>
      </c>
      <c r="E949" s="6" t="s">
        <v>39</v>
      </c>
      <c r="F949" s="7" t="s">
        <v>224</v>
      </c>
      <c r="G949" s="7" t="s">
        <v>215</v>
      </c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4.25" customHeight="1">
      <c r="A950" s="6" t="s">
        <v>65</v>
      </c>
      <c r="B950" s="6" t="s">
        <v>8</v>
      </c>
      <c r="C950" s="6" t="s">
        <v>308</v>
      </c>
      <c r="D950" s="6" t="s">
        <v>309</v>
      </c>
      <c r="E950" s="6" t="s">
        <v>54</v>
      </c>
      <c r="F950" s="7" t="s">
        <v>227</v>
      </c>
      <c r="G950" s="7" t="s">
        <v>227</v>
      </c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4.25" customHeight="1">
      <c r="A951" s="6" t="s">
        <v>110</v>
      </c>
      <c r="B951" s="6" t="s">
        <v>8</v>
      </c>
      <c r="C951" s="6" t="s">
        <v>288</v>
      </c>
      <c r="D951" s="6" t="s">
        <v>289</v>
      </c>
      <c r="E951" s="6" t="s">
        <v>48</v>
      </c>
      <c r="F951" s="7" t="s">
        <v>224</v>
      </c>
      <c r="G951" s="7" t="s">
        <v>215</v>
      </c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4.25" customHeight="1">
      <c r="A952" s="6" t="s">
        <v>49</v>
      </c>
      <c r="B952" s="6" t="s">
        <v>8</v>
      </c>
      <c r="C952" s="6" t="s">
        <v>504</v>
      </c>
      <c r="D952" s="6" t="s">
        <v>505</v>
      </c>
      <c r="E952" s="6" t="s">
        <v>11</v>
      </c>
      <c r="F952" s="7" t="s">
        <v>215</v>
      </c>
      <c r="G952" s="7" t="s">
        <v>215</v>
      </c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4.25" customHeight="1">
      <c r="A953" s="6" t="s">
        <v>79</v>
      </c>
      <c r="B953" s="6" t="s">
        <v>8</v>
      </c>
      <c r="C953" s="6" t="s">
        <v>339</v>
      </c>
      <c r="D953" s="6" t="s">
        <v>340</v>
      </c>
      <c r="E953" s="6" t="s">
        <v>27</v>
      </c>
      <c r="F953" s="7" t="s">
        <v>256</v>
      </c>
      <c r="G953" s="7" t="s">
        <v>256</v>
      </c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4.25" customHeight="1">
      <c r="A954" s="6" t="s">
        <v>79</v>
      </c>
      <c r="B954" s="6" t="s">
        <v>8</v>
      </c>
      <c r="C954" s="6" t="s">
        <v>339</v>
      </c>
      <c r="D954" s="6" t="s">
        <v>340</v>
      </c>
      <c r="E954" s="6" t="s">
        <v>54</v>
      </c>
      <c r="F954" s="7" t="s">
        <v>215</v>
      </c>
      <c r="G954" s="7" t="s">
        <v>215</v>
      </c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4.25" customHeight="1">
      <c r="A955" s="6" t="s">
        <v>45</v>
      </c>
      <c r="B955" s="6" t="s">
        <v>8</v>
      </c>
      <c r="C955" s="6" t="s">
        <v>574</v>
      </c>
      <c r="D955" s="6" t="s">
        <v>575</v>
      </c>
      <c r="E955" s="6" t="s">
        <v>11</v>
      </c>
      <c r="F955" s="7" t="s">
        <v>224</v>
      </c>
      <c r="G955" s="7" t="s">
        <v>215</v>
      </c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4.25" customHeight="1">
      <c r="A956" s="6" t="s">
        <v>93</v>
      </c>
      <c r="B956" s="6" t="s">
        <v>8</v>
      </c>
      <c r="C956" s="6" t="s">
        <v>318</v>
      </c>
      <c r="D956" s="6" t="s">
        <v>319</v>
      </c>
      <c r="E956" s="6" t="s">
        <v>39</v>
      </c>
      <c r="F956" s="7" t="s">
        <v>215</v>
      </c>
      <c r="G956" s="7" t="s">
        <v>215</v>
      </c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4.25" customHeight="1">
      <c r="A957" s="6" t="s">
        <v>45</v>
      </c>
      <c r="B957" s="6" t="s">
        <v>8</v>
      </c>
      <c r="C957" s="6" t="s">
        <v>574</v>
      </c>
      <c r="D957" s="6" t="s">
        <v>575</v>
      </c>
      <c r="E957" s="6" t="s">
        <v>20</v>
      </c>
      <c r="F957" s="7" t="s">
        <v>224</v>
      </c>
      <c r="G957" s="7" t="s">
        <v>215</v>
      </c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4.25" customHeight="1">
      <c r="A958" s="6" t="s">
        <v>72</v>
      </c>
      <c r="B958" s="6" t="s">
        <v>8</v>
      </c>
      <c r="C958" s="6" t="s">
        <v>421</v>
      </c>
      <c r="D958" s="6" t="s">
        <v>422</v>
      </c>
      <c r="E958" s="6" t="s">
        <v>39</v>
      </c>
      <c r="F958" s="7" t="s">
        <v>256</v>
      </c>
      <c r="G958" s="7" t="s">
        <v>12</v>
      </c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4.25" customHeight="1">
      <c r="A959" s="6" t="s">
        <v>93</v>
      </c>
      <c r="B959" s="6" t="s">
        <v>8</v>
      </c>
      <c r="C959" s="6" t="s">
        <v>318</v>
      </c>
      <c r="D959" s="6" t="s">
        <v>319</v>
      </c>
      <c r="E959" s="6" t="s">
        <v>48</v>
      </c>
      <c r="F959" s="7" t="s">
        <v>215</v>
      </c>
      <c r="G959" s="7" t="s">
        <v>215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4.25" customHeight="1">
      <c r="A960" s="6" t="s">
        <v>93</v>
      </c>
      <c r="B960" s="6" t="s">
        <v>8</v>
      </c>
      <c r="C960" s="6" t="s">
        <v>318</v>
      </c>
      <c r="D960" s="6" t="s">
        <v>319</v>
      </c>
      <c r="E960" s="6" t="s">
        <v>54</v>
      </c>
      <c r="F960" s="7" t="s">
        <v>215</v>
      </c>
      <c r="G960" s="7" t="s">
        <v>215</v>
      </c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4.25" customHeight="1">
      <c r="A961" s="6" t="s">
        <v>72</v>
      </c>
      <c r="B961" s="6" t="s">
        <v>8</v>
      </c>
      <c r="C961" s="6" t="s">
        <v>576</v>
      </c>
      <c r="D961" s="6" t="s">
        <v>577</v>
      </c>
      <c r="E961" s="6" t="s">
        <v>54</v>
      </c>
      <c r="F961" s="7" t="s">
        <v>215</v>
      </c>
      <c r="G961" s="7" t="s">
        <v>256</v>
      </c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4.25" customHeight="1">
      <c r="A962" s="6" t="s">
        <v>45</v>
      </c>
      <c r="B962" s="6" t="s">
        <v>8</v>
      </c>
      <c r="C962" s="6" t="s">
        <v>552</v>
      </c>
      <c r="D962" s="6" t="s">
        <v>553</v>
      </c>
      <c r="E962" s="6" t="s">
        <v>11</v>
      </c>
      <c r="F962" s="7" t="s">
        <v>215</v>
      </c>
      <c r="G962" s="7" t="s">
        <v>215</v>
      </c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4.25" customHeight="1">
      <c r="A963" s="6" t="s">
        <v>72</v>
      </c>
      <c r="B963" s="6" t="s">
        <v>8</v>
      </c>
      <c r="C963" s="6" t="s">
        <v>421</v>
      </c>
      <c r="D963" s="6" t="s">
        <v>422</v>
      </c>
      <c r="E963" s="6" t="s">
        <v>54</v>
      </c>
      <c r="F963" s="7" t="s">
        <v>256</v>
      </c>
      <c r="G963" s="7" t="s">
        <v>12</v>
      </c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4.25" customHeight="1">
      <c r="A964" s="6" t="s">
        <v>79</v>
      </c>
      <c r="B964" s="6" t="s">
        <v>8</v>
      </c>
      <c r="C964" s="6" t="s">
        <v>339</v>
      </c>
      <c r="D964" s="6" t="s">
        <v>340</v>
      </c>
      <c r="E964" s="6" t="s">
        <v>48</v>
      </c>
      <c r="F964" s="7" t="s">
        <v>215</v>
      </c>
      <c r="G964" s="7" t="s">
        <v>256</v>
      </c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4.25" customHeight="1">
      <c r="A965" s="6" t="s">
        <v>55</v>
      </c>
      <c r="B965" s="6" t="s">
        <v>8</v>
      </c>
      <c r="C965" s="6" t="s">
        <v>156</v>
      </c>
      <c r="D965" s="6" t="s">
        <v>157</v>
      </c>
      <c r="E965" s="6" t="s">
        <v>20</v>
      </c>
      <c r="F965" s="7" t="s">
        <v>224</v>
      </c>
      <c r="G965" s="7" t="s">
        <v>224</v>
      </c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4.25" customHeight="1">
      <c r="A966" s="6" t="s">
        <v>45</v>
      </c>
      <c r="B966" s="6" t="s">
        <v>8</v>
      </c>
      <c r="C966" s="6" t="s">
        <v>574</v>
      </c>
      <c r="D966" s="6" t="s">
        <v>575</v>
      </c>
      <c r="E966" s="6" t="s">
        <v>32</v>
      </c>
      <c r="F966" s="7" t="s">
        <v>215</v>
      </c>
      <c r="G966" s="7" t="s">
        <v>215</v>
      </c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4.25" customHeight="1">
      <c r="A967" s="6" t="s">
        <v>132</v>
      </c>
      <c r="B967" s="6" t="s">
        <v>8</v>
      </c>
      <c r="C967" s="6" t="s">
        <v>592</v>
      </c>
      <c r="D967" s="6" t="s">
        <v>593</v>
      </c>
      <c r="E967" s="6" t="s">
        <v>20</v>
      </c>
      <c r="F967" s="7" t="s">
        <v>227</v>
      </c>
      <c r="G967" s="7" t="s">
        <v>227</v>
      </c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4.25" customHeight="1">
      <c r="A968" s="6" t="s">
        <v>45</v>
      </c>
      <c r="B968" s="6" t="s">
        <v>8</v>
      </c>
      <c r="C968" s="6" t="s">
        <v>552</v>
      </c>
      <c r="D968" s="6" t="s">
        <v>553</v>
      </c>
      <c r="E968" s="6" t="s">
        <v>39</v>
      </c>
      <c r="F968" s="7" t="s">
        <v>215</v>
      </c>
      <c r="G968" s="7" t="s">
        <v>215</v>
      </c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4.25" customHeight="1">
      <c r="A969" s="6" t="s">
        <v>105</v>
      </c>
      <c r="B969" s="6" t="s">
        <v>8</v>
      </c>
      <c r="C969" s="6" t="s">
        <v>546</v>
      </c>
      <c r="D969" s="6" t="s">
        <v>547</v>
      </c>
      <c r="E969" s="6" t="s">
        <v>48</v>
      </c>
      <c r="F969" s="7" t="s">
        <v>215</v>
      </c>
      <c r="G969" s="7" t="s">
        <v>215</v>
      </c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4.25" customHeight="1">
      <c r="A970" s="6" t="s">
        <v>122</v>
      </c>
      <c r="B970" s="6" t="s">
        <v>8</v>
      </c>
      <c r="C970" s="6" t="s">
        <v>425</v>
      </c>
      <c r="D970" s="6" t="s">
        <v>426</v>
      </c>
      <c r="E970" s="6" t="s">
        <v>48</v>
      </c>
      <c r="F970" s="7" t="s">
        <v>227</v>
      </c>
      <c r="G970" s="7" t="s">
        <v>227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4.25" customHeight="1">
      <c r="A971" s="6" t="s">
        <v>93</v>
      </c>
      <c r="B971" s="6" t="s">
        <v>8</v>
      </c>
      <c r="C971" s="6" t="s">
        <v>594</v>
      </c>
      <c r="D971" s="6" t="s">
        <v>595</v>
      </c>
      <c r="E971" s="6" t="s">
        <v>20</v>
      </c>
      <c r="F971" s="7" t="s">
        <v>224</v>
      </c>
      <c r="G971" s="7" t="s">
        <v>224</v>
      </c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4.25" customHeight="1">
      <c r="A972" s="6" t="s">
        <v>24</v>
      </c>
      <c r="B972" s="6" t="s">
        <v>8</v>
      </c>
      <c r="C972" s="6" t="s">
        <v>596</v>
      </c>
      <c r="D972" s="6" t="s">
        <v>597</v>
      </c>
      <c r="E972" s="6" t="s">
        <v>32</v>
      </c>
      <c r="F972" s="7" t="s">
        <v>224</v>
      </c>
      <c r="G972" s="7" t="s">
        <v>215</v>
      </c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4.25" customHeight="1">
      <c r="A973" s="6" t="s">
        <v>65</v>
      </c>
      <c r="B973" s="6" t="s">
        <v>8</v>
      </c>
      <c r="C973" s="6" t="s">
        <v>308</v>
      </c>
      <c r="D973" s="6" t="s">
        <v>309</v>
      </c>
      <c r="E973" s="6" t="s">
        <v>39</v>
      </c>
      <c r="F973" s="7" t="s">
        <v>227</v>
      </c>
      <c r="G973" s="7" t="s">
        <v>227</v>
      </c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4.25" customHeight="1">
      <c r="A974" s="6" t="s">
        <v>24</v>
      </c>
      <c r="B974" s="6" t="s">
        <v>8</v>
      </c>
      <c r="C974" s="6" t="s">
        <v>596</v>
      </c>
      <c r="D974" s="6" t="s">
        <v>597</v>
      </c>
      <c r="E974" s="6" t="s">
        <v>27</v>
      </c>
      <c r="F974" s="7" t="s">
        <v>215</v>
      </c>
      <c r="G974" s="7" t="s">
        <v>215</v>
      </c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4.25" customHeight="1">
      <c r="A975" s="6" t="s">
        <v>88</v>
      </c>
      <c r="B975" s="6" t="s">
        <v>8</v>
      </c>
      <c r="C975" s="6" t="s">
        <v>598</v>
      </c>
      <c r="D975" s="6" t="s">
        <v>599</v>
      </c>
      <c r="E975" s="6" t="s">
        <v>32</v>
      </c>
      <c r="F975" s="7" t="s">
        <v>215</v>
      </c>
      <c r="G975" s="7" t="s">
        <v>215</v>
      </c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4.25" customHeight="1">
      <c r="A976" s="6" t="s">
        <v>24</v>
      </c>
      <c r="B976" s="6" t="s">
        <v>8</v>
      </c>
      <c r="C976" s="6" t="s">
        <v>596</v>
      </c>
      <c r="D976" s="6" t="s">
        <v>597</v>
      </c>
      <c r="E976" s="6" t="s">
        <v>48</v>
      </c>
      <c r="F976" s="7" t="s">
        <v>215</v>
      </c>
      <c r="G976" s="7" t="s">
        <v>215</v>
      </c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4.25" customHeight="1">
      <c r="A977" s="6" t="s">
        <v>24</v>
      </c>
      <c r="B977" s="6" t="s">
        <v>8</v>
      </c>
      <c r="C977" s="6" t="s">
        <v>596</v>
      </c>
      <c r="D977" s="6" t="s">
        <v>597</v>
      </c>
      <c r="E977" s="6" t="s">
        <v>87</v>
      </c>
      <c r="F977" s="7" t="s">
        <v>215</v>
      </c>
      <c r="G977" s="7" t="s">
        <v>215</v>
      </c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4.25" customHeight="1">
      <c r="A978" s="6" t="s">
        <v>24</v>
      </c>
      <c r="B978" s="6" t="s">
        <v>8</v>
      </c>
      <c r="C978" s="6" t="s">
        <v>600</v>
      </c>
      <c r="D978" s="6" t="s">
        <v>601</v>
      </c>
      <c r="E978" s="6" t="s">
        <v>27</v>
      </c>
      <c r="F978" s="7" t="s">
        <v>215</v>
      </c>
      <c r="G978" s="7" t="s">
        <v>215</v>
      </c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4.25" customHeight="1">
      <c r="A979" s="6" t="s">
        <v>24</v>
      </c>
      <c r="B979" s="6" t="s">
        <v>8</v>
      </c>
      <c r="C979" s="6" t="s">
        <v>600</v>
      </c>
      <c r="D979" s="6" t="s">
        <v>601</v>
      </c>
      <c r="E979" s="6" t="s">
        <v>48</v>
      </c>
      <c r="F979" s="7" t="s">
        <v>215</v>
      </c>
      <c r="G979" s="7" t="s">
        <v>215</v>
      </c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4.25" customHeight="1">
      <c r="A980" s="6" t="s">
        <v>88</v>
      </c>
      <c r="B980" s="6" t="s">
        <v>8</v>
      </c>
      <c r="C980" s="6" t="s">
        <v>598</v>
      </c>
      <c r="D980" s="6" t="s">
        <v>599</v>
      </c>
      <c r="E980" s="6" t="s">
        <v>20</v>
      </c>
      <c r="F980" s="7" t="s">
        <v>215</v>
      </c>
      <c r="G980" s="7" t="s">
        <v>215</v>
      </c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4.25" customHeight="1">
      <c r="A981" s="6" t="s">
        <v>45</v>
      </c>
      <c r="B981" s="6" t="s">
        <v>8</v>
      </c>
      <c r="C981" s="6" t="s">
        <v>602</v>
      </c>
      <c r="D981" s="6" t="s">
        <v>603</v>
      </c>
      <c r="E981" s="6" t="s">
        <v>27</v>
      </c>
      <c r="F981" s="7" t="s">
        <v>264</v>
      </c>
      <c r="G981" s="7" t="s">
        <v>264</v>
      </c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4.25" customHeight="1">
      <c r="A982" s="6" t="s">
        <v>45</v>
      </c>
      <c r="B982" s="6" t="s">
        <v>8</v>
      </c>
      <c r="C982" s="6" t="s">
        <v>602</v>
      </c>
      <c r="D982" s="6" t="s">
        <v>603</v>
      </c>
      <c r="E982" s="6" t="s">
        <v>54</v>
      </c>
      <c r="F982" s="7" t="s">
        <v>264</v>
      </c>
      <c r="G982" s="7" t="s">
        <v>264</v>
      </c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4.25" customHeight="1">
      <c r="A983" s="6" t="s">
        <v>45</v>
      </c>
      <c r="B983" s="6" t="s">
        <v>8</v>
      </c>
      <c r="C983" s="6" t="s">
        <v>602</v>
      </c>
      <c r="D983" s="6" t="s">
        <v>603</v>
      </c>
      <c r="E983" s="6" t="s">
        <v>39</v>
      </c>
      <c r="F983" s="7" t="s">
        <v>264</v>
      </c>
      <c r="G983" s="7" t="s">
        <v>264</v>
      </c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4.25" customHeight="1">
      <c r="A984" s="6" t="s">
        <v>45</v>
      </c>
      <c r="B984" s="6" t="s">
        <v>8</v>
      </c>
      <c r="C984" s="6" t="s">
        <v>602</v>
      </c>
      <c r="D984" s="6" t="s">
        <v>603</v>
      </c>
      <c r="E984" s="6" t="s">
        <v>48</v>
      </c>
      <c r="F984" s="7" t="s">
        <v>264</v>
      </c>
      <c r="G984" s="7" t="s">
        <v>264</v>
      </c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4.25" customHeight="1">
      <c r="A985" s="6" t="s">
        <v>72</v>
      </c>
      <c r="B985" s="6" t="s">
        <v>8</v>
      </c>
      <c r="C985" s="6" t="s">
        <v>604</v>
      </c>
      <c r="D985" s="6" t="s">
        <v>605</v>
      </c>
      <c r="E985" s="6" t="s">
        <v>54</v>
      </c>
      <c r="F985" s="7" t="s">
        <v>215</v>
      </c>
      <c r="G985" s="7" t="s">
        <v>215</v>
      </c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4.25" customHeight="1">
      <c r="A986" s="6" t="s">
        <v>79</v>
      </c>
      <c r="B986" s="6" t="s">
        <v>8</v>
      </c>
      <c r="C986" s="6" t="s">
        <v>444</v>
      </c>
      <c r="D986" s="6" t="s">
        <v>445</v>
      </c>
      <c r="E986" s="6" t="s">
        <v>48</v>
      </c>
      <c r="F986" s="7" t="s">
        <v>227</v>
      </c>
      <c r="G986" s="7" t="s">
        <v>227</v>
      </c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4.25" customHeight="1">
      <c r="A987" s="6" t="s">
        <v>79</v>
      </c>
      <c r="B987" s="6" t="s">
        <v>8</v>
      </c>
      <c r="C987" s="6" t="s">
        <v>444</v>
      </c>
      <c r="D987" s="6" t="s">
        <v>445</v>
      </c>
      <c r="E987" s="6" t="s">
        <v>32</v>
      </c>
      <c r="F987" s="7" t="s">
        <v>227</v>
      </c>
      <c r="G987" s="7" t="s">
        <v>227</v>
      </c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4.25" customHeight="1">
      <c r="A988" s="6" t="s">
        <v>24</v>
      </c>
      <c r="B988" s="6" t="s">
        <v>8</v>
      </c>
      <c r="C988" s="6" t="s">
        <v>582</v>
      </c>
      <c r="D988" s="6" t="s">
        <v>583</v>
      </c>
      <c r="E988" s="6" t="s">
        <v>48</v>
      </c>
      <c r="F988" s="7" t="s">
        <v>215</v>
      </c>
      <c r="G988" s="7" t="s">
        <v>215</v>
      </c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4.25" customHeight="1">
      <c r="A989" s="6" t="s">
        <v>17</v>
      </c>
      <c r="B989" s="6" t="s">
        <v>8</v>
      </c>
      <c r="C989" s="6" t="s">
        <v>516</v>
      </c>
      <c r="D989" s="6" t="s">
        <v>517</v>
      </c>
      <c r="E989" s="6" t="s">
        <v>39</v>
      </c>
      <c r="F989" s="7" t="s">
        <v>215</v>
      </c>
      <c r="G989" s="7" t="s">
        <v>215</v>
      </c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4.25" customHeight="1">
      <c r="A990" s="6" t="s">
        <v>55</v>
      </c>
      <c r="B990" s="6" t="s">
        <v>8</v>
      </c>
      <c r="C990" s="6" t="s">
        <v>606</v>
      </c>
      <c r="D990" s="6" t="s">
        <v>607</v>
      </c>
      <c r="E990" s="6" t="s">
        <v>20</v>
      </c>
      <c r="F990" s="7" t="s">
        <v>227</v>
      </c>
      <c r="G990" s="7" t="s">
        <v>227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4.25" customHeight="1">
      <c r="A991" s="6" t="s">
        <v>17</v>
      </c>
      <c r="B991" s="6" t="s">
        <v>8</v>
      </c>
      <c r="C991" s="6" t="s">
        <v>516</v>
      </c>
      <c r="D991" s="6" t="s">
        <v>517</v>
      </c>
      <c r="E991" s="6" t="s">
        <v>48</v>
      </c>
      <c r="F991" s="7" t="s">
        <v>215</v>
      </c>
      <c r="G991" s="7" t="s">
        <v>215</v>
      </c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4.25" customHeight="1">
      <c r="A992" s="6" t="s">
        <v>129</v>
      </c>
      <c r="B992" s="6" t="s">
        <v>8</v>
      </c>
      <c r="C992" s="6" t="s">
        <v>290</v>
      </c>
      <c r="D992" s="6" t="s">
        <v>291</v>
      </c>
      <c r="E992" s="6" t="s">
        <v>39</v>
      </c>
      <c r="F992" s="7" t="s">
        <v>215</v>
      </c>
      <c r="G992" s="7" t="s">
        <v>256</v>
      </c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4.25" customHeight="1">
      <c r="A993" s="6" t="s">
        <v>129</v>
      </c>
      <c r="B993" s="6" t="s">
        <v>8</v>
      </c>
      <c r="C993" s="6" t="s">
        <v>290</v>
      </c>
      <c r="D993" s="6" t="s">
        <v>291</v>
      </c>
      <c r="E993" s="6" t="s">
        <v>48</v>
      </c>
      <c r="F993" s="7" t="s">
        <v>256</v>
      </c>
      <c r="G993" s="7" t="s">
        <v>256</v>
      </c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4.25" customHeight="1">
      <c r="A994" s="6" t="s">
        <v>72</v>
      </c>
      <c r="B994" s="6" t="s">
        <v>8</v>
      </c>
      <c r="C994" s="6" t="s">
        <v>556</v>
      </c>
      <c r="D994" s="6" t="s">
        <v>557</v>
      </c>
      <c r="E994" s="6" t="s">
        <v>20</v>
      </c>
      <c r="F994" s="7" t="s">
        <v>215</v>
      </c>
      <c r="G994" s="7" t="s">
        <v>215</v>
      </c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4.25" customHeight="1">
      <c r="A995" s="6" t="s">
        <v>21</v>
      </c>
      <c r="B995" s="6" t="s">
        <v>8</v>
      </c>
      <c r="C995" s="6" t="s">
        <v>608</v>
      </c>
      <c r="D995" s="6" t="s">
        <v>609</v>
      </c>
      <c r="E995" s="6" t="s">
        <v>20</v>
      </c>
      <c r="F995" s="7" t="s">
        <v>215</v>
      </c>
      <c r="G995" s="7" t="s">
        <v>227</v>
      </c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4.25" customHeight="1">
      <c r="A996" s="6" t="s">
        <v>435</v>
      </c>
      <c r="B996" s="6" t="s">
        <v>8</v>
      </c>
      <c r="C996" s="6" t="s">
        <v>436</v>
      </c>
      <c r="D996" s="6" t="s">
        <v>437</v>
      </c>
      <c r="E996" s="6" t="s">
        <v>48</v>
      </c>
      <c r="F996" s="7" t="s">
        <v>215</v>
      </c>
      <c r="G996" s="7" t="s">
        <v>256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4.25" customHeight="1">
      <c r="A997" s="6" t="s">
        <v>135</v>
      </c>
      <c r="B997" s="6" t="s">
        <v>8</v>
      </c>
      <c r="C997" s="6" t="s">
        <v>610</v>
      </c>
      <c r="D997" s="6" t="s">
        <v>611</v>
      </c>
      <c r="E997" s="6" t="s">
        <v>27</v>
      </c>
      <c r="F997" s="7" t="s">
        <v>215</v>
      </c>
      <c r="G997" s="7" t="s">
        <v>227</v>
      </c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4.25" customHeight="1">
      <c r="A998" s="6" t="s">
        <v>72</v>
      </c>
      <c r="B998" s="6" t="s">
        <v>8</v>
      </c>
      <c r="C998" s="6" t="s">
        <v>612</v>
      </c>
      <c r="D998" s="6" t="s">
        <v>613</v>
      </c>
      <c r="E998" s="6" t="s">
        <v>27</v>
      </c>
      <c r="F998" s="7" t="s">
        <v>227</v>
      </c>
      <c r="G998" s="7" t="s">
        <v>264</v>
      </c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4.25" customHeight="1">
      <c r="A999" s="6" t="s">
        <v>135</v>
      </c>
      <c r="B999" s="6" t="s">
        <v>8</v>
      </c>
      <c r="C999" s="6" t="s">
        <v>610</v>
      </c>
      <c r="D999" s="6" t="s">
        <v>611</v>
      </c>
      <c r="E999" s="6" t="s">
        <v>32</v>
      </c>
      <c r="F999" s="7" t="s">
        <v>215</v>
      </c>
      <c r="G999" s="7" t="s">
        <v>227</v>
      </c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4.25" customHeight="1">
      <c r="A1000" s="6" t="s">
        <v>135</v>
      </c>
      <c r="B1000" s="6" t="s">
        <v>8</v>
      </c>
      <c r="C1000" s="6" t="s">
        <v>610</v>
      </c>
      <c r="D1000" s="6" t="s">
        <v>611</v>
      </c>
      <c r="E1000" s="6" t="s">
        <v>48</v>
      </c>
      <c r="F1000" s="7" t="s">
        <v>215</v>
      </c>
      <c r="G1000" s="7" t="s">
        <v>227</v>
      </c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4.25" customHeight="1">
      <c r="A1001" s="6" t="s">
        <v>135</v>
      </c>
      <c r="B1001" s="6" t="s">
        <v>8</v>
      </c>
      <c r="C1001" s="6" t="s">
        <v>610</v>
      </c>
      <c r="D1001" s="6" t="s">
        <v>611</v>
      </c>
      <c r="E1001" s="6" t="s">
        <v>20</v>
      </c>
      <c r="F1001" s="7" t="s">
        <v>215</v>
      </c>
      <c r="G1001" s="7" t="s">
        <v>227</v>
      </c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4.25" customHeight="1">
      <c r="A1002" s="6" t="s">
        <v>33</v>
      </c>
      <c r="B1002" s="6" t="s">
        <v>8</v>
      </c>
      <c r="C1002" s="6" t="s">
        <v>484</v>
      </c>
      <c r="D1002" s="6" t="s">
        <v>485</v>
      </c>
      <c r="E1002" s="6" t="s">
        <v>39</v>
      </c>
      <c r="F1002" s="7" t="s">
        <v>215</v>
      </c>
      <c r="G1002" s="7" t="s">
        <v>215</v>
      </c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4.25" customHeight="1">
      <c r="A1003" s="6" t="s">
        <v>135</v>
      </c>
      <c r="B1003" s="6" t="s">
        <v>8</v>
      </c>
      <c r="C1003" s="6" t="s">
        <v>610</v>
      </c>
      <c r="D1003" s="6" t="s">
        <v>611</v>
      </c>
      <c r="E1003" s="6" t="s">
        <v>11</v>
      </c>
      <c r="F1003" s="7" t="s">
        <v>215</v>
      </c>
      <c r="G1003" s="7" t="s">
        <v>227</v>
      </c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4.25" customHeight="1">
      <c r="A1004" s="6" t="s">
        <v>72</v>
      </c>
      <c r="B1004" s="6" t="s">
        <v>8</v>
      </c>
      <c r="C1004" s="6" t="s">
        <v>614</v>
      </c>
      <c r="D1004" s="6" t="s">
        <v>615</v>
      </c>
      <c r="E1004" s="6" t="s">
        <v>27</v>
      </c>
      <c r="F1004" s="7" t="s">
        <v>215</v>
      </c>
      <c r="G1004" s="7" t="s">
        <v>215</v>
      </c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4.25" customHeight="1">
      <c r="A1005" s="6" t="s">
        <v>33</v>
      </c>
      <c r="B1005" s="6" t="s">
        <v>8</v>
      </c>
      <c r="C1005" s="6" t="s">
        <v>484</v>
      </c>
      <c r="D1005" s="6" t="s">
        <v>485</v>
      </c>
      <c r="E1005" s="6" t="s">
        <v>11</v>
      </c>
      <c r="F1005" s="7" t="s">
        <v>227</v>
      </c>
      <c r="G1005" s="7" t="s">
        <v>227</v>
      </c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4.25" customHeight="1">
      <c r="A1006" s="6" t="s">
        <v>33</v>
      </c>
      <c r="B1006" s="6" t="s">
        <v>8</v>
      </c>
      <c r="C1006" s="6" t="s">
        <v>484</v>
      </c>
      <c r="D1006" s="6" t="s">
        <v>485</v>
      </c>
      <c r="E1006" s="6" t="s">
        <v>20</v>
      </c>
      <c r="F1006" s="7" t="s">
        <v>215</v>
      </c>
      <c r="G1006" s="7" t="s">
        <v>215</v>
      </c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4.25" customHeight="1">
      <c r="A1007" s="6" t="s">
        <v>33</v>
      </c>
      <c r="B1007" s="6" t="s">
        <v>8</v>
      </c>
      <c r="C1007" s="6" t="s">
        <v>484</v>
      </c>
      <c r="D1007" s="6" t="s">
        <v>485</v>
      </c>
      <c r="E1007" s="6" t="s">
        <v>27</v>
      </c>
      <c r="F1007" s="7" t="s">
        <v>215</v>
      </c>
      <c r="G1007" s="7" t="s">
        <v>215</v>
      </c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ht="14.25" customHeight="1">
      <c r="A1008" s="6" t="s">
        <v>36</v>
      </c>
      <c r="B1008" s="6" t="s">
        <v>8</v>
      </c>
      <c r="C1008" s="6" t="s">
        <v>530</v>
      </c>
      <c r="D1008" s="6" t="s">
        <v>531</v>
      </c>
      <c r="E1008" s="6" t="s">
        <v>20</v>
      </c>
      <c r="F1008" s="7" t="s">
        <v>215</v>
      </c>
      <c r="G1008" s="7" t="s">
        <v>215</v>
      </c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ht="14.25" customHeight="1">
      <c r="A1009" s="6" t="s">
        <v>72</v>
      </c>
      <c r="B1009" s="6" t="s">
        <v>8</v>
      </c>
      <c r="C1009" s="6" t="s">
        <v>616</v>
      </c>
      <c r="D1009" s="6" t="s">
        <v>617</v>
      </c>
      <c r="E1009" s="6" t="s">
        <v>27</v>
      </c>
      <c r="F1009" s="7" t="s">
        <v>256</v>
      </c>
      <c r="G1009" s="7" t="s">
        <v>227</v>
      </c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ht="14.25" customHeight="1">
      <c r="A1010" s="6" t="s">
        <v>88</v>
      </c>
      <c r="B1010" s="6" t="s">
        <v>8</v>
      </c>
      <c r="C1010" s="6" t="s">
        <v>618</v>
      </c>
      <c r="D1010" s="6" t="s">
        <v>619</v>
      </c>
      <c r="E1010" s="6" t="s">
        <v>32</v>
      </c>
      <c r="F1010" s="7" t="s">
        <v>215</v>
      </c>
      <c r="G1010" s="7" t="s">
        <v>227</v>
      </c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ht="14.25" customHeight="1">
      <c r="A1011" s="6" t="s">
        <v>72</v>
      </c>
      <c r="B1011" s="6" t="s">
        <v>8</v>
      </c>
      <c r="C1011" s="6" t="s">
        <v>614</v>
      </c>
      <c r="D1011" s="6" t="s">
        <v>615</v>
      </c>
      <c r="E1011" s="6" t="s">
        <v>39</v>
      </c>
      <c r="F1011" s="7" t="s">
        <v>215</v>
      </c>
      <c r="G1011" s="7" t="s">
        <v>215</v>
      </c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ht="14.25" customHeight="1">
      <c r="A1012" s="6" t="s">
        <v>24</v>
      </c>
      <c r="B1012" s="6" t="s">
        <v>8</v>
      </c>
      <c r="C1012" s="6" t="s">
        <v>620</v>
      </c>
      <c r="D1012" s="6" t="s">
        <v>621</v>
      </c>
      <c r="E1012" s="6" t="s">
        <v>27</v>
      </c>
      <c r="F1012" s="7" t="s">
        <v>215</v>
      </c>
      <c r="G1012" s="7" t="s">
        <v>215</v>
      </c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ht="14.25" customHeight="1">
      <c r="A1013" s="6" t="s">
        <v>158</v>
      </c>
      <c r="B1013" s="6" t="s">
        <v>8</v>
      </c>
      <c r="C1013" s="6" t="s">
        <v>216</v>
      </c>
      <c r="D1013" s="6" t="s">
        <v>217</v>
      </c>
      <c r="E1013" s="6" t="s">
        <v>20</v>
      </c>
      <c r="F1013" s="7" t="s">
        <v>215</v>
      </c>
      <c r="G1013" s="7" t="s">
        <v>215</v>
      </c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ht="14.25" customHeight="1">
      <c r="A1014" s="6" t="s">
        <v>72</v>
      </c>
      <c r="B1014" s="6" t="s">
        <v>8</v>
      </c>
      <c r="C1014" s="6" t="s">
        <v>622</v>
      </c>
      <c r="D1014" s="6" t="s">
        <v>623</v>
      </c>
      <c r="E1014" s="6" t="s">
        <v>32</v>
      </c>
      <c r="F1014" s="7" t="s">
        <v>28</v>
      </c>
      <c r="G1014" s="7" t="s">
        <v>28</v>
      </c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ht="14.25" customHeight="1">
      <c r="A1015" s="6" t="s">
        <v>33</v>
      </c>
      <c r="B1015" s="6" t="s">
        <v>8</v>
      </c>
      <c r="C1015" s="6" t="s">
        <v>484</v>
      </c>
      <c r="D1015" s="6" t="s">
        <v>485</v>
      </c>
      <c r="E1015" s="6" t="s">
        <v>48</v>
      </c>
      <c r="F1015" s="7" t="s">
        <v>227</v>
      </c>
      <c r="G1015" s="7" t="s">
        <v>227</v>
      </c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ht="14.25" customHeight="1">
      <c r="A1016" s="6" t="s">
        <v>79</v>
      </c>
      <c r="B1016" s="6" t="s">
        <v>8</v>
      </c>
      <c r="C1016" s="6" t="s">
        <v>444</v>
      </c>
      <c r="D1016" s="6" t="s">
        <v>445</v>
      </c>
      <c r="E1016" s="6" t="s">
        <v>27</v>
      </c>
      <c r="F1016" s="7" t="s">
        <v>227</v>
      </c>
      <c r="G1016" s="7" t="s">
        <v>227</v>
      </c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ht="14.25" customHeight="1">
      <c r="A1017" s="6" t="s">
        <v>84</v>
      </c>
      <c r="B1017" s="6" t="s">
        <v>8</v>
      </c>
      <c r="C1017" s="6" t="s">
        <v>363</v>
      </c>
      <c r="D1017" s="6" t="s">
        <v>364</v>
      </c>
      <c r="E1017" s="6" t="s">
        <v>48</v>
      </c>
      <c r="F1017" s="7" t="s">
        <v>215</v>
      </c>
      <c r="G1017" s="7" t="s">
        <v>215</v>
      </c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ht="14.25" customHeight="1">
      <c r="A1018" s="6" t="s">
        <v>33</v>
      </c>
      <c r="B1018" s="6" t="s">
        <v>8</v>
      </c>
      <c r="C1018" s="6" t="s">
        <v>324</v>
      </c>
      <c r="D1018" s="6" t="s">
        <v>325</v>
      </c>
      <c r="E1018" s="6" t="s">
        <v>39</v>
      </c>
      <c r="F1018" s="7" t="s">
        <v>227</v>
      </c>
      <c r="G1018" s="7" t="s">
        <v>227</v>
      </c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ht="14.25" customHeight="1">
      <c r="A1019" s="6" t="s">
        <v>435</v>
      </c>
      <c r="B1019" s="6" t="s">
        <v>8</v>
      </c>
      <c r="C1019" s="6" t="s">
        <v>436</v>
      </c>
      <c r="D1019" s="6" t="s">
        <v>437</v>
      </c>
      <c r="E1019" s="6" t="s">
        <v>39</v>
      </c>
      <c r="F1019" s="7" t="s">
        <v>256</v>
      </c>
      <c r="G1019" s="7" t="s">
        <v>256</v>
      </c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ht="14.25" customHeight="1">
      <c r="A1020" s="6" t="s">
        <v>204</v>
      </c>
      <c r="B1020" s="6" t="s">
        <v>8</v>
      </c>
      <c r="C1020" s="6" t="s">
        <v>359</v>
      </c>
      <c r="D1020" s="6" t="s">
        <v>360</v>
      </c>
      <c r="E1020" s="6" t="s">
        <v>27</v>
      </c>
      <c r="F1020" s="7" t="s">
        <v>215</v>
      </c>
      <c r="G1020" s="7" t="s">
        <v>256</v>
      </c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ht="14.25" customHeight="1">
      <c r="A1021" s="6" t="s">
        <v>204</v>
      </c>
      <c r="B1021" s="6" t="s">
        <v>8</v>
      </c>
      <c r="C1021" s="6" t="s">
        <v>359</v>
      </c>
      <c r="D1021" s="6" t="s">
        <v>360</v>
      </c>
      <c r="E1021" s="6" t="s">
        <v>39</v>
      </c>
      <c r="F1021" s="7" t="s">
        <v>215</v>
      </c>
      <c r="G1021" s="7" t="s">
        <v>256</v>
      </c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ht="14.25" customHeight="1">
      <c r="A1022" s="6" t="s">
        <v>7</v>
      </c>
      <c r="B1022" s="6" t="s">
        <v>8</v>
      </c>
      <c r="C1022" s="6" t="s">
        <v>624</v>
      </c>
      <c r="D1022" s="6" t="s">
        <v>625</v>
      </c>
      <c r="E1022" s="6" t="s">
        <v>32</v>
      </c>
      <c r="F1022" s="7" t="s">
        <v>215</v>
      </c>
      <c r="G1022" s="7" t="s">
        <v>215</v>
      </c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ht="14.25" customHeight="1">
      <c r="A1023" s="6" t="s">
        <v>105</v>
      </c>
      <c r="B1023" s="6" t="s">
        <v>8</v>
      </c>
      <c r="C1023" s="6" t="s">
        <v>546</v>
      </c>
      <c r="D1023" s="6" t="s">
        <v>547</v>
      </c>
      <c r="E1023" s="6" t="s">
        <v>39</v>
      </c>
      <c r="F1023" s="7" t="s">
        <v>215</v>
      </c>
      <c r="G1023" s="7" t="s">
        <v>215</v>
      </c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ht="14.25" customHeight="1">
      <c r="A1024" s="6" t="s">
        <v>21</v>
      </c>
      <c r="B1024" s="6" t="s">
        <v>8</v>
      </c>
      <c r="C1024" s="6" t="s">
        <v>608</v>
      </c>
      <c r="D1024" s="6" t="s">
        <v>609</v>
      </c>
      <c r="E1024" s="6" t="s">
        <v>11</v>
      </c>
      <c r="F1024" s="7" t="s">
        <v>215</v>
      </c>
      <c r="G1024" s="7" t="s">
        <v>227</v>
      </c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ht="14.25" customHeight="1">
      <c r="A1025" s="6" t="s">
        <v>24</v>
      </c>
      <c r="B1025" s="6" t="s">
        <v>8</v>
      </c>
      <c r="C1025" s="6" t="s">
        <v>626</v>
      </c>
      <c r="D1025" s="6" t="s">
        <v>627</v>
      </c>
      <c r="E1025" s="6" t="s">
        <v>20</v>
      </c>
      <c r="F1025" s="7" t="s">
        <v>215</v>
      </c>
      <c r="G1025" s="7" t="s">
        <v>215</v>
      </c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ht="14.25" customHeight="1">
      <c r="A1026" s="6" t="s">
        <v>29</v>
      </c>
      <c r="B1026" s="6" t="s">
        <v>8</v>
      </c>
      <c r="C1026" s="6" t="s">
        <v>454</v>
      </c>
      <c r="D1026" s="6" t="s">
        <v>455</v>
      </c>
      <c r="E1026" s="6" t="s">
        <v>27</v>
      </c>
      <c r="F1026" s="7" t="s">
        <v>215</v>
      </c>
      <c r="G1026" s="7" t="s">
        <v>256</v>
      </c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ht="14.25" customHeight="1">
      <c r="A1027" s="6" t="s">
        <v>33</v>
      </c>
      <c r="B1027" s="6" t="s">
        <v>8</v>
      </c>
      <c r="C1027" s="6" t="s">
        <v>324</v>
      </c>
      <c r="D1027" s="6" t="s">
        <v>325</v>
      </c>
      <c r="E1027" s="6" t="s">
        <v>48</v>
      </c>
      <c r="F1027" s="7" t="s">
        <v>227</v>
      </c>
      <c r="G1027" s="7" t="s">
        <v>227</v>
      </c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ht="14.25" customHeight="1">
      <c r="A1028" s="6" t="s">
        <v>24</v>
      </c>
      <c r="B1028" s="6" t="s">
        <v>8</v>
      </c>
      <c r="C1028" s="6" t="s">
        <v>626</v>
      </c>
      <c r="D1028" s="6" t="s">
        <v>627</v>
      </c>
      <c r="E1028" s="6" t="s">
        <v>32</v>
      </c>
      <c r="F1028" s="7" t="s">
        <v>215</v>
      </c>
      <c r="G1028" s="7" t="s">
        <v>215</v>
      </c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ht="14.25" customHeight="1">
      <c r="A1029" s="6" t="s">
        <v>72</v>
      </c>
      <c r="B1029" s="6" t="s">
        <v>8</v>
      </c>
      <c r="C1029" s="6" t="s">
        <v>622</v>
      </c>
      <c r="D1029" s="6" t="s">
        <v>623</v>
      </c>
      <c r="E1029" s="6" t="s">
        <v>27</v>
      </c>
      <c r="F1029" s="7" t="s">
        <v>28</v>
      </c>
      <c r="G1029" s="7" t="s">
        <v>28</v>
      </c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ht="14.25" customHeight="1">
      <c r="A1030" s="6" t="s">
        <v>79</v>
      </c>
      <c r="B1030" s="6" t="s">
        <v>8</v>
      </c>
      <c r="C1030" s="6" t="s">
        <v>339</v>
      </c>
      <c r="D1030" s="6" t="s">
        <v>340</v>
      </c>
      <c r="E1030" s="6" t="s">
        <v>11</v>
      </c>
      <c r="F1030" s="7" t="s">
        <v>215</v>
      </c>
      <c r="G1030" s="7" t="s">
        <v>215</v>
      </c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ht="14.25" customHeight="1">
      <c r="A1031" s="6" t="s">
        <v>33</v>
      </c>
      <c r="B1031" s="6" t="s">
        <v>8</v>
      </c>
      <c r="C1031" s="6" t="s">
        <v>324</v>
      </c>
      <c r="D1031" s="6" t="s">
        <v>325</v>
      </c>
      <c r="E1031" s="6" t="s">
        <v>20</v>
      </c>
      <c r="F1031" s="7" t="s">
        <v>227</v>
      </c>
      <c r="G1031" s="7" t="s">
        <v>227</v>
      </c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ht="14.25" customHeight="1">
      <c r="A1032" s="6" t="s">
        <v>24</v>
      </c>
      <c r="B1032" s="6" t="s">
        <v>8</v>
      </c>
      <c r="C1032" s="6" t="s">
        <v>626</v>
      </c>
      <c r="D1032" s="6" t="s">
        <v>627</v>
      </c>
      <c r="E1032" s="6" t="s">
        <v>27</v>
      </c>
      <c r="F1032" s="7" t="s">
        <v>215</v>
      </c>
      <c r="G1032" s="7" t="s">
        <v>215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ht="14.25" customHeight="1">
      <c r="A1033" s="6" t="s">
        <v>88</v>
      </c>
      <c r="B1033" s="6" t="s">
        <v>8</v>
      </c>
      <c r="C1033" s="6" t="s">
        <v>618</v>
      </c>
      <c r="D1033" s="6" t="s">
        <v>619</v>
      </c>
      <c r="E1033" s="6" t="s">
        <v>20</v>
      </c>
      <c r="F1033" s="7" t="s">
        <v>215</v>
      </c>
      <c r="G1033" s="7" t="s">
        <v>227</v>
      </c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ht="14.25" customHeight="1">
      <c r="A1034" s="6" t="s">
        <v>7</v>
      </c>
      <c r="B1034" s="6" t="s">
        <v>8</v>
      </c>
      <c r="C1034" s="6" t="s">
        <v>572</v>
      </c>
      <c r="D1034" s="6" t="s">
        <v>573</v>
      </c>
      <c r="E1034" s="6" t="s">
        <v>32</v>
      </c>
      <c r="F1034" s="7" t="s">
        <v>215</v>
      </c>
      <c r="G1034" s="7" t="s">
        <v>227</v>
      </c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  <row r="1035" ht="14.25" customHeight="1">
      <c r="A1035" s="6" t="s">
        <v>7</v>
      </c>
      <c r="B1035" s="6" t="s">
        <v>8</v>
      </c>
      <c r="C1035" s="6" t="s">
        <v>624</v>
      </c>
      <c r="D1035" s="6" t="s">
        <v>625</v>
      </c>
      <c r="E1035" s="6" t="s">
        <v>27</v>
      </c>
      <c r="F1035" s="7" t="s">
        <v>215</v>
      </c>
      <c r="G1035" s="7" t="s">
        <v>215</v>
      </c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</row>
    <row r="1036" ht="14.25" customHeight="1">
      <c r="A1036" s="6" t="s">
        <v>55</v>
      </c>
      <c r="B1036" s="6" t="s">
        <v>8</v>
      </c>
      <c r="C1036" s="6" t="s">
        <v>628</v>
      </c>
      <c r="D1036" s="6" t="s">
        <v>629</v>
      </c>
      <c r="E1036" s="6" t="s">
        <v>27</v>
      </c>
      <c r="F1036" s="7" t="s">
        <v>215</v>
      </c>
      <c r="G1036" s="7" t="s">
        <v>227</v>
      </c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</row>
    <row r="1037" ht="14.25" customHeight="1">
      <c r="A1037" s="6" t="s">
        <v>49</v>
      </c>
      <c r="B1037" s="6" t="s">
        <v>8</v>
      </c>
      <c r="C1037" s="6" t="s">
        <v>504</v>
      </c>
      <c r="D1037" s="6" t="s">
        <v>505</v>
      </c>
      <c r="E1037" s="6" t="s">
        <v>27</v>
      </c>
      <c r="F1037" s="7" t="s">
        <v>215</v>
      </c>
      <c r="G1037" s="7" t="s">
        <v>215</v>
      </c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</row>
    <row r="1038" ht="14.25" customHeight="1">
      <c r="A1038" s="6" t="s">
        <v>72</v>
      </c>
      <c r="B1038" s="6" t="s">
        <v>8</v>
      </c>
      <c r="C1038" s="6" t="s">
        <v>614</v>
      </c>
      <c r="D1038" s="6" t="s">
        <v>615</v>
      </c>
      <c r="E1038" s="6" t="s">
        <v>54</v>
      </c>
      <c r="F1038" s="7" t="s">
        <v>215</v>
      </c>
      <c r="G1038" s="7" t="s">
        <v>215</v>
      </c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</row>
    <row r="1039" ht="14.25" customHeight="1">
      <c r="A1039" s="6" t="s">
        <v>14</v>
      </c>
      <c r="B1039" s="6" t="s">
        <v>8</v>
      </c>
      <c r="C1039" s="6" t="s">
        <v>502</v>
      </c>
      <c r="D1039" s="6" t="s">
        <v>503</v>
      </c>
      <c r="E1039" s="6" t="s">
        <v>11</v>
      </c>
      <c r="F1039" s="7" t="s">
        <v>264</v>
      </c>
      <c r="G1039" s="7" t="s">
        <v>12</v>
      </c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</row>
    <row r="1040" ht="14.25" customHeight="1">
      <c r="A1040" s="6" t="s">
        <v>72</v>
      </c>
      <c r="B1040" s="6" t="s">
        <v>8</v>
      </c>
      <c r="C1040" s="6" t="s">
        <v>630</v>
      </c>
      <c r="D1040" s="6" t="s">
        <v>631</v>
      </c>
      <c r="E1040" s="6" t="s">
        <v>27</v>
      </c>
      <c r="F1040" s="7" t="s">
        <v>227</v>
      </c>
      <c r="G1040" s="7" t="s">
        <v>227</v>
      </c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</row>
    <row r="1041" ht="14.25" customHeight="1">
      <c r="A1041" s="6" t="s">
        <v>14</v>
      </c>
      <c r="B1041" s="6" t="s">
        <v>8</v>
      </c>
      <c r="C1041" s="6" t="s">
        <v>502</v>
      </c>
      <c r="D1041" s="6" t="s">
        <v>503</v>
      </c>
      <c r="E1041" s="6" t="s">
        <v>39</v>
      </c>
      <c r="F1041" s="7" t="s">
        <v>264</v>
      </c>
      <c r="G1041" s="7" t="s">
        <v>12</v>
      </c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</row>
    <row r="1042" ht="14.25" customHeight="1">
      <c r="A1042" s="6" t="s">
        <v>102</v>
      </c>
      <c r="B1042" s="6" t="s">
        <v>8</v>
      </c>
      <c r="C1042" s="6" t="s">
        <v>326</v>
      </c>
      <c r="D1042" s="6" t="s">
        <v>327</v>
      </c>
      <c r="E1042" s="6" t="s">
        <v>27</v>
      </c>
      <c r="F1042" s="7" t="s">
        <v>215</v>
      </c>
      <c r="G1042" s="7" t="s">
        <v>215</v>
      </c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</row>
    <row r="1043" ht="14.25" customHeight="1">
      <c r="A1043" s="6" t="s">
        <v>24</v>
      </c>
      <c r="B1043" s="6" t="s">
        <v>8</v>
      </c>
      <c r="C1043" s="6" t="s">
        <v>626</v>
      </c>
      <c r="D1043" s="6" t="s">
        <v>627</v>
      </c>
      <c r="E1043" s="6" t="s">
        <v>48</v>
      </c>
      <c r="F1043" s="7" t="s">
        <v>215</v>
      </c>
      <c r="G1043" s="7" t="s">
        <v>215</v>
      </c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</row>
    <row r="1044" ht="14.25" customHeight="1">
      <c r="A1044" s="6" t="s">
        <v>122</v>
      </c>
      <c r="B1044" s="6" t="s">
        <v>8</v>
      </c>
      <c r="C1044" s="6" t="s">
        <v>510</v>
      </c>
      <c r="D1044" s="6" t="s">
        <v>511</v>
      </c>
      <c r="E1044" s="6" t="s">
        <v>20</v>
      </c>
      <c r="F1044" s="7" t="s">
        <v>215</v>
      </c>
      <c r="G1044" s="7" t="s">
        <v>256</v>
      </c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</row>
    <row r="1045" ht="14.25" customHeight="1">
      <c r="A1045" s="6" t="s">
        <v>24</v>
      </c>
      <c r="B1045" s="6" t="s">
        <v>8</v>
      </c>
      <c r="C1045" s="6" t="s">
        <v>626</v>
      </c>
      <c r="D1045" s="6" t="s">
        <v>627</v>
      </c>
      <c r="E1045" s="6" t="s">
        <v>39</v>
      </c>
      <c r="F1045" s="7" t="s">
        <v>215</v>
      </c>
      <c r="G1045" s="7" t="s">
        <v>215</v>
      </c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</row>
    <row r="1046" ht="14.25" customHeight="1">
      <c r="A1046" s="6" t="s">
        <v>72</v>
      </c>
      <c r="B1046" s="6" t="s">
        <v>8</v>
      </c>
      <c r="C1046" s="6" t="s">
        <v>622</v>
      </c>
      <c r="D1046" s="6" t="s">
        <v>623</v>
      </c>
      <c r="E1046" s="6" t="s">
        <v>48</v>
      </c>
      <c r="F1046" s="7" t="s">
        <v>28</v>
      </c>
      <c r="G1046" s="7" t="s">
        <v>28</v>
      </c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</row>
    <row r="1047" ht="14.25" customHeight="1">
      <c r="A1047" s="6" t="s">
        <v>204</v>
      </c>
      <c r="B1047" s="6" t="s">
        <v>8</v>
      </c>
      <c r="C1047" s="6" t="s">
        <v>632</v>
      </c>
      <c r="D1047" s="6" t="s">
        <v>633</v>
      </c>
      <c r="E1047" s="6" t="s">
        <v>32</v>
      </c>
      <c r="F1047" s="7" t="s">
        <v>215</v>
      </c>
      <c r="G1047" s="7" t="s">
        <v>256</v>
      </c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</row>
    <row r="1048" ht="14.25" customHeight="1">
      <c r="A1048" s="6" t="s">
        <v>79</v>
      </c>
      <c r="B1048" s="6" t="s">
        <v>8</v>
      </c>
      <c r="C1048" s="6" t="s">
        <v>444</v>
      </c>
      <c r="D1048" s="6" t="s">
        <v>445</v>
      </c>
      <c r="E1048" s="6" t="s">
        <v>39</v>
      </c>
      <c r="F1048" s="7" t="s">
        <v>227</v>
      </c>
      <c r="G1048" s="7" t="s">
        <v>227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</row>
    <row r="1049" ht="14.25" customHeight="1">
      <c r="A1049" s="6" t="s">
        <v>72</v>
      </c>
      <c r="B1049" s="6" t="s">
        <v>8</v>
      </c>
      <c r="C1049" s="6" t="s">
        <v>614</v>
      </c>
      <c r="D1049" s="6" t="s">
        <v>615</v>
      </c>
      <c r="E1049" s="6" t="s">
        <v>48</v>
      </c>
      <c r="F1049" s="7" t="s">
        <v>215</v>
      </c>
      <c r="G1049" s="7" t="s">
        <v>215</v>
      </c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</row>
    <row r="1050" ht="14.25" customHeight="1">
      <c r="A1050" s="6" t="s">
        <v>24</v>
      </c>
      <c r="B1050" s="6" t="s">
        <v>8</v>
      </c>
      <c r="C1050" s="6" t="s">
        <v>620</v>
      </c>
      <c r="D1050" s="6" t="s">
        <v>621</v>
      </c>
      <c r="E1050" s="6" t="s">
        <v>32</v>
      </c>
      <c r="F1050" s="7" t="s">
        <v>215</v>
      </c>
      <c r="G1050" s="7" t="s">
        <v>215</v>
      </c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</row>
    <row r="1051" ht="14.25" customHeight="1">
      <c r="A1051" s="6" t="s">
        <v>29</v>
      </c>
      <c r="B1051" s="6" t="s">
        <v>8</v>
      </c>
      <c r="C1051" s="6" t="s">
        <v>454</v>
      </c>
      <c r="D1051" s="6" t="s">
        <v>455</v>
      </c>
      <c r="E1051" s="6" t="s">
        <v>54</v>
      </c>
      <c r="F1051" s="7" t="s">
        <v>215</v>
      </c>
      <c r="G1051" s="7" t="s">
        <v>256</v>
      </c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</row>
    <row r="1052" ht="14.25" customHeight="1">
      <c r="A1052" s="6" t="s">
        <v>72</v>
      </c>
      <c r="B1052" s="6" t="s">
        <v>8</v>
      </c>
      <c r="C1052" s="6" t="s">
        <v>622</v>
      </c>
      <c r="D1052" s="6" t="s">
        <v>623</v>
      </c>
      <c r="E1052" s="6" t="s">
        <v>39</v>
      </c>
      <c r="F1052" s="7" t="s">
        <v>28</v>
      </c>
      <c r="G1052" s="7" t="s">
        <v>28</v>
      </c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</row>
    <row r="1053" ht="14.25" customHeight="1">
      <c r="A1053" s="6" t="s">
        <v>129</v>
      </c>
      <c r="B1053" s="6" t="s">
        <v>8</v>
      </c>
      <c r="C1053" s="6" t="s">
        <v>273</v>
      </c>
      <c r="D1053" s="6" t="s">
        <v>274</v>
      </c>
      <c r="E1053" s="6" t="s">
        <v>20</v>
      </c>
      <c r="F1053" s="7" t="s">
        <v>215</v>
      </c>
      <c r="G1053" s="7" t="s">
        <v>227</v>
      </c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</row>
    <row r="1054" ht="14.25" customHeight="1">
      <c r="A1054" s="6" t="s">
        <v>17</v>
      </c>
      <c r="B1054" s="6" t="s">
        <v>8</v>
      </c>
      <c r="C1054" s="6" t="s">
        <v>225</v>
      </c>
      <c r="D1054" s="6" t="s">
        <v>226</v>
      </c>
      <c r="E1054" s="6" t="s">
        <v>11</v>
      </c>
      <c r="F1054" s="7" t="s">
        <v>215</v>
      </c>
      <c r="G1054" s="7" t="s">
        <v>215</v>
      </c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</row>
    <row r="1055" ht="14.25" customHeight="1">
      <c r="A1055" s="6" t="s">
        <v>49</v>
      </c>
      <c r="B1055" s="6" t="s">
        <v>8</v>
      </c>
      <c r="C1055" s="6" t="s">
        <v>254</v>
      </c>
      <c r="D1055" s="6" t="s">
        <v>255</v>
      </c>
      <c r="E1055" s="6" t="s">
        <v>48</v>
      </c>
      <c r="F1055" s="7" t="s">
        <v>256</v>
      </c>
      <c r="G1055" s="7" t="s">
        <v>256</v>
      </c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</row>
    <row r="1056" ht="14.25" customHeight="1">
      <c r="A1056" s="6" t="s">
        <v>21</v>
      </c>
      <c r="B1056" s="6" t="s">
        <v>8</v>
      </c>
      <c r="C1056" s="6" t="s">
        <v>608</v>
      </c>
      <c r="D1056" s="6" t="s">
        <v>609</v>
      </c>
      <c r="E1056" s="6" t="s">
        <v>32</v>
      </c>
      <c r="F1056" s="7" t="s">
        <v>256</v>
      </c>
      <c r="G1056" s="7" t="s">
        <v>227</v>
      </c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</row>
    <row r="1057" ht="14.25" customHeight="1">
      <c r="A1057" s="6" t="s">
        <v>24</v>
      </c>
      <c r="B1057" s="6" t="s">
        <v>8</v>
      </c>
      <c r="C1057" s="6" t="s">
        <v>568</v>
      </c>
      <c r="D1057" s="6" t="s">
        <v>569</v>
      </c>
      <c r="E1057" s="6" t="s">
        <v>27</v>
      </c>
      <c r="F1057" s="7" t="s">
        <v>256</v>
      </c>
      <c r="G1057" s="7" t="s">
        <v>227</v>
      </c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</row>
    <row r="1058" ht="14.25" customHeight="1">
      <c r="A1058" s="6" t="s">
        <v>102</v>
      </c>
      <c r="B1058" s="6" t="s">
        <v>8</v>
      </c>
      <c r="C1058" s="6" t="s">
        <v>326</v>
      </c>
      <c r="D1058" s="6" t="s">
        <v>327</v>
      </c>
      <c r="E1058" s="6" t="s">
        <v>39</v>
      </c>
      <c r="F1058" s="7" t="s">
        <v>215</v>
      </c>
      <c r="G1058" s="7" t="s">
        <v>215</v>
      </c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</row>
    <row r="1059" ht="14.25" customHeight="1">
      <c r="A1059" s="6" t="s">
        <v>204</v>
      </c>
      <c r="B1059" s="6" t="s">
        <v>8</v>
      </c>
      <c r="C1059" s="6" t="s">
        <v>632</v>
      </c>
      <c r="D1059" s="6" t="s">
        <v>633</v>
      </c>
      <c r="E1059" s="6" t="s">
        <v>27</v>
      </c>
      <c r="F1059" s="7" t="s">
        <v>256</v>
      </c>
      <c r="G1059" s="7" t="s">
        <v>256</v>
      </c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</row>
    <row r="1060" ht="14.25" customHeight="1">
      <c r="A1060" s="6" t="s">
        <v>49</v>
      </c>
      <c r="B1060" s="6" t="s">
        <v>8</v>
      </c>
      <c r="C1060" s="6" t="s">
        <v>504</v>
      </c>
      <c r="D1060" s="6" t="s">
        <v>505</v>
      </c>
      <c r="E1060" s="6" t="s">
        <v>48</v>
      </c>
      <c r="F1060" s="7" t="s">
        <v>215</v>
      </c>
      <c r="G1060" s="7" t="s">
        <v>215</v>
      </c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</row>
    <row r="1061" ht="14.25" customHeight="1">
      <c r="A1061" s="6" t="s">
        <v>24</v>
      </c>
      <c r="B1061" s="6" t="s">
        <v>8</v>
      </c>
      <c r="C1061" s="6" t="s">
        <v>620</v>
      </c>
      <c r="D1061" s="6" t="s">
        <v>621</v>
      </c>
      <c r="E1061" s="6" t="s">
        <v>39</v>
      </c>
      <c r="F1061" s="7" t="s">
        <v>215</v>
      </c>
      <c r="G1061" s="7" t="s">
        <v>215</v>
      </c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</row>
    <row r="1062" ht="14.25" customHeight="1">
      <c r="A1062" s="6" t="s">
        <v>7</v>
      </c>
      <c r="B1062" s="6" t="s">
        <v>8</v>
      </c>
      <c r="C1062" s="6" t="s">
        <v>572</v>
      </c>
      <c r="D1062" s="6" t="s">
        <v>573</v>
      </c>
      <c r="E1062" s="6" t="s">
        <v>27</v>
      </c>
      <c r="F1062" s="7" t="s">
        <v>215</v>
      </c>
      <c r="G1062" s="7" t="s">
        <v>227</v>
      </c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</row>
    <row r="1063" ht="14.25" customHeight="1">
      <c r="A1063" s="6" t="s">
        <v>204</v>
      </c>
      <c r="B1063" s="6" t="s">
        <v>8</v>
      </c>
      <c r="C1063" s="6" t="s">
        <v>359</v>
      </c>
      <c r="D1063" s="6" t="s">
        <v>360</v>
      </c>
      <c r="E1063" s="6" t="s">
        <v>48</v>
      </c>
      <c r="F1063" s="7" t="s">
        <v>215</v>
      </c>
      <c r="G1063" s="7" t="s">
        <v>256</v>
      </c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</row>
    <row r="1064" ht="14.25" customHeight="1">
      <c r="A1064" s="6" t="s">
        <v>7</v>
      </c>
      <c r="B1064" s="6" t="s">
        <v>8</v>
      </c>
      <c r="C1064" s="6" t="s">
        <v>624</v>
      </c>
      <c r="D1064" s="6" t="s">
        <v>625</v>
      </c>
      <c r="E1064" s="6" t="s">
        <v>54</v>
      </c>
      <c r="F1064" s="7" t="s">
        <v>215</v>
      </c>
      <c r="G1064" s="7" t="s">
        <v>215</v>
      </c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</row>
    <row r="1065" ht="14.25" customHeight="1">
      <c r="A1065" s="6" t="s">
        <v>105</v>
      </c>
      <c r="B1065" s="6" t="s">
        <v>8</v>
      </c>
      <c r="C1065" s="6" t="s">
        <v>277</v>
      </c>
      <c r="D1065" s="6" t="s">
        <v>278</v>
      </c>
      <c r="E1065" s="6" t="s">
        <v>39</v>
      </c>
      <c r="F1065" s="7" t="s">
        <v>256</v>
      </c>
      <c r="G1065" s="7" t="s">
        <v>227</v>
      </c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</row>
    <row r="1066" ht="14.25" customHeight="1">
      <c r="A1066" s="6" t="s">
        <v>7</v>
      </c>
      <c r="B1066" s="6" t="s">
        <v>8</v>
      </c>
      <c r="C1066" s="6" t="s">
        <v>624</v>
      </c>
      <c r="D1066" s="6" t="s">
        <v>625</v>
      </c>
      <c r="E1066" s="6" t="s">
        <v>39</v>
      </c>
      <c r="F1066" s="7" t="s">
        <v>215</v>
      </c>
      <c r="G1066" s="7" t="s">
        <v>215</v>
      </c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</row>
    <row r="1067" ht="14.25" customHeight="1">
      <c r="A1067" s="6" t="s">
        <v>72</v>
      </c>
      <c r="B1067" s="6" t="s">
        <v>8</v>
      </c>
      <c r="C1067" s="6" t="s">
        <v>604</v>
      </c>
      <c r="D1067" s="6" t="s">
        <v>605</v>
      </c>
      <c r="E1067" s="6" t="s">
        <v>39</v>
      </c>
      <c r="F1067" s="7" t="s">
        <v>215</v>
      </c>
      <c r="G1067" s="7" t="s">
        <v>215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</row>
    <row r="1068" ht="14.25" customHeight="1">
      <c r="A1068" s="6" t="s">
        <v>93</v>
      </c>
      <c r="B1068" s="6" t="s">
        <v>8</v>
      </c>
      <c r="C1068" s="6" t="s">
        <v>310</v>
      </c>
      <c r="D1068" s="6" t="s">
        <v>311</v>
      </c>
      <c r="E1068" s="6" t="s">
        <v>27</v>
      </c>
      <c r="F1068" s="7" t="s">
        <v>256</v>
      </c>
      <c r="G1068" s="7" t="s">
        <v>256</v>
      </c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</row>
    <row r="1069" ht="14.25" customHeight="1">
      <c r="A1069" s="6" t="s">
        <v>93</v>
      </c>
      <c r="B1069" s="6" t="s">
        <v>8</v>
      </c>
      <c r="C1069" s="6" t="s">
        <v>310</v>
      </c>
      <c r="D1069" s="6" t="s">
        <v>311</v>
      </c>
      <c r="E1069" s="6" t="s">
        <v>39</v>
      </c>
      <c r="F1069" s="7" t="s">
        <v>215</v>
      </c>
      <c r="G1069" s="7" t="s">
        <v>256</v>
      </c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</row>
    <row r="1070" ht="14.25" customHeight="1">
      <c r="A1070" s="6" t="s">
        <v>7</v>
      </c>
      <c r="B1070" s="6" t="s">
        <v>8</v>
      </c>
      <c r="C1070" s="6" t="s">
        <v>624</v>
      </c>
      <c r="D1070" s="6" t="s">
        <v>625</v>
      </c>
      <c r="E1070" s="6" t="s">
        <v>48</v>
      </c>
      <c r="F1070" s="7" t="s">
        <v>215</v>
      </c>
      <c r="G1070" s="7" t="s">
        <v>215</v>
      </c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</row>
    <row r="1071" ht="14.25" customHeight="1">
      <c r="A1071" s="6" t="s">
        <v>21</v>
      </c>
      <c r="B1071" s="6" t="s">
        <v>8</v>
      </c>
      <c r="C1071" s="6" t="s">
        <v>634</v>
      </c>
      <c r="D1071" s="6" t="s">
        <v>635</v>
      </c>
      <c r="E1071" s="6" t="s">
        <v>32</v>
      </c>
      <c r="F1071" s="7" t="s">
        <v>215</v>
      </c>
      <c r="G1071" s="7" t="s">
        <v>215</v>
      </c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</row>
    <row r="1072" ht="14.25" customHeight="1">
      <c r="A1072" s="6" t="s">
        <v>7</v>
      </c>
      <c r="B1072" s="6" t="s">
        <v>8</v>
      </c>
      <c r="C1072" s="6" t="s">
        <v>624</v>
      </c>
      <c r="D1072" s="6" t="s">
        <v>625</v>
      </c>
      <c r="E1072" s="6" t="s">
        <v>11</v>
      </c>
      <c r="F1072" s="7" t="s">
        <v>215</v>
      </c>
      <c r="G1072" s="7" t="s">
        <v>215</v>
      </c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</row>
    <row r="1073" ht="14.25" customHeight="1">
      <c r="A1073" s="6" t="s">
        <v>17</v>
      </c>
      <c r="B1073" s="6" t="s">
        <v>8</v>
      </c>
      <c r="C1073" s="6" t="s">
        <v>225</v>
      </c>
      <c r="D1073" s="6" t="s">
        <v>226</v>
      </c>
      <c r="E1073" s="6" t="s">
        <v>27</v>
      </c>
      <c r="F1073" s="7" t="s">
        <v>227</v>
      </c>
      <c r="G1073" s="7" t="s">
        <v>227</v>
      </c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</row>
    <row r="1074" ht="14.25" customHeight="1">
      <c r="A1074" s="6" t="s">
        <v>21</v>
      </c>
      <c r="B1074" s="6" t="s">
        <v>8</v>
      </c>
      <c r="C1074" s="6" t="s">
        <v>634</v>
      </c>
      <c r="D1074" s="6" t="s">
        <v>635</v>
      </c>
      <c r="E1074" s="6" t="s">
        <v>20</v>
      </c>
      <c r="F1074" s="7" t="s">
        <v>215</v>
      </c>
      <c r="G1074" s="7" t="s">
        <v>215</v>
      </c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</row>
    <row r="1075" ht="14.25" customHeight="1">
      <c r="A1075" s="6" t="s">
        <v>7</v>
      </c>
      <c r="B1075" s="6" t="s">
        <v>8</v>
      </c>
      <c r="C1075" s="6" t="s">
        <v>624</v>
      </c>
      <c r="D1075" s="6" t="s">
        <v>625</v>
      </c>
      <c r="E1075" s="6" t="s">
        <v>20</v>
      </c>
      <c r="F1075" s="7" t="s">
        <v>215</v>
      </c>
      <c r="G1075" s="7" t="s">
        <v>215</v>
      </c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</row>
    <row r="1076" ht="14.25" customHeight="1">
      <c r="A1076" s="6" t="s">
        <v>49</v>
      </c>
      <c r="B1076" s="6" t="s">
        <v>8</v>
      </c>
      <c r="C1076" s="6" t="s">
        <v>504</v>
      </c>
      <c r="D1076" s="6" t="s">
        <v>505</v>
      </c>
      <c r="E1076" s="6" t="s">
        <v>32</v>
      </c>
      <c r="F1076" s="7" t="s">
        <v>256</v>
      </c>
      <c r="G1076" s="7" t="s">
        <v>256</v>
      </c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</row>
    <row r="1077" ht="14.25" customHeight="1">
      <c r="A1077" s="6" t="s">
        <v>49</v>
      </c>
      <c r="B1077" s="6" t="s">
        <v>8</v>
      </c>
      <c r="C1077" s="6" t="s">
        <v>504</v>
      </c>
      <c r="D1077" s="6" t="s">
        <v>505</v>
      </c>
      <c r="E1077" s="6" t="s">
        <v>39</v>
      </c>
      <c r="F1077" s="7" t="s">
        <v>215</v>
      </c>
      <c r="G1077" s="7" t="s">
        <v>215</v>
      </c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</row>
    <row r="1078" ht="14.25" customHeight="1">
      <c r="A1078" s="6" t="s">
        <v>7</v>
      </c>
      <c r="B1078" s="6" t="s">
        <v>8</v>
      </c>
      <c r="C1078" s="6" t="s">
        <v>572</v>
      </c>
      <c r="D1078" s="6" t="s">
        <v>573</v>
      </c>
      <c r="E1078" s="6" t="s">
        <v>48</v>
      </c>
      <c r="F1078" s="7" t="s">
        <v>215</v>
      </c>
      <c r="G1078" s="7" t="s">
        <v>227</v>
      </c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</row>
    <row r="1079" ht="14.25" customHeight="1">
      <c r="A1079" s="6" t="s">
        <v>117</v>
      </c>
      <c r="B1079" s="6" t="s">
        <v>8</v>
      </c>
      <c r="C1079" s="6" t="s">
        <v>348</v>
      </c>
      <c r="D1079" s="6" t="s">
        <v>349</v>
      </c>
      <c r="E1079" s="6" t="s">
        <v>27</v>
      </c>
      <c r="F1079" s="7" t="s">
        <v>227</v>
      </c>
      <c r="G1079" s="7" t="s">
        <v>227</v>
      </c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</row>
    <row r="1080" ht="14.25" customHeight="1">
      <c r="A1080" s="6" t="s">
        <v>72</v>
      </c>
      <c r="B1080" s="6" t="s">
        <v>8</v>
      </c>
      <c r="C1080" s="6" t="s">
        <v>614</v>
      </c>
      <c r="D1080" s="6" t="s">
        <v>615</v>
      </c>
      <c r="E1080" s="6" t="s">
        <v>11</v>
      </c>
      <c r="F1080" s="7" t="s">
        <v>215</v>
      </c>
      <c r="G1080" s="7" t="s">
        <v>215</v>
      </c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</row>
    <row r="1081" ht="14.25" customHeight="1">
      <c r="A1081" s="6" t="s">
        <v>72</v>
      </c>
      <c r="B1081" s="6" t="s">
        <v>8</v>
      </c>
      <c r="C1081" s="6" t="s">
        <v>604</v>
      </c>
      <c r="D1081" s="6" t="s">
        <v>605</v>
      </c>
      <c r="E1081" s="6" t="s">
        <v>48</v>
      </c>
      <c r="F1081" s="7" t="s">
        <v>215</v>
      </c>
      <c r="G1081" s="7" t="s">
        <v>215</v>
      </c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</row>
    <row r="1082" ht="14.25" customHeight="1">
      <c r="A1082" s="6" t="s">
        <v>72</v>
      </c>
      <c r="B1082" s="6" t="s">
        <v>8</v>
      </c>
      <c r="C1082" s="6" t="s">
        <v>614</v>
      </c>
      <c r="D1082" s="6" t="s">
        <v>615</v>
      </c>
      <c r="E1082" s="6" t="s">
        <v>20</v>
      </c>
      <c r="F1082" s="7" t="s">
        <v>215</v>
      </c>
      <c r="G1082" s="7" t="s">
        <v>215</v>
      </c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</row>
    <row r="1083" ht="14.25" customHeight="1">
      <c r="A1083" s="6" t="s">
        <v>435</v>
      </c>
      <c r="B1083" s="6" t="s">
        <v>8</v>
      </c>
      <c r="C1083" s="6" t="s">
        <v>580</v>
      </c>
      <c r="D1083" s="6" t="s">
        <v>581</v>
      </c>
      <c r="E1083" s="6" t="s">
        <v>48</v>
      </c>
      <c r="F1083" s="7" t="s">
        <v>215</v>
      </c>
      <c r="G1083" s="7" t="s">
        <v>215</v>
      </c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</row>
    <row r="1084" ht="14.25" customHeight="1">
      <c r="A1084" s="6" t="s">
        <v>72</v>
      </c>
      <c r="B1084" s="6" t="s">
        <v>8</v>
      </c>
      <c r="C1084" s="6" t="s">
        <v>614</v>
      </c>
      <c r="D1084" s="6" t="s">
        <v>615</v>
      </c>
      <c r="E1084" s="6" t="s">
        <v>32</v>
      </c>
      <c r="F1084" s="7" t="s">
        <v>215</v>
      </c>
      <c r="G1084" s="7" t="s">
        <v>215</v>
      </c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</row>
    <row r="1085" ht="14.25" customHeight="1">
      <c r="A1085" s="6" t="s">
        <v>24</v>
      </c>
      <c r="B1085" s="6" t="s">
        <v>8</v>
      </c>
      <c r="C1085" s="6" t="s">
        <v>620</v>
      </c>
      <c r="D1085" s="6" t="s">
        <v>621</v>
      </c>
      <c r="E1085" s="6" t="s">
        <v>54</v>
      </c>
      <c r="F1085" s="7" t="s">
        <v>215</v>
      </c>
      <c r="G1085" s="7" t="s">
        <v>215</v>
      </c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</row>
    <row r="1086" ht="14.25" customHeight="1">
      <c r="A1086" s="6" t="s">
        <v>117</v>
      </c>
      <c r="B1086" s="6" t="s">
        <v>8</v>
      </c>
      <c r="C1086" s="6" t="s">
        <v>348</v>
      </c>
      <c r="D1086" s="6" t="s">
        <v>349</v>
      </c>
      <c r="E1086" s="6" t="s">
        <v>48</v>
      </c>
      <c r="F1086" s="7" t="s">
        <v>227</v>
      </c>
      <c r="G1086" s="7" t="s">
        <v>227</v>
      </c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</row>
    <row r="1087" ht="14.25" customHeight="1">
      <c r="A1087" s="6" t="s">
        <v>29</v>
      </c>
      <c r="B1087" s="6" t="s">
        <v>8</v>
      </c>
      <c r="C1087" s="6" t="s">
        <v>454</v>
      </c>
      <c r="D1087" s="6" t="s">
        <v>455</v>
      </c>
      <c r="E1087" s="6" t="s">
        <v>39</v>
      </c>
      <c r="F1087" s="7" t="s">
        <v>215</v>
      </c>
      <c r="G1087" s="7" t="s">
        <v>256</v>
      </c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</row>
    <row r="1088" ht="14.25" customHeight="1">
      <c r="A1088" s="6" t="s">
        <v>72</v>
      </c>
      <c r="B1088" s="6" t="s">
        <v>8</v>
      </c>
      <c r="C1088" s="6" t="s">
        <v>636</v>
      </c>
      <c r="D1088" s="6" t="s">
        <v>637</v>
      </c>
      <c r="E1088" s="6" t="s">
        <v>32</v>
      </c>
      <c r="F1088" s="7" t="s">
        <v>215</v>
      </c>
      <c r="G1088" s="7" t="s">
        <v>256</v>
      </c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</row>
    <row r="1089" ht="14.25" customHeight="1">
      <c r="A1089" s="6" t="s">
        <v>204</v>
      </c>
      <c r="B1089" s="6" t="s">
        <v>8</v>
      </c>
      <c r="C1089" s="6" t="s">
        <v>359</v>
      </c>
      <c r="D1089" s="6" t="s">
        <v>360</v>
      </c>
      <c r="E1089" s="6" t="s">
        <v>54</v>
      </c>
      <c r="F1089" s="7" t="s">
        <v>215</v>
      </c>
      <c r="G1089" s="7" t="s">
        <v>256</v>
      </c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</row>
    <row r="1090" ht="14.25" customHeight="1">
      <c r="A1090" s="6" t="s">
        <v>158</v>
      </c>
      <c r="B1090" s="6" t="s">
        <v>8</v>
      </c>
      <c r="C1090" s="6" t="s">
        <v>458</v>
      </c>
      <c r="D1090" s="6" t="s">
        <v>459</v>
      </c>
      <c r="E1090" s="6" t="s">
        <v>54</v>
      </c>
      <c r="F1090" s="7" t="s">
        <v>215</v>
      </c>
      <c r="G1090" s="7" t="s">
        <v>215</v>
      </c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</row>
    <row r="1091" ht="14.25" customHeight="1">
      <c r="A1091" s="6" t="s">
        <v>72</v>
      </c>
      <c r="B1091" s="6" t="s">
        <v>8</v>
      </c>
      <c r="C1091" s="6" t="s">
        <v>612</v>
      </c>
      <c r="D1091" s="6" t="s">
        <v>613</v>
      </c>
      <c r="E1091" s="6" t="s">
        <v>48</v>
      </c>
      <c r="F1091" s="7" t="s">
        <v>227</v>
      </c>
      <c r="G1091" s="7" t="s">
        <v>264</v>
      </c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</row>
    <row r="1092" ht="14.25" customHeight="1">
      <c r="A1092" s="6" t="s">
        <v>24</v>
      </c>
      <c r="B1092" s="6" t="s">
        <v>8</v>
      </c>
      <c r="C1092" s="6" t="s">
        <v>620</v>
      </c>
      <c r="D1092" s="6" t="s">
        <v>621</v>
      </c>
      <c r="E1092" s="6" t="s">
        <v>48</v>
      </c>
      <c r="F1092" s="7" t="s">
        <v>215</v>
      </c>
      <c r="G1092" s="7" t="s">
        <v>215</v>
      </c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</row>
    <row r="1093" ht="14.25" customHeight="1">
      <c r="A1093" s="6" t="s">
        <v>29</v>
      </c>
      <c r="B1093" s="6" t="s">
        <v>8</v>
      </c>
      <c r="C1093" s="6" t="s">
        <v>454</v>
      </c>
      <c r="D1093" s="6" t="s">
        <v>455</v>
      </c>
      <c r="E1093" s="6" t="s">
        <v>48</v>
      </c>
      <c r="F1093" s="7" t="s">
        <v>215</v>
      </c>
      <c r="G1093" s="7" t="s">
        <v>256</v>
      </c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</row>
    <row r="1094" ht="14.25" customHeight="1">
      <c r="A1094" s="6" t="s">
        <v>24</v>
      </c>
      <c r="B1094" s="6" t="s">
        <v>8</v>
      </c>
      <c r="C1094" s="6" t="s">
        <v>638</v>
      </c>
      <c r="D1094" s="6" t="s">
        <v>639</v>
      </c>
      <c r="E1094" s="6" t="s">
        <v>32</v>
      </c>
      <c r="F1094" s="7" t="s">
        <v>215</v>
      </c>
      <c r="G1094" s="7" t="s">
        <v>215</v>
      </c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</row>
    <row r="1095" ht="14.25" customHeight="1">
      <c r="A1095" s="6" t="s">
        <v>55</v>
      </c>
      <c r="B1095" s="6" t="s">
        <v>8</v>
      </c>
      <c r="C1095" s="6" t="s">
        <v>628</v>
      </c>
      <c r="D1095" s="6" t="s">
        <v>629</v>
      </c>
      <c r="E1095" s="6" t="s">
        <v>39</v>
      </c>
      <c r="F1095" s="7" t="s">
        <v>215</v>
      </c>
      <c r="G1095" s="7" t="s">
        <v>227</v>
      </c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</row>
    <row r="1096" ht="14.25" customHeight="1">
      <c r="A1096" s="6" t="s">
        <v>55</v>
      </c>
      <c r="B1096" s="6" t="s">
        <v>8</v>
      </c>
      <c r="C1096" s="6" t="s">
        <v>628</v>
      </c>
      <c r="D1096" s="6" t="s">
        <v>629</v>
      </c>
      <c r="E1096" s="6" t="s">
        <v>48</v>
      </c>
      <c r="F1096" s="7" t="s">
        <v>215</v>
      </c>
      <c r="G1096" s="7" t="s">
        <v>227</v>
      </c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</row>
    <row r="1097" ht="14.25" customHeight="1">
      <c r="A1097" s="6" t="s">
        <v>102</v>
      </c>
      <c r="B1097" s="6" t="s">
        <v>8</v>
      </c>
      <c r="C1097" s="6" t="s">
        <v>326</v>
      </c>
      <c r="D1097" s="6" t="s">
        <v>327</v>
      </c>
      <c r="E1097" s="6" t="s">
        <v>20</v>
      </c>
      <c r="F1097" s="7" t="s">
        <v>215</v>
      </c>
      <c r="G1097" s="7" t="s">
        <v>256</v>
      </c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</row>
    <row r="1098" ht="14.25" customHeight="1">
      <c r="A1098" s="6" t="s">
        <v>102</v>
      </c>
      <c r="B1098" s="6" t="s">
        <v>8</v>
      </c>
      <c r="C1098" s="6" t="s">
        <v>326</v>
      </c>
      <c r="D1098" s="6" t="s">
        <v>327</v>
      </c>
      <c r="E1098" s="6" t="s">
        <v>87</v>
      </c>
      <c r="F1098" s="7" t="s">
        <v>215</v>
      </c>
      <c r="G1098" s="7" t="s">
        <v>256</v>
      </c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</row>
    <row r="1099" ht="14.25" customHeight="1">
      <c r="A1099" s="6" t="s">
        <v>14</v>
      </c>
      <c r="B1099" s="6" t="s">
        <v>8</v>
      </c>
      <c r="C1099" s="6" t="s">
        <v>502</v>
      </c>
      <c r="D1099" s="6" t="s">
        <v>503</v>
      </c>
      <c r="E1099" s="6" t="s">
        <v>20</v>
      </c>
      <c r="F1099" s="7" t="s">
        <v>264</v>
      </c>
      <c r="G1099" s="7" t="s">
        <v>12</v>
      </c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</row>
    <row r="1100" ht="14.25" customHeight="1">
      <c r="A1100" s="6" t="s">
        <v>7</v>
      </c>
      <c r="B1100" s="6" t="s">
        <v>8</v>
      </c>
      <c r="C1100" s="6" t="s">
        <v>572</v>
      </c>
      <c r="D1100" s="6" t="s">
        <v>573</v>
      </c>
      <c r="E1100" s="6" t="s">
        <v>39</v>
      </c>
      <c r="F1100" s="7" t="s">
        <v>215</v>
      </c>
      <c r="G1100" s="7" t="s">
        <v>227</v>
      </c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</row>
    <row r="1101" ht="14.25" customHeight="1">
      <c r="A1101" s="6" t="s">
        <v>122</v>
      </c>
      <c r="B1101" s="6" t="s">
        <v>8</v>
      </c>
      <c r="C1101" s="6" t="s">
        <v>540</v>
      </c>
      <c r="D1101" s="6" t="s">
        <v>541</v>
      </c>
      <c r="E1101" s="6" t="s">
        <v>11</v>
      </c>
      <c r="F1101" s="7" t="s">
        <v>215</v>
      </c>
      <c r="G1101" s="7" t="s">
        <v>256</v>
      </c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</row>
    <row r="1102" ht="14.25" customHeight="1">
      <c r="A1102" s="6" t="s">
        <v>135</v>
      </c>
      <c r="B1102" s="6" t="s">
        <v>8</v>
      </c>
      <c r="C1102" s="6" t="s">
        <v>610</v>
      </c>
      <c r="D1102" s="6" t="s">
        <v>611</v>
      </c>
      <c r="E1102" s="6" t="s">
        <v>39</v>
      </c>
      <c r="F1102" s="7" t="s">
        <v>215</v>
      </c>
      <c r="G1102" s="7" t="s">
        <v>227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</row>
    <row r="1103" ht="14.25" customHeight="1">
      <c r="A1103" s="6" t="s">
        <v>135</v>
      </c>
      <c r="B1103" s="6" t="s">
        <v>8</v>
      </c>
      <c r="C1103" s="6" t="s">
        <v>610</v>
      </c>
      <c r="D1103" s="6" t="s">
        <v>611</v>
      </c>
      <c r="E1103" s="6" t="s">
        <v>54</v>
      </c>
      <c r="F1103" s="7" t="s">
        <v>215</v>
      </c>
      <c r="G1103" s="7" t="s">
        <v>227</v>
      </c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</row>
    <row r="1104" ht="14.25" customHeight="1">
      <c r="A1104" s="6" t="s">
        <v>55</v>
      </c>
      <c r="B1104" s="6" t="s">
        <v>8</v>
      </c>
      <c r="C1104" s="6" t="s">
        <v>628</v>
      </c>
      <c r="D1104" s="6" t="s">
        <v>629</v>
      </c>
      <c r="E1104" s="6" t="s">
        <v>20</v>
      </c>
      <c r="F1104" s="7" t="s">
        <v>215</v>
      </c>
      <c r="G1104" s="7" t="s">
        <v>227</v>
      </c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</row>
    <row r="1105" ht="14.25" customHeight="1">
      <c r="A1105" s="6" t="s">
        <v>45</v>
      </c>
      <c r="B1105" s="6" t="s">
        <v>8</v>
      </c>
      <c r="C1105" s="6" t="s">
        <v>602</v>
      </c>
      <c r="D1105" s="6" t="s">
        <v>603</v>
      </c>
      <c r="E1105" s="6" t="s">
        <v>32</v>
      </c>
      <c r="F1105" s="7" t="s">
        <v>264</v>
      </c>
      <c r="G1105" s="7" t="s">
        <v>264</v>
      </c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</row>
    <row r="1106" ht="14.25" customHeight="1">
      <c r="A1106" s="6" t="s">
        <v>72</v>
      </c>
      <c r="B1106" s="6" t="s">
        <v>8</v>
      </c>
      <c r="C1106" s="6" t="s">
        <v>636</v>
      </c>
      <c r="D1106" s="6" t="s">
        <v>637</v>
      </c>
      <c r="E1106" s="6" t="s">
        <v>20</v>
      </c>
      <c r="F1106" s="7" t="s">
        <v>227</v>
      </c>
      <c r="G1106" s="7" t="s">
        <v>264</v>
      </c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</row>
    <row r="1107" ht="14.25" customHeight="1">
      <c r="A1107" s="6" t="s">
        <v>117</v>
      </c>
      <c r="B1107" s="6" t="s">
        <v>8</v>
      </c>
      <c r="C1107" s="6" t="s">
        <v>348</v>
      </c>
      <c r="D1107" s="6" t="s">
        <v>349</v>
      </c>
      <c r="E1107" s="6" t="s">
        <v>20</v>
      </c>
      <c r="F1107" s="7" t="s">
        <v>215</v>
      </c>
      <c r="G1107" s="7" t="s">
        <v>227</v>
      </c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</row>
    <row r="1108" ht="14.25" customHeight="1">
      <c r="A1108" s="6" t="s">
        <v>29</v>
      </c>
      <c r="B1108" s="6" t="s">
        <v>8</v>
      </c>
      <c r="C1108" s="6" t="s">
        <v>440</v>
      </c>
      <c r="D1108" s="6" t="s">
        <v>441</v>
      </c>
      <c r="E1108" s="6" t="s">
        <v>48</v>
      </c>
      <c r="F1108" s="7" t="s">
        <v>215</v>
      </c>
      <c r="G1108" s="7" t="s">
        <v>256</v>
      </c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</row>
    <row r="1109" ht="14.25" customHeight="1">
      <c r="A1109" s="6" t="s">
        <v>72</v>
      </c>
      <c r="B1109" s="6" t="s">
        <v>8</v>
      </c>
      <c r="C1109" s="6" t="s">
        <v>616</v>
      </c>
      <c r="D1109" s="6" t="s">
        <v>617</v>
      </c>
      <c r="E1109" s="6" t="s">
        <v>32</v>
      </c>
      <c r="F1109" s="7" t="s">
        <v>256</v>
      </c>
      <c r="G1109" s="7" t="s">
        <v>227</v>
      </c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</row>
    <row r="1110" ht="14.25" customHeight="1">
      <c r="A1110" s="6" t="s">
        <v>84</v>
      </c>
      <c r="B1110" s="6" t="s">
        <v>8</v>
      </c>
      <c r="C1110" s="6" t="s">
        <v>365</v>
      </c>
      <c r="D1110" s="6" t="s">
        <v>366</v>
      </c>
      <c r="E1110" s="6" t="s">
        <v>39</v>
      </c>
      <c r="F1110" s="7" t="s">
        <v>215</v>
      </c>
      <c r="G1110" s="7" t="s">
        <v>215</v>
      </c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</row>
    <row r="1111" ht="14.25" customHeight="1">
      <c r="A1111" s="6" t="s">
        <v>158</v>
      </c>
      <c r="B1111" s="6" t="s">
        <v>8</v>
      </c>
      <c r="C1111" s="6" t="s">
        <v>216</v>
      </c>
      <c r="D1111" s="6" t="s">
        <v>217</v>
      </c>
      <c r="E1111" s="6" t="s">
        <v>11</v>
      </c>
      <c r="F1111" s="7" t="s">
        <v>215</v>
      </c>
      <c r="G1111" s="7" t="s">
        <v>215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</row>
    <row r="1112" ht="14.25" customHeight="1">
      <c r="A1112" s="6" t="s">
        <v>55</v>
      </c>
      <c r="B1112" s="6" t="s">
        <v>8</v>
      </c>
      <c r="C1112" s="6" t="s">
        <v>628</v>
      </c>
      <c r="D1112" s="6" t="s">
        <v>629</v>
      </c>
      <c r="E1112" s="6" t="s">
        <v>32</v>
      </c>
      <c r="F1112" s="7" t="s">
        <v>215</v>
      </c>
      <c r="G1112" s="7" t="s">
        <v>227</v>
      </c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</row>
    <row r="1113" ht="14.25" customHeight="1">
      <c r="A1113" s="6" t="s">
        <v>72</v>
      </c>
      <c r="B1113" s="6" t="s">
        <v>8</v>
      </c>
      <c r="C1113" s="6" t="s">
        <v>616</v>
      </c>
      <c r="D1113" s="6" t="s">
        <v>617</v>
      </c>
      <c r="E1113" s="6" t="s">
        <v>39</v>
      </c>
      <c r="F1113" s="7" t="s">
        <v>256</v>
      </c>
      <c r="G1113" s="7" t="s">
        <v>227</v>
      </c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</row>
    <row r="1114" ht="14.25" customHeight="1">
      <c r="A1114" s="6" t="s">
        <v>79</v>
      </c>
      <c r="B1114" s="6" t="s">
        <v>8</v>
      </c>
      <c r="C1114" s="6" t="s">
        <v>522</v>
      </c>
      <c r="D1114" s="6" t="s">
        <v>523</v>
      </c>
      <c r="E1114" s="6" t="s">
        <v>27</v>
      </c>
      <c r="F1114" s="7" t="s">
        <v>215</v>
      </c>
      <c r="G1114" s="7" t="s">
        <v>215</v>
      </c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</row>
    <row r="1115" ht="14.25" customHeight="1">
      <c r="A1115" s="6" t="s">
        <v>84</v>
      </c>
      <c r="B1115" s="6" t="s">
        <v>8</v>
      </c>
      <c r="C1115" s="6" t="s">
        <v>365</v>
      </c>
      <c r="D1115" s="6" t="s">
        <v>366</v>
      </c>
      <c r="E1115" s="6" t="s">
        <v>48</v>
      </c>
      <c r="F1115" s="7" t="s">
        <v>215</v>
      </c>
      <c r="G1115" s="7" t="s">
        <v>215</v>
      </c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</row>
    <row r="1116" ht="14.25" customHeight="1">
      <c r="A1116" s="6" t="s">
        <v>122</v>
      </c>
      <c r="B1116" s="6" t="s">
        <v>8</v>
      </c>
      <c r="C1116" s="6" t="s">
        <v>540</v>
      </c>
      <c r="D1116" s="6" t="s">
        <v>541</v>
      </c>
      <c r="E1116" s="6" t="s">
        <v>48</v>
      </c>
      <c r="F1116" s="7" t="s">
        <v>215</v>
      </c>
      <c r="G1116" s="7" t="s">
        <v>256</v>
      </c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</row>
    <row r="1117" ht="14.25" customHeight="1">
      <c r="A1117" s="6" t="s">
        <v>72</v>
      </c>
      <c r="B1117" s="6" t="s">
        <v>8</v>
      </c>
      <c r="C1117" s="6" t="s">
        <v>616</v>
      </c>
      <c r="D1117" s="6" t="s">
        <v>617</v>
      </c>
      <c r="E1117" s="6" t="s">
        <v>48</v>
      </c>
      <c r="F1117" s="7" t="s">
        <v>227</v>
      </c>
      <c r="G1117" s="7" t="s">
        <v>227</v>
      </c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</row>
    <row r="1118" ht="14.25" customHeight="1">
      <c r="A1118" s="6" t="s">
        <v>105</v>
      </c>
      <c r="B1118" s="6" t="s">
        <v>8</v>
      </c>
      <c r="C1118" s="6" t="s">
        <v>277</v>
      </c>
      <c r="D1118" s="6" t="s">
        <v>278</v>
      </c>
      <c r="E1118" s="6" t="s">
        <v>87</v>
      </c>
      <c r="F1118" s="7" t="s">
        <v>215</v>
      </c>
      <c r="G1118" s="7" t="s">
        <v>227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</row>
    <row r="1119" ht="14.25" customHeight="1">
      <c r="A1119" s="6" t="s">
        <v>102</v>
      </c>
      <c r="B1119" s="6" t="s">
        <v>8</v>
      </c>
      <c r="C1119" s="6" t="s">
        <v>184</v>
      </c>
      <c r="D1119" s="6" t="s">
        <v>185</v>
      </c>
      <c r="E1119" s="6" t="s">
        <v>48</v>
      </c>
      <c r="F1119" s="7" t="s">
        <v>215</v>
      </c>
      <c r="G1119" s="7" t="s">
        <v>264</v>
      </c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</row>
    <row r="1120" ht="14.25" customHeight="1">
      <c r="A1120" s="6" t="s">
        <v>79</v>
      </c>
      <c r="B1120" s="6" t="s">
        <v>8</v>
      </c>
      <c r="C1120" s="6" t="s">
        <v>522</v>
      </c>
      <c r="D1120" s="6" t="s">
        <v>523</v>
      </c>
      <c r="E1120" s="6" t="s">
        <v>11</v>
      </c>
      <c r="F1120" s="7" t="s">
        <v>215</v>
      </c>
      <c r="G1120" s="7" t="s">
        <v>215</v>
      </c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</row>
    <row r="1121" ht="14.25" customHeight="1">
      <c r="A1121" s="6" t="s">
        <v>102</v>
      </c>
      <c r="B1121" s="6" t="s">
        <v>8</v>
      </c>
      <c r="C1121" s="6" t="s">
        <v>640</v>
      </c>
      <c r="D1121" s="6" t="s">
        <v>641</v>
      </c>
      <c r="E1121" s="6" t="s">
        <v>27</v>
      </c>
      <c r="F1121" s="7" t="s">
        <v>12</v>
      </c>
      <c r="G1121" s="7" t="s">
        <v>28</v>
      </c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</row>
    <row r="1122" ht="14.25" customHeight="1">
      <c r="A1122" s="6" t="s">
        <v>132</v>
      </c>
      <c r="B1122" s="6" t="s">
        <v>8</v>
      </c>
      <c r="C1122" s="6" t="s">
        <v>267</v>
      </c>
      <c r="D1122" s="6" t="s">
        <v>268</v>
      </c>
      <c r="E1122" s="6" t="s">
        <v>32</v>
      </c>
      <c r="F1122" s="7" t="s">
        <v>215</v>
      </c>
      <c r="G1122" s="7" t="s">
        <v>215</v>
      </c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</row>
    <row r="1123" ht="14.25" customHeight="1">
      <c r="A1123" s="6" t="s">
        <v>72</v>
      </c>
      <c r="B1123" s="6" t="s">
        <v>8</v>
      </c>
      <c r="C1123" s="6" t="s">
        <v>150</v>
      </c>
      <c r="D1123" s="6" t="s">
        <v>151</v>
      </c>
      <c r="E1123" s="6" t="s">
        <v>39</v>
      </c>
      <c r="F1123" s="7" t="s">
        <v>215</v>
      </c>
      <c r="G1123" s="7" t="s">
        <v>12</v>
      </c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</row>
    <row r="1124" ht="14.25" customHeight="1">
      <c r="A1124" s="6" t="s">
        <v>79</v>
      </c>
      <c r="B1124" s="6" t="s">
        <v>8</v>
      </c>
      <c r="C1124" s="6" t="s">
        <v>339</v>
      </c>
      <c r="D1124" s="6" t="s">
        <v>340</v>
      </c>
      <c r="E1124" s="6" t="s">
        <v>39</v>
      </c>
      <c r="F1124" s="7" t="s">
        <v>215</v>
      </c>
      <c r="G1124" s="7" t="s">
        <v>215</v>
      </c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</row>
    <row r="1125" ht="14.25" customHeight="1">
      <c r="A1125" s="6" t="s">
        <v>72</v>
      </c>
      <c r="B1125" s="6" t="s">
        <v>8</v>
      </c>
      <c r="C1125" s="6" t="s">
        <v>642</v>
      </c>
      <c r="D1125" s="6" t="s">
        <v>643</v>
      </c>
      <c r="E1125" s="6" t="s">
        <v>27</v>
      </c>
      <c r="F1125" s="7" t="s">
        <v>215</v>
      </c>
      <c r="G1125" s="7" t="s">
        <v>256</v>
      </c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</row>
    <row r="1126" ht="14.25" customHeight="1">
      <c r="A1126" s="6" t="s">
        <v>24</v>
      </c>
      <c r="B1126" s="6" t="s">
        <v>8</v>
      </c>
      <c r="C1126" s="6" t="s">
        <v>283</v>
      </c>
      <c r="D1126" s="6" t="s">
        <v>284</v>
      </c>
      <c r="E1126" s="6" t="s">
        <v>48</v>
      </c>
      <c r="F1126" s="7" t="s">
        <v>215</v>
      </c>
      <c r="G1126" s="7" t="s">
        <v>215</v>
      </c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</row>
    <row r="1127" ht="14.25" customHeight="1">
      <c r="A1127" s="6" t="s">
        <v>72</v>
      </c>
      <c r="B1127" s="6" t="s">
        <v>8</v>
      </c>
      <c r="C1127" s="6" t="s">
        <v>576</v>
      </c>
      <c r="D1127" s="6" t="s">
        <v>577</v>
      </c>
      <c r="E1127" s="6" t="s">
        <v>32</v>
      </c>
      <c r="F1127" s="7" t="s">
        <v>215</v>
      </c>
      <c r="G1127" s="7" t="s">
        <v>256</v>
      </c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</row>
    <row r="1128" ht="14.25" customHeight="1">
      <c r="A1128" s="6" t="s">
        <v>204</v>
      </c>
      <c r="B1128" s="6" t="s">
        <v>8</v>
      </c>
      <c r="C1128" s="6" t="s">
        <v>632</v>
      </c>
      <c r="D1128" s="6" t="s">
        <v>633</v>
      </c>
      <c r="E1128" s="6" t="s">
        <v>54</v>
      </c>
      <c r="F1128" s="7" t="s">
        <v>215</v>
      </c>
      <c r="G1128" s="7" t="s">
        <v>256</v>
      </c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</row>
    <row r="1129" ht="14.25" customHeight="1">
      <c r="A1129" s="6" t="s">
        <v>65</v>
      </c>
      <c r="B1129" s="6" t="s">
        <v>8</v>
      </c>
      <c r="C1129" s="6" t="s">
        <v>308</v>
      </c>
      <c r="D1129" s="6" t="s">
        <v>309</v>
      </c>
      <c r="E1129" s="6" t="s">
        <v>11</v>
      </c>
      <c r="F1129" s="7" t="s">
        <v>256</v>
      </c>
      <c r="G1129" s="7" t="s">
        <v>227</v>
      </c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</row>
    <row r="1130" ht="14.25" customHeight="1">
      <c r="A1130" s="6" t="s">
        <v>129</v>
      </c>
      <c r="B1130" s="6" t="s">
        <v>8</v>
      </c>
      <c r="C1130" s="6" t="s">
        <v>644</v>
      </c>
      <c r="D1130" s="6" t="s">
        <v>645</v>
      </c>
      <c r="E1130" s="6" t="s">
        <v>20</v>
      </c>
      <c r="F1130" s="7" t="s">
        <v>215</v>
      </c>
      <c r="G1130" s="7" t="s">
        <v>264</v>
      </c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</row>
    <row r="1131" ht="14.25" customHeight="1">
      <c r="A1131" s="6" t="s">
        <v>102</v>
      </c>
      <c r="B1131" s="6" t="s">
        <v>8</v>
      </c>
      <c r="C1131" s="6" t="s">
        <v>184</v>
      </c>
      <c r="D1131" s="6" t="s">
        <v>185</v>
      </c>
      <c r="E1131" s="6" t="s">
        <v>39</v>
      </c>
      <c r="F1131" s="7" t="s">
        <v>215</v>
      </c>
      <c r="G1131" s="7" t="s">
        <v>264</v>
      </c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</row>
    <row r="1132" ht="14.25" customHeight="1">
      <c r="A1132" s="6" t="s">
        <v>65</v>
      </c>
      <c r="B1132" s="6" t="s">
        <v>8</v>
      </c>
      <c r="C1132" s="6" t="s">
        <v>308</v>
      </c>
      <c r="D1132" s="6" t="s">
        <v>309</v>
      </c>
      <c r="E1132" s="6" t="s">
        <v>32</v>
      </c>
      <c r="F1132" s="7" t="s">
        <v>256</v>
      </c>
      <c r="G1132" s="7" t="s">
        <v>227</v>
      </c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</row>
    <row r="1133" ht="14.25" customHeight="1">
      <c r="A1133" s="6" t="s">
        <v>132</v>
      </c>
      <c r="B1133" s="6" t="s">
        <v>8</v>
      </c>
      <c r="C1133" s="6" t="s">
        <v>267</v>
      </c>
      <c r="D1133" s="6" t="s">
        <v>268</v>
      </c>
      <c r="E1133" s="6" t="s">
        <v>11</v>
      </c>
      <c r="F1133" s="7" t="s">
        <v>215</v>
      </c>
      <c r="G1133" s="7" t="s">
        <v>215</v>
      </c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</row>
    <row r="1134" ht="14.25" customHeight="1">
      <c r="A1134" s="6" t="s">
        <v>132</v>
      </c>
      <c r="B1134" s="6" t="s">
        <v>8</v>
      </c>
      <c r="C1134" s="6" t="s">
        <v>267</v>
      </c>
      <c r="D1134" s="6" t="s">
        <v>268</v>
      </c>
      <c r="E1134" s="6" t="s">
        <v>20</v>
      </c>
      <c r="F1134" s="7" t="s">
        <v>215</v>
      </c>
      <c r="G1134" s="7" t="s">
        <v>215</v>
      </c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</row>
    <row r="1135" ht="14.25" customHeight="1">
      <c r="A1135" s="6" t="s">
        <v>102</v>
      </c>
      <c r="B1135" s="6" t="s">
        <v>8</v>
      </c>
      <c r="C1135" s="6" t="s">
        <v>184</v>
      </c>
      <c r="D1135" s="6" t="s">
        <v>185</v>
      </c>
      <c r="E1135" s="6" t="s">
        <v>27</v>
      </c>
      <c r="F1135" s="7" t="s">
        <v>215</v>
      </c>
      <c r="G1135" s="7" t="s">
        <v>264</v>
      </c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</row>
    <row r="1136" ht="14.25" customHeight="1">
      <c r="A1136" s="6" t="s">
        <v>88</v>
      </c>
      <c r="B1136" s="6" t="s">
        <v>8</v>
      </c>
      <c r="C1136" s="6" t="s">
        <v>598</v>
      </c>
      <c r="D1136" s="6" t="s">
        <v>599</v>
      </c>
      <c r="E1136" s="6" t="s">
        <v>54</v>
      </c>
      <c r="F1136" s="7" t="s">
        <v>256</v>
      </c>
      <c r="G1136" s="7" t="s">
        <v>227</v>
      </c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</row>
    <row r="1137" ht="14.25" customHeight="1">
      <c r="A1137" s="6" t="s">
        <v>129</v>
      </c>
      <c r="B1137" s="6" t="s">
        <v>8</v>
      </c>
      <c r="C1137" s="6" t="s">
        <v>644</v>
      </c>
      <c r="D1137" s="6" t="s">
        <v>645</v>
      </c>
      <c r="E1137" s="6" t="s">
        <v>39</v>
      </c>
      <c r="F1137" s="7" t="s">
        <v>215</v>
      </c>
      <c r="G1137" s="7" t="s">
        <v>264</v>
      </c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</row>
    <row r="1138" ht="14.25" customHeight="1">
      <c r="A1138" s="6" t="s">
        <v>88</v>
      </c>
      <c r="B1138" s="6" t="s">
        <v>8</v>
      </c>
      <c r="C1138" s="6" t="s">
        <v>598</v>
      </c>
      <c r="D1138" s="6" t="s">
        <v>599</v>
      </c>
      <c r="E1138" s="6" t="s">
        <v>39</v>
      </c>
      <c r="F1138" s="7" t="s">
        <v>256</v>
      </c>
      <c r="G1138" s="7" t="s">
        <v>227</v>
      </c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</row>
    <row r="1139" ht="14.25" customHeight="1">
      <c r="A1139" s="6" t="s">
        <v>79</v>
      </c>
      <c r="B1139" s="6" t="s">
        <v>8</v>
      </c>
      <c r="C1139" s="6" t="s">
        <v>339</v>
      </c>
      <c r="D1139" s="6" t="s">
        <v>340</v>
      </c>
      <c r="E1139" s="6" t="s">
        <v>20</v>
      </c>
      <c r="F1139" s="7" t="s">
        <v>215</v>
      </c>
      <c r="G1139" s="7" t="s">
        <v>215</v>
      </c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</row>
    <row r="1140" ht="14.25" customHeight="1">
      <c r="A1140" s="6" t="s">
        <v>24</v>
      </c>
      <c r="B1140" s="6" t="s">
        <v>8</v>
      </c>
      <c r="C1140" s="6" t="s">
        <v>646</v>
      </c>
      <c r="D1140" s="6" t="s">
        <v>647</v>
      </c>
      <c r="E1140" s="6" t="s">
        <v>20</v>
      </c>
      <c r="F1140" s="7" t="s">
        <v>215</v>
      </c>
      <c r="G1140" s="7" t="s">
        <v>215</v>
      </c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</row>
    <row r="1141" ht="14.25" customHeight="1">
      <c r="A1141" s="6" t="s">
        <v>24</v>
      </c>
      <c r="B1141" s="6" t="s">
        <v>8</v>
      </c>
      <c r="C1141" s="6" t="s">
        <v>646</v>
      </c>
      <c r="D1141" s="6" t="s">
        <v>647</v>
      </c>
      <c r="E1141" s="6" t="s">
        <v>32</v>
      </c>
      <c r="F1141" s="7" t="s">
        <v>215</v>
      </c>
      <c r="G1141" s="7" t="s">
        <v>215</v>
      </c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</row>
    <row r="1142" ht="14.25" customHeight="1">
      <c r="A1142" s="6" t="s">
        <v>132</v>
      </c>
      <c r="B1142" s="6" t="s">
        <v>8</v>
      </c>
      <c r="C1142" s="6" t="s">
        <v>267</v>
      </c>
      <c r="D1142" s="6" t="s">
        <v>268</v>
      </c>
      <c r="E1142" s="6" t="s">
        <v>27</v>
      </c>
      <c r="F1142" s="7" t="s">
        <v>256</v>
      </c>
      <c r="G1142" s="7" t="s">
        <v>264</v>
      </c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</row>
    <row r="1143" ht="14.25" customHeight="1">
      <c r="A1143" s="6" t="s">
        <v>117</v>
      </c>
      <c r="B1143" s="6" t="s">
        <v>8</v>
      </c>
      <c r="C1143" s="6" t="s">
        <v>348</v>
      </c>
      <c r="D1143" s="6" t="s">
        <v>349</v>
      </c>
      <c r="E1143" s="6" t="s">
        <v>11</v>
      </c>
      <c r="F1143" s="7" t="s">
        <v>215</v>
      </c>
      <c r="G1143" s="7" t="s">
        <v>227</v>
      </c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</row>
    <row r="1144" ht="14.25" customHeight="1">
      <c r="A1144" s="6" t="s">
        <v>117</v>
      </c>
      <c r="B1144" s="6" t="s">
        <v>8</v>
      </c>
      <c r="C1144" s="6" t="s">
        <v>348</v>
      </c>
      <c r="D1144" s="6" t="s">
        <v>349</v>
      </c>
      <c r="E1144" s="6" t="s">
        <v>32</v>
      </c>
      <c r="F1144" s="7" t="s">
        <v>215</v>
      </c>
      <c r="G1144" s="7" t="s">
        <v>227</v>
      </c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</row>
    <row r="1145" ht="14.25" customHeight="1">
      <c r="A1145" s="6" t="s">
        <v>88</v>
      </c>
      <c r="B1145" s="6" t="s">
        <v>8</v>
      </c>
      <c r="C1145" s="6" t="s">
        <v>598</v>
      </c>
      <c r="D1145" s="6" t="s">
        <v>599</v>
      </c>
      <c r="E1145" s="6" t="s">
        <v>48</v>
      </c>
      <c r="F1145" s="7" t="s">
        <v>227</v>
      </c>
      <c r="G1145" s="7" t="s">
        <v>227</v>
      </c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</row>
    <row r="1146" ht="14.25" customHeight="1">
      <c r="A1146" s="6" t="s">
        <v>105</v>
      </c>
      <c r="B1146" s="6" t="s">
        <v>8</v>
      </c>
      <c r="C1146" s="6" t="s">
        <v>125</v>
      </c>
      <c r="D1146" s="6" t="s">
        <v>126</v>
      </c>
      <c r="E1146" s="6" t="s">
        <v>39</v>
      </c>
      <c r="F1146" s="7" t="s">
        <v>28</v>
      </c>
      <c r="G1146" s="7" t="s">
        <v>28</v>
      </c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</row>
    <row r="1147" ht="14.25" customHeight="1">
      <c r="A1147" s="6" t="s">
        <v>122</v>
      </c>
      <c r="B1147" s="6" t="s">
        <v>8</v>
      </c>
      <c r="C1147" s="6" t="s">
        <v>425</v>
      </c>
      <c r="D1147" s="6" t="s">
        <v>426</v>
      </c>
      <c r="E1147" s="6" t="s">
        <v>27</v>
      </c>
      <c r="F1147" s="7" t="s">
        <v>227</v>
      </c>
      <c r="G1147" s="7" t="s">
        <v>227</v>
      </c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</row>
    <row r="1148" ht="14.25" customHeight="1">
      <c r="A1148" s="6" t="s">
        <v>105</v>
      </c>
      <c r="B1148" s="6" t="s">
        <v>8</v>
      </c>
      <c r="C1148" s="6" t="s">
        <v>125</v>
      </c>
      <c r="D1148" s="6" t="s">
        <v>126</v>
      </c>
      <c r="E1148" s="6" t="s">
        <v>11</v>
      </c>
      <c r="F1148" s="7" t="s">
        <v>28</v>
      </c>
      <c r="G1148" s="7" t="s">
        <v>28</v>
      </c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</row>
    <row r="1149" ht="14.25" customHeight="1">
      <c r="A1149" s="6" t="s">
        <v>72</v>
      </c>
      <c r="B1149" s="6" t="s">
        <v>8</v>
      </c>
      <c r="C1149" s="6" t="s">
        <v>642</v>
      </c>
      <c r="D1149" s="6" t="s">
        <v>643</v>
      </c>
      <c r="E1149" s="6" t="s">
        <v>39</v>
      </c>
      <c r="F1149" s="7" t="s">
        <v>215</v>
      </c>
      <c r="G1149" s="7" t="s">
        <v>256</v>
      </c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</row>
    <row r="1150" ht="14.25" customHeight="1">
      <c r="A1150" s="6" t="s">
        <v>105</v>
      </c>
      <c r="B1150" s="6" t="s">
        <v>8</v>
      </c>
      <c r="C1150" s="6" t="s">
        <v>125</v>
      </c>
      <c r="D1150" s="6" t="s">
        <v>126</v>
      </c>
      <c r="E1150" s="6" t="s">
        <v>27</v>
      </c>
      <c r="F1150" s="7" t="s">
        <v>28</v>
      </c>
      <c r="G1150" s="7" t="s">
        <v>28</v>
      </c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</row>
    <row r="1151" ht="14.25" customHeight="1">
      <c r="A1151" s="6" t="s">
        <v>79</v>
      </c>
      <c r="B1151" s="6" t="s">
        <v>8</v>
      </c>
      <c r="C1151" s="6" t="s">
        <v>522</v>
      </c>
      <c r="D1151" s="6" t="s">
        <v>523</v>
      </c>
      <c r="E1151" s="6" t="s">
        <v>39</v>
      </c>
      <c r="F1151" s="7" t="s">
        <v>215</v>
      </c>
      <c r="G1151" s="7" t="s">
        <v>256</v>
      </c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</row>
    <row r="1152" ht="14.25" customHeight="1">
      <c r="A1152" s="6" t="s">
        <v>72</v>
      </c>
      <c r="B1152" s="6" t="s">
        <v>8</v>
      </c>
      <c r="C1152" s="6" t="s">
        <v>642</v>
      </c>
      <c r="D1152" s="6" t="s">
        <v>643</v>
      </c>
      <c r="E1152" s="6" t="s">
        <v>48</v>
      </c>
      <c r="F1152" s="7" t="s">
        <v>215</v>
      </c>
      <c r="G1152" s="7" t="s">
        <v>256</v>
      </c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</row>
    <row r="1153" ht="14.25" customHeight="1">
      <c r="A1153" s="6" t="s">
        <v>110</v>
      </c>
      <c r="B1153" s="6" t="s">
        <v>8</v>
      </c>
      <c r="C1153" s="6" t="s">
        <v>584</v>
      </c>
      <c r="D1153" s="6" t="s">
        <v>585</v>
      </c>
      <c r="E1153" s="6" t="s">
        <v>32</v>
      </c>
      <c r="F1153" s="7" t="s">
        <v>256</v>
      </c>
      <c r="G1153" s="7" t="s">
        <v>256</v>
      </c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</row>
    <row r="1154" ht="14.25" customHeight="1">
      <c r="A1154" s="6" t="s">
        <v>110</v>
      </c>
      <c r="B1154" s="6" t="s">
        <v>8</v>
      </c>
      <c r="C1154" s="6" t="s">
        <v>584</v>
      </c>
      <c r="D1154" s="6" t="s">
        <v>585</v>
      </c>
      <c r="E1154" s="6" t="s">
        <v>11</v>
      </c>
      <c r="F1154" s="7" t="s">
        <v>256</v>
      </c>
      <c r="G1154" s="7" t="s">
        <v>256</v>
      </c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</row>
    <row r="1155" ht="14.25" customHeight="1">
      <c r="A1155" s="6" t="s">
        <v>88</v>
      </c>
      <c r="B1155" s="6" t="s">
        <v>8</v>
      </c>
      <c r="C1155" s="6" t="s">
        <v>598</v>
      </c>
      <c r="D1155" s="6" t="s">
        <v>599</v>
      </c>
      <c r="E1155" s="6" t="s">
        <v>27</v>
      </c>
      <c r="F1155" s="7" t="s">
        <v>227</v>
      </c>
      <c r="G1155" s="7" t="s">
        <v>227</v>
      </c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</row>
    <row r="1156" ht="14.25" customHeight="1">
      <c r="A1156" s="6" t="s">
        <v>79</v>
      </c>
      <c r="B1156" s="6" t="s">
        <v>8</v>
      </c>
      <c r="C1156" s="6" t="s">
        <v>522</v>
      </c>
      <c r="D1156" s="6" t="s">
        <v>523</v>
      </c>
      <c r="E1156" s="6" t="s">
        <v>54</v>
      </c>
      <c r="F1156" s="7" t="s">
        <v>256</v>
      </c>
      <c r="G1156" s="7" t="s">
        <v>256</v>
      </c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</row>
    <row r="1157" ht="14.25" customHeight="1">
      <c r="A1157" s="6" t="s">
        <v>93</v>
      </c>
      <c r="B1157" s="6" t="s">
        <v>8</v>
      </c>
      <c r="C1157" s="6" t="s">
        <v>470</v>
      </c>
      <c r="D1157" s="6" t="s">
        <v>471</v>
      </c>
      <c r="E1157" s="6" t="s">
        <v>54</v>
      </c>
      <c r="F1157" s="7" t="s">
        <v>215</v>
      </c>
      <c r="G1157" s="7" t="s">
        <v>256</v>
      </c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</row>
    <row r="1158" ht="14.25" customHeight="1">
      <c r="A1158" s="6" t="s">
        <v>93</v>
      </c>
      <c r="B1158" s="6" t="s">
        <v>8</v>
      </c>
      <c r="C1158" s="6" t="s">
        <v>470</v>
      </c>
      <c r="D1158" s="6" t="s">
        <v>471</v>
      </c>
      <c r="E1158" s="6" t="s">
        <v>39</v>
      </c>
      <c r="F1158" s="7" t="s">
        <v>215</v>
      </c>
      <c r="G1158" s="7" t="s">
        <v>256</v>
      </c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</row>
    <row r="1159" ht="14.25" customHeight="1">
      <c r="A1159" s="6" t="s">
        <v>93</v>
      </c>
      <c r="B1159" s="6" t="s">
        <v>8</v>
      </c>
      <c r="C1159" s="6" t="s">
        <v>470</v>
      </c>
      <c r="D1159" s="6" t="s">
        <v>471</v>
      </c>
      <c r="E1159" s="6" t="s">
        <v>48</v>
      </c>
      <c r="F1159" s="7" t="s">
        <v>256</v>
      </c>
      <c r="G1159" s="7" t="s">
        <v>256</v>
      </c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</row>
    <row r="1160" ht="14.25" customHeight="1">
      <c r="A1160" s="6" t="s">
        <v>62</v>
      </c>
      <c r="B1160" s="6" t="s">
        <v>8</v>
      </c>
      <c r="C1160" s="6" t="s">
        <v>367</v>
      </c>
      <c r="D1160" s="6" t="s">
        <v>368</v>
      </c>
      <c r="E1160" s="6" t="s">
        <v>20</v>
      </c>
      <c r="F1160" s="7" t="s">
        <v>256</v>
      </c>
      <c r="G1160" s="7" t="s">
        <v>227</v>
      </c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</row>
    <row r="1161" ht="14.25" customHeight="1">
      <c r="A1161" s="6" t="s">
        <v>62</v>
      </c>
      <c r="B1161" s="6" t="s">
        <v>8</v>
      </c>
      <c r="C1161" s="6" t="s">
        <v>367</v>
      </c>
      <c r="D1161" s="6" t="s">
        <v>368</v>
      </c>
      <c r="E1161" s="6" t="s">
        <v>39</v>
      </c>
      <c r="F1161" s="7" t="s">
        <v>256</v>
      </c>
      <c r="G1161" s="7" t="s">
        <v>227</v>
      </c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</row>
    <row r="1162" ht="14.25" customHeight="1">
      <c r="A1162" s="6" t="s">
        <v>33</v>
      </c>
      <c r="B1162" s="6" t="s">
        <v>8</v>
      </c>
      <c r="C1162" s="6" t="s">
        <v>648</v>
      </c>
      <c r="D1162" s="6" t="s">
        <v>649</v>
      </c>
      <c r="E1162" s="6" t="s">
        <v>11</v>
      </c>
      <c r="F1162" s="7" t="s">
        <v>256</v>
      </c>
      <c r="G1162" s="7" t="s">
        <v>256</v>
      </c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</row>
    <row r="1163" ht="14.25" customHeight="1">
      <c r="A1163" s="6" t="s">
        <v>62</v>
      </c>
      <c r="B1163" s="6" t="s">
        <v>8</v>
      </c>
      <c r="C1163" s="6" t="s">
        <v>367</v>
      </c>
      <c r="D1163" s="6" t="s">
        <v>368</v>
      </c>
      <c r="E1163" s="6" t="s">
        <v>27</v>
      </c>
      <c r="F1163" s="7" t="s">
        <v>256</v>
      </c>
      <c r="G1163" s="7" t="s">
        <v>227</v>
      </c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</row>
    <row r="1164" ht="14.25" customHeight="1">
      <c r="A1164" s="6" t="s">
        <v>33</v>
      </c>
      <c r="B1164" s="6" t="s">
        <v>8</v>
      </c>
      <c r="C1164" s="6" t="s">
        <v>648</v>
      </c>
      <c r="D1164" s="6" t="s">
        <v>649</v>
      </c>
      <c r="E1164" s="6" t="s">
        <v>32</v>
      </c>
      <c r="F1164" s="7" t="s">
        <v>256</v>
      </c>
      <c r="G1164" s="7" t="s">
        <v>256</v>
      </c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</row>
    <row r="1165" ht="14.25" customHeight="1">
      <c r="A1165" s="6" t="s">
        <v>62</v>
      </c>
      <c r="B1165" s="6" t="s">
        <v>8</v>
      </c>
      <c r="C1165" s="6" t="s">
        <v>367</v>
      </c>
      <c r="D1165" s="6" t="s">
        <v>368</v>
      </c>
      <c r="E1165" s="6" t="s">
        <v>54</v>
      </c>
      <c r="F1165" s="7" t="s">
        <v>256</v>
      </c>
      <c r="G1165" s="7" t="s">
        <v>227</v>
      </c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</row>
    <row r="1166" ht="14.25" customHeight="1">
      <c r="A1166" s="6" t="s">
        <v>33</v>
      </c>
      <c r="B1166" s="6" t="s">
        <v>8</v>
      </c>
      <c r="C1166" s="6" t="s">
        <v>648</v>
      </c>
      <c r="D1166" s="6" t="s">
        <v>649</v>
      </c>
      <c r="E1166" s="6" t="s">
        <v>27</v>
      </c>
      <c r="F1166" s="7" t="s">
        <v>256</v>
      </c>
      <c r="G1166" s="7" t="s">
        <v>256</v>
      </c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</row>
    <row r="1167" ht="14.25" customHeight="1">
      <c r="A1167" s="6" t="s">
        <v>93</v>
      </c>
      <c r="B1167" s="6" t="s">
        <v>8</v>
      </c>
      <c r="C1167" s="6" t="s">
        <v>310</v>
      </c>
      <c r="D1167" s="6" t="s">
        <v>311</v>
      </c>
      <c r="E1167" s="6" t="s">
        <v>48</v>
      </c>
      <c r="F1167" s="7" t="s">
        <v>256</v>
      </c>
      <c r="G1167" s="7" t="s">
        <v>256</v>
      </c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</row>
    <row r="1168" ht="14.25" customHeight="1">
      <c r="A1168" s="6" t="s">
        <v>55</v>
      </c>
      <c r="B1168" s="6" t="s">
        <v>8</v>
      </c>
      <c r="C1168" s="6" t="s">
        <v>534</v>
      </c>
      <c r="D1168" s="6" t="s">
        <v>535</v>
      </c>
      <c r="E1168" s="6" t="s">
        <v>20</v>
      </c>
      <c r="F1168" s="7" t="s">
        <v>256</v>
      </c>
      <c r="G1168" s="7" t="s">
        <v>256</v>
      </c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</row>
    <row r="1169" ht="14.25" customHeight="1">
      <c r="A1169" s="6" t="s">
        <v>93</v>
      </c>
      <c r="B1169" s="6" t="s">
        <v>8</v>
      </c>
      <c r="C1169" s="6" t="s">
        <v>384</v>
      </c>
      <c r="D1169" s="6" t="s">
        <v>385</v>
      </c>
      <c r="E1169" s="6" t="s">
        <v>27</v>
      </c>
      <c r="F1169" s="7" t="s">
        <v>227</v>
      </c>
      <c r="G1169" s="7" t="s">
        <v>227</v>
      </c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</row>
    <row r="1170" ht="14.25" customHeight="1">
      <c r="A1170" s="6" t="s">
        <v>93</v>
      </c>
      <c r="B1170" s="6" t="s">
        <v>8</v>
      </c>
      <c r="C1170" s="6" t="s">
        <v>384</v>
      </c>
      <c r="D1170" s="6" t="s">
        <v>385</v>
      </c>
      <c r="E1170" s="6" t="s">
        <v>11</v>
      </c>
      <c r="F1170" s="7" t="s">
        <v>256</v>
      </c>
      <c r="G1170" s="7" t="s">
        <v>227</v>
      </c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  <c r="Z1170" s="5"/>
    </row>
    <row r="1171" ht="14.25" customHeight="1">
      <c r="A1171" s="6" t="s">
        <v>204</v>
      </c>
      <c r="B1171" s="6" t="s">
        <v>8</v>
      </c>
      <c r="C1171" s="6" t="s">
        <v>632</v>
      </c>
      <c r="D1171" s="6" t="s">
        <v>633</v>
      </c>
      <c r="E1171" s="6" t="s">
        <v>39</v>
      </c>
      <c r="F1171" s="7" t="s">
        <v>256</v>
      </c>
      <c r="G1171" s="7" t="s">
        <v>256</v>
      </c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  <c r="Z1171" s="5"/>
    </row>
    <row r="1172" ht="14.25" customHeight="1">
      <c r="A1172" s="6" t="s">
        <v>93</v>
      </c>
      <c r="B1172" s="6" t="s">
        <v>8</v>
      </c>
      <c r="C1172" s="6" t="s">
        <v>384</v>
      </c>
      <c r="D1172" s="6" t="s">
        <v>385</v>
      </c>
      <c r="E1172" s="6" t="s">
        <v>48</v>
      </c>
      <c r="F1172" s="7" t="s">
        <v>256</v>
      </c>
      <c r="G1172" s="7" t="s">
        <v>227</v>
      </c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</row>
    <row r="1173" ht="14.25" customHeight="1">
      <c r="A1173" s="6" t="s">
        <v>105</v>
      </c>
      <c r="B1173" s="6" t="s">
        <v>8</v>
      </c>
      <c r="C1173" s="6" t="s">
        <v>277</v>
      </c>
      <c r="D1173" s="6" t="s">
        <v>278</v>
      </c>
      <c r="E1173" s="6" t="s">
        <v>11</v>
      </c>
      <c r="F1173" s="7" t="s">
        <v>256</v>
      </c>
      <c r="G1173" s="7" t="s">
        <v>227</v>
      </c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</row>
    <row r="1174" ht="14.25" customHeight="1">
      <c r="A1174" s="6" t="s">
        <v>204</v>
      </c>
      <c r="B1174" s="6" t="s">
        <v>8</v>
      </c>
      <c r="C1174" s="6" t="s">
        <v>632</v>
      </c>
      <c r="D1174" s="6" t="s">
        <v>633</v>
      </c>
      <c r="E1174" s="6" t="s">
        <v>48</v>
      </c>
      <c r="F1174" s="7" t="s">
        <v>256</v>
      </c>
      <c r="G1174" s="7" t="s">
        <v>256</v>
      </c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</row>
    <row r="1175" ht="14.25" customHeight="1">
      <c r="A1175" s="6" t="s">
        <v>55</v>
      </c>
      <c r="B1175" s="6" t="s">
        <v>8</v>
      </c>
      <c r="C1175" s="6" t="s">
        <v>554</v>
      </c>
      <c r="D1175" s="6" t="s">
        <v>555</v>
      </c>
      <c r="E1175" s="6" t="s">
        <v>20</v>
      </c>
      <c r="F1175" s="7" t="s">
        <v>256</v>
      </c>
      <c r="G1175" s="7" t="s">
        <v>227</v>
      </c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</row>
    <row r="1176" ht="14.25" customHeight="1">
      <c r="A1176" s="6" t="s">
        <v>93</v>
      </c>
      <c r="B1176" s="6" t="s">
        <v>8</v>
      </c>
      <c r="C1176" s="6" t="s">
        <v>448</v>
      </c>
      <c r="D1176" s="6" t="s">
        <v>449</v>
      </c>
      <c r="E1176" s="6" t="s">
        <v>87</v>
      </c>
      <c r="F1176" s="7" t="s">
        <v>256</v>
      </c>
      <c r="G1176" s="7" t="s">
        <v>256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</row>
    <row r="1177" ht="14.25" customHeight="1">
      <c r="A1177" s="6" t="s">
        <v>55</v>
      </c>
      <c r="B1177" s="6" t="s">
        <v>8</v>
      </c>
      <c r="C1177" s="6" t="s">
        <v>606</v>
      </c>
      <c r="D1177" s="6" t="s">
        <v>607</v>
      </c>
      <c r="E1177" s="6" t="s">
        <v>11</v>
      </c>
      <c r="F1177" s="7" t="s">
        <v>227</v>
      </c>
      <c r="G1177" s="7" t="s">
        <v>227</v>
      </c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</row>
    <row r="1178" ht="14.25" customHeight="1">
      <c r="A1178" s="6" t="s">
        <v>388</v>
      </c>
      <c r="B1178" s="6" t="s">
        <v>8</v>
      </c>
      <c r="C1178" s="6" t="s">
        <v>389</v>
      </c>
      <c r="D1178" s="6" t="s">
        <v>390</v>
      </c>
      <c r="E1178" s="6" t="s">
        <v>39</v>
      </c>
      <c r="F1178" s="7" t="s">
        <v>256</v>
      </c>
      <c r="G1178" s="7" t="s">
        <v>256</v>
      </c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</row>
    <row r="1179" ht="14.25" customHeight="1">
      <c r="A1179" s="6" t="s">
        <v>21</v>
      </c>
      <c r="B1179" s="6" t="s">
        <v>8</v>
      </c>
      <c r="C1179" s="6" t="s">
        <v>608</v>
      </c>
      <c r="D1179" s="6" t="s">
        <v>609</v>
      </c>
      <c r="E1179" s="6" t="s">
        <v>27</v>
      </c>
      <c r="F1179" s="7" t="s">
        <v>256</v>
      </c>
      <c r="G1179" s="7" t="s">
        <v>227</v>
      </c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</row>
    <row r="1180" ht="14.25" customHeight="1">
      <c r="A1180" s="6" t="s">
        <v>105</v>
      </c>
      <c r="B1180" s="6" t="s">
        <v>8</v>
      </c>
      <c r="C1180" s="6" t="s">
        <v>277</v>
      </c>
      <c r="D1180" s="6" t="s">
        <v>278</v>
      </c>
      <c r="E1180" s="6" t="s">
        <v>48</v>
      </c>
      <c r="F1180" s="7" t="s">
        <v>256</v>
      </c>
      <c r="G1180" s="7" t="s">
        <v>227</v>
      </c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</row>
    <row r="1181" ht="14.25" customHeight="1">
      <c r="A1181" s="6" t="s">
        <v>110</v>
      </c>
      <c r="B1181" s="6" t="s">
        <v>8</v>
      </c>
      <c r="C1181" s="6" t="s">
        <v>346</v>
      </c>
      <c r="D1181" s="6" t="s">
        <v>347</v>
      </c>
      <c r="E1181" s="6" t="s">
        <v>11</v>
      </c>
      <c r="F1181" s="7" t="s">
        <v>227</v>
      </c>
      <c r="G1181" s="7" t="s">
        <v>264</v>
      </c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</row>
    <row r="1182" ht="14.25" customHeight="1">
      <c r="A1182" s="6" t="s">
        <v>204</v>
      </c>
      <c r="B1182" s="6" t="s">
        <v>8</v>
      </c>
      <c r="C1182" s="6" t="s">
        <v>632</v>
      </c>
      <c r="D1182" s="6" t="s">
        <v>633</v>
      </c>
      <c r="E1182" s="6" t="s">
        <v>11</v>
      </c>
      <c r="F1182" s="7" t="s">
        <v>256</v>
      </c>
      <c r="G1182" s="7" t="s">
        <v>256</v>
      </c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</row>
    <row r="1183" ht="14.25" customHeight="1">
      <c r="A1183" s="6" t="s">
        <v>21</v>
      </c>
      <c r="B1183" s="6" t="s">
        <v>8</v>
      </c>
      <c r="C1183" s="6" t="s">
        <v>608</v>
      </c>
      <c r="D1183" s="6" t="s">
        <v>609</v>
      </c>
      <c r="E1183" s="6" t="s">
        <v>48</v>
      </c>
      <c r="F1183" s="7" t="s">
        <v>256</v>
      </c>
      <c r="G1183" s="7" t="s">
        <v>227</v>
      </c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</row>
    <row r="1184" ht="14.25" customHeight="1">
      <c r="A1184" s="6" t="s">
        <v>21</v>
      </c>
      <c r="B1184" s="6" t="s">
        <v>8</v>
      </c>
      <c r="C1184" s="6" t="s">
        <v>608</v>
      </c>
      <c r="D1184" s="6" t="s">
        <v>609</v>
      </c>
      <c r="E1184" s="6" t="s">
        <v>39</v>
      </c>
      <c r="F1184" s="7" t="s">
        <v>256</v>
      </c>
      <c r="G1184" s="7" t="s">
        <v>227</v>
      </c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</row>
    <row r="1185" ht="14.25" customHeight="1">
      <c r="A1185" s="6" t="s">
        <v>204</v>
      </c>
      <c r="B1185" s="6" t="s">
        <v>8</v>
      </c>
      <c r="C1185" s="6" t="s">
        <v>632</v>
      </c>
      <c r="D1185" s="6" t="s">
        <v>633</v>
      </c>
      <c r="E1185" s="6" t="s">
        <v>20</v>
      </c>
      <c r="F1185" s="7" t="s">
        <v>256</v>
      </c>
      <c r="G1185" s="7" t="s">
        <v>256</v>
      </c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</row>
    <row r="1186" ht="14.25" customHeight="1">
      <c r="A1186" s="6" t="s">
        <v>33</v>
      </c>
      <c r="B1186" s="6" t="s">
        <v>8</v>
      </c>
      <c r="C1186" s="6" t="s">
        <v>648</v>
      </c>
      <c r="D1186" s="6" t="s">
        <v>649</v>
      </c>
      <c r="E1186" s="6" t="s">
        <v>39</v>
      </c>
      <c r="F1186" s="7" t="s">
        <v>256</v>
      </c>
      <c r="G1186" s="7" t="s">
        <v>256</v>
      </c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</row>
    <row r="1187" ht="14.25" customHeight="1">
      <c r="A1187" s="6" t="s">
        <v>55</v>
      </c>
      <c r="B1187" s="6" t="s">
        <v>8</v>
      </c>
      <c r="C1187" s="6" t="s">
        <v>606</v>
      </c>
      <c r="D1187" s="6" t="s">
        <v>607</v>
      </c>
      <c r="E1187" s="6" t="s">
        <v>32</v>
      </c>
      <c r="F1187" s="7" t="s">
        <v>227</v>
      </c>
      <c r="G1187" s="7" t="s">
        <v>227</v>
      </c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</row>
    <row r="1188" ht="14.25" customHeight="1">
      <c r="A1188" s="6" t="s">
        <v>129</v>
      </c>
      <c r="B1188" s="6" t="s">
        <v>8</v>
      </c>
      <c r="C1188" s="6" t="s">
        <v>650</v>
      </c>
      <c r="D1188" s="6" t="s">
        <v>651</v>
      </c>
      <c r="E1188" s="6" t="s">
        <v>27</v>
      </c>
      <c r="F1188" s="7" t="s">
        <v>256</v>
      </c>
      <c r="G1188" s="7" t="s">
        <v>256</v>
      </c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</row>
    <row r="1189" ht="14.25" customHeight="1">
      <c r="A1189" s="6" t="s">
        <v>652</v>
      </c>
      <c r="B1189" s="6" t="s">
        <v>8</v>
      </c>
      <c r="C1189" s="6" t="s">
        <v>653</v>
      </c>
      <c r="D1189" s="6" t="s">
        <v>654</v>
      </c>
      <c r="E1189" s="6" t="s">
        <v>32</v>
      </c>
      <c r="F1189" s="7" t="s">
        <v>256</v>
      </c>
      <c r="G1189" s="7" t="s">
        <v>256</v>
      </c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</row>
    <row r="1190" ht="14.25" customHeight="1">
      <c r="A1190" s="6" t="s">
        <v>129</v>
      </c>
      <c r="B1190" s="6" t="s">
        <v>8</v>
      </c>
      <c r="C1190" s="6" t="s">
        <v>650</v>
      </c>
      <c r="D1190" s="6" t="s">
        <v>651</v>
      </c>
      <c r="E1190" s="6" t="s">
        <v>48</v>
      </c>
      <c r="F1190" s="7" t="s">
        <v>256</v>
      </c>
      <c r="G1190" s="7" t="s">
        <v>256</v>
      </c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</row>
    <row r="1191" ht="14.25" customHeight="1">
      <c r="A1191" s="6" t="s">
        <v>105</v>
      </c>
      <c r="B1191" s="6" t="s">
        <v>8</v>
      </c>
      <c r="C1191" s="6" t="s">
        <v>277</v>
      </c>
      <c r="D1191" s="6" t="s">
        <v>278</v>
      </c>
      <c r="E1191" s="6" t="s">
        <v>54</v>
      </c>
      <c r="F1191" s="7" t="s">
        <v>256</v>
      </c>
      <c r="G1191" s="7" t="s">
        <v>227</v>
      </c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</row>
    <row r="1192" ht="14.25" customHeight="1">
      <c r="A1192" s="6" t="s">
        <v>65</v>
      </c>
      <c r="B1192" s="6" t="s">
        <v>8</v>
      </c>
      <c r="C1192" s="6" t="s">
        <v>302</v>
      </c>
      <c r="D1192" s="6" t="s">
        <v>303</v>
      </c>
      <c r="E1192" s="6" t="s">
        <v>27</v>
      </c>
      <c r="F1192" s="7" t="s">
        <v>256</v>
      </c>
      <c r="G1192" s="7" t="s">
        <v>256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</row>
    <row r="1193" ht="14.25" customHeight="1">
      <c r="A1193" s="6" t="s">
        <v>129</v>
      </c>
      <c r="B1193" s="6" t="s">
        <v>8</v>
      </c>
      <c r="C1193" s="6" t="s">
        <v>650</v>
      </c>
      <c r="D1193" s="6" t="s">
        <v>651</v>
      </c>
      <c r="E1193" s="6" t="s">
        <v>39</v>
      </c>
      <c r="F1193" s="7" t="s">
        <v>256</v>
      </c>
      <c r="G1193" s="7" t="s">
        <v>256</v>
      </c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</row>
    <row r="1194" ht="14.25" customHeight="1">
      <c r="A1194" s="6" t="s">
        <v>132</v>
      </c>
      <c r="B1194" s="6" t="s">
        <v>8</v>
      </c>
      <c r="C1194" s="6" t="s">
        <v>267</v>
      </c>
      <c r="D1194" s="6" t="s">
        <v>268</v>
      </c>
      <c r="E1194" s="6" t="s">
        <v>48</v>
      </c>
      <c r="F1194" s="7" t="s">
        <v>256</v>
      </c>
      <c r="G1194" s="7" t="s">
        <v>264</v>
      </c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</row>
    <row r="1195" ht="14.25" customHeight="1">
      <c r="A1195" s="6" t="s">
        <v>33</v>
      </c>
      <c r="B1195" s="6" t="s">
        <v>8</v>
      </c>
      <c r="C1195" s="6" t="s">
        <v>648</v>
      </c>
      <c r="D1195" s="6" t="s">
        <v>649</v>
      </c>
      <c r="E1195" s="6" t="s">
        <v>48</v>
      </c>
      <c r="F1195" s="7" t="s">
        <v>256</v>
      </c>
      <c r="G1195" s="7" t="s">
        <v>256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</row>
    <row r="1196" ht="14.25" customHeight="1">
      <c r="A1196" s="6" t="s">
        <v>129</v>
      </c>
      <c r="B1196" s="6" t="s">
        <v>8</v>
      </c>
      <c r="C1196" s="6" t="s">
        <v>650</v>
      </c>
      <c r="D1196" s="6" t="s">
        <v>651</v>
      </c>
      <c r="E1196" s="6" t="s">
        <v>32</v>
      </c>
      <c r="F1196" s="7" t="s">
        <v>256</v>
      </c>
      <c r="G1196" s="7" t="s">
        <v>256</v>
      </c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</row>
    <row r="1197" ht="14.25" customHeight="1">
      <c r="A1197" s="6" t="s">
        <v>55</v>
      </c>
      <c r="B1197" s="6" t="s">
        <v>8</v>
      </c>
      <c r="C1197" s="6" t="s">
        <v>554</v>
      </c>
      <c r="D1197" s="6" t="s">
        <v>555</v>
      </c>
      <c r="E1197" s="6" t="s">
        <v>11</v>
      </c>
      <c r="F1197" s="7" t="s">
        <v>256</v>
      </c>
      <c r="G1197" s="7" t="s">
        <v>227</v>
      </c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</row>
    <row r="1198" ht="14.25" customHeight="1">
      <c r="A1198" s="6" t="s">
        <v>129</v>
      </c>
      <c r="B1198" s="6" t="s">
        <v>8</v>
      </c>
      <c r="C1198" s="6" t="s">
        <v>650</v>
      </c>
      <c r="D1198" s="6" t="s">
        <v>651</v>
      </c>
      <c r="E1198" s="6" t="s">
        <v>20</v>
      </c>
      <c r="F1198" s="7" t="s">
        <v>256</v>
      </c>
      <c r="G1198" s="7" t="s">
        <v>256</v>
      </c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</row>
    <row r="1199" ht="14.25" customHeight="1">
      <c r="A1199" s="6" t="s">
        <v>652</v>
      </c>
      <c r="B1199" s="6" t="s">
        <v>8</v>
      </c>
      <c r="C1199" s="6" t="s">
        <v>653</v>
      </c>
      <c r="D1199" s="6" t="s">
        <v>654</v>
      </c>
      <c r="E1199" s="6" t="s">
        <v>11</v>
      </c>
      <c r="F1199" s="7" t="s">
        <v>256</v>
      </c>
      <c r="G1199" s="7" t="s">
        <v>256</v>
      </c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</row>
    <row r="1200" ht="14.25" customHeight="1">
      <c r="A1200" s="6" t="s">
        <v>24</v>
      </c>
      <c r="B1200" s="6" t="s">
        <v>8</v>
      </c>
      <c r="C1200" s="6" t="s">
        <v>568</v>
      </c>
      <c r="D1200" s="6" t="s">
        <v>569</v>
      </c>
      <c r="E1200" s="6" t="s">
        <v>32</v>
      </c>
      <c r="F1200" s="7" t="s">
        <v>227</v>
      </c>
      <c r="G1200" s="7" t="s">
        <v>227</v>
      </c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</row>
    <row r="1201" ht="14.25" customHeight="1">
      <c r="A1201" s="6" t="s">
        <v>652</v>
      </c>
      <c r="B1201" s="6" t="s">
        <v>8</v>
      </c>
      <c r="C1201" s="6" t="s">
        <v>653</v>
      </c>
      <c r="D1201" s="6" t="s">
        <v>654</v>
      </c>
      <c r="E1201" s="6" t="s">
        <v>20</v>
      </c>
      <c r="F1201" s="7" t="s">
        <v>256</v>
      </c>
      <c r="G1201" s="7" t="s">
        <v>256</v>
      </c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</row>
    <row r="1202" ht="14.25" customHeight="1">
      <c r="A1202" s="6" t="s">
        <v>652</v>
      </c>
      <c r="B1202" s="6" t="s">
        <v>8</v>
      </c>
      <c r="C1202" s="6" t="s">
        <v>653</v>
      </c>
      <c r="D1202" s="6" t="s">
        <v>654</v>
      </c>
      <c r="E1202" s="6" t="s">
        <v>27</v>
      </c>
      <c r="F1202" s="7" t="s">
        <v>256</v>
      </c>
      <c r="G1202" s="7" t="s">
        <v>256</v>
      </c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</row>
    <row r="1203" ht="14.25" customHeight="1">
      <c r="A1203" s="6" t="s">
        <v>49</v>
      </c>
      <c r="B1203" s="6" t="s">
        <v>8</v>
      </c>
      <c r="C1203" s="6" t="s">
        <v>50</v>
      </c>
      <c r="D1203" s="6" t="s">
        <v>51</v>
      </c>
      <c r="E1203" s="6" t="s">
        <v>87</v>
      </c>
      <c r="F1203" s="7" t="s">
        <v>256</v>
      </c>
      <c r="G1203" s="7" t="s">
        <v>264</v>
      </c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</row>
    <row r="1204" ht="14.25" customHeight="1">
      <c r="A1204" s="6" t="s">
        <v>72</v>
      </c>
      <c r="B1204" s="6" t="s">
        <v>8</v>
      </c>
      <c r="C1204" s="6" t="s">
        <v>642</v>
      </c>
      <c r="D1204" s="6" t="s">
        <v>643</v>
      </c>
      <c r="E1204" s="6" t="s">
        <v>54</v>
      </c>
      <c r="F1204" s="7" t="s">
        <v>256</v>
      </c>
      <c r="G1204" s="7" t="s">
        <v>256</v>
      </c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</row>
    <row r="1205" ht="14.25" customHeight="1">
      <c r="A1205" s="6" t="s">
        <v>79</v>
      </c>
      <c r="B1205" s="6" t="s">
        <v>8</v>
      </c>
      <c r="C1205" s="6" t="s">
        <v>522</v>
      </c>
      <c r="D1205" s="6" t="s">
        <v>523</v>
      </c>
      <c r="E1205" s="6" t="s">
        <v>32</v>
      </c>
      <c r="F1205" s="7" t="s">
        <v>256</v>
      </c>
      <c r="G1205" s="7" t="s">
        <v>256</v>
      </c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</row>
    <row r="1206" ht="14.25" customHeight="1">
      <c r="A1206" s="6" t="s">
        <v>49</v>
      </c>
      <c r="B1206" s="6" t="s">
        <v>8</v>
      </c>
      <c r="C1206" s="6" t="s">
        <v>50</v>
      </c>
      <c r="D1206" s="6" t="s">
        <v>51</v>
      </c>
      <c r="E1206" s="6" t="s">
        <v>20</v>
      </c>
      <c r="F1206" s="7" t="s">
        <v>264</v>
      </c>
      <c r="G1206" s="7" t="s">
        <v>264</v>
      </c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</row>
    <row r="1207" ht="14.25" customHeight="1">
      <c r="A1207" s="6" t="s">
        <v>652</v>
      </c>
      <c r="B1207" s="6" t="s">
        <v>8</v>
      </c>
      <c r="C1207" s="6" t="s">
        <v>653</v>
      </c>
      <c r="D1207" s="6" t="s">
        <v>654</v>
      </c>
      <c r="E1207" s="6" t="s">
        <v>39</v>
      </c>
      <c r="F1207" s="7" t="s">
        <v>256</v>
      </c>
      <c r="G1207" s="7" t="s">
        <v>256</v>
      </c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</row>
    <row r="1208" ht="14.25" customHeight="1">
      <c r="A1208" s="6" t="s">
        <v>102</v>
      </c>
      <c r="B1208" s="6" t="s">
        <v>8</v>
      </c>
      <c r="C1208" s="6" t="s">
        <v>236</v>
      </c>
      <c r="D1208" s="6" t="s">
        <v>237</v>
      </c>
      <c r="E1208" s="6" t="s">
        <v>27</v>
      </c>
      <c r="F1208" s="7" t="s">
        <v>256</v>
      </c>
      <c r="G1208" s="7" t="s">
        <v>256</v>
      </c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</row>
    <row r="1209" ht="14.25" customHeight="1">
      <c r="A1209" s="6" t="s">
        <v>652</v>
      </c>
      <c r="B1209" s="6" t="s">
        <v>8</v>
      </c>
      <c r="C1209" s="6" t="s">
        <v>653</v>
      </c>
      <c r="D1209" s="6" t="s">
        <v>654</v>
      </c>
      <c r="E1209" s="6" t="s">
        <v>48</v>
      </c>
      <c r="F1209" s="7" t="s">
        <v>256</v>
      </c>
      <c r="G1209" s="7" t="s">
        <v>256</v>
      </c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</row>
    <row r="1210" ht="14.25" customHeight="1">
      <c r="A1210" s="6" t="s">
        <v>65</v>
      </c>
      <c r="B1210" s="6" t="s">
        <v>8</v>
      </c>
      <c r="C1210" s="6" t="s">
        <v>302</v>
      </c>
      <c r="D1210" s="6" t="s">
        <v>303</v>
      </c>
      <c r="E1210" s="6" t="s">
        <v>39</v>
      </c>
      <c r="F1210" s="7" t="s">
        <v>256</v>
      </c>
      <c r="G1210" s="7" t="s">
        <v>256</v>
      </c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</row>
    <row r="1211" ht="14.25" customHeight="1">
      <c r="A1211" s="6" t="s">
        <v>24</v>
      </c>
      <c r="B1211" s="6" t="s">
        <v>8</v>
      </c>
      <c r="C1211" s="6" t="s">
        <v>568</v>
      </c>
      <c r="D1211" s="6" t="s">
        <v>569</v>
      </c>
      <c r="E1211" s="6" t="s">
        <v>54</v>
      </c>
      <c r="F1211" s="7" t="s">
        <v>256</v>
      </c>
      <c r="G1211" s="7" t="s">
        <v>227</v>
      </c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</row>
    <row r="1212" ht="14.25" customHeight="1">
      <c r="A1212" s="6" t="s">
        <v>65</v>
      </c>
      <c r="B1212" s="6" t="s">
        <v>8</v>
      </c>
      <c r="C1212" s="6" t="s">
        <v>302</v>
      </c>
      <c r="D1212" s="6" t="s">
        <v>303</v>
      </c>
      <c r="E1212" s="6" t="s">
        <v>48</v>
      </c>
      <c r="F1212" s="7" t="s">
        <v>256</v>
      </c>
      <c r="G1212" s="7" t="s">
        <v>256</v>
      </c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</row>
    <row r="1213" ht="14.25" customHeight="1">
      <c r="A1213" s="6" t="s">
        <v>55</v>
      </c>
      <c r="B1213" s="6" t="s">
        <v>8</v>
      </c>
      <c r="C1213" s="6" t="s">
        <v>542</v>
      </c>
      <c r="D1213" s="6" t="s">
        <v>543</v>
      </c>
      <c r="E1213" s="6" t="s">
        <v>48</v>
      </c>
      <c r="F1213" s="7" t="s">
        <v>256</v>
      </c>
      <c r="G1213" s="7" t="s">
        <v>227</v>
      </c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</row>
    <row r="1214" ht="14.25" customHeight="1">
      <c r="A1214" s="6" t="s">
        <v>55</v>
      </c>
      <c r="B1214" s="6" t="s">
        <v>8</v>
      </c>
      <c r="C1214" s="6" t="s">
        <v>542</v>
      </c>
      <c r="D1214" s="6" t="s">
        <v>543</v>
      </c>
      <c r="E1214" s="6" t="s">
        <v>20</v>
      </c>
      <c r="F1214" s="7" t="s">
        <v>256</v>
      </c>
      <c r="G1214" s="7" t="s">
        <v>227</v>
      </c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</row>
    <row r="1215" ht="14.25" customHeight="1">
      <c r="A1215" s="6" t="s">
        <v>65</v>
      </c>
      <c r="B1215" s="6" t="s">
        <v>8</v>
      </c>
      <c r="C1215" s="6" t="s">
        <v>302</v>
      </c>
      <c r="D1215" s="6" t="s">
        <v>303</v>
      </c>
      <c r="E1215" s="6" t="s">
        <v>11</v>
      </c>
      <c r="F1215" s="7" t="s">
        <v>256</v>
      </c>
      <c r="G1215" s="7" t="s">
        <v>256</v>
      </c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</row>
    <row r="1216" ht="14.25" customHeight="1">
      <c r="A1216" s="6" t="s">
        <v>24</v>
      </c>
      <c r="B1216" s="6" t="s">
        <v>8</v>
      </c>
      <c r="C1216" s="6" t="s">
        <v>655</v>
      </c>
      <c r="D1216" s="6" t="s">
        <v>656</v>
      </c>
      <c r="E1216" s="6" t="s">
        <v>32</v>
      </c>
      <c r="F1216" s="7" t="s">
        <v>256</v>
      </c>
      <c r="G1216" s="7" t="s">
        <v>12</v>
      </c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</row>
    <row r="1217" ht="14.25" customHeight="1">
      <c r="A1217" s="6" t="s">
        <v>65</v>
      </c>
      <c r="B1217" s="6" t="s">
        <v>8</v>
      </c>
      <c r="C1217" s="6" t="s">
        <v>302</v>
      </c>
      <c r="D1217" s="6" t="s">
        <v>303</v>
      </c>
      <c r="E1217" s="6" t="s">
        <v>20</v>
      </c>
      <c r="F1217" s="7" t="s">
        <v>256</v>
      </c>
      <c r="G1217" s="7" t="s">
        <v>256</v>
      </c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</row>
    <row r="1218" ht="14.25" customHeight="1">
      <c r="A1218" s="6" t="s">
        <v>102</v>
      </c>
      <c r="B1218" s="6" t="s">
        <v>8</v>
      </c>
      <c r="C1218" s="6" t="s">
        <v>236</v>
      </c>
      <c r="D1218" s="6" t="s">
        <v>237</v>
      </c>
      <c r="E1218" s="6" t="s">
        <v>48</v>
      </c>
      <c r="F1218" s="7" t="s">
        <v>256</v>
      </c>
      <c r="G1218" s="7" t="s">
        <v>256</v>
      </c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</row>
    <row r="1219" ht="14.25" customHeight="1">
      <c r="A1219" s="6" t="s">
        <v>652</v>
      </c>
      <c r="B1219" s="6" t="s">
        <v>8</v>
      </c>
      <c r="C1219" s="6" t="s">
        <v>657</v>
      </c>
      <c r="D1219" s="6" t="s">
        <v>658</v>
      </c>
      <c r="E1219" s="6" t="s">
        <v>32</v>
      </c>
      <c r="F1219" s="7" t="s">
        <v>264</v>
      </c>
      <c r="G1219" s="7" t="s">
        <v>12</v>
      </c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</row>
    <row r="1220" ht="14.25" customHeight="1">
      <c r="A1220" s="6" t="s">
        <v>652</v>
      </c>
      <c r="B1220" s="6" t="s">
        <v>8</v>
      </c>
      <c r="C1220" s="6" t="s">
        <v>657</v>
      </c>
      <c r="D1220" s="6" t="s">
        <v>658</v>
      </c>
      <c r="E1220" s="6" t="s">
        <v>27</v>
      </c>
      <c r="F1220" s="7" t="s">
        <v>264</v>
      </c>
      <c r="G1220" s="7" t="s">
        <v>12</v>
      </c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</row>
    <row r="1221" ht="14.25" customHeight="1">
      <c r="A1221" s="6" t="s">
        <v>24</v>
      </c>
      <c r="B1221" s="6" t="s">
        <v>8</v>
      </c>
      <c r="C1221" s="6" t="s">
        <v>655</v>
      </c>
      <c r="D1221" s="6" t="s">
        <v>656</v>
      </c>
      <c r="E1221" s="6" t="s">
        <v>20</v>
      </c>
      <c r="F1221" s="7" t="s">
        <v>256</v>
      </c>
      <c r="G1221" s="7" t="s">
        <v>12</v>
      </c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</row>
    <row r="1222" ht="14.25" customHeight="1">
      <c r="A1222" s="6" t="s">
        <v>72</v>
      </c>
      <c r="B1222" s="6" t="s">
        <v>8</v>
      </c>
      <c r="C1222" s="6" t="s">
        <v>438</v>
      </c>
      <c r="D1222" s="6" t="s">
        <v>439</v>
      </c>
      <c r="E1222" s="6" t="s">
        <v>27</v>
      </c>
      <c r="F1222" s="7" t="s">
        <v>264</v>
      </c>
      <c r="G1222" s="7" t="s">
        <v>264</v>
      </c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</row>
    <row r="1223" ht="14.25" customHeight="1">
      <c r="A1223" s="6" t="s">
        <v>652</v>
      </c>
      <c r="B1223" s="6" t="s">
        <v>8</v>
      </c>
      <c r="C1223" s="6" t="s">
        <v>657</v>
      </c>
      <c r="D1223" s="6" t="s">
        <v>658</v>
      </c>
      <c r="E1223" s="6" t="s">
        <v>48</v>
      </c>
      <c r="F1223" s="7" t="s">
        <v>264</v>
      </c>
      <c r="G1223" s="7" t="s">
        <v>12</v>
      </c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</row>
    <row r="1224" ht="14.25" customHeight="1">
      <c r="A1224" s="6" t="s">
        <v>55</v>
      </c>
      <c r="B1224" s="6" t="s">
        <v>8</v>
      </c>
      <c r="C1224" s="6" t="s">
        <v>606</v>
      </c>
      <c r="D1224" s="6" t="s">
        <v>607</v>
      </c>
      <c r="E1224" s="6" t="s">
        <v>48</v>
      </c>
      <c r="F1224" s="7" t="s">
        <v>227</v>
      </c>
      <c r="G1224" s="7" t="s">
        <v>227</v>
      </c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</row>
    <row r="1225" ht="14.25" customHeight="1">
      <c r="A1225" s="6" t="s">
        <v>652</v>
      </c>
      <c r="B1225" s="6" t="s">
        <v>8</v>
      </c>
      <c r="C1225" s="6" t="s">
        <v>659</v>
      </c>
      <c r="D1225" s="6" t="s">
        <v>660</v>
      </c>
      <c r="E1225" s="6" t="s">
        <v>32</v>
      </c>
      <c r="F1225" s="7" t="s">
        <v>256</v>
      </c>
      <c r="G1225" s="7" t="s">
        <v>227</v>
      </c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</row>
    <row r="1226" ht="14.25" customHeight="1">
      <c r="A1226" s="6" t="s">
        <v>62</v>
      </c>
      <c r="B1226" s="6" t="s">
        <v>8</v>
      </c>
      <c r="C1226" s="6" t="s">
        <v>367</v>
      </c>
      <c r="D1226" s="6" t="s">
        <v>368</v>
      </c>
      <c r="E1226" s="6" t="s">
        <v>11</v>
      </c>
      <c r="F1226" s="7" t="s">
        <v>256</v>
      </c>
      <c r="G1226" s="7" t="s">
        <v>227</v>
      </c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</row>
    <row r="1227" ht="14.25" customHeight="1">
      <c r="A1227" s="6" t="s">
        <v>652</v>
      </c>
      <c r="B1227" s="6" t="s">
        <v>8</v>
      </c>
      <c r="C1227" s="6" t="s">
        <v>659</v>
      </c>
      <c r="D1227" s="6" t="s">
        <v>660</v>
      </c>
      <c r="E1227" s="6" t="s">
        <v>27</v>
      </c>
      <c r="F1227" s="7" t="s">
        <v>256</v>
      </c>
      <c r="G1227" s="7" t="s">
        <v>227</v>
      </c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</row>
    <row r="1228" ht="14.25" customHeight="1">
      <c r="A1228" s="6" t="s">
        <v>45</v>
      </c>
      <c r="B1228" s="6" t="s">
        <v>8</v>
      </c>
      <c r="C1228" s="6" t="s">
        <v>552</v>
      </c>
      <c r="D1228" s="6" t="s">
        <v>553</v>
      </c>
      <c r="E1228" s="6" t="s">
        <v>48</v>
      </c>
      <c r="F1228" s="7" t="s">
        <v>227</v>
      </c>
      <c r="G1228" s="7" t="s">
        <v>227</v>
      </c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</row>
    <row r="1229" ht="14.25" customHeight="1">
      <c r="A1229" s="6" t="s">
        <v>652</v>
      </c>
      <c r="B1229" s="6" t="s">
        <v>8</v>
      </c>
      <c r="C1229" s="6" t="s">
        <v>659</v>
      </c>
      <c r="D1229" s="6" t="s">
        <v>660</v>
      </c>
      <c r="E1229" s="6" t="s">
        <v>39</v>
      </c>
      <c r="F1229" s="7" t="s">
        <v>256</v>
      </c>
      <c r="G1229" s="7" t="s">
        <v>227</v>
      </c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</row>
    <row r="1230" ht="14.25" customHeight="1">
      <c r="A1230" s="6" t="s">
        <v>102</v>
      </c>
      <c r="B1230" s="6" t="s">
        <v>8</v>
      </c>
      <c r="C1230" s="6" t="s">
        <v>236</v>
      </c>
      <c r="D1230" s="6" t="s">
        <v>237</v>
      </c>
      <c r="E1230" s="6" t="s">
        <v>39</v>
      </c>
      <c r="F1230" s="7" t="s">
        <v>256</v>
      </c>
      <c r="G1230" s="7" t="s">
        <v>256</v>
      </c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</row>
    <row r="1231" ht="14.25" customHeight="1">
      <c r="A1231" s="6" t="s">
        <v>652</v>
      </c>
      <c r="B1231" s="6" t="s">
        <v>8</v>
      </c>
      <c r="C1231" s="6" t="s">
        <v>659</v>
      </c>
      <c r="D1231" s="6" t="s">
        <v>660</v>
      </c>
      <c r="E1231" s="6" t="s">
        <v>48</v>
      </c>
      <c r="F1231" s="7" t="s">
        <v>256</v>
      </c>
      <c r="G1231" s="7" t="s">
        <v>227</v>
      </c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</row>
    <row r="1232" ht="14.25" customHeight="1">
      <c r="A1232" s="6" t="s">
        <v>55</v>
      </c>
      <c r="B1232" s="6" t="s">
        <v>8</v>
      </c>
      <c r="C1232" s="6" t="s">
        <v>606</v>
      </c>
      <c r="D1232" s="6" t="s">
        <v>607</v>
      </c>
      <c r="E1232" s="6" t="s">
        <v>27</v>
      </c>
      <c r="F1232" s="7" t="s">
        <v>227</v>
      </c>
      <c r="G1232" s="7" t="s">
        <v>227</v>
      </c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</row>
    <row r="1233" ht="14.25" customHeight="1">
      <c r="A1233" s="6" t="s">
        <v>652</v>
      </c>
      <c r="B1233" s="6" t="s">
        <v>8</v>
      </c>
      <c r="C1233" s="6" t="s">
        <v>659</v>
      </c>
      <c r="D1233" s="6" t="s">
        <v>660</v>
      </c>
      <c r="E1233" s="6" t="s">
        <v>11</v>
      </c>
      <c r="F1233" s="7" t="s">
        <v>256</v>
      </c>
      <c r="G1233" s="7" t="s">
        <v>227</v>
      </c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</row>
    <row r="1234" ht="14.25" customHeight="1">
      <c r="A1234" s="6" t="s">
        <v>79</v>
      </c>
      <c r="B1234" s="6" t="s">
        <v>8</v>
      </c>
      <c r="C1234" s="6" t="s">
        <v>522</v>
      </c>
      <c r="D1234" s="6" t="s">
        <v>523</v>
      </c>
      <c r="E1234" s="6" t="s">
        <v>48</v>
      </c>
      <c r="F1234" s="7" t="s">
        <v>256</v>
      </c>
      <c r="G1234" s="7" t="s">
        <v>256</v>
      </c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</row>
    <row r="1235" ht="14.25" customHeight="1">
      <c r="A1235" s="6" t="s">
        <v>110</v>
      </c>
      <c r="B1235" s="6" t="s">
        <v>8</v>
      </c>
      <c r="C1235" s="6" t="s">
        <v>661</v>
      </c>
      <c r="D1235" s="6" t="s">
        <v>662</v>
      </c>
      <c r="E1235" s="6" t="s">
        <v>32</v>
      </c>
      <c r="F1235" s="7" t="s">
        <v>227</v>
      </c>
      <c r="G1235" s="7" t="s">
        <v>227</v>
      </c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</row>
    <row r="1236" ht="14.25" customHeight="1">
      <c r="A1236" s="6" t="s">
        <v>652</v>
      </c>
      <c r="B1236" s="6" t="s">
        <v>8</v>
      </c>
      <c r="C1236" s="6" t="s">
        <v>659</v>
      </c>
      <c r="D1236" s="6" t="s">
        <v>660</v>
      </c>
      <c r="E1236" s="6" t="s">
        <v>20</v>
      </c>
      <c r="F1236" s="7" t="s">
        <v>256</v>
      </c>
      <c r="G1236" s="7" t="s">
        <v>227</v>
      </c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</row>
    <row r="1237" ht="14.25" customHeight="1">
      <c r="A1237" s="6" t="s">
        <v>105</v>
      </c>
      <c r="B1237" s="6" t="s">
        <v>8</v>
      </c>
      <c r="C1237" s="6" t="s">
        <v>277</v>
      </c>
      <c r="D1237" s="6" t="s">
        <v>278</v>
      </c>
      <c r="E1237" s="6" t="s">
        <v>20</v>
      </c>
      <c r="F1237" s="7" t="s">
        <v>256</v>
      </c>
      <c r="G1237" s="7" t="s">
        <v>227</v>
      </c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</row>
    <row r="1238" ht="14.25" customHeight="1">
      <c r="A1238" s="6" t="s">
        <v>652</v>
      </c>
      <c r="B1238" s="6" t="s">
        <v>8</v>
      </c>
      <c r="C1238" s="6" t="s">
        <v>657</v>
      </c>
      <c r="D1238" s="6" t="s">
        <v>658</v>
      </c>
      <c r="E1238" s="6" t="s">
        <v>11</v>
      </c>
      <c r="F1238" s="7" t="s">
        <v>264</v>
      </c>
      <c r="G1238" s="7" t="s">
        <v>12</v>
      </c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</row>
    <row r="1239" ht="14.25" customHeight="1">
      <c r="A1239" s="6" t="s">
        <v>102</v>
      </c>
      <c r="B1239" s="6" t="s">
        <v>8</v>
      </c>
      <c r="C1239" s="6" t="s">
        <v>326</v>
      </c>
      <c r="D1239" s="6" t="s">
        <v>327</v>
      </c>
      <c r="E1239" s="6" t="s">
        <v>11</v>
      </c>
      <c r="F1239" s="7" t="s">
        <v>256</v>
      </c>
      <c r="G1239" s="7" t="s">
        <v>256</v>
      </c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</row>
    <row r="1240" ht="14.25" customHeight="1">
      <c r="A1240" s="6" t="s">
        <v>158</v>
      </c>
      <c r="B1240" s="6" t="s">
        <v>8</v>
      </c>
      <c r="C1240" s="6" t="s">
        <v>663</v>
      </c>
      <c r="D1240" s="6" t="s">
        <v>664</v>
      </c>
      <c r="E1240" s="6" t="s">
        <v>20</v>
      </c>
      <c r="F1240" s="7" t="s">
        <v>227</v>
      </c>
      <c r="G1240" s="7" t="s">
        <v>227</v>
      </c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</row>
    <row r="1241" ht="14.25" customHeight="1">
      <c r="A1241" s="6" t="s">
        <v>132</v>
      </c>
      <c r="B1241" s="6" t="s">
        <v>8</v>
      </c>
      <c r="C1241" s="6" t="s">
        <v>592</v>
      </c>
      <c r="D1241" s="6" t="s">
        <v>593</v>
      </c>
      <c r="E1241" s="6" t="s">
        <v>32</v>
      </c>
      <c r="F1241" s="7" t="s">
        <v>227</v>
      </c>
      <c r="G1241" s="7" t="s">
        <v>227</v>
      </c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</row>
    <row r="1242" ht="14.25" customHeight="1">
      <c r="A1242" s="6" t="s">
        <v>102</v>
      </c>
      <c r="B1242" s="6" t="s">
        <v>8</v>
      </c>
      <c r="C1242" s="6" t="s">
        <v>640</v>
      </c>
      <c r="D1242" s="6" t="s">
        <v>641</v>
      </c>
      <c r="E1242" s="6" t="s">
        <v>39</v>
      </c>
      <c r="F1242" s="7" t="s">
        <v>12</v>
      </c>
      <c r="G1242" s="7" t="s">
        <v>28</v>
      </c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</row>
    <row r="1243" ht="14.25" customHeight="1">
      <c r="A1243" s="6" t="s">
        <v>132</v>
      </c>
      <c r="B1243" s="6" t="s">
        <v>8</v>
      </c>
      <c r="C1243" s="6" t="s">
        <v>592</v>
      </c>
      <c r="D1243" s="6" t="s">
        <v>593</v>
      </c>
      <c r="E1243" s="6" t="s">
        <v>27</v>
      </c>
      <c r="F1243" s="7" t="s">
        <v>227</v>
      </c>
      <c r="G1243" s="7" t="s">
        <v>227</v>
      </c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</row>
    <row r="1244" ht="14.25" customHeight="1">
      <c r="A1244" s="6" t="s">
        <v>158</v>
      </c>
      <c r="B1244" s="6" t="s">
        <v>8</v>
      </c>
      <c r="C1244" s="6" t="s">
        <v>663</v>
      </c>
      <c r="D1244" s="6" t="s">
        <v>664</v>
      </c>
      <c r="E1244" s="6" t="s">
        <v>32</v>
      </c>
      <c r="F1244" s="7" t="s">
        <v>227</v>
      </c>
      <c r="G1244" s="7" t="s">
        <v>227</v>
      </c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</row>
    <row r="1245" ht="14.25" customHeight="1">
      <c r="A1245" s="6" t="s">
        <v>102</v>
      </c>
      <c r="B1245" s="6" t="s">
        <v>8</v>
      </c>
      <c r="C1245" s="6" t="s">
        <v>640</v>
      </c>
      <c r="D1245" s="6" t="s">
        <v>641</v>
      </c>
      <c r="E1245" s="6" t="s">
        <v>48</v>
      </c>
      <c r="F1245" s="7" t="s">
        <v>28</v>
      </c>
      <c r="G1245" s="7" t="s">
        <v>28</v>
      </c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</row>
    <row r="1246" ht="14.25" customHeight="1">
      <c r="A1246" s="6" t="s">
        <v>132</v>
      </c>
      <c r="B1246" s="6" t="s">
        <v>8</v>
      </c>
      <c r="C1246" s="6" t="s">
        <v>592</v>
      </c>
      <c r="D1246" s="6" t="s">
        <v>593</v>
      </c>
      <c r="E1246" s="6" t="s">
        <v>48</v>
      </c>
      <c r="F1246" s="7" t="s">
        <v>227</v>
      </c>
      <c r="G1246" s="7" t="s">
        <v>227</v>
      </c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</row>
    <row r="1247" ht="14.25" customHeight="1">
      <c r="A1247" s="6" t="s">
        <v>132</v>
      </c>
      <c r="B1247" s="6" t="s">
        <v>8</v>
      </c>
      <c r="C1247" s="6" t="s">
        <v>592</v>
      </c>
      <c r="D1247" s="6" t="s">
        <v>593</v>
      </c>
      <c r="E1247" s="6" t="s">
        <v>11</v>
      </c>
      <c r="F1247" s="7" t="s">
        <v>227</v>
      </c>
      <c r="G1247" s="7" t="s">
        <v>227</v>
      </c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</row>
    <row r="1248" ht="14.25" customHeight="1">
      <c r="A1248" s="6" t="s">
        <v>24</v>
      </c>
      <c r="B1248" s="6" t="s">
        <v>8</v>
      </c>
      <c r="C1248" s="6" t="s">
        <v>665</v>
      </c>
      <c r="D1248" s="6" t="s">
        <v>666</v>
      </c>
      <c r="E1248" s="6" t="s">
        <v>32</v>
      </c>
      <c r="F1248" s="7" t="s">
        <v>227</v>
      </c>
      <c r="G1248" s="7" t="s">
        <v>227</v>
      </c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</row>
    <row r="1249" ht="14.25" customHeight="1">
      <c r="A1249" s="6" t="s">
        <v>158</v>
      </c>
      <c r="B1249" s="6" t="s">
        <v>8</v>
      </c>
      <c r="C1249" s="6" t="s">
        <v>663</v>
      </c>
      <c r="D1249" s="6" t="s">
        <v>664</v>
      </c>
      <c r="E1249" s="6" t="s">
        <v>27</v>
      </c>
      <c r="F1249" s="7" t="s">
        <v>227</v>
      </c>
      <c r="G1249" s="7" t="s">
        <v>227</v>
      </c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</row>
    <row r="1250" ht="14.25" customHeight="1">
      <c r="A1250" s="6" t="s">
        <v>158</v>
      </c>
      <c r="B1250" s="6" t="s">
        <v>8</v>
      </c>
      <c r="C1250" s="6" t="s">
        <v>663</v>
      </c>
      <c r="D1250" s="6" t="s">
        <v>664</v>
      </c>
      <c r="E1250" s="6" t="s">
        <v>39</v>
      </c>
      <c r="F1250" s="7" t="s">
        <v>227</v>
      </c>
      <c r="G1250" s="7" t="s">
        <v>227</v>
      </c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</row>
    <row r="1251" ht="14.25" customHeight="1">
      <c r="A1251" s="6" t="s">
        <v>158</v>
      </c>
      <c r="B1251" s="6" t="s">
        <v>8</v>
      </c>
      <c r="C1251" s="6" t="s">
        <v>663</v>
      </c>
      <c r="D1251" s="6" t="s">
        <v>664</v>
      </c>
      <c r="E1251" s="6" t="s">
        <v>48</v>
      </c>
      <c r="F1251" s="7" t="s">
        <v>227</v>
      </c>
      <c r="G1251" s="7" t="s">
        <v>227</v>
      </c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</row>
    <row r="1252" ht="14.25" customHeight="1">
      <c r="A1252" s="6" t="s">
        <v>49</v>
      </c>
      <c r="B1252" s="6" t="s">
        <v>8</v>
      </c>
      <c r="C1252" s="6" t="s">
        <v>190</v>
      </c>
      <c r="D1252" s="6" t="s">
        <v>191</v>
      </c>
      <c r="E1252" s="6" t="s">
        <v>27</v>
      </c>
      <c r="F1252" s="7" t="s">
        <v>28</v>
      </c>
      <c r="G1252" s="7" t="s">
        <v>28</v>
      </c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</row>
    <row r="1253" ht="14.25" customHeight="1">
      <c r="A1253" s="6" t="s">
        <v>49</v>
      </c>
      <c r="B1253" s="6" t="s">
        <v>8</v>
      </c>
      <c r="C1253" s="6" t="s">
        <v>190</v>
      </c>
      <c r="D1253" s="6" t="s">
        <v>191</v>
      </c>
      <c r="E1253" s="6" t="s">
        <v>32</v>
      </c>
      <c r="F1253" s="7" t="s">
        <v>28</v>
      </c>
      <c r="G1253" s="7" t="s">
        <v>28</v>
      </c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</row>
    <row r="1254" ht="14.25" customHeight="1">
      <c r="A1254" s="6" t="s">
        <v>435</v>
      </c>
      <c r="B1254" s="6" t="s">
        <v>8</v>
      </c>
      <c r="C1254" s="6" t="s">
        <v>667</v>
      </c>
      <c r="D1254" s="6" t="s">
        <v>668</v>
      </c>
      <c r="E1254" s="6" t="s">
        <v>27</v>
      </c>
      <c r="F1254" s="7" t="s">
        <v>227</v>
      </c>
      <c r="G1254" s="7" t="s">
        <v>227</v>
      </c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</row>
    <row r="1255" ht="14.25" customHeight="1">
      <c r="A1255" s="6" t="s">
        <v>49</v>
      </c>
      <c r="B1255" s="6" t="s">
        <v>8</v>
      </c>
      <c r="C1255" s="6" t="s">
        <v>190</v>
      </c>
      <c r="D1255" s="6" t="s">
        <v>191</v>
      </c>
      <c r="E1255" s="6" t="s">
        <v>48</v>
      </c>
      <c r="F1255" s="7" t="s">
        <v>28</v>
      </c>
      <c r="G1255" s="7" t="s">
        <v>28</v>
      </c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</row>
    <row r="1256" ht="14.25" customHeight="1">
      <c r="A1256" s="6" t="s">
        <v>158</v>
      </c>
      <c r="B1256" s="6" t="s">
        <v>8</v>
      </c>
      <c r="C1256" s="6" t="s">
        <v>159</v>
      </c>
      <c r="D1256" s="6" t="s">
        <v>160</v>
      </c>
      <c r="E1256" s="6" t="s">
        <v>48</v>
      </c>
      <c r="F1256" s="7" t="s">
        <v>28</v>
      </c>
      <c r="G1256" s="7" t="s">
        <v>28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</row>
    <row r="1257" ht="14.25" customHeight="1">
      <c r="A1257" s="6" t="s">
        <v>158</v>
      </c>
      <c r="B1257" s="6" t="s">
        <v>8</v>
      </c>
      <c r="C1257" s="6" t="s">
        <v>159</v>
      </c>
      <c r="D1257" s="6" t="s">
        <v>160</v>
      </c>
      <c r="E1257" s="6" t="s">
        <v>32</v>
      </c>
      <c r="F1257" s="7" t="s">
        <v>28</v>
      </c>
      <c r="G1257" s="7" t="s">
        <v>28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</row>
    <row r="1258" ht="14.25" customHeight="1">
      <c r="A1258" s="6" t="s">
        <v>110</v>
      </c>
      <c r="B1258" s="6" t="s">
        <v>8</v>
      </c>
      <c r="C1258" s="6" t="s">
        <v>661</v>
      </c>
      <c r="D1258" s="6" t="s">
        <v>662</v>
      </c>
      <c r="E1258" s="6" t="s">
        <v>20</v>
      </c>
      <c r="F1258" s="7" t="s">
        <v>227</v>
      </c>
      <c r="G1258" s="7" t="s">
        <v>227</v>
      </c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</row>
    <row r="1259" ht="14.25" customHeight="1">
      <c r="A1259" s="6" t="s">
        <v>110</v>
      </c>
      <c r="B1259" s="6" t="s">
        <v>8</v>
      </c>
      <c r="C1259" s="6" t="s">
        <v>661</v>
      </c>
      <c r="D1259" s="6" t="s">
        <v>662</v>
      </c>
      <c r="E1259" s="6" t="s">
        <v>11</v>
      </c>
      <c r="F1259" s="7" t="s">
        <v>227</v>
      </c>
      <c r="G1259" s="7" t="s">
        <v>227</v>
      </c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</row>
    <row r="1260" ht="14.25" customHeight="1">
      <c r="A1260" s="6" t="s">
        <v>102</v>
      </c>
      <c r="B1260" s="6" t="s">
        <v>8</v>
      </c>
      <c r="C1260" s="6" t="s">
        <v>236</v>
      </c>
      <c r="D1260" s="6" t="s">
        <v>237</v>
      </c>
      <c r="E1260" s="6" t="s">
        <v>54</v>
      </c>
      <c r="F1260" s="7" t="s">
        <v>227</v>
      </c>
      <c r="G1260" s="7" t="s">
        <v>227</v>
      </c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</row>
    <row r="1261" ht="14.25" customHeight="1">
      <c r="A1261" s="6" t="s">
        <v>132</v>
      </c>
      <c r="B1261" s="6" t="s">
        <v>8</v>
      </c>
      <c r="C1261" s="6" t="s">
        <v>316</v>
      </c>
      <c r="D1261" s="6" t="s">
        <v>317</v>
      </c>
      <c r="E1261" s="6" t="s">
        <v>11</v>
      </c>
      <c r="F1261" s="7" t="s">
        <v>227</v>
      </c>
      <c r="G1261" s="7" t="s">
        <v>227</v>
      </c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</row>
    <row r="1262" ht="14.25" customHeight="1">
      <c r="A1262" s="6" t="s">
        <v>72</v>
      </c>
      <c r="B1262" s="6" t="s">
        <v>8</v>
      </c>
      <c r="C1262" s="6" t="s">
        <v>630</v>
      </c>
      <c r="D1262" s="6" t="s">
        <v>631</v>
      </c>
      <c r="E1262" s="6" t="s">
        <v>32</v>
      </c>
      <c r="F1262" s="7" t="s">
        <v>227</v>
      </c>
      <c r="G1262" s="7" t="s">
        <v>227</v>
      </c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</row>
    <row r="1263" ht="14.25" customHeight="1">
      <c r="A1263" s="6" t="s">
        <v>132</v>
      </c>
      <c r="B1263" s="6" t="s">
        <v>8</v>
      </c>
      <c r="C1263" s="6" t="s">
        <v>316</v>
      </c>
      <c r="D1263" s="6" t="s">
        <v>317</v>
      </c>
      <c r="E1263" s="6" t="s">
        <v>20</v>
      </c>
      <c r="F1263" s="7" t="s">
        <v>227</v>
      </c>
      <c r="G1263" s="7" t="s">
        <v>227</v>
      </c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</row>
    <row r="1264" ht="14.25" customHeight="1">
      <c r="A1264" s="6" t="s">
        <v>49</v>
      </c>
      <c r="B1264" s="6" t="s">
        <v>8</v>
      </c>
      <c r="C1264" s="6" t="s">
        <v>369</v>
      </c>
      <c r="D1264" s="6" t="s">
        <v>370</v>
      </c>
      <c r="E1264" s="6" t="s">
        <v>20</v>
      </c>
      <c r="F1264" s="7" t="s">
        <v>28</v>
      </c>
      <c r="G1264" s="7" t="s">
        <v>13</v>
      </c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</row>
    <row r="1265" ht="14.25" customHeight="1">
      <c r="A1265" s="6" t="s">
        <v>435</v>
      </c>
      <c r="B1265" s="6" t="s">
        <v>8</v>
      </c>
      <c r="C1265" s="6" t="s">
        <v>667</v>
      </c>
      <c r="D1265" s="6" t="s">
        <v>668</v>
      </c>
      <c r="E1265" s="6" t="s">
        <v>39</v>
      </c>
      <c r="F1265" s="7" t="s">
        <v>227</v>
      </c>
      <c r="G1265" s="7" t="s">
        <v>227</v>
      </c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</row>
    <row r="1266" ht="14.25" customHeight="1">
      <c r="A1266" s="6" t="s">
        <v>93</v>
      </c>
      <c r="B1266" s="6" t="s">
        <v>8</v>
      </c>
      <c r="C1266" s="6" t="s">
        <v>275</v>
      </c>
      <c r="D1266" s="6" t="s">
        <v>276</v>
      </c>
      <c r="E1266" s="6" t="s">
        <v>20</v>
      </c>
      <c r="F1266" s="7" t="s">
        <v>227</v>
      </c>
      <c r="G1266" s="7" t="s">
        <v>227</v>
      </c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  <c r="Z1266" s="5"/>
    </row>
    <row r="1267" ht="14.25" customHeight="1">
      <c r="A1267" s="6" t="s">
        <v>105</v>
      </c>
      <c r="B1267" s="6" t="s">
        <v>8</v>
      </c>
      <c r="C1267" s="6" t="s">
        <v>669</v>
      </c>
      <c r="D1267" s="6" t="s">
        <v>670</v>
      </c>
      <c r="E1267" s="6" t="s">
        <v>32</v>
      </c>
      <c r="F1267" s="7" t="s">
        <v>227</v>
      </c>
      <c r="G1267" s="7" t="s">
        <v>227</v>
      </c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</row>
    <row r="1268" ht="14.25" customHeight="1">
      <c r="A1268" s="6" t="s">
        <v>435</v>
      </c>
      <c r="B1268" s="6" t="s">
        <v>8</v>
      </c>
      <c r="C1268" s="6" t="s">
        <v>671</v>
      </c>
      <c r="D1268" s="6" t="s">
        <v>672</v>
      </c>
      <c r="E1268" s="6" t="s">
        <v>32</v>
      </c>
      <c r="F1268" s="7" t="s">
        <v>227</v>
      </c>
      <c r="G1268" s="7" t="s">
        <v>227</v>
      </c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</row>
    <row r="1269" ht="14.25" customHeight="1">
      <c r="A1269" s="6" t="s">
        <v>110</v>
      </c>
      <c r="B1269" s="6" t="s">
        <v>8</v>
      </c>
      <c r="C1269" s="6" t="s">
        <v>661</v>
      </c>
      <c r="D1269" s="6" t="s">
        <v>662</v>
      </c>
      <c r="E1269" s="6" t="s">
        <v>27</v>
      </c>
      <c r="F1269" s="7" t="s">
        <v>227</v>
      </c>
      <c r="G1269" s="7" t="s">
        <v>227</v>
      </c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</row>
    <row r="1270" ht="14.25" customHeight="1">
      <c r="A1270" s="6" t="s">
        <v>88</v>
      </c>
      <c r="B1270" s="6" t="s">
        <v>8</v>
      </c>
      <c r="C1270" s="6" t="s">
        <v>673</v>
      </c>
      <c r="D1270" s="6" t="s">
        <v>674</v>
      </c>
      <c r="E1270" s="6" t="s">
        <v>20</v>
      </c>
      <c r="F1270" s="7" t="s">
        <v>227</v>
      </c>
      <c r="G1270" s="7" t="s">
        <v>264</v>
      </c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</row>
    <row r="1271" ht="14.25" customHeight="1">
      <c r="A1271" s="6" t="s">
        <v>105</v>
      </c>
      <c r="B1271" s="6" t="s">
        <v>8</v>
      </c>
      <c r="C1271" s="6" t="s">
        <v>669</v>
      </c>
      <c r="D1271" s="6" t="s">
        <v>670</v>
      </c>
      <c r="E1271" s="6" t="s">
        <v>27</v>
      </c>
      <c r="F1271" s="7" t="s">
        <v>227</v>
      </c>
      <c r="G1271" s="7" t="s">
        <v>227</v>
      </c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</row>
    <row r="1272" ht="14.25" customHeight="1">
      <c r="A1272" s="6" t="s">
        <v>435</v>
      </c>
      <c r="B1272" s="6" t="s">
        <v>8</v>
      </c>
      <c r="C1272" s="6" t="s">
        <v>667</v>
      </c>
      <c r="D1272" s="6" t="s">
        <v>668</v>
      </c>
      <c r="E1272" s="6" t="s">
        <v>48</v>
      </c>
      <c r="F1272" s="7" t="s">
        <v>227</v>
      </c>
      <c r="G1272" s="7" t="s">
        <v>227</v>
      </c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</row>
    <row r="1273" ht="14.25" customHeight="1">
      <c r="A1273" s="6" t="s">
        <v>388</v>
      </c>
      <c r="B1273" s="6" t="s">
        <v>8</v>
      </c>
      <c r="C1273" s="6" t="s">
        <v>675</v>
      </c>
      <c r="D1273" s="6" t="s">
        <v>676</v>
      </c>
      <c r="E1273" s="6" t="s">
        <v>20</v>
      </c>
      <c r="F1273" s="7" t="s">
        <v>227</v>
      </c>
      <c r="G1273" s="7" t="s">
        <v>227</v>
      </c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</row>
    <row r="1274" ht="14.25" customHeight="1">
      <c r="A1274" s="6" t="s">
        <v>88</v>
      </c>
      <c r="B1274" s="6" t="s">
        <v>8</v>
      </c>
      <c r="C1274" s="6" t="s">
        <v>673</v>
      </c>
      <c r="D1274" s="6" t="s">
        <v>674</v>
      </c>
      <c r="E1274" s="6" t="s">
        <v>11</v>
      </c>
      <c r="F1274" s="7" t="s">
        <v>227</v>
      </c>
      <c r="G1274" s="7" t="s">
        <v>264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</row>
    <row r="1275" ht="14.25" customHeight="1">
      <c r="A1275" s="6" t="s">
        <v>435</v>
      </c>
      <c r="B1275" s="6" t="s">
        <v>8</v>
      </c>
      <c r="C1275" s="6" t="s">
        <v>671</v>
      </c>
      <c r="D1275" s="6" t="s">
        <v>672</v>
      </c>
      <c r="E1275" s="6" t="s">
        <v>27</v>
      </c>
      <c r="F1275" s="7" t="s">
        <v>227</v>
      </c>
      <c r="G1275" s="7" t="s">
        <v>227</v>
      </c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</row>
    <row r="1276" ht="14.25" customHeight="1">
      <c r="A1276" s="6" t="s">
        <v>388</v>
      </c>
      <c r="B1276" s="6" t="s">
        <v>8</v>
      </c>
      <c r="C1276" s="6" t="s">
        <v>675</v>
      </c>
      <c r="D1276" s="6" t="s">
        <v>676</v>
      </c>
      <c r="E1276" s="6" t="s">
        <v>32</v>
      </c>
      <c r="F1276" s="7" t="s">
        <v>227</v>
      </c>
      <c r="G1276" s="7" t="s">
        <v>227</v>
      </c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</row>
    <row r="1277" ht="14.25" customHeight="1">
      <c r="A1277" s="6" t="s">
        <v>105</v>
      </c>
      <c r="B1277" s="6" t="s">
        <v>8</v>
      </c>
      <c r="C1277" s="6" t="s">
        <v>669</v>
      </c>
      <c r="D1277" s="6" t="s">
        <v>670</v>
      </c>
      <c r="E1277" s="6" t="s">
        <v>54</v>
      </c>
      <c r="F1277" s="7" t="s">
        <v>227</v>
      </c>
      <c r="G1277" s="7" t="s">
        <v>227</v>
      </c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</row>
    <row r="1278" ht="14.25" customHeight="1">
      <c r="A1278" s="6" t="s">
        <v>93</v>
      </c>
      <c r="B1278" s="6" t="s">
        <v>8</v>
      </c>
      <c r="C1278" s="6" t="s">
        <v>275</v>
      </c>
      <c r="D1278" s="6" t="s">
        <v>276</v>
      </c>
      <c r="E1278" s="6" t="s">
        <v>11</v>
      </c>
      <c r="F1278" s="7" t="s">
        <v>227</v>
      </c>
      <c r="G1278" s="7" t="s">
        <v>227</v>
      </c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</row>
    <row r="1279" ht="14.25" customHeight="1">
      <c r="A1279" s="6" t="s">
        <v>435</v>
      </c>
      <c r="B1279" s="6" t="s">
        <v>8</v>
      </c>
      <c r="C1279" s="6" t="s">
        <v>671</v>
      </c>
      <c r="D1279" s="6" t="s">
        <v>672</v>
      </c>
      <c r="E1279" s="6" t="s">
        <v>39</v>
      </c>
      <c r="F1279" s="7" t="s">
        <v>227</v>
      </c>
      <c r="G1279" s="7" t="s">
        <v>227</v>
      </c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</row>
    <row r="1280" ht="14.25" customHeight="1">
      <c r="A1280" s="6" t="s">
        <v>105</v>
      </c>
      <c r="B1280" s="6" t="s">
        <v>8</v>
      </c>
      <c r="C1280" s="6" t="s">
        <v>669</v>
      </c>
      <c r="D1280" s="6" t="s">
        <v>670</v>
      </c>
      <c r="E1280" s="6" t="s">
        <v>39</v>
      </c>
      <c r="F1280" s="7" t="s">
        <v>227</v>
      </c>
      <c r="G1280" s="7" t="s">
        <v>227</v>
      </c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</row>
    <row r="1281" ht="14.25" customHeight="1">
      <c r="A1281" s="6" t="s">
        <v>435</v>
      </c>
      <c r="B1281" s="6" t="s">
        <v>8</v>
      </c>
      <c r="C1281" s="6" t="s">
        <v>671</v>
      </c>
      <c r="D1281" s="6" t="s">
        <v>672</v>
      </c>
      <c r="E1281" s="6" t="s">
        <v>48</v>
      </c>
      <c r="F1281" s="7" t="s">
        <v>227</v>
      </c>
      <c r="G1281" s="7" t="s">
        <v>227</v>
      </c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</row>
    <row r="1282" ht="14.25" customHeight="1">
      <c r="A1282" s="6" t="s">
        <v>88</v>
      </c>
      <c r="B1282" s="6" t="s">
        <v>8</v>
      </c>
      <c r="C1282" s="6" t="s">
        <v>673</v>
      </c>
      <c r="D1282" s="6" t="s">
        <v>674</v>
      </c>
      <c r="E1282" s="6" t="s">
        <v>27</v>
      </c>
      <c r="F1282" s="7" t="s">
        <v>227</v>
      </c>
      <c r="G1282" s="7" t="s">
        <v>264</v>
      </c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</row>
    <row r="1283" ht="14.25" customHeight="1">
      <c r="A1283" s="6" t="s">
        <v>388</v>
      </c>
      <c r="B1283" s="6" t="s">
        <v>8</v>
      </c>
      <c r="C1283" s="6" t="s">
        <v>677</v>
      </c>
      <c r="D1283" s="6" t="s">
        <v>678</v>
      </c>
      <c r="E1283" s="6" t="s">
        <v>32</v>
      </c>
      <c r="F1283" s="7" t="s">
        <v>227</v>
      </c>
      <c r="G1283" s="7" t="s">
        <v>227</v>
      </c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</row>
    <row r="1284" ht="14.25" customHeight="1">
      <c r="A1284" s="6" t="s">
        <v>72</v>
      </c>
      <c r="B1284" s="6" t="s">
        <v>8</v>
      </c>
      <c r="C1284" s="6" t="s">
        <v>630</v>
      </c>
      <c r="D1284" s="6" t="s">
        <v>631</v>
      </c>
      <c r="E1284" s="6" t="s">
        <v>11</v>
      </c>
      <c r="F1284" s="7" t="s">
        <v>227</v>
      </c>
      <c r="G1284" s="7" t="s">
        <v>227</v>
      </c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</row>
    <row r="1285" ht="14.25" customHeight="1">
      <c r="A1285" s="6" t="s">
        <v>388</v>
      </c>
      <c r="B1285" s="6" t="s">
        <v>8</v>
      </c>
      <c r="C1285" s="6" t="s">
        <v>677</v>
      </c>
      <c r="D1285" s="6" t="s">
        <v>678</v>
      </c>
      <c r="E1285" s="6" t="s">
        <v>20</v>
      </c>
      <c r="F1285" s="7" t="s">
        <v>227</v>
      </c>
      <c r="G1285" s="7" t="s">
        <v>227</v>
      </c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</row>
    <row r="1286" ht="14.25" customHeight="1">
      <c r="A1286" s="6" t="s">
        <v>388</v>
      </c>
      <c r="B1286" s="6" t="s">
        <v>8</v>
      </c>
      <c r="C1286" s="6" t="s">
        <v>677</v>
      </c>
      <c r="D1286" s="6" t="s">
        <v>678</v>
      </c>
      <c r="E1286" s="6" t="s">
        <v>11</v>
      </c>
      <c r="F1286" s="7" t="s">
        <v>227</v>
      </c>
      <c r="G1286" s="7" t="s">
        <v>227</v>
      </c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</row>
    <row r="1287" ht="14.25" customHeight="1">
      <c r="A1287" s="6" t="s">
        <v>105</v>
      </c>
      <c r="B1287" s="6" t="s">
        <v>8</v>
      </c>
      <c r="C1287" s="6" t="s">
        <v>669</v>
      </c>
      <c r="D1287" s="6" t="s">
        <v>670</v>
      </c>
      <c r="E1287" s="6" t="s">
        <v>48</v>
      </c>
      <c r="F1287" s="7" t="s">
        <v>227</v>
      </c>
      <c r="G1287" s="7" t="s">
        <v>227</v>
      </c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</row>
    <row r="1288" ht="14.25" customHeight="1">
      <c r="A1288" s="6" t="s">
        <v>388</v>
      </c>
      <c r="B1288" s="6" t="s">
        <v>8</v>
      </c>
      <c r="C1288" s="6" t="s">
        <v>677</v>
      </c>
      <c r="D1288" s="6" t="s">
        <v>678</v>
      </c>
      <c r="E1288" s="6" t="s">
        <v>48</v>
      </c>
      <c r="F1288" s="7" t="s">
        <v>227</v>
      </c>
      <c r="G1288" s="7" t="s">
        <v>227</v>
      </c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</row>
    <row r="1289" ht="14.25" customHeight="1">
      <c r="A1289" s="6" t="s">
        <v>93</v>
      </c>
      <c r="B1289" s="6" t="s">
        <v>8</v>
      </c>
      <c r="C1289" s="6" t="s">
        <v>275</v>
      </c>
      <c r="D1289" s="6" t="s">
        <v>276</v>
      </c>
      <c r="E1289" s="6" t="s">
        <v>32</v>
      </c>
      <c r="F1289" s="7" t="s">
        <v>227</v>
      </c>
      <c r="G1289" s="7" t="s">
        <v>227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</row>
    <row r="1290" ht="14.25" customHeight="1">
      <c r="A1290" s="6" t="s">
        <v>88</v>
      </c>
      <c r="B1290" s="6" t="s">
        <v>8</v>
      </c>
      <c r="C1290" s="6" t="s">
        <v>673</v>
      </c>
      <c r="D1290" s="6" t="s">
        <v>674</v>
      </c>
      <c r="E1290" s="6" t="s">
        <v>32</v>
      </c>
      <c r="F1290" s="7" t="s">
        <v>227</v>
      </c>
      <c r="G1290" s="7" t="s">
        <v>264</v>
      </c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</row>
    <row r="1291" ht="14.25" customHeight="1">
      <c r="A1291" s="6" t="s">
        <v>388</v>
      </c>
      <c r="B1291" s="6" t="s">
        <v>8</v>
      </c>
      <c r="C1291" s="6" t="s">
        <v>677</v>
      </c>
      <c r="D1291" s="6" t="s">
        <v>678</v>
      </c>
      <c r="E1291" s="6" t="s">
        <v>39</v>
      </c>
      <c r="F1291" s="7" t="s">
        <v>227</v>
      </c>
      <c r="G1291" s="7" t="s">
        <v>227</v>
      </c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</row>
    <row r="1292" ht="14.25" customHeight="1">
      <c r="A1292" s="6" t="s">
        <v>388</v>
      </c>
      <c r="B1292" s="6" t="s">
        <v>8</v>
      </c>
      <c r="C1292" s="6" t="s">
        <v>677</v>
      </c>
      <c r="D1292" s="6" t="s">
        <v>678</v>
      </c>
      <c r="E1292" s="6" t="s">
        <v>27</v>
      </c>
      <c r="F1292" s="7" t="s">
        <v>227</v>
      </c>
      <c r="G1292" s="7" t="s">
        <v>227</v>
      </c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</row>
    <row r="1293" ht="14.25" customHeight="1">
      <c r="A1293" s="6" t="s">
        <v>72</v>
      </c>
      <c r="B1293" s="6" t="s">
        <v>8</v>
      </c>
      <c r="C1293" s="6" t="s">
        <v>630</v>
      </c>
      <c r="D1293" s="6" t="s">
        <v>631</v>
      </c>
      <c r="E1293" s="6" t="s">
        <v>48</v>
      </c>
      <c r="F1293" s="7" t="s">
        <v>227</v>
      </c>
      <c r="G1293" s="7" t="s">
        <v>227</v>
      </c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</row>
    <row r="1294" ht="14.25" customHeight="1">
      <c r="A1294" s="6" t="s">
        <v>435</v>
      </c>
      <c r="B1294" s="6" t="s">
        <v>8</v>
      </c>
      <c r="C1294" s="6" t="s">
        <v>667</v>
      </c>
      <c r="D1294" s="6" t="s">
        <v>668</v>
      </c>
      <c r="E1294" s="6" t="s">
        <v>11</v>
      </c>
      <c r="F1294" s="7" t="s">
        <v>227</v>
      </c>
      <c r="G1294" s="7" t="s">
        <v>227</v>
      </c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</row>
    <row r="1295" ht="14.25" customHeight="1">
      <c r="A1295" s="6" t="s">
        <v>105</v>
      </c>
      <c r="B1295" s="6" t="s">
        <v>8</v>
      </c>
      <c r="C1295" s="6" t="s">
        <v>669</v>
      </c>
      <c r="D1295" s="6" t="s">
        <v>670</v>
      </c>
      <c r="E1295" s="6" t="s">
        <v>11</v>
      </c>
      <c r="F1295" s="7" t="s">
        <v>227</v>
      </c>
      <c r="G1295" s="7" t="s">
        <v>227</v>
      </c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</row>
    <row r="1296" ht="14.25" customHeight="1">
      <c r="A1296" s="6" t="s">
        <v>105</v>
      </c>
      <c r="B1296" s="6" t="s">
        <v>8</v>
      </c>
      <c r="C1296" s="6" t="s">
        <v>669</v>
      </c>
      <c r="D1296" s="6" t="s">
        <v>670</v>
      </c>
      <c r="E1296" s="6" t="s">
        <v>20</v>
      </c>
      <c r="F1296" s="7" t="s">
        <v>227</v>
      </c>
      <c r="G1296" s="7" t="s">
        <v>227</v>
      </c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</row>
    <row r="1297" ht="14.25" customHeight="1">
      <c r="A1297" s="6" t="s">
        <v>17</v>
      </c>
      <c r="B1297" s="6" t="s">
        <v>8</v>
      </c>
      <c r="C1297" s="6" t="s">
        <v>590</v>
      </c>
      <c r="D1297" s="6" t="s">
        <v>591</v>
      </c>
      <c r="E1297" s="6" t="s">
        <v>39</v>
      </c>
      <c r="F1297" s="7" t="s">
        <v>227</v>
      </c>
      <c r="G1297" s="7" t="s">
        <v>227</v>
      </c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</row>
    <row r="1298" ht="14.25" customHeight="1">
      <c r="A1298" s="6" t="s">
        <v>14</v>
      </c>
      <c r="B1298" s="6" t="s">
        <v>8</v>
      </c>
      <c r="C1298" s="6" t="s">
        <v>679</v>
      </c>
      <c r="D1298" s="6" t="s">
        <v>680</v>
      </c>
      <c r="E1298" s="6" t="s">
        <v>32</v>
      </c>
      <c r="F1298" s="7" t="s">
        <v>227</v>
      </c>
      <c r="G1298" s="7" t="s">
        <v>227</v>
      </c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</row>
    <row r="1299" ht="14.25" customHeight="1">
      <c r="A1299" s="6" t="s">
        <v>93</v>
      </c>
      <c r="B1299" s="6" t="s">
        <v>8</v>
      </c>
      <c r="C1299" s="6" t="s">
        <v>275</v>
      </c>
      <c r="D1299" s="6" t="s">
        <v>276</v>
      </c>
      <c r="E1299" s="6" t="s">
        <v>27</v>
      </c>
      <c r="F1299" s="7" t="s">
        <v>227</v>
      </c>
      <c r="G1299" s="7" t="s">
        <v>227</v>
      </c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</row>
    <row r="1300" ht="14.25" customHeight="1">
      <c r="A1300" s="6" t="s">
        <v>33</v>
      </c>
      <c r="B1300" s="6" t="s">
        <v>8</v>
      </c>
      <c r="C1300" s="6" t="s">
        <v>419</v>
      </c>
      <c r="D1300" s="6" t="s">
        <v>420</v>
      </c>
      <c r="E1300" s="6" t="s">
        <v>20</v>
      </c>
      <c r="F1300" s="7" t="s">
        <v>227</v>
      </c>
      <c r="G1300" s="7" t="s">
        <v>12</v>
      </c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</row>
    <row r="1301" ht="14.25" customHeight="1">
      <c r="A1301" s="6" t="s">
        <v>72</v>
      </c>
      <c r="B1301" s="6" t="s">
        <v>8</v>
      </c>
      <c r="C1301" s="6" t="s">
        <v>630</v>
      </c>
      <c r="D1301" s="6" t="s">
        <v>631</v>
      </c>
      <c r="E1301" s="6" t="s">
        <v>20</v>
      </c>
      <c r="F1301" s="7" t="s">
        <v>227</v>
      </c>
      <c r="G1301" s="7" t="s">
        <v>227</v>
      </c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</row>
    <row r="1302" ht="14.25" customHeight="1">
      <c r="A1302" s="6" t="s">
        <v>45</v>
      </c>
      <c r="B1302" s="6" t="s">
        <v>8</v>
      </c>
      <c r="C1302" s="6" t="s">
        <v>552</v>
      </c>
      <c r="D1302" s="6" t="s">
        <v>553</v>
      </c>
      <c r="E1302" s="6" t="s">
        <v>32</v>
      </c>
      <c r="F1302" s="7" t="s">
        <v>227</v>
      </c>
      <c r="G1302" s="7" t="s">
        <v>28</v>
      </c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</row>
    <row r="1303" ht="14.25" customHeight="1">
      <c r="A1303" s="6" t="s">
        <v>24</v>
      </c>
      <c r="B1303" s="6" t="s">
        <v>8</v>
      </c>
      <c r="C1303" s="6" t="s">
        <v>568</v>
      </c>
      <c r="D1303" s="6" t="s">
        <v>569</v>
      </c>
      <c r="E1303" s="6" t="s">
        <v>39</v>
      </c>
      <c r="F1303" s="7" t="s">
        <v>227</v>
      </c>
      <c r="G1303" s="7" t="s">
        <v>227</v>
      </c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</row>
    <row r="1304" ht="14.25" customHeight="1">
      <c r="A1304" s="6" t="s">
        <v>14</v>
      </c>
      <c r="B1304" s="6" t="s">
        <v>8</v>
      </c>
      <c r="C1304" s="6" t="s">
        <v>679</v>
      </c>
      <c r="D1304" s="6" t="s">
        <v>680</v>
      </c>
      <c r="E1304" s="6" t="s">
        <v>27</v>
      </c>
      <c r="F1304" s="7" t="s">
        <v>227</v>
      </c>
      <c r="G1304" s="7" t="s">
        <v>227</v>
      </c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</row>
    <row r="1305" ht="14.25" customHeight="1">
      <c r="A1305" s="6" t="s">
        <v>17</v>
      </c>
      <c r="B1305" s="6" t="s">
        <v>8</v>
      </c>
      <c r="C1305" s="6" t="s">
        <v>590</v>
      </c>
      <c r="D1305" s="6" t="s">
        <v>591</v>
      </c>
      <c r="E1305" s="6" t="s">
        <v>11</v>
      </c>
      <c r="F1305" s="7" t="s">
        <v>227</v>
      </c>
      <c r="G1305" s="7" t="s">
        <v>227</v>
      </c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</row>
    <row r="1306" ht="14.25" customHeight="1">
      <c r="A1306" s="6" t="s">
        <v>93</v>
      </c>
      <c r="B1306" s="6" t="s">
        <v>8</v>
      </c>
      <c r="C1306" s="6" t="s">
        <v>275</v>
      </c>
      <c r="D1306" s="6" t="s">
        <v>276</v>
      </c>
      <c r="E1306" s="6" t="s">
        <v>48</v>
      </c>
      <c r="F1306" s="7" t="s">
        <v>227</v>
      </c>
      <c r="G1306" s="7" t="s">
        <v>227</v>
      </c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</row>
    <row r="1307" ht="14.25" customHeight="1">
      <c r="A1307" s="6" t="s">
        <v>42</v>
      </c>
      <c r="B1307" s="6" t="s">
        <v>8</v>
      </c>
      <c r="C1307" s="6" t="s">
        <v>681</v>
      </c>
      <c r="D1307" s="6" t="s">
        <v>682</v>
      </c>
      <c r="E1307" s="6" t="s">
        <v>11</v>
      </c>
      <c r="F1307" s="7" t="s">
        <v>227</v>
      </c>
      <c r="G1307" s="7" t="s">
        <v>227</v>
      </c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</row>
    <row r="1308" ht="14.25" customHeight="1">
      <c r="A1308" s="6" t="s">
        <v>17</v>
      </c>
      <c r="B1308" s="6" t="s">
        <v>8</v>
      </c>
      <c r="C1308" s="6" t="s">
        <v>590</v>
      </c>
      <c r="D1308" s="6" t="s">
        <v>591</v>
      </c>
      <c r="E1308" s="6" t="s">
        <v>20</v>
      </c>
      <c r="F1308" s="7" t="s">
        <v>227</v>
      </c>
      <c r="G1308" s="7" t="s">
        <v>227</v>
      </c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</row>
    <row r="1309" ht="14.25" customHeight="1">
      <c r="A1309" s="6" t="s">
        <v>652</v>
      </c>
      <c r="B1309" s="6" t="s">
        <v>8</v>
      </c>
      <c r="C1309" s="6" t="s">
        <v>657</v>
      </c>
      <c r="D1309" s="6" t="s">
        <v>658</v>
      </c>
      <c r="E1309" s="6" t="s">
        <v>20</v>
      </c>
      <c r="F1309" s="7" t="s">
        <v>264</v>
      </c>
      <c r="G1309" s="7" t="s">
        <v>12</v>
      </c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</row>
    <row r="1310" ht="14.25" customHeight="1">
      <c r="A1310" s="6" t="s">
        <v>45</v>
      </c>
      <c r="B1310" s="6" t="s">
        <v>8</v>
      </c>
      <c r="C1310" s="6" t="s">
        <v>335</v>
      </c>
      <c r="D1310" s="6" t="s">
        <v>336</v>
      </c>
      <c r="E1310" s="6" t="s">
        <v>11</v>
      </c>
      <c r="F1310" s="7" t="s">
        <v>12</v>
      </c>
      <c r="G1310" s="7" t="s">
        <v>28</v>
      </c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</row>
    <row r="1311" ht="14.25" customHeight="1">
      <c r="A1311" s="6" t="s">
        <v>42</v>
      </c>
      <c r="B1311" s="6" t="s">
        <v>8</v>
      </c>
      <c r="C1311" s="6" t="s">
        <v>681</v>
      </c>
      <c r="D1311" s="6" t="s">
        <v>682</v>
      </c>
      <c r="E1311" s="6" t="s">
        <v>27</v>
      </c>
      <c r="F1311" s="7" t="s">
        <v>227</v>
      </c>
      <c r="G1311" s="7" t="s">
        <v>227</v>
      </c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</row>
    <row r="1312" ht="14.25" customHeight="1">
      <c r="A1312" s="6" t="s">
        <v>45</v>
      </c>
      <c r="B1312" s="6" t="s">
        <v>8</v>
      </c>
      <c r="C1312" s="6" t="s">
        <v>335</v>
      </c>
      <c r="D1312" s="6" t="s">
        <v>336</v>
      </c>
      <c r="E1312" s="6" t="s">
        <v>48</v>
      </c>
      <c r="F1312" s="7" t="s">
        <v>12</v>
      </c>
      <c r="G1312" s="7" t="s">
        <v>28</v>
      </c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</row>
    <row r="1313" ht="14.25" customHeight="1">
      <c r="A1313" s="6" t="s">
        <v>17</v>
      </c>
      <c r="B1313" s="6" t="s">
        <v>8</v>
      </c>
      <c r="C1313" s="6" t="s">
        <v>225</v>
      </c>
      <c r="D1313" s="6" t="s">
        <v>226</v>
      </c>
      <c r="E1313" s="6" t="s">
        <v>32</v>
      </c>
      <c r="F1313" s="7" t="s">
        <v>227</v>
      </c>
      <c r="G1313" s="7" t="s">
        <v>227</v>
      </c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</row>
    <row r="1314" ht="14.25" customHeight="1">
      <c r="A1314" s="6" t="s">
        <v>29</v>
      </c>
      <c r="B1314" s="6" t="s">
        <v>8</v>
      </c>
      <c r="C1314" s="6" t="s">
        <v>202</v>
      </c>
      <c r="D1314" s="6" t="s">
        <v>203</v>
      </c>
      <c r="E1314" s="6" t="s">
        <v>32</v>
      </c>
      <c r="F1314" s="7" t="s">
        <v>28</v>
      </c>
      <c r="G1314" s="7" t="s">
        <v>28</v>
      </c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</row>
    <row r="1315" ht="14.25" customHeight="1">
      <c r="A1315" s="6" t="s">
        <v>17</v>
      </c>
      <c r="B1315" s="6" t="s">
        <v>8</v>
      </c>
      <c r="C1315" s="6" t="s">
        <v>225</v>
      </c>
      <c r="D1315" s="6" t="s">
        <v>226</v>
      </c>
      <c r="E1315" s="6" t="s">
        <v>48</v>
      </c>
      <c r="F1315" s="7" t="s">
        <v>227</v>
      </c>
      <c r="G1315" s="7" t="s">
        <v>227</v>
      </c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</row>
    <row r="1316" ht="14.25" customHeight="1">
      <c r="A1316" s="6" t="s">
        <v>24</v>
      </c>
      <c r="B1316" s="6" t="s">
        <v>8</v>
      </c>
      <c r="C1316" s="6" t="s">
        <v>431</v>
      </c>
      <c r="D1316" s="6" t="s">
        <v>432</v>
      </c>
      <c r="E1316" s="6" t="s">
        <v>11</v>
      </c>
      <c r="F1316" s="7" t="s">
        <v>227</v>
      </c>
      <c r="G1316" s="7" t="s">
        <v>227</v>
      </c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</row>
    <row r="1317" ht="14.25" customHeight="1">
      <c r="A1317" s="6" t="s">
        <v>17</v>
      </c>
      <c r="B1317" s="6" t="s">
        <v>8</v>
      </c>
      <c r="C1317" s="6" t="s">
        <v>225</v>
      </c>
      <c r="D1317" s="6" t="s">
        <v>226</v>
      </c>
      <c r="E1317" s="6" t="s">
        <v>39</v>
      </c>
      <c r="F1317" s="7" t="s">
        <v>227</v>
      </c>
      <c r="G1317" s="7" t="s">
        <v>227</v>
      </c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</row>
    <row r="1318" ht="14.25" customHeight="1">
      <c r="A1318" s="6" t="s">
        <v>14</v>
      </c>
      <c r="B1318" s="6" t="s">
        <v>8</v>
      </c>
      <c r="C1318" s="6" t="s">
        <v>679</v>
      </c>
      <c r="D1318" s="6" t="s">
        <v>680</v>
      </c>
      <c r="E1318" s="6" t="s">
        <v>48</v>
      </c>
      <c r="F1318" s="7" t="s">
        <v>227</v>
      </c>
      <c r="G1318" s="7" t="s">
        <v>227</v>
      </c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</row>
    <row r="1319" ht="14.25" customHeight="1">
      <c r="A1319" s="6" t="s">
        <v>652</v>
      </c>
      <c r="B1319" s="6" t="s">
        <v>8</v>
      </c>
      <c r="C1319" s="6" t="s">
        <v>683</v>
      </c>
      <c r="D1319" s="6" t="s">
        <v>684</v>
      </c>
      <c r="E1319" s="6" t="s">
        <v>20</v>
      </c>
      <c r="F1319" s="7" t="s">
        <v>227</v>
      </c>
      <c r="G1319" s="7" t="s">
        <v>227</v>
      </c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</row>
    <row r="1320" ht="14.25" customHeight="1">
      <c r="A1320" s="6" t="s">
        <v>14</v>
      </c>
      <c r="B1320" s="6" t="s">
        <v>8</v>
      </c>
      <c r="C1320" s="6" t="s">
        <v>679</v>
      </c>
      <c r="D1320" s="6" t="s">
        <v>680</v>
      </c>
      <c r="E1320" s="6" t="s">
        <v>11</v>
      </c>
      <c r="F1320" s="7" t="s">
        <v>227</v>
      </c>
      <c r="G1320" s="7" t="s">
        <v>227</v>
      </c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</row>
    <row r="1321" ht="14.25" customHeight="1">
      <c r="A1321" s="6" t="s">
        <v>14</v>
      </c>
      <c r="B1321" s="6" t="s">
        <v>8</v>
      </c>
      <c r="C1321" s="6" t="s">
        <v>679</v>
      </c>
      <c r="D1321" s="6" t="s">
        <v>680</v>
      </c>
      <c r="E1321" s="6" t="s">
        <v>20</v>
      </c>
      <c r="F1321" s="7" t="s">
        <v>227</v>
      </c>
      <c r="G1321" s="7" t="s">
        <v>227</v>
      </c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</row>
    <row r="1322" ht="14.25" customHeight="1">
      <c r="A1322" s="6" t="s">
        <v>122</v>
      </c>
      <c r="B1322" s="6" t="s">
        <v>8</v>
      </c>
      <c r="C1322" s="6" t="s">
        <v>425</v>
      </c>
      <c r="D1322" s="6" t="s">
        <v>426</v>
      </c>
      <c r="E1322" s="6" t="s">
        <v>54</v>
      </c>
      <c r="F1322" s="7" t="s">
        <v>227</v>
      </c>
      <c r="G1322" s="7" t="s">
        <v>227</v>
      </c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</row>
    <row r="1323" ht="14.25" customHeight="1">
      <c r="A1323" s="6" t="s">
        <v>435</v>
      </c>
      <c r="B1323" s="6" t="s">
        <v>8</v>
      </c>
      <c r="C1323" s="6" t="s">
        <v>671</v>
      </c>
      <c r="D1323" s="6" t="s">
        <v>672</v>
      </c>
      <c r="E1323" s="6" t="s">
        <v>20</v>
      </c>
      <c r="F1323" s="7" t="s">
        <v>227</v>
      </c>
      <c r="G1323" s="7" t="s">
        <v>227</v>
      </c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</row>
    <row r="1324" ht="14.25" customHeight="1">
      <c r="A1324" s="6" t="s">
        <v>33</v>
      </c>
      <c r="B1324" s="6" t="s">
        <v>8</v>
      </c>
      <c r="C1324" s="6" t="s">
        <v>685</v>
      </c>
      <c r="D1324" s="6" t="s">
        <v>686</v>
      </c>
      <c r="E1324" s="6" t="s">
        <v>32</v>
      </c>
      <c r="F1324" s="7" t="s">
        <v>227</v>
      </c>
      <c r="G1324" s="7" t="s">
        <v>227</v>
      </c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</row>
    <row r="1325" ht="14.25" customHeight="1">
      <c r="A1325" s="6" t="s">
        <v>42</v>
      </c>
      <c r="B1325" s="6" t="s">
        <v>8</v>
      </c>
      <c r="C1325" s="6" t="s">
        <v>681</v>
      </c>
      <c r="D1325" s="6" t="s">
        <v>682</v>
      </c>
      <c r="E1325" s="6" t="s">
        <v>20</v>
      </c>
      <c r="F1325" s="7" t="s">
        <v>227</v>
      </c>
      <c r="G1325" s="7" t="s">
        <v>227</v>
      </c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</row>
    <row r="1326" ht="14.25" customHeight="1">
      <c r="A1326" s="6" t="s">
        <v>102</v>
      </c>
      <c r="B1326" s="6" t="s">
        <v>8</v>
      </c>
      <c r="C1326" s="6" t="s">
        <v>120</v>
      </c>
      <c r="D1326" s="6" t="s">
        <v>121</v>
      </c>
      <c r="E1326" s="6" t="s">
        <v>27</v>
      </c>
      <c r="F1326" s="7" t="s">
        <v>12</v>
      </c>
      <c r="G1326" s="7" t="s">
        <v>28</v>
      </c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</row>
    <row r="1327" ht="14.25" customHeight="1">
      <c r="A1327" s="6" t="s">
        <v>129</v>
      </c>
      <c r="B1327" s="6" t="s">
        <v>8</v>
      </c>
      <c r="C1327" s="6" t="s">
        <v>644</v>
      </c>
      <c r="D1327" s="6" t="s">
        <v>645</v>
      </c>
      <c r="E1327" s="6" t="s">
        <v>32</v>
      </c>
      <c r="F1327" s="7" t="s">
        <v>264</v>
      </c>
      <c r="G1327" s="7" t="s">
        <v>264</v>
      </c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</row>
    <row r="1328" ht="14.25" customHeight="1">
      <c r="A1328" s="6" t="s">
        <v>102</v>
      </c>
      <c r="B1328" s="6" t="s">
        <v>8</v>
      </c>
      <c r="C1328" s="6" t="s">
        <v>120</v>
      </c>
      <c r="D1328" s="6" t="s">
        <v>121</v>
      </c>
      <c r="E1328" s="6" t="s">
        <v>48</v>
      </c>
      <c r="F1328" s="7" t="s">
        <v>12</v>
      </c>
      <c r="G1328" s="7" t="s">
        <v>28</v>
      </c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</row>
    <row r="1329" ht="14.25" customHeight="1">
      <c r="A1329" s="6" t="s">
        <v>33</v>
      </c>
      <c r="B1329" s="6" t="s">
        <v>8</v>
      </c>
      <c r="C1329" s="6" t="s">
        <v>685</v>
      </c>
      <c r="D1329" s="6" t="s">
        <v>686</v>
      </c>
      <c r="E1329" s="6" t="s">
        <v>20</v>
      </c>
      <c r="F1329" s="7" t="s">
        <v>227</v>
      </c>
      <c r="G1329" s="7" t="s">
        <v>227</v>
      </c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</row>
    <row r="1330" ht="14.25" customHeight="1">
      <c r="A1330" s="6" t="s">
        <v>122</v>
      </c>
      <c r="B1330" s="6" t="s">
        <v>8</v>
      </c>
      <c r="C1330" s="6" t="s">
        <v>425</v>
      </c>
      <c r="D1330" s="6" t="s">
        <v>426</v>
      </c>
      <c r="E1330" s="6" t="s">
        <v>39</v>
      </c>
      <c r="F1330" s="7" t="s">
        <v>227</v>
      </c>
      <c r="G1330" s="7" t="s">
        <v>227</v>
      </c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</row>
    <row r="1331" ht="14.25" customHeight="1">
      <c r="A1331" s="6" t="s">
        <v>42</v>
      </c>
      <c r="B1331" s="6" t="s">
        <v>8</v>
      </c>
      <c r="C1331" s="6" t="s">
        <v>681</v>
      </c>
      <c r="D1331" s="6" t="s">
        <v>682</v>
      </c>
      <c r="E1331" s="6" t="s">
        <v>48</v>
      </c>
      <c r="F1331" s="7" t="s">
        <v>227</v>
      </c>
      <c r="G1331" s="7" t="s">
        <v>227</v>
      </c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</row>
    <row r="1332" ht="14.25" customHeight="1">
      <c r="A1332" s="6" t="s">
        <v>88</v>
      </c>
      <c r="B1332" s="6" t="s">
        <v>8</v>
      </c>
      <c r="C1332" s="6" t="s">
        <v>687</v>
      </c>
      <c r="D1332" s="6" t="s">
        <v>688</v>
      </c>
      <c r="E1332" s="6" t="s">
        <v>32</v>
      </c>
      <c r="F1332" s="7" t="s">
        <v>227</v>
      </c>
      <c r="G1332" s="7" t="s">
        <v>227</v>
      </c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</row>
    <row r="1333" ht="14.25" customHeight="1">
      <c r="A1333" s="6" t="s">
        <v>62</v>
      </c>
      <c r="B1333" s="6" t="s">
        <v>8</v>
      </c>
      <c r="C1333" s="6" t="s">
        <v>367</v>
      </c>
      <c r="D1333" s="6" t="s">
        <v>368</v>
      </c>
      <c r="E1333" s="6" t="s">
        <v>32</v>
      </c>
      <c r="F1333" s="7" t="s">
        <v>227</v>
      </c>
      <c r="G1333" s="7" t="s">
        <v>227</v>
      </c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</row>
    <row r="1334" ht="14.25" customHeight="1">
      <c r="A1334" s="6" t="s">
        <v>24</v>
      </c>
      <c r="B1334" s="6" t="s">
        <v>8</v>
      </c>
      <c r="C1334" s="6" t="s">
        <v>431</v>
      </c>
      <c r="D1334" s="6" t="s">
        <v>432</v>
      </c>
      <c r="E1334" s="6" t="s">
        <v>32</v>
      </c>
      <c r="F1334" s="7" t="s">
        <v>227</v>
      </c>
      <c r="G1334" s="7" t="s">
        <v>227</v>
      </c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</row>
    <row r="1335" ht="14.25" customHeight="1">
      <c r="A1335" s="6" t="s">
        <v>110</v>
      </c>
      <c r="B1335" s="6" t="s">
        <v>8</v>
      </c>
      <c r="C1335" s="6" t="s">
        <v>661</v>
      </c>
      <c r="D1335" s="6" t="s">
        <v>662</v>
      </c>
      <c r="E1335" s="6" t="s">
        <v>39</v>
      </c>
      <c r="F1335" s="7" t="s">
        <v>227</v>
      </c>
      <c r="G1335" s="7" t="s">
        <v>227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</row>
    <row r="1336" ht="14.25" customHeight="1">
      <c r="A1336" s="6" t="s">
        <v>88</v>
      </c>
      <c r="B1336" s="6" t="s">
        <v>8</v>
      </c>
      <c r="C1336" s="6" t="s">
        <v>598</v>
      </c>
      <c r="D1336" s="6" t="s">
        <v>599</v>
      </c>
      <c r="E1336" s="6" t="s">
        <v>11</v>
      </c>
      <c r="F1336" s="7" t="s">
        <v>12</v>
      </c>
      <c r="G1336" s="7" t="s">
        <v>12</v>
      </c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</row>
    <row r="1337" ht="14.25" customHeight="1">
      <c r="A1337" s="6" t="s">
        <v>42</v>
      </c>
      <c r="B1337" s="6" t="s">
        <v>8</v>
      </c>
      <c r="C1337" s="6" t="s">
        <v>681</v>
      </c>
      <c r="D1337" s="6" t="s">
        <v>682</v>
      </c>
      <c r="E1337" s="6" t="s">
        <v>39</v>
      </c>
      <c r="F1337" s="7" t="s">
        <v>227</v>
      </c>
      <c r="G1337" s="7" t="s">
        <v>227</v>
      </c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</row>
    <row r="1338" ht="14.25" customHeight="1">
      <c r="A1338" s="6" t="s">
        <v>110</v>
      </c>
      <c r="B1338" s="6" t="s">
        <v>8</v>
      </c>
      <c r="C1338" s="6" t="s">
        <v>661</v>
      </c>
      <c r="D1338" s="6" t="s">
        <v>662</v>
      </c>
      <c r="E1338" s="6" t="s">
        <v>48</v>
      </c>
      <c r="F1338" s="7" t="s">
        <v>227</v>
      </c>
      <c r="G1338" s="7" t="s">
        <v>227</v>
      </c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</row>
    <row r="1339" ht="14.25" customHeight="1">
      <c r="A1339" s="6" t="s">
        <v>88</v>
      </c>
      <c r="B1339" s="6" t="s">
        <v>8</v>
      </c>
      <c r="C1339" s="6" t="s">
        <v>687</v>
      </c>
      <c r="D1339" s="6" t="s">
        <v>688</v>
      </c>
      <c r="E1339" s="6" t="s">
        <v>27</v>
      </c>
      <c r="F1339" s="7" t="s">
        <v>227</v>
      </c>
      <c r="G1339" s="7" t="s">
        <v>227</v>
      </c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</row>
    <row r="1340" ht="14.25" customHeight="1">
      <c r="A1340" s="6" t="s">
        <v>24</v>
      </c>
      <c r="B1340" s="6" t="s">
        <v>8</v>
      </c>
      <c r="C1340" s="6" t="s">
        <v>431</v>
      </c>
      <c r="D1340" s="6" t="s">
        <v>432</v>
      </c>
      <c r="E1340" s="6" t="s">
        <v>39</v>
      </c>
      <c r="F1340" s="7" t="s">
        <v>227</v>
      </c>
      <c r="G1340" s="7" t="s">
        <v>227</v>
      </c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</row>
    <row r="1341" ht="14.25" customHeight="1">
      <c r="A1341" s="6" t="s">
        <v>42</v>
      </c>
      <c r="B1341" s="6" t="s">
        <v>8</v>
      </c>
      <c r="C1341" s="6" t="s">
        <v>681</v>
      </c>
      <c r="D1341" s="6" t="s">
        <v>682</v>
      </c>
      <c r="E1341" s="6" t="s">
        <v>32</v>
      </c>
      <c r="F1341" s="7" t="s">
        <v>227</v>
      </c>
      <c r="G1341" s="7" t="s">
        <v>227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</row>
    <row r="1342" ht="14.25" customHeight="1">
      <c r="A1342" s="6" t="s">
        <v>24</v>
      </c>
      <c r="B1342" s="6" t="s">
        <v>8</v>
      </c>
      <c r="C1342" s="6" t="s">
        <v>431</v>
      </c>
      <c r="D1342" s="6" t="s">
        <v>432</v>
      </c>
      <c r="E1342" s="6" t="s">
        <v>27</v>
      </c>
      <c r="F1342" s="7" t="s">
        <v>227</v>
      </c>
      <c r="G1342" s="7" t="s">
        <v>227</v>
      </c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</row>
    <row r="1343" ht="14.25" customHeight="1">
      <c r="A1343" s="6" t="s">
        <v>88</v>
      </c>
      <c r="B1343" s="6" t="s">
        <v>8</v>
      </c>
      <c r="C1343" s="6" t="s">
        <v>687</v>
      </c>
      <c r="D1343" s="6" t="s">
        <v>688</v>
      </c>
      <c r="E1343" s="6" t="s">
        <v>20</v>
      </c>
      <c r="F1343" s="7" t="s">
        <v>227</v>
      </c>
      <c r="G1343" s="7" t="s">
        <v>227</v>
      </c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</row>
    <row r="1344" ht="14.25" customHeight="1">
      <c r="A1344" s="6" t="s">
        <v>88</v>
      </c>
      <c r="B1344" s="6" t="s">
        <v>8</v>
      </c>
      <c r="C1344" s="6" t="s">
        <v>687</v>
      </c>
      <c r="D1344" s="6" t="s">
        <v>688</v>
      </c>
      <c r="E1344" s="6" t="s">
        <v>11</v>
      </c>
      <c r="F1344" s="7" t="s">
        <v>227</v>
      </c>
      <c r="G1344" s="7" t="s">
        <v>227</v>
      </c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</row>
    <row r="1345" ht="14.25" customHeight="1">
      <c r="A1345" s="6" t="s">
        <v>42</v>
      </c>
      <c r="B1345" s="6" t="s">
        <v>8</v>
      </c>
      <c r="C1345" s="6" t="s">
        <v>353</v>
      </c>
      <c r="D1345" s="6" t="s">
        <v>354</v>
      </c>
      <c r="E1345" s="6" t="s">
        <v>39</v>
      </c>
      <c r="F1345" s="7" t="s">
        <v>227</v>
      </c>
      <c r="G1345" s="7" t="s">
        <v>227</v>
      </c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</row>
    <row r="1346" ht="14.25" customHeight="1">
      <c r="A1346" s="6" t="s">
        <v>88</v>
      </c>
      <c r="B1346" s="6" t="s">
        <v>8</v>
      </c>
      <c r="C1346" s="6" t="s">
        <v>687</v>
      </c>
      <c r="D1346" s="6" t="s">
        <v>688</v>
      </c>
      <c r="E1346" s="6" t="s">
        <v>48</v>
      </c>
      <c r="F1346" s="7" t="s">
        <v>227</v>
      </c>
      <c r="G1346" s="7" t="s">
        <v>227</v>
      </c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</row>
    <row r="1347" ht="14.25" customHeight="1">
      <c r="A1347" s="6" t="s">
        <v>88</v>
      </c>
      <c r="B1347" s="6" t="s">
        <v>8</v>
      </c>
      <c r="C1347" s="6" t="s">
        <v>687</v>
      </c>
      <c r="D1347" s="6" t="s">
        <v>688</v>
      </c>
      <c r="E1347" s="6" t="s">
        <v>39</v>
      </c>
      <c r="F1347" s="7" t="s">
        <v>227</v>
      </c>
      <c r="G1347" s="7" t="s">
        <v>227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</row>
    <row r="1348" ht="14.25" customHeight="1">
      <c r="A1348" s="6" t="s">
        <v>24</v>
      </c>
      <c r="B1348" s="6" t="s">
        <v>8</v>
      </c>
      <c r="C1348" s="6" t="s">
        <v>431</v>
      </c>
      <c r="D1348" s="6" t="s">
        <v>432</v>
      </c>
      <c r="E1348" s="6" t="s">
        <v>48</v>
      </c>
      <c r="F1348" s="7" t="s">
        <v>227</v>
      </c>
      <c r="G1348" s="7" t="s">
        <v>227</v>
      </c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</row>
    <row r="1349" ht="14.25" customHeight="1">
      <c r="A1349" s="6" t="s">
        <v>72</v>
      </c>
      <c r="B1349" s="6" t="s">
        <v>8</v>
      </c>
      <c r="C1349" s="6" t="s">
        <v>689</v>
      </c>
      <c r="D1349" s="6" t="s">
        <v>690</v>
      </c>
      <c r="E1349" s="6" t="s">
        <v>32</v>
      </c>
      <c r="F1349" s="7" t="s">
        <v>227</v>
      </c>
      <c r="G1349" s="7" t="s">
        <v>227</v>
      </c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</row>
    <row r="1350" ht="14.25" customHeight="1">
      <c r="A1350" s="6" t="s">
        <v>72</v>
      </c>
      <c r="B1350" s="6" t="s">
        <v>8</v>
      </c>
      <c r="C1350" s="6" t="s">
        <v>689</v>
      </c>
      <c r="D1350" s="6" t="s">
        <v>690</v>
      </c>
      <c r="E1350" s="6" t="s">
        <v>20</v>
      </c>
      <c r="F1350" s="7" t="s">
        <v>227</v>
      </c>
      <c r="G1350" s="7" t="s">
        <v>227</v>
      </c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</row>
    <row r="1351" ht="14.25" customHeight="1">
      <c r="A1351" s="6" t="s">
        <v>72</v>
      </c>
      <c r="B1351" s="6" t="s">
        <v>8</v>
      </c>
      <c r="C1351" s="6" t="s">
        <v>689</v>
      </c>
      <c r="D1351" s="6" t="s">
        <v>690</v>
      </c>
      <c r="E1351" s="6" t="s">
        <v>27</v>
      </c>
      <c r="F1351" s="7" t="s">
        <v>227</v>
      </c>
      <c r="G1351" s="7" t="s">
        <v>227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</row>
    <row r="1352" ht="14.25" customHeight="1">
      <c r="A1352" s="6" t="s">
        <v>72</v>
      </c>
      <c r="B1352" s="6" t="s">
        <v>8</v>
      </c>
      <c r="C1352" s="6" t="s">
        <v>438</v>
      </c>
      <c r="D1352" s="6" t="s">
        <v>439</v>
      </c>
      <c r="E1352" s="6" t="s">
        <v>54</v>
      </c>
      <c r="F1352" s="7" t="s">
        <v>264</v>
      </c>
      <c r="G1352" s="7" t="s">
        <v>264</v>
      </c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</row>
    <row r="1353" ht="14.25" customHeight="1">
      <c r="A1353" s="6" t="s">
        <v>72</v>
      </c>
      <c r="B1353" s="6" t="s">
        <v>8</v>
      </c>
      <c r="C1353" s="6" t="s">
        <v>438</v>
      </c>
      <c r="D1353" s="6" t="s">
        <v>439</v>
      </c>
      <c r="E1353" s="6" t="s">
        <v>39</v>
      </c>
      <c r="F1353" s="7" t="s">
        <v>264</v>
      </c>
      <c r="G1353" s="7" t="s">
        <v>264</v>
      </c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</row>
    <row r="1354" ht="14.25" customHeight="1">
      <c r="A1354" s="6" t="s">
        <v>72</v>
      </c>
      <c r="B1354" s="6" t="s">
        <v>8</v>
      </c>
      <c r="C1354" s="6" t="s">
        <v>438</v>
      </c>
      <c r="D1354" s="6" t="s">
        <v>439</v>
      </c>
      <c r="E1354" s="6" t="s">
        <v>48</v>
      </c>
      <c r="F1354" s="7" t="s">
        <v>264</v>
      </c>
      <c r="G1354" s="7" t="s">
        <v>264</v>
      </c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</row>
    <row r="1355" ht="14.25" customHeight="1">
      <c r="A1355" s="6" t="s">
        <v>45</v>
      </c>
      <c r="B1355" s="6" t="s">
        <v>8</v>
      </c>
      <c r="C1355" s="6" t="s">
        <v>691</v>
      </c>
      <c r="D1355" s="6" t="s">
        <v>692</v>
      </c>
      <c r="E1355" s="6" t="s">
        <v>20</v>
      </c>
      <c r="F1355" s="7" t="s">
        <v>264</v>
      </c>
      <c r="G1355" s="7" t="s">
        <v>264</v>
      </c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</row>
    <row r="1356" ht="14.25" customHeight="1">
      <c r="A1356" s="6" t="s">
        <v>45</v>
      </c>
      <c r="B1356" s="6" t="s">
        <v>8</v>
      </c>
      <c r="C1356" s="6" t="s">
        <v>691</v>
      </c>
      <c r="D1356" s="6" t="s">
        <v>692</v>
      </c>
      <c r="E1356" s="6" t="s">
        <v>11</v>
      </c>
      <c r="F1356" s="7" t="s">
        <v>264</v>
      </c>
      <c r="G1356" s="7" t="s">
        <v>264</v>
      </c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</row>
    <row r="1357" ht="14.25" customHeight="1">
      <c r="A1357" s="6" t="s">
        <v>45</v>
      </c>
      <c r="B1357" s="6" t="s">
        <v>8</v>
      </c>
      <c r="C1357" s="6" t="s">
        <v>691</v>
      </c>
      <c r="D1357" s="6" t="s">
        <v>692</v>
      </c>
      <c r="E1357" s="6" t="s">
        <v>48</v>
      </c>
      <c r="F1357" s="7" t="s">
        <v>264</v>
      </c>
      <c r="G1357" s="7" t="s">
        <v>264</v>
      </c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</row>
    <row r="1358" ht="14.25" customHeight="1">
      <c r="A1358" s="6" t="s">
        <v>435</v>
      </c>
      <c r="B1358" s="6" t="s">
        <v>8</v>
      </c>
      <c r="C1358" s="6" t="s">
        <v>667</v>
      </c>
      <c r="D1358" s="6" t="s">
        <v>668</v>
      </c>
      <c r="E1358" s="6" t="s">
        <v>20</v>
      </c>
      <c r="F1358" s="7" t="s">
        <v>264</v>
      </c>
      <c r="G1358" s="7" t="s">
        <v>264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</row>
    <row r="1359" ht="14.25" customHeight="1">
      <c r="A1359" s="6" t="s">
        <v>45</v>
      </c>
      <c r="B1359" s="6" t="s">
        <v>8</v>
      </c>
      <c r="C1359" s="6" t="s">
        <v>691</v>
      </c>
      <c r="D1359" s="6" t="s">
        <v>692</v>
      </c>
      <c r="E1359" s="6" t="s">
        <v>39</v>
      </c>
      <c r="F1359" s="7" t="s">
        <v>264</v>
      </c>
      <c r="G1359" s="7" t="s">
        <v>264</v>
      </c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</row>
    <row r="1360" ht="14.25" customHeight="1">
      <c r="A1360" s="6" t="s">
        <v>45</v>
      </c>
      <c r="B1360" s="6" t="s">
        <v>8</v>
      </c>
      <c r="C1360" s="6" t="s">
        <v>691</v>
      </c>
      <c r="D1360" s="6" t="s">
        <v>692</v>
      </c>
      <c r="E1360" s="6" t="s">
        <v>27</v>
      </c>
      <c r="F1360" s="7" t="s">
        <v>264</v>
      </c>
      <c r="G1360" s="7" t="s">
        <v>264</v>
      </c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</row>
    <row r="1361" ht="14.25" customHeight="1">
      <c r="A1361" s="6" t="s">
        <v>435</v>
      </c>
      <c r="B1361" s="6" t="s">
        <v>8</v>
      </c>
      <c r="C1361" s="6" t="s">
        <v>667</v>
      </c>
      <c r="D1361" s="6" t="s">
        <v>668</v>
      </c>
      <c r="E1361" s="6" t="s">
        <v>32</v>
      </c>
      <c r="F1361" s="7" t="s">
        <v>264</v>
      </c>
      <c r="G1361" s="7" t="s">
        <v>264</v>
      </c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</row>
    <row r="1362" ht="14.25" customHeight="1">
      <c r="A1362" s="6" t="s">
        <v>45</v>
      </c>
      <c r="B1362" s="6" t="s">
        <v>8</v>
      </c>
      <c r="C1362" s="6" t="s">
        <v>691</v>
      </c>
      <c r="D1362" s="6" t="s">
        <v>692</v>
      </c>
      <c r="E1362" s="6" t="s">
        <v>32</v>
      </c>
      <c r="F1362" s="7" t="s">
        <v>264</v>
      </c>
      <c r="G1362" s="7" t="s">
        <v>264</v>
      </c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</row>
    <row r="1363" ht="14.25" customHeight="1">
      <c r="A1363" s="6" t="s">
        <v>45</v>
      </c>
      <c r="B1363" s="6" t="s">
        <v>8</v>
      </c>
      <c r="C1363" s="6" t="s">
        <v>46</v>
      </c>
      <c r="D1363" s="6" t="s">
        <v>47</v>
      </c>
      <c r="E1363" s="6" t="s">
        <v>27</v>
      </c>
      <c r="F1363" s="7" t="s">
        <v>28</v>
      </c>
      <c r="G1363" s="7" t="s">
        <v>28</v>
      </c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</row>
    <row r="1364" ht="14.25" customHeight="1">
      <c r="A1364" s="6" t="s">
        <v>84</v>
      </c>
      <c r="B1364" s="6" t="s">
        <v>8</v>
      </c>
      <c r="C1364" s="6" t="s">
        <v>85</v>
      </c>
      <c r="D1364" s="6" t="s">
        <v>86</v>
      </c>
      <c r="E1364" s="6" t="s">
        <v>32</v>
      </c>
      <c r="F1364" s="7" t="s">
        <v>12</v>
      </c>
      <c r="G1364" s="7" t="s">
        <v>28</v>
      </c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</row>
    <row r="1365" ht="14.25" customHeight="1">
      <c r="A1365" s="6" t="s">
        <v>652</v>
      </c>
      <c r="B1365" s="6" t="s">
        <v>8</v>
      </c>
      <c r="C1365" s="6" t="s">
        <v>683</v>
      </c>
      <c r="D1365" s="6" t="s">
        <v>684</v>
      </c>
      <c r="E1365" s="6" t="s">
        <v>32</v>
      </c>
      <c r="F1365" s="7" t="s">
        <v>264</v>
      </c>
      <c r="G1365" s="7" t="s">
        <v>13</v>
      </c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</row>
    <row r="1366" ht="14.25" customHeight="1">
      <c r="A1366" s="6" t="s">
        <v>49</v>
      </c>
      <c r="B1366" s="6" t="s">
        <v>8</v>
      </c>
      <c r="C1366" s="6" t="s">
        <v>50</v>
      </c>
      <c r="D1366" s="6" t="s">
        <v>51</v>
      </c>
      <c r="E1366" s="6" t="s">
        <v>32</v>
      </c>
      <c r="F1366" s="7" t="s">
        <v>264</v>
      </c>
      <c r="G1366" s="7" t="s">
        <v>264</v>
      </c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</row>
    <row r="1367" ht="14.25" customHeight="1">
      <c r="A1367" s="6" t="s">
        <v>45</v>
      </c>
      <c r="B1367" s="6" t="s">
        <v>8</v>
      </c>
      <c r="C1367" s="6" t="s">
        <v>602</v>
      </c>
      <c r="D1367" s="6" t="s">
        <v>603</v>
      </c>
      <c r="E1367" s="6" t="s">
        <v>11</v>
      </c>
      <c r="F1367" s="7" t="s">
        <v>264</v>
      </c>
      <c r="G1367" s="7" t="s">
        <v>264</v>
      </c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</row>
    <row r="1368" ht="14.25" customHeight="1">
      <c r="A1368" s="6" t="s">
        <v>45</v>
      </c>
      <c r="B1368" s="6" t="s">
        <v>8</v>
      </c>
      <c r="C1368" s="6" t="s">
        <v>602</v>
      </c>
      <c r="D1368" s="6" t="s">
        <v>603</v>
      </c>
      <c r="E1368" s="6" t="s">
        <v>20</v>
      </c>
      <c r="F1368" s="7" t="s">
        <v>264</v>
      </c>
      <c r="G1368" s="7" t="s">
        <v>264</v>
      </c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</row>
    <row r="1369" ht="14.25" customHeight="1">
      <c r="A1369" s="6" t="s">
        <v>117</v>
      </c>
      <c r="B1369" s="6" t="s">
        <v>8</v>
      </c>
      <c r="C1369" s="6" t="s">
        <v>200</v>
      </c>
      <c r="D1369" s="6" t="s">
        <v>201</v>
      </c>
      <c r="E1369" s="6" t="s">
        <v>32</v>
      </c>
      <c r="F1369" s="7" t="s">
        <v>264</v>
      </c>
      <c r="G1369" s="7" t="s">
        <v>264</v>
      </c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</row>
    <row r="1370" ht="14.25" customHeight="1">
      <c r="A1370" s="6" t="s">
        <v>129</v>
      </c>
      <c r="B1370" s="6" t="s">
        <v>8</v>
      </c>
      <c r="C1370" s="6" t="s">
        <v>130</v>
      </c>
      <c r="D1370" s="6" t="s">
        <v>131</v>
      </c>
      <c r="E1370" s="6" t="s">
        <v>32</v>
      </c>
      <c r="F1370" s="7" t="s">
        <v>264</v>
      </c>
      <c r="G1370" s="7" t="s">
        <v>28</v>
      </c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</row>
    <row r="1371" ht="14.25" customHeight="1">
      <c r="A1371" s="6" t="s">
        <v>169</v>
      </c>
      <c r="B1371" s="6" t="s">
        <v>8</v>
      </c>
      <c r="C1371" s="6" t="s">
        <v>298</v>
      </c>
      <c r="D1371" s="6" t="s">
        <v>299</v>
      </c>
      <c r="E1371" s="6" t="s">
        <v>27</v>
      </c>
      <c r="F1371" s="7" t="s">
        <v>264</v>
      </c>
      <c r="G1371" s="7" t="s">
        <v>264</v>
      </c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</row>
    <row r="1372" ht="14.25" customHeight="1">
      <c r="A1372" s="6" t="s">
        <v>42</v>
      </c>
      <c r="B1372" s="6" t="s">
        <v>8</v>
      </c>
      <c r="C1372" s="6" t="s">
        <v>693</v>
      </c>
      <c r="D1372" s="6" t="s">
        <v>694</v>
      </c>
      <c r="E1372" s="6" t="s">
        <v>32</v>
      </c>
      <c r="F1372" s="7" t="s">
        <v>28</v>
      </c>
      <c r="G1372" s="7" t="s">
        <v>28</v>
      </c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</row>
    <row r="1373" ht="14.25" customHeight="1">
      <c r="A1373" s="6" t="s">
        <v>93</v>
      </c>
      <c r="B1373" s="6" t="s">
        <v>8</v>
      </c>
      <c r="C1373" s="6" t="s">
        <v>285</v>
      </c>
      <c r="D1373" s="6" t="s">
        <v>286</v>
      </c>
      <c r="E1373" s="6" t="s">
        <v>32</v>
      </c>
      <c r="F1373" s="7" t="s">
        <v>12</v>
      </c>
      <c r="G1373" s="7" t="s">
        <v>28</v>
      </c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</row>
    <row r="1374" ht="14.25" customHeight="1">
      <c r="A1374" s="6" t="s">
        <v>132</v>
      </c>
      <c r="B1374" s="6" t="s">
        <v>8</v>
      </c>
      <c r="C1374" s="6" t="s">
        <v>306</v>
      </c>
      <c r="D1374" s="6" t="s">
        <v>307</v>
      </c>
      <c r="E1374" s="6" t="s">
        <v>20</v>
      </c>
      <c r="F1374" s="7" t="s">
        <v>12</v>
      </c>
      <c r="G1374" s="7" t="s">
        <v>12</v>
      </c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</row>
    <row r="1375" ht="14.25" customHeight="1">
      <c r="A1375" s="6" t="s">
        <v>21</v>
      </c>
      <c r="B1375" s="6" t="s">
        <v>8</v>
      </c>
      <c r="C1375" s="6" t="s">
        <v>695</v>
      </c>
      <c r="D1375" s="6" t="s">
        <v>696</v>
      </c>
      <c r="E1375" s="6" t="s">
        <v>32</v>
      </c>
      <c r="F1375" s="7" t="s">
        <v>264</v>
      </c>
      <c r="G1375" s="7" t="s">
        <v>264</v>
      </c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</row>
    <row r="1376" ht="14.25" customHeight="1">
      <c r="A1376" s="6" t="s">
        <v>21</v>
      </c>
      <c r="B1376" s="6" t="s">
        <v>8</v>
      </c>
      <c r="C1376" s="6" t="s">
        <v>113</v>
      </c>
      <c r="D1376" s="6" t="s">
        <v>114</v>
      </c>
      <c r="E1376" s="6" t="s">
        <v>20</v>
      </c>
      <c r="F1376" s="7" t="s">
        <v>12</v>
      </c>
      <c r="G1376" s="7" t="s">
        <v>12</v>
      </c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</row>
    <row r="1377" ht="14.25" customHeight="1">
      <c r="A1377" s="6" t="s">
        <v>21</v>
      </c>
      <c r="B1377" s="6" t="s">
        <v>8</v>
      </c>
      <c r="C1377" s="6" t="s">
        <v>22</v>
      </c>
      <c r="D1377" s="6" t="s">
        <v>23</v>
      </c>
      <c r="E1377" s="6" t="s">
        <v>32</v>
      </c>
      <c r="F1377" s="7" t="s">
        <v>12</v>
      </c>
      <c r="G1377" s="7" t="s">
        <v>13</v>
      </c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</row>
    <row r="1378" ht="14.25" customHeight="1">
      <c r="A1378" s="6" t="s">
        <v>652</v>
      </c>
      <c r="B1378" s="6" t="s">
        <v>8</v>
      </c>
      <c r="C1378" s="6" t="s">
        <v>683</v>
      </c>
      <c r="D1378" s="6" t="s">
        <v>684</v>
      </c>
      <c r="E1378" s="6" t="s">
        <v>11</v>
      </c>
      <c r="F1378" s="7" t="s">
        <v>13</v>
      </c>
      <c r="G1378" s="7" t="s">
        <v>13</v>
      </c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</row>
    <row r="1379" ht="14.25" customHeight="1">
      <c r="A1379" s="6" t="s">
        <v>117</v>
      </c>
      <c r="B1379" s="6" t="s">
        <v>8</v>
      </c>
      <c r="C1379" s="6" t="s">
        <v>322</v>
      </c>
      <c r="D1379" s="6" t="s">
        <v>323</v>
      </c>
      <c r="E1379" s="6" t="s">
        <v>27</v>
      </c>
      <c r="F1379" s="7" t="s">
        <v>12</v>
      </c>
      <c r="G1379" s="7" t="s">
        <v>12</v>
      </c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</row>
    <row r="1380" ht="14.25" customHeight="1">
      <c r="A1380" s="6" t="s">
        <v>132</v>
      </c>
      <c r="B1380" s="6" t="s">
        <v>8</v>
      </c>
      <c r="C1380" s="6" t="s">
        <v>306</v>
      </c>
      <c r="D1380" s="6" t="s">
        <v>307</v>
      </c>
      <c r="E1380" s="6" t="s">
        <v>32</v>
      </c>
      <c r="F1380" s="7" t="s">
        <v>12</v>
      </c>
      <c r="G1380" s="7" t="s">
        <v>12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</row>
    <row r="1381" ht="14.25" customHeight="1">
      <c r="A1381" s="6" t="s">
        <v>84</v>
      </c>
      <c r="B1381" s="6" t="s">
        <v>8</v>
      </c>
      <c r="C1381" s="6" t="s">
        <v>697</v>
      </c>
      <c r="D1381" s="6" t="s">
        <v>698</v>
      </c>
      <c r="E1381" s="6" t="s">
        <v>20</v>
      </c>
      <c r="F1381" s="7" t="s">
        <v>12</v>
      </c>
      <c r="G1381" s="7" t="s">
        <v>12</v>
      </c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</row>
    <row r="1382" ht="14.25" customHeight="1">
      <c r="A1382" s="6" t="s">
        <v>132</v>
      </c>
      <c r="B1382" s="6" t="s">
        <v>8</v>
      </c>
      <c r="C1382" s="6" t="s">
        <v>306</v>
      </c>
      <c r="D1382" s="6" t="s">
        <v>307</v>
      </c>
      <c r="E1382" s="6" t="s">
        <v>48</v>
      </c>
      <c r="F1382" s="7" t="s">
        <v>12</v>
      </c>
      <c r="G1382" s="7" t="s">
        <v>12</v>
      </c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</row>
    <row r="1383" ht="14.25" customHeight="1">
      <c r="A1383" s="6" t="s">
        <v>84</v>
      </c>
      <c r="B1383" s="6" t="s">
        <v>8</v>
      </c>
      <c r="C1383" s="6" t="s">
        <v>697</v>
      </c>
      <c r="D1383" s="6" t="s">
        <v>698</v>
      </c>
      <c r="E1383" s="6" t="s">
        <v>27</v>
      </c>
      <c r="F1383" s="7" t="s">
        <v>28</v>
      </c>
      <c r="G1383" s="7" t="s">
        <v>28</v>
      </c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</row>
    <row r="1384" ht="14.25" customHeight="1">
      <c r="A1384" s="6" t="s">
        <v>135</v>
      </c>
      <c r="B1384" s="6" t="s">
        <v>8</v>
      </c>
      <c r="C1384" s="6" t="s">
        <v>136</v>
      </c>
      <c r="D1384" s="6" t="s">
        <v>137</v>
      </c>
      <c r="E1384" s="6" t="s">
        <v>20</v>
      </c>
      <c r="F1384" s="7" t="s">
        <v>264</v>
      </c>
      <c r="G1384" s="7" t="s">
        <v>28</v>
      </c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</row>
    <row r="1385" ht="14.25" customHeight="1">
      <c r="A1385" s="6" t="s">
        <v>388</v>
      </c>
      <c r="B1385" s="6" t="s">
        <v>8</v>
      </c>
      <c r="C1385" s="6" t="s">
        <v>699</v>
      </c>
      <c r="D1385" s="6" t="s">
        <v>700</v>
      </c>
      <c r="E1385" s="6" t="s">
        <v>48</v>
      </c>
      <c r="F1385" s="7" t="s">
        <v>12</v>
      </c>
      <c r="G1385" s="7" t="s">
        <v>12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</row>
    <row r="1386" ht="14.25" customHeight="1">
      <c r="A1386" s="6" t="s">
        <v>62</v>
      </c>
      <c r="B1386" s="6" t="s">
        <v>8</v>
      </c>
      <c r="C1386" s="6" t="s">
        <v>701</v>
      </c>
      <c r="D1386" s="6" t="s">
        <v>702</v>
      </c>
      <c r="E1386" s="6" t="s">
        <v>20</v>
      </c>
      <c r="F1386" s="7" t="s">
        <v>264</v>
      </c>
      <c r="G1386" s="7" t="s">
        <v>12</v>
      </c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</row>
    <row r="1387" ht="14.25" customHeight="1">
      <c r="A1387" s="6" t="s">
        <v>388</v>
      </c>
      <c r="B1387" s="6" t="s">
        <v>8</v>
      </c>
      <c r="C1387" s="6" t="s">
        <v>699</v>
      </c>
      <c r="D1387" s="6" t="s">
        <v>700</v>
      </c>
      <c r="E1387" s="6" t="s">
        <v>27</v>
      </c>
      <c r="F1387" s="7" t="s">
        <v>264</v>
      </c>
      <c r="G1387" s="7" t="s">
        <v>12</v>
      </c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  <c r="Z1387" s="5"/>
    </row>
    <row r="1388" ht="14.25" customHeight="1">
      <c r="A1388" s="6" t="s">
        <v>388</v>
      </c>
      <c r="B1388" s="6" t="s">
        <v>8</v>
      </c>
      <c r="C1388" s="6" t="s">
        <v>699</v>
      </c>
      <c r="D1388" s="6" t="s">
        <v>700</v>
      </c>
      <c r="E1388" s="6" t="s">
        <v>11</v>
      </c>
      <c r="F1388" s="7" t="s">
        <v>12</v>
      </c>
      <c r="G1388" s="7" t="s">
        <v>12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  <c r="Z1388" s="5"/>
    </row>
    <row r="1389" ht="14.25" customHeight="1">
      <c r="A1389" s="6" t="s">
        <v>388</v>
      </c>
      <c r="B1389" s="6" t="s">
        <v>8</v>
      </c>
      <c r="C1389" s="6" t="s">
        <v>699</v>
      </c>
      <c r="D1389" s="6" t="s">
        <v>700</v>
      </c>
      <c r="E1389" s="6" t="s">
        <v>20</v>
      </c>
      <c r="F1389" s="7" t="s">
        <v>12</v>
      </c>
      <c r="G1389" s="7" t="s">
        <v>12</v>
      </c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  <c r="Z1389" s="5"/>
    </row>
    <row r="1390" ht="14.25" customHeight="1">
      <c r="A1390" s="6" t="s">
        <v>388</v>
      </c>
      <c r="B1390" s="6" t="s">
        <v>8</v>
      </c>
      <c r="C1390" s="6" t="s">
        <v>699</v>
      </c>
      <c r="D1390" s="6" t="s">
        <v>700</v>
      </c>
      <c r="E1390" s="6" t="s">
        <v>32</v>
      </c>
      <c r="F1390" s="7" t="s">
        <v>12</v>
      </c>
      <c r="G1390" s="7" t="s">
        <v>12</v>
      </c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  <c r="Z1390" s="5"/>
    </row>
    <row r="1391" ht="14.25" customHeight="1">
      <c r="A1391" s="6" t="s">
        <v>62</v>
      </c>
      <c r="B1391" s="6" t="s">
        <v>8</v>
      </c>
      <c r="C1391" s="6" t="s">
        <v>701</v>
      </c>
      <c r="D1391" s="6" t="s">
        <v>702</v>
      </c>
      <c r="E1391" s="6" t="s">
        <v>11</v>
      </c>
      <c r="F1391" s="7" t="s">
        <v>264</v>
      </c>
      <c r="G1391" s="7" t="s">
        <v>12</v>
      </c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  <c r="Z1391" s="5"/>
    </row>
    <row r="1392" ht="14.25" customHeight="1">
      <c r="A1392" s="6" t="s">
        <v>93</v>
      </c>
      <c r="B1392" s="6" t="s">
        <v>8</v>
      </c>
      <c r="C1392" s="6" t="s">
        <v>285</v>
      </c>
      <c r="D1392" s="6" t="s">
        <v>286</v>
      </c>
      <c r="E1392" s="6" t="s">
        <v>27</v>
      </c>
      <c r="F1392" s="7" t="s">
        <v>12</v>
      </c>
      <c r="G1392" s="7" t="s">
        <v>28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  <c r="Z1392" s="5"/>
    </row>
    <row r="1393" ht="14.25" customHeight="1">
      <c r="A1393" s="6" t="s">
        <v>117</v>
      </c>
      <c r="B1393" s="6" t="s">
        <v>8</v>
      </c>
      <c r="C1393" s="6" t="s">
        <v>322</v>
      </c>
      <c r="D1393" s="6" t="s">
        <v>323</v>
      </c>
      <c r="E1393" s="6" t="s">
        <v>48</v>
      </c>
      <c r="F1393" s="7" t="s">
        <v>12</v>
      </c>
      <c r="G1393" s="7" t="s">
        <v>12</v>
      </c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  <c r="Z1393" s="5"/>
    </row>
    <row r="1394" ht="14.25" customHeight="1">
      <c r="A1394" s="6" t="s">
        <v>72</v>
      </c>
      <c r="B1394" s="6" t="s">
        <v>8</v>
      </c>
      <c r="C1394" s="6" t="s">
        <v>622</v>
      </c>
      <c r="D1394" s="6" t="s">
        <v>623</v>
      </c>
      <c r="E1394" s="6" t="s">
        <v>20</v>
      </c>
      <c r="F1394" s="7" t="s">
        <v>264</v>
      </c>
      <c r="G1394" s="7" t="s">
        <v>28</v>
      </c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  <c r="Z1394" s="5"/>
    </row>
    <row r="1395" ht="14.25" customHeight="1">
      <c r="A1395" s="6" t="s">
        <v>62</v>
      </c>
      <c r="B1395" s="6" t="s">
        <v>8</v>
      </c>
      <c r="C1395" s="6" t="s">
        <v>701</v>
      </c>
      <c r="D1395" s="6" t="s">
        <v>702</v>
      </c>
      <c r="E1395" s="6" t="s">
        <v>32</v>
      </c>
      <c r="F1395" s="7" t="s">
        <v>264</v>
      </c>
      <c r="G1395" s="7" t="s">
        <v>12</v>
      </c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  <c r="Z1395" s="5"/>
    </row>
    <row r="1396" ht="14.25" customHeight="1">
      <c r="A1396" s="6" t="s">
        <v>24</v>
      </c>
      <c r="B1396" s="6" t="s">
        <v>8</v>
      </c>
      <c r="C1396" s="6" t="s">
        <v>328</v>
      </c>
      <c r="D1396" s="6" t="s">
        <v>329</v>
      </c>
      <c r="E1396" s="6" t="s">
        <v>48</v>
      </c>
      <c r="F1396" s="7" t="s">
        <v>264</v>
      </c>
      <c r="G1396" s="7" t="s">
        <v>264</v>
      </c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  <c r="Z1396" s="5"/>
    </row>
    <row r="1397" ht="14.25" customHeight="1">
      <c r="A1397" s="6" t="s">
        <v>117</v>
      </c>
      <c r="B1397" s="6" t="s">
        <v>8</v>
      </c>
      <c r="C1397" s="6" t="s">
        <v>322</v>
      </c>
      <c r="D1397" s="6" t="s">
        <v>323</v>
      </c>
      <c r="E1397" s="6" t="s">
        <v>39</v>
      </c>
      <c r="F1397" s="7" t="s">
        <v>12</v>
      </c>
      <c r="G1397" s="7" t="s">
        <v>12</v>
      </c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  <c r="Z1397" s="5"/>
    </row>
    <row r="1398" ht="14.25" customHeight="1">
      <c r="A1398" s="6" t="s">
        <v>62</v>
      </c>
      <c r="B1398" s="6" t="s">
        <v>8</v>
      </c>
      <c r="C1398" s="6" t="s">
        <v>701</v>
      </c>
      <c r="D1398" s="6" t="s">
        <v>702</v>
      </c>
      <c r="E1398" s="6" t="s">
        <v>48</v>
      </c>
      <c r="F1398" s="7" t="s">
        <v>264</v>
      </c>
      <c r="G1398" s="7" t="s">
        <v>12</v>
      </c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  <c r="Z1398" s="5"/>
    </row>
    <row r="1399" ht="14.25" customHeight="1">
      <c r="A1399" s="6" t="s">
        <v>84</v>
      </c>
      <c r="B1399" s="6" t="s">
        <v>8</v>
      </c>
      <c r="C1399" s="6" t="s">
        <v>697</v>
      </c>
      <c r="D1399" s="6" t="s">
        <v>698</v>
      </c>
      <c r="E1399" s="6" t="s">
        <v>11</v>
      </c>
      <c r="F1399" s="7" t="s">
        <v>12</v>
      </c>
      <c r="G1399" s="7" t="s">
        <v>12</v>
      </c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  <c r="Z1399" s="5"/>
    </row>
    <row r="1400" ht="14.25" customHeight="1">
      <c r="A1400" s="6" t="s">
        <v>49</v>
      </c>
      <c r="B1400" s="6" t="s">
        <v>8</v>
      </c>
      <c r="C1400" s="6" t="s">
        <v>369</v>
      </c>
      <c r="D1400" s="6" t="s">
        <v>370</v>
      </c>
      <c r="E1400" s="6" t="s">
        <v>11</v>
      </c>
      <c r="F1400" s="7" t="s">
        <v>12</v>
      </c>
      <c r="G1400" s="7" t="s">
        <v>13</v>
      </c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  <c r="Z1400" s="5"/>
    </row>
    <row r="1401" ht="14.25" customHeight="1">
      <c r="A1401" s="6" t="s">
        <v>24</v>
      </c>
      <c r="B1401" s="6" t="s">
        <v>8</v>
      </c>
      <c r="C1401" s="6" t="s">
        <v>328</v>
      </c>
      <c r="D1401" s="6" t="s">
        <v>329</v>
      </c>
      <c r="E1401" s="6" t="s">
        <v>39</v>
      </c>
      <c r="F1401" s="7" t="s">
        <v>264</v>
      </c>
      <c r="G1401" s="7" t="s">
        <v>264</v>
      </c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  <c r="Z1401" s="5"/>
    </row>
    <row r="1402" ht="14.25" customHeight="1">
      <c r="A1402" s="6" t="s">
        <v>117</v>
      </c>
      <c r="B1402" s="6" t="s">
        <v>8</v>
      </c>
      <c r="C1402" s="6" t="s">
        <v>322</v>
      </c>
      <c r="D1402" s="6" t="s">
        <v>323</v>
      </c>
      <c r="E1402" s="6" t="s">
        <v>11</v>
      </c>
      <c r="F1402" s="7" t="s">
        <v>12</v>
      </c>
      <c r="G1402" s="7" t="s">
        <v>12</v>
      </c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  <c r="Z1402" s="5"/>
    </row>
    <row r="1403" ht="14.25" customHeight="1">
      <c r="A1403" s="6" t="s">
        <v>62</v>
      </c>
      <c r="B1403" s="6" t="s">
        <v>8</v>
      </c>
      <c r="C1403" s="6" t="s">
        <v>701</v>
      </c>
      <c r="D1403" s="6" t="s">
        <v>702</v>
      </c>
      <c r="E1403" s="6" t="s">
        <v>39</v>
      </c>
      <c r="F1403" s="7" t="s">
        <v>12</v>
      </c>
      <c r="G1403" s="7" t="s">
        <v>12</v>
      </c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  <c r="Z1403" s="5"/>
    </row>
    <row r="1404" ht="14.25" customHeight="1">
      <c r="A1404" s="6" t="s">
        <v>93</v>
      </c>
      <c r="B1404" s="6" t="s">
        <v>8</v>
      </c>
      <c r="C1404" s="6" t="s">
        <v>285</v>
      </c>
      <c r="D1404" s="6" t="s">
        <v>286</v>
      </c>
      <c r="E1404" s="6" t="s">
        <v>48</v>
      </c>
      <c r="F1404" s="7" t="s">
        <v>12</v>
      </c>
      <c r="G1404" s="7" t="s">
        <v>28</v>
      </c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  <c r="Z1404" s="5"/>
    </row>
    <row r="1405" ht="14.25" customHeight="1">
      <c r="A1405" s="6" t="s">
        <v>122</v>
      </c>
      <c r="B1405" s="6" t="s">
        <v>8</v>
      </c>
      <c r="C1405" s="6" t="s">
        <v>526</v>
      </c>
      <c r="D1405" s="6" t="s">
        <v>527</v>
      </c>
      <c r="E1405" s="6" t="s">
        <v>32</v>
      </c>
      <c r="F1405" s="7" t="s">
        <v>28</v>
      </c>
      <c r="G1405" s="7" t="s">
        <v>28</v>
      </c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  <c r="Z1405" s="5"/>
    </row>
    <row r="1406" ht="14.25" customHeight="1">
      <c r="A1406" s="6" t="s">
        <v>24</v>
      </c>
      <c r="B1406" s="6" t="s">
        <v>8</v>
      </c>
      <c r="C1406" s="6" t="s">
        <v>328</v>
      </c>
      <c r="D1406" s="6" t="s">
        <v>329</v>
      </c>
      <c r="E1406" s="6" t="s">
        <v>27</v>
      </c>
      <c r="F1406" s="7" t="s">
        <v>264</v>
      </c>
      <c r="G1406" s="7" t="s">
        <v>264</v>
      </c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  <c r="Z1406" s="5"/>
    </row>
    <row r="1407" ht="14.25" customHeight="1">
      <c r="A1407" s="6" t="s">
        <v>652</v>
      </c>
      <c r="B1407" s="6" t="s">
        <v>8</v>
      </c>
      <c r="C1407" s="6" t="s">
        <v>683</v>
      </c>
      <c r="D1407" s="6" t="s">
        <v>684</v>
      </c>
      <c r="E1407" s="6" t="s">
        <v>48</v>
      </c>
      <c r="F1407" s="7" t="s">
        <v>264</v>
      </c>
      <c r="G1407" s="7" t="s">
        <v>13</v>
      </c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  <c r="Z1407" s="5"/>
    </row>
    <row r="1408" ht="14.25" customHeight="1">
      <c r="A1408" s="6" t="s">
        <v>62</v>
      </c>
      <c r="B1408" s="6" t="s">
        <v>8</v>
      </c>
      <c r="C1408" s="6" t="s">
        <v>701</v>
      </c>
      <c r="D1408" s="6" t="s">
        <v>702</v>
      </c>
      <c r="E1408" s="6" t="s">
        <v>27</v>
      </c>
      <c r="F1408" s="7" t="s">
        <v>12</v>
      </c>
      <c r="G1408" s="7" t="s">
        <v>12</v>
      </c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  <c r="Z1408" s="5"/>
    </row>
    <row r="1409" ht="14.25" customHeight="1">
      <c r="A1409" s="6" t="s">
        <v>21</v>
      </c>
      <c r="B1409" s="6" t="s">
        <v>8</v>
      </c>
      <c r="C1409" s="6" t="s">
        <v>703</v>
      </c>
      <c r="D1409" s="6" t="s">
        <v>704</v>
      </c>
      <c r="E1409" s="6" t="s">
        <v>11</v>
      </c>
      <c r="F1409" s="7" t="s">
        <v>12</v>
      </c>
      <c r="G1409" s="7" t="s">
        <v>12</v>
      </c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  <c r="Z1409" s="5"/>
    </row>
    <row r="1410" ht="14.25" customHeight="1">
      <c r="A1410" s="6" t="s">
        <v>117</v>
      </c>
      <c r="B1410" s="6" t="s">
        <v>8</v>
      </c>
      <c r="C1410" s="6" t="s">
        <v>322</v>
      </c>
      <c r="D1410" s="6" t="s">
        <v>323</v>
      </c>
      <c r="E1410" s="6" t="s">
        <v>20</v>
      </c>
      <c r="F1410" s="7" t="s">
        <v>12</v>
      </c>
      <c r="G1410" s="7" t="s">
        <v>12</v>
      </c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  <c r="Z1410" s="5"/>
    </row>
    <row r="1411" ht="14.25" customHeight="1">
      <c r="A1411" s="6" t="s">
        <v>49</v>
      </c>
      <c r="B1411" s="6" t="s">
        <v>8</v>
      </c>
      <c r="C1411" s="6" t="s">
        <v>198</v>
      </c>
      <c r="D1411" s="6" t="s">
        <v>199</v>
      </c>
      <c r="E1411" s="6" t="s">
        <v>20</v>
      </c>
      <c r="F1411" s="7" t="s">
        <v>264</v>
      </c>
      <c r="G1411" s="7" t="s">
        <v>28</v>
      </c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  <c r="Z1411" s="5"/>
    </row>
    <row r="1412" ht="14.25" customHeight="1">
      <c r="A1412" s="6" t="s">
        <v>21</v>
      </c>
      <c r="B1412" s="6" t="s">
        <v>8</v>
      </c>
      <c r="C1412" s="6" t="s">
        <v>703</v>
      </c>
      <c r="D1412" s="6" t="s">
        <v>704</v>
      </c>
      <c r="E1412" s="6" t="s">
        <v>20</v>
      </c>
      <c r="F1412" s="7" t="s">
        <v>12</v>
      </c>
      <c r="G1412" s="7" t="s">
        <v>12</v>
      </c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  <c r="Z1412" s="5"/>
    </row>
    <row r="1413" ht="14.25" customHeight="1">
      <c r="A1413" s="6" t="s">
        <v>24</v>
      </c>
      <c r="B1413" s="6" t="s">
        <v>8</v>
      </c>
      <c r="C1413" s="6" t="s">
        <v>82</v>
      </c>
      <c r="D1413" s="6" t="s">
        <v>83</v>
      </c>
      <c r="E1413" s="6" t="s">
        <v>20</v>
      </c>
      <c r="F1413" s="7" t="s">
        <v>264</v>
      </c>
      <c r="G1413" s="7" t="s">
        <v>28</v>
      </c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  <c r="Z1413" s="5"/>
    </row>
    <row r="1414" ht="14.25" customHeight="1">
      <c r="A1414" s="6" t="s">
        <v>21</v>
      </c>
      <c r="B1414" s="6" t="s">
        <v>8</v>
      </c>
      <c r="C1414" s="6" t="s">
        <v>703</v>
      </c>
      <c r="D1414" s="6" t="s">
        <v>704</v>
      </c>
      <c r="E1414" s="6" t="s">
        <v>32</v>
      </c>
      <c r="F1414" s="7" t="s">
        <v>12</v>
      </c>
      <c r="G1414" s="7" t="s">
        <v>12</v>
      </c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  <c r="Z1414" s="5"/>
    </row>
    <row r="1415" ht="14.25" customHeight="1">
      <c r="A1415" s="6" t="s">
        <v>84</v>
      </c>
      <c r="B1415" s="6" t="s">
        <v>8</v>
      </c>
      <c r="C1415" s="6" t="s">
        <v>697</v>
      </c>
      <c r="D1415" s="6" t="s">
        <v>698</v>
      </c>
      <c r="E1415" s="6" t="s">
        <v>48</v>
      </c>
      <c r="F1415" s="7" t="s">
        <v>28</v>
      </c>
      <c r="G1415" s="7" t="s">
        <v>28</v>
      </c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  <c r="Z1415" s="5"/>
    </row>
    <row r="1416" ht="14.25" customHeight="1">
      <c r="A1416" s="6" t="s">
        <v>132</v>
      </c>
      <c r="B1416" s="6" t="s">
        <v>8</v>
      </c>
      <c r="C1416" s="6" t="s">
        <v>306</v>
      </c>
      <c r="D1416" s="6" t="s">
        <v>307</v>
      </c>
      <c r="E1416" s="6" t="s">
        <v>11</v>
      </c>
      <c r="F1416" s="7" t="s">
        <v>12</v>
      </c>
      <c r="G1416" s="7" t="s">
        <v>12</v>
      </c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  <c r="Z1416" s="5"/>
    </row>
    <row r="1417" ht="14.25" customHeight="1">
      <c r="A1417" s="6" t="s">
        <v>129</v>
      </c>
      <c r="B1417" s="6" t="s">
        <v>8</v>
      </c>
      <c r="C1417" s="6" t="s">
        <v>644</v>
      </c>
      <c r="D1417" s="6" t="s">
        <v>645</v>
      </c>
      <c r="E1417" s="6" t="s">
        <v>27</v>
      </c>
      <c r="F1417" s="7" t="s">
        <v>264</v>
      </c>
      <c r="G1417" s="7" t="s">
        <v>264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  <c r="Z1417" s="5"/>
    </row>
    <row r="1418" ht="14.25" customHeight="1">
      <c r="A1418" s="6" t="s">
        <v>652</v>
      </c>
      <c r="B1418" s="6" t="s">
        <v>8</v>
      </c>
      <c r="C1418" s="6" t="s">
        <v>683</v>
      </c>
      <c r="D1418" s="6" t="s">
        <v>684</v>
      </c>
      <c r="E1418" s="6" t="s">
        <v>27</v>
      </c>
      <c r="F1418" s="7" t="s">
        <v>264</v>
      </c>
      <c r="G1418" s="7" t="s">
        <v>13</v>
      </c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  <c r="Z1418" s="5"/>
    </row>
    <row r="1419" ht="14.25" customHeight="1">
      <c r="A1419" s="6" t="s">
        <v>49</v>
      </c>
      <c r="B1419" s="6" t="s">
        <v>8</v>
      </c>
      <c r="C1419" s="6" t="s">
        <v>198</v>
      </c>
      <c r="D1419" s="6" t="s">
        <v>199</v>
      </c>
      <c r="E1419" s="6" t="s">
        <v>32</v>
      </c>
      <c r="F1419" s="7" t="s">
        <v>12</v>
      </c>
      <c r="G1419" s="7" t="s">
        <v>28</v>
      </c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  <c r="Z1419" s="5"/>
    </row>
    <row r="1420" ht="14.25" customHeight="1">
      <c r="A1420" s="6" t="s">
        <v>42</v>
      </c>
      <c r="B1420" s="6" t="s">
        <v>8</v>
      </c>
      <c r="C1420" s="6" t="s">
        <v>70</v>
      </c>
      <c r="D1420" s="6" t="s">
        <v>71</v>
      </c>
      <c r="E1420" s="6" t="s">
        <v>20</v>
      </c>
      <c r="F1420" s="7" t="s">
        <v>264</v>
      </c>
      <c r="G1420" s="7" t="s">
        <v>12</v>
      </c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  <c r="Z1420" s="5"/>
    </row>
    <row r="1421" ht="14.25" customHeight="1">
      <c r="A1421" s="6" t="s">
        <v>21</v>
      </c>
      <c r="B1421" s="6" t="s">
        <v>8</v>
      </c>
      <c r="C1421" s="6" t="s">
        <v>695</v>
      </c>
      <c r="D1421" s="6" t="s">
        <v>696</v>
      </c>
      <c r="E1421" s="6" t="s">
        <v>27</v>
      </c>
      <c r="F1421" s="7" t="s">
        <v>264</v>
      </c>
      <c r="G1421" s="7" t="s">
        <v>264</v>
      </c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  <c r="Z1421" s="5"/>
    </row>
    <row r="1422" ht="14.25" customHeight="1">
      <c r="A1422" s="6" t="s">
        <v>72</v>
      </c>
      <c r="B1422" s="6" t="s">
        <v>8</v>
      </c>
      <c r="C1422" s="6" t="s">
        <v>77</v>
      </c>
      <c r="D1422" s="6" t="s">
        <v>78</v>
      </c>
      <c r="E1422" s="6" t="s">
        <v>20</v>
      </c>
      <c r="F1422" s="7" t="s">
        <v>264</v>
      </c>
      <c r="G1422" s="7" t="s">
        <v>28</v>
      </c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  <c r="Z1422" s="5"/>
    </row>
    <row r="1423" ht="14.25" customHeight="1">
      <c r="A1423" s="6" t="s">
        <v>84</v>
      </c>
      <c r="B1423" s="6" t="s">
        <v>8</v>
      </c>
      <c r="C1423" s="6" t="s">
        <v>697</v>
      </c>
      <c r="D1423" s="6" t="s">
        <v>698</v>
      </c>
      <c r="E1423" s="6" t="s">
        <v>32</v>
      </c>
      <c r="F1423" s="7" t="s">
        <v>12</v>
      </c>
      <c r="G1423" s="7" t="s">
        <v>12</v>
      </c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  <c r="Z1423" s="5"/>
    </row>
    <row r="1424" ht="14.25" customHeight="1">
      <c r="A1424" s="6" t="s">
        <v>42</v>
      </c>
      <c r="B1424" s="6" t="s">
        <v>8</v>
      </c>
      <c r="C1424" s="6" t="s">
        <v>70</v>
      </c>
      <c r="D1424" s="6" t="s">
        <v>71</v>
      </c>
      <c r="E1424" s="6" t="s">
        <v>11</v>
      </c>
      <c r="F1424" s="7" t="s">
        <v>264</v>
      </c>
      <c r="G1424" s="7" t="s">
        <v>12</v>
      </c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  <c r="Z1424" s="5"/>
    </row>
    <row r="1425" ht="14.25" customHeight="1">
      <c r="A1425" s="6" t="s">
        <v>117</v>
      </c>
      <c r="B1425" s="6" t="s">
        <v>8</v>
      </c>
      <c r="C1425" s="6" t="s">
        <v>118</v>
      </c>
      <c r="D1425" s="6" t="s">
        <v>119</v>
      </c>
      <c r="E1425" s="6" t="s">
        <v>20</v>
      </c>
      <c r="F1425" s="7" t="s">
        <v>12</v>
      </c>
      <c r="G1425" s="7" t="s">
        <v>12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  <c r="Z1425" s="5"/>
    </row>
    <row r="1426" ht="14.25" customHeight="1">
      <c r="A1426" s="6" t="s">
        <v>17</v>
      </c>
      <c r="B1426" s="6" t="s">
        <v>8</v>
      </c>
      <c r="C1426" s="6" t="s">
        <v>18</v>
      </c>
      <c r="D1426" s="6" t="s">
        <v>19</v>
      </c>
      <c r="E1426" s="6" t="s">
        <v>11</v>
      </c>
      <c r="F1426" s="7" t="s">
        <v>12</v>
      </c>
      <c r="G1426" s="7" t="s">
        <v>12</v>
      </c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  <c r="Z1426" s="5"/>
    </row>
    <row r="1427" ht="14.25" customHeight="1">
      <c r="A1427" s="6" t="s">
        <v>72</v>
      </c>
      <c r="B1427" s="6" t="s">
        <v>8</v>
      </c>
      <c r="C1427" s="6" t="s">
        <v>77</v>
      </c>
      <c r="D1427" s="6" t="s">
        <v>78</v>
      </c>
      <c r="E1427" s="6" t="s">
        <v>11</v>
      </c>
      <c r="F1427" s="7" t="s">
        <v>12</v>
      </c>
      <c r="G1427" s="7" t="s">
        <v>28</v>
      </c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  <c r="Z1427" s="5"/>
    </row>
    <row r="1428" ht="14.25" customHeight="1">
      <c r="A1428" s="6" t="s">
        <v>33</v>
      </c>
      <c r="B1428" s="6" t="s">
        <v>8</v>
      </c>
      <c r="C1428" s="6" t="s">
        <v>182</v>
      </c>
      <c r="D1428" s="6" t="s">
        <v>183</v>
      </c>
      <c r="E1428" s="6" t="s">
        <v>48</v>
      </c>
      <c r="F1428" s="7" t="s">
        <v>28</v>
      </c>
      <c r="G1428" s="7" t="s">
        <v>28</v>
      </c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  <c r="Z1428" s="5"/>
    </row>
    <row r="1429" ht="14.25" customHeight="1">
      <c r="A1429" s="6" t="s">
        <v>122</v>
      </c>
      <c r="B1429" s="6" t="s">
        <v>8</v>
      </c>
      <c r="C1429" s="6" t="s">
        <v>526</v>
      </c>
      <c r="D1429" s="6" t="s">
        <v>527</v>
      </c>
      <c r="E1429" s="6" t="s">
        <v>27</v>
      </c>
      <c r="F1429" s="7" t="s">
        <v>28</v>
      </c>
      <c r="G1429" s="7" t="s">
        <v>28</v>
      </c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  <c r="Z1429" s="5"/>
    </row>
    <row r="1430" ht="14.25" customHeight="1">
      <c r="A1430" s="6" t="s">
        <v>158</v>
      </c>
      <c r="B1430" s="6" t="s">
        <v>8</v>
      </c>
      <c r="C1430" s="6" t="s">
        <v>705</v>
      </c>
      <c r="D1430" s="6" t="s">
        <v>706</v>
      </c>
      <c r="E1430" s="6" t="s">
        <v>32</v>
      </c>
      <c r="F1430" s="7" t="s">
        <v>264</v>
      </c>
      <c r="G1430" s="7" t="s">
        <v>264</v>
      </c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  <c r="Z1430" s="5"/>
    </row>
    <row r="1431" ht="14.25" customHeight="1">
      <c r="A1431" s="6" t="s">
        <v>33</v>
      </c>
      <c r="B1431" s="6" t="s">
        <v>8</v>
      </c>
      <c r="C1431" s="6" t="s">
        <v>182</v>
      </c>
      <c r="D1431" s="6" t="s">
        <v>183</v>
      </c>
      <c r="E1431" s="6" t="s">
        <v>11</v>
      </c>
      <c r="F1431" s="7" t="s">
        <v>28</v>
      </c>
      <c r="G1431" s="7" t="s">
        <v>28</v>
      </c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  <c r="Z1431" s="5"/>
    </row>
    <row r="1432" ht="14.25" customHeight="1">
      <c r="A1432" s="6" t="s">
        <v>49</v>
      </c>
      <c r="B1432" s="6" t="s">
        <v>8</v>
      </c>
      <c r="C1432" s="6" t="s">
        <v>127</v>
      </c>
      <c r="D1432" s="6" t="s">
        <v>128</v>
      </c>
      <c r="E1432" s="6" t="s">
        <v>20</v>
      </c>
      <c r="F1432" s="7" t="s">
        <v>12</v>
      </c>
      <c r="G1432" s="7" t="s">
        <v>12</v>
      </c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  <c r="Z1432" s="5"/>
    </row>
    <row r="1433" ht="14.25" customHeight="1">
      <c r="A1433" s="6" t="s">
        <v>24</v>
      </c>
      <c r="B1433" s="6" t="s">
        <v>8</v>
      </c>
      <c r="C1433" s="6" t="s">
        <v>375</v>
      </c>
      <c r="D1433" s="6" t="s">
        <v>376</v>
      </c>
      <c r="E1433" s="6" t="s">
        <v>87</v>
      </c>
      <c r="F1433" s="7" t="s">
        <v>264</v>
      </c>
      <c r="G1433" s="7" t="s">
        <v>264</v>
      </c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  <c r="Z1433" s="5"/>
    </row>
    <row r="1434" ht="14.25" customHeight="1">
      <c r="A1434" s="6" t="s">
        <v>158</v>
      </c>
      <c r="B1434" s="6" t="s">
        <v>8</v>
      </c>
      <c r="C1434" s="6" t="s">
        <v>705</v>
      </c>
      <c r="D1434" s="6" t="s">
        <v>706</v>
      </c>
      <c r="E1434" s="6" t="s">
        <v>27</v>
      </c>
      <c r="F1434" s="7" t="s">
        <v>264</v>
      </c>
      <c r="G1434" s="7" t="s">
        <v>264</v>
      </c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  <c r="Z1434" s="5"/>
    </row>
    <row r="1435" ht="14.25" customHeight="1">
      <c r="A1435" s="6" t="s">
        <v>158</v>
      </c>
      <c r="B1435" s="6" t="s">
        <v>8</v>
      </c>
      <c r="C1435" s="6" t="s">
        <v>705</v>
      </c>
      <c r="D1435" s="6" t="s">
        <v>706</v>
      </c>
      <c r="E1435" s="6" t="s">
        <v>48</v>
      </c>
      <c r="F1435" s="7" t="s">
        <v>264</v>
      </c>
      <c r="G1435" s="7" t="s">
        <v>264</v>
      </c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  <c r="Z1435" s="5"/>
    </row>
    <row r="1436" ht="14.25" customHeight="1">
      <c r="A1436" s="6" t="s">
        <v>62</v>
      </c>
      <c r="B1436" s="6" t="s">
        <v>8</v>
      </c>
      <c r="C1436" s="6" t="s">
        <v>91</v>
      </c>
      <c r="D1436" s="6" t="s">
        <v>92</v>
      </c>
      <c r="E1436" s="6" t="s">
        <v>11</v>
      </c>
      <c r="F1436" s="7" t="s">
        <v>12</v>
      </c>
      <c r="G1436" s="7" t="s">
        <v>28</v>
      </c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  <c r="Z1436" s="5"/>
    </row>
    <row r="1437" ht="14.25" customHeight="1">
      <c r="A1437" s="6" t="s">
        <v>21</v>
      </c>
      <c r="B1437" s="6" t="s">
        <v>8</v>
      </c>
      <c r="C1437" s="6" t="s">
        <v>703</v>
      </c>
      <c r="D1437" s="6" t="s">
        <v>704</v>
      </c>
      <c r="E1437" s="6" t="s">
        <v>48</v>
      </c>
      <c r="F1437" s="7" t="s">
        <v>12</v>
      </c>
      <c r="G1437" s="7" t="s">
        <v>12</v>
      </c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  <c r="Z1437" s="5"/>
    </row>
    <row r="1438" ht="14.25" customHeight="1">
      <c r="A1438" s="6" t="s">
        <v>129</v>
      </c>
      <c r="B1438" s="6" t="s">
        <v>8</v>
      </c>
      <c r="C1438" s="6" t="s">
        <v>644</v>
      </c>
      <c r="D1438" s="6" t="s">
        <v>645</v>
      </c>
      <c r="E1438" s="6" t="s">
        <v>48</v>
      </c>
      <c r="F1438" s="7" t="s">
        <v>264</v>
      </c>
      <c r="G1438" s="7" t="s">
        <v>264</v>
      </c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  <c r="Z1438" s="5"/>
    </row>
    <row r="1439" ht="14.25" customHeight="1">
      <c r="A1439" s="6" t="s">
        <v>24</v>
      </c>
      <c r="B1439" s="6" t="s">
        <v>8</v>
      </c>
      <c r="C1439" s="6" t="s">
        <v>52</v>
      </c>
      <c r="D1439" s="6" t="s">
        <v>53</v>
      </c>
      <c r="E1439" s="6" t="s">
        <v>27</v>
      </c>
      <c r="F1439" s="7" t="s">
        <v>12</v>
      </c>
      <c r="G1439" s="7" t="s">
        <v>12</v>
      </c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  <c r="Z1439" s="5"/>
    </row>
    <row r="1440" ht="14.25" customHeight="1">
      <c r="A1440" s="6" t="s">
        <v>62</v>
      </c>
      <c r="B1440" s="6" t="s">
        <v>8</v>
      </c>
      <c r="C1440" s="6" t="s">
        <v>91</v>
      </c>
      <c r="D1440" s="6" t="s">
        <v>92</v>
      </c>
      <c r="E1440" s="6" t="s">
        <v>20</v>
      </c>
      <c r="F1440" s="7" t="s">
        <v>12</v>
      </c>
      <c r="G1440" s="7" t="s">
        <v>28</v>
      </c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  <c r="Z1440" s="5"/>
    </row>
    <row r="1441" ht="14.25" customHeight="1">
      <c r="A1441" s="6" t="s">
        <v>45</v>
      </c>
      <c r="B1441" s="6" t="s">
        <v>8</v>
      </c>
      <c r="C1441" s="6" t="s">
        <v>176</v>
      </c>
      <c r="D1441" s="6" t="s">
        <v>177</v>
      </c>
      <c r="E1441" s="6" t="s">
        <v>32</v>
      </c>
      <c r="F1441" s="7" t="s">
        <v>264</v>
      </c>
      <c r="G1441" s="7" t="s">
        <v>12</v>
      </c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  <c r="Z1441" s="5"/>
    </row>
    <row r="1442" ht="14.25" customHeight="1">
      <c r="A1442" s="6" t="s">
        <v>122</v>
      </c>
      <c r="B1442" s="6" t="s">
        <v>8</v>
      </c>
      <c r="C1442" s="6" t="s">
        <v>526</v>
      </c>
      <c r="D1442" s="6" t="s">
        <v>527</v>
      </c>
      <c r="E1442" s="6" t="s">
        <v>48</v>
      </c>
      <c r="F1442" s="7" t="s">
        <v>28</v>
      </c>
      <c r="G1442" s="7" t="s">
        <v>28</v>
      </c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  <c r="Z1442" s="5"/>
    </row>
    <row r="1443" ht="14.25" customHeight="1">
      <c r="A1443" s="6" t="s">
        <v>21</v>
      </c>
      <c r="B1443" s="6" t="s">
        <v>8</v>
      </c>
      <c r="C1443" s="6" t="s">
        <v>695</v>
      </c>
      <c r="D1443" s="6" t="s">
        <v>696</v>
      </c>
      <c r="E1443" s="6" t="s">
        <v>48</v>
      </c>
      <c r="F1443" s="7" t="s">
        <v>264</v>
      </c>
      <c r="G1443" s="7" t="s">
        <v>264</v>
      </c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  <c r="Z1443" s="5"/>
    </row>
    <row r="1444" ht="14.25" customHeight="1">
      <c r="A1444" s="6" t="s">
        <v>62</v>
      </c>
      <c r="B1444" s="6" t="s">
        <v>8</v>
      </c>
      <c r="C1444" s="6" t="s">
        <v>91</v>
      </c>
      <c r="D1444" s="6" t="s">
        <v>92</v>
      </c>
      <c r="E1444" s="6" t="s">
        <v>27</v>
      </c>
      <c r="F1444" s="7" t="s">
        <v>12</v>
      </c>
      <c r="G1444" s="7" t="s">
        <v>28</v>
      </c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  <c r="Z1444" s="5"/>
    </row>
    <row r="1445" ht="14.25" customHeight="1">
      <c r="A1445" s="6" t="s">
        <v>21</v>
      </c>
      <c r="B1445" s="6" t="s">
        <v>8</v>
      </c>
      <c r="C1445" s="6" t="s">
        <v>703</v>
      </c>
      <c r="D1445" s="6" t="s">
        <v>704</v>
      </c>
      <c r="E1445" s="6" t="s">
        <v>27</v>
      </c>
      <c r="F1445" s="7" t="s">
        <v>12</v>
      </c>
      <c r="G1445" s="7" t="s">
        <v>12</v>
      </c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  <c r="Z1445" s="5"/>
    </row>
    <row r="1446" ht="14.25" customHeight="1">
      <c r="A1446" s="6" t="s">
        <v>122</v>
      </c>
      <c r="B1446" s="6" t="s">
        <v>8</v>
      </c>
      <c r="C1446" s="6" t="s">
        <v>526</v>
      </c>
      <c r="D1446" s="6" t="s">
        <v>527</v>
      </c>
      <c r="E1446" s="6" t="s">
        <v>11</v>
      </c>
      <c r="F1446" s="7" t="s">
        <v>28</v>
      </c>
      <c r="G1446" s="7" t="s">
        <v>28</v>
      </c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  <c r="Z1446" s="5"/>
    </row>
    <row r="1447" ht="14.25" customHeight="1">
      <c r="A1447" s="6" t="s">
        <v>158</v>
      </c>
      <c r="B1447" s="6" t="s">
        <v>8</v>
      </c>
      <c r="C1447" s="6" t="s">
        <v>320</v>
      </c>
      <c r="D1447" s="6" t="s">
        <v>321</v>
      </c>
      <c r="E1447" s="6" t="s">
        <v>39</v>
      </c>
      <c r="F1447" s="7" t="s">
        <v>28</v>
      </c>
      <c r="G1447" s="7" t="s">
        <v>28</v>
      </c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  <c r="Z1447" s="5"/>
    </row>
    <row r="1448" ht="14.25" customHeight="1">
      <c r="A1448" s="6" t="s">
        <v>158</v>
      </c>
      <c r="B1448" s="6" t="s">
        <v>8</v>
      </c>
      <c r="C1448" s="6" t="s">
        <v>705</v>
      </c>
      <c r="D1448" s="6" t="s">
        <v>706</v>
      </c>
      <c r="E1448" s="6" t="s">
        <v>20</v>
      </c>
      <c r="F1448" s="7" t="s">
        <v>264</v>
      </c>
      <c r="G1448" s="7" t="s">
        <v>264</v>
      </c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  <c r="Z1448" s="5"/>
    </row>
    <row r="1449" ht="14.25" customHeight="1">
      <c r="A1449" s="6" t="s">
        <v>21</v>
      </c>
      <c r="B1449" s="6" t="s">
        <v>8</v>
      </c>
      <c r="C1449" s="6" t="s">
        <v>695</v>
      </c>
      <c r="D1449" s="6" t="s">
        <v>696</v>
      </c>
      <c r="E1449" s="6" t="s">
        <v>11</v>
      </c>
      <c r="F1449" s="7" t="s">
        <v>264</v>
      </c>
      <c r="G1449" s="7" t="s">
        <v>264</v>
      </c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  <c r="Z1449" s="5"/>
    </row>
    <row r="1450" ht="14.25" customHeight="1">
      <c r="A1450" s="6" t="s">
        <v>49</v>
      </c>
      <c r="B1450" s="6" t="s">
        <v>8</v>
      </c>
      <c r="C1450" s="6" t="s">
        <v>68</v>
      </c>
      <c r="D1450" s="6" t="s">
        <v>69</v>
      </c>
      <c r="E1450" s="6" t="s">
        <v>20</v>
      </c>
      <c r="F1450" s="7" t="s">
        <v>264</v>
      </c>
      <c r="G1450" s="7" t="s">
        <v>12</v>
      </c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  <c r="Z1450" s="5"/>
    </row>
    <row r="1451" ht="14.25" customHeight="1">
      <c r="A1451" s="6" t="s">
        <v>88</v>
      </c>
      <c r="B1451" s="6" t="s">
        <v>8</v>
      </c>
      <c r="C1451" s="6" t="s">
        <v>89</v>
      </c>
      <c r="D1451" s="6" t="s">
        <v>90</v>
      </c>
      <c r="E1451" s="6" t="s">
        <v>32</v>
      </c>
      <c r="F1451" s="7" t="s">
        <v>28</v>
      </c>
      <c r="G1451" s="7" t="s">
        <v>28</v>
      </c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  <c r="Z1451" s="5"/>
    </row>
    <row r="1452" ht="14.25" customHeight="1">
      <c r="A1452" s="6" t="s">
        <v>55</v>
      </c>
      <c r="B1452" s="6" t="s">
        <v>8</v>
      </c>
      <c r="C1452" s="6" t="s">
        <v>56</v>
      </c>
      <c r="D1452" s="6" t="s">
        <v>57</v>
      </c>
      <c r="E1452" s="6" t="s">
        <v>32</v>
      </c>
      <c r="F1452" s="7" t="s">
        <v>264</v>
      </c>
      <c r="G1452" s="7" t="s">
        <v>28</v>
      </c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  <c r="Z1452" s="5"/>
    </row>
    <row r="1453" ht="14.25" customHeight="1">
      <c r="A1453" s="6" t="s">
        <v>117</v>
      </c>
      <c r="B1453" s="6" t="s">
        <v>8</v>
      </c>
      <c r="C1453" s="6" t="s">
        <v>200</v>
      </c>
      <c r="D1453" s="6" t="s">
        <v>201</v>
      </c>
      <c r="E1453" s="6" t="s">
        <v>48</v>
      </c>
      <c r="F1453" s="7" t="s">
        <v>264</v>
      </c>
      <c r="G1453" s="7" t="s">
        <v>12</v>
      </c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  <c r="Z1453" s="5"/>
    </row>
    <row r="1454" ht="14.25" customHeight="1">
      <c r="A1454" s="6" t="s">
        <v>49</v>
      </c>
      <c r="B1454" s="6" t="s">
        <v>8</v>
      </c>
      <c r="C1454" s="6" t="s">
        <v>68</v>
      </c>
      <c r="D1454" s="6" t="s">
        <v>69</v>
      </c>
      <c r="E1454" s="6" t="s">
        <v>32</v>
      </c>
      <c r="F1454" s="7" t="s">
        <v>264</v>
      </c>
      <c r="G1454" s="7" t="s">
        <v>12</v>
      </c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  <c r="Z1454" s="5"/>
    </row>
    <row r="1455" ht="14.25" customHeight="1">
      <c r="A1455" s="6" t="s">
        <v>72</v>
      </c>
      <c r="B1455" s="6" t="s">
        <v>8</v>
      </c>
      <c r="C1455" s="6" t="s">
        <v>689</v>
      </c>
      <c r="D1455" s="6" t="s">
        <v>690</v>
      </c>
      <c r="E1455" s="6" t="s">
        <v>39</v>
      </c>
      <c r="F1455" s="7" t="s">
        <v>264</v>
      </c>
      <c r="G1455" s="7" t="s">
        <v>264</v>
      </c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  <c r="Z1455" s="5"/>
    </row>
    <row r="1456" ht="14.25" customHeight="1">
      <c r="A1456" s="6" t="s">
        <v>117</v>
      </c>
      <c r="B1456" s="6" t="s">
        <v>8</v>
      </c>
      <c r="C1456" s="6" t="s">
        <v>200</v>
      </c>
      <c r="D1456" s="6" t="s">
        <v>201</v>
      </c>
      <c r="E1456" s="6" t="s">
        <v>27</v>
      </c>
      <c r="F1456" s="7" t="s">
        <v>264</v>
      </c>
      <c r="G1456" s="7" t="s">
        <v>12</v>
      </c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  <c r="Z1456" s="5"/>
    </row>
    <row r="1457" ht="14.25" customHeight="1">
      <c r="A1457" s="6" t="s">
        <v>72</v>
      </c>
      <c r="B1457" s="6" t="s">
        <v>8</v>
      </c>
      <c r="C1457" s="6" t="s">
        <v>689</v>
      </c>
      <c r="D1457" s="6" t="s">
        <v>690</v>
      </c>
      <c r="E1457" s="6" t="s">
        <v>48</v>
      </c>
      <c r="F1457" s="7" t="s">
        <v>264</v>
      </c>
      <c r="G1457" s="7" t="s">
        <v>264</v>
      </c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  <c r="Z1457" s="5"/>
    </row>
    <row r="1458" ht="14.25" customHeight="1">
      <c r="A1458" s="6" t="s">
        <v>14</v>
      </c>
      <c r="B1458" s="6" t="s">
        <v>8</v>
      </c>
      <c r="C1458" s="6" t="s">
        <v>407</v>
      </c>
      <c r="D1458" s="6" t="s">
        <v>408</v>
      </c>
      <c r="E1458" s="6" t="s">
        <v>27</v>
      </c>
      <c r="F1458" s="7" t="s">
        <v>264</v>
      </c>
      <c r="G1458" s="7" t="s">
        <v>264</v>
      </c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  <c r="Z1458" s="5"/>
    </row>
    <row r="1459" ht="14.25" customHeight="1">
      <c r="A1459" s="6" t="s">
        <v>14</v>
      </c>
      <c r="B1459" s="6" t="s">
        <v>8</v>
      </c>
      <c r="C1459" s="6" t="s">
        <v>407</v>
      </c>
      <c r="D1459" s="6" t="s">
        <v>408</v>
      </c>
      <c r="E1459" s="6" t="s">
        <v>48</v>
      </c>
      <c r="F1459" s="7" t="s">
        <v>264</v>
      </c>
      <c r="G1459" s="7" t="s">
        <v>264</v>
      </c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  <c r="Z1459" s="5"/>
    </row>
    <row r="1460" ht="14.25" customHeight="1">
      <c r="A1460" s="6" t="s">
        <v>14</v>
      </c>
      <c r="B1460" s="6" t="s">
        <v>8</v>
      </c>
      <c r="C1460" s="6" t="s">
        <v>407</v>
      </c>
      <c r="D1460" s="6" t="s">
        <v>408</v>
      </c>
      <c r="E1460" s="6" t="s">
        <v>11</v>
      </c>
      <c r="F1460" s="7" t="s">
        <v>264</v>
      </c>
      <c r="G1460" s="7" t="s">
        <v>264</v>
      </c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  <c r="Z1460" s="5"/>
    </row>
    <row r="1461" ht="14.25" customHeight="1">
      <c r="A1461" s="6" t="s">
        <v>14</v>
      </c>
      <c r="B1461" s="6" t="s">
        <v>8</v>
      </c>
      <c r="C1461" s="6" t="s">
        <v>407</v>
      </c>
      <c r="D1461" s="6" t="s">
        <v>408</v>
      </c>
      <c r="E1461" s="6" t="s">
        <v>20</v>
      </c>
      <c r="F1461" s="7" t="s">
        <v>264</v>
      </c>
      <c r="G1461" s="7" t="s">
        <v>264</v>
      </c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  <c r="Z1461" s="5"/>
    </row>
    <row r="1462" ht="14.25" customHeight="1">
      <c r="A1462" s="6" t="s">
        <v>93</v>
      </c>
      <c r="B1462" s="6" t="s">
        <v>8</v>
      </c>
      <c r="C1462" s="6" t="s">
        <v>707</v>
      </c>
      <c r="D1462" s="6" t="s">
        <v>708</v>
      </c>
      <c r="E1462" s="6" t="s">
        <v>32</v>
      </c>
      <c r="F1462" s="7" t="s">
        <v>12</v>
      </c>
      <c r="G1462" s="7" t="s">
        <v>12</v>
      </c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  <c r="Z1462" s="5"/>
    </row>
    <row r="1463" ht="14.25" customHeight="1">
      <c r="A1463" s="6" t="s">
        <v>93</v>
      </c>
      <c r="B1463" s="6" t="s">
        <v>8</v>
      </c>
      <c r="C1463" s="6" t="s">
        <v>707</v>
      </c>
      <c r="D1463" s="6" t="s">
        <v>708</v>
      </c>
      <c r="E1463" s="6" t="s">
        <v>11</v>
      </c>
      <c r="F1463" s="7" t="s">
        <v>12</v>
      </c>
      <c r="G1463" s="7" t="s">
        <v>12</v>
      </c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  <c r="Z1463" s="5"/>
    </row>
    <row r="1464" ht="14.25" customHeight="1">
      <c r="A1464" s="6" t="s">
        <v>93</v>
      </c>
      <c r="B1464" s="6" t="s">
        <v>8</v>
      </c>
      <c r="C1464" s="6" t="s">
        <v>707</v>
      </c>
      <c r="D1464" s="6" t="s">
        <v>708</v>
      </c>
      <c r="E1464" s="6" t="s">
        <v>20</v>
      </c>
      <c r="F1464" s="7" t="s">
        <v>12</v>
      </c>
      <c r="G1464" s="7" t="s">
        <v>12</v>
      </c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  <c r="Z1464" s="5"/>
    </row>
    <row r="1465" ht="14.25" customHeight="1">
      <c r="A1465" s="6" t="s">
        <v>93</v>
      </c>
      <c r="B1465" s="6" t="s">
        <v>8</v>
      </c>
      <c r="C1465" s="6" t="s">
        <v>707</v>
      </c>
      <c r="D1465" s="6" t="s">
        <v>708</v>
      </c>
      <c r="E1465" s="6" t="s">
        <v>48</v>
      </c>
      <c r="F1465" s="7" t="s">
        <v>12</v>
      </c>
      <c r="G1465" s="7" t="s">
        <v>12</v>
      </c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  <c r="Z1465" s="5"/>
    </row>
    <row r="1466" ht="14.25" customHeight="1">
      <c r="A1466" s="6" t="s">
        <v>93</v>
      </c>
      <c r="B1466" s="6" t="s">
        <v>8</v>
      </c>
      <c r="C1466" s="6" t="s">
        <v>707</v>
      </c>
      <c r="D1466" s="6" t="s">
        <v>708</v>
      </c>
      <c r="E1466" s="6" t="s">
        <v>27</v>
      </c>
      <c r="F1466" s="7" t="s">
        <v>28</v>
      </c>
      <c r="G1466" s="7" t="s">
        <v>28</v>
      </c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  <c r="Z1466" s="5"/>
    </row>
    <row r="1467" ht="14.25" customHeight="1">
      <c r="A1467" s="6" t="s">
        <v>79</v>
      </c>
      <c r="B1467" s="6" t="s">
        <v>8</v>
      </c>
      <c r="C1467" s="6" t="s">
        <v>98</v>
      </c>
      <c r="D1467" s="6" t="s">
        <v>99</v>
      </c>
      <c r="E1467" s="6" t="s">
        <v>20</v>
      </c>
      <c r="F1467" s="7" t="s">
        <v>28</v>
      </c>
      <c r="G1467" s="7" t="s">
        <v>28</v>
      </c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  <c r="Z1467" s="5"/>
    </row>
    <row r="1468" ht="14.25" customHeight="1">
      <c r="A1468" s="6" t="s">
        <v>42</v>
      </c>
      <c r="B1468" s="6" t="s">
        <v>8</v>
      </c>
      <c r="C1468" s="6" t="s">
        <v>693</v>
      </c>
      <c r="D1468" s="6" t="s">
        <v>694</v>
      </c>
      <c r="E1468" s="6" t="s">
        <v>27</v>
      </c>
      <c r="F1468" s="7" t="s">
        <v>28</v>
      </c>
      <c r="G1468" s="7" t="s">
        <v>28</v>
      </c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  <c r="Z1468" s="5"/>
    </row>
    <row r="1469" ht="14.25" customHeight="1">
      <c r="A1469" s="6" t="s">
        <v>42</v>
      </c>
      <c r="B1469" s="6" t="s">
        <v>8</v>
      </c>
      <c r="C1469" s="6" t="s">
        <v>693</v>
      </c>
      <c r="D1469" s="6" t="s">
        <v>694</v>
      </c>
      <c r="E1469" s="6" t="s">
        <v>48</v>
      </c>
      <c r="F1469" s="7" t="s">
        <v>28</v>
      </c>
      <c r="G1469" s="7" t="s">
        <v>28</v>
      </c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  <c r="Z1469" s="5"/>
    </row>
    <row r="1470" ht="14.25" customHeight="1">
      <c r="A1470" s="6" t="s">
        <v>7</v>
      </c>
      <c r="B1470" s="6" t="s">
        <v>8</v>
      </c>
      <c r="C1470" s="6" t="s">
        <v>9</v>
      </c>
      <c r="D1470" s="6" t="s">
        <v>10</v>
      </c>
      <c r="E1470" s="6" t="s">
        <v>32</v>
      </c>
      <c r="F1470" s="7" t="s">
        <v>12</v>
      </c>
      <c r="G1470" s="7" t="s">
        <v>13</v>
      </c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  <c r="Z1470" s="5"/>
    </row>
    <row r="1471" ht="14.25" customHeight="1">
      <c r="A1471" s="5" t="s">
        <v>84</v>
      </c>
      <c r="B1471" s="5" t="s">
        <v>8</v>
      </c>
      <c r="C1471" s="5" t="s">
        <v>85</v>
      </c>
      <c r="D1471" s="5" t="s">
        <v>86</v>
      </c>
      <c r="E1471" s="5" t="s">
        <v>20</v>
      </c>
      <c r="F1471" s="8" t="s">
        <v>12</v>
      </c>
      <c r="G1471" s="8" t="s">
        <v>28</v>
      </c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  <c r="Z1471" s="5"/>
    </row>
    <row r="1472" ht="14.25" customHeight="1">
      <c r="A1472" s="5" t="s">
        <v>45</v>
      </c>
      <c r="B1472" s="5" t="s">
        <v>8</v>
      </c>
      <c r="C1472" s="5" t="s">
        <v>335</v>
      </c>
      <c r="D1472" s="5" t="s">
        <v>336</v>
      </c>
      <c r="E1472" s="5" t="s">
        <v>20</v>
      </c>
      <c r="F1472" s="8" t="s">
        <v>12</v>
      </c>
      <c r="G1472" s="8" t="s">
        <v>28</v>
      </c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  <c r="Z1472" s="5"/>
    </row>
    <row r="1473" ht="14.25" customHeight="1">
      <c r="A1473" s="5" t="s">
        <v>21</v>
      </c>
      <c r="B1473" s="5" t="s">
        <v>8</v>
      </c>
      <c r="C1473" s="5" t="s">
        <v>703</v>
      </c>
      <c r="D1473" s="5" t="s">
        <v>704</v>
      </c>
      <c r="E1473" s="5" t="s">
        <v>39</v>
      </c>
      <c r="F1473" s="8" t="s">
        <v>12</v>
      </c>
      <c r="G1473" s="8" t="s">
        <v>12</v>
      </c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  <c r="Z1473" s="5"/>
    </row>
    <row r="1474" ht="14.25" customHeight="1">
      <c r="A1474" s="5" t="s">
        <v>102</v>
      </c>
      <c r="B1474" s="5" t="s">
        <v>8</v>
      </c>
      <c r="C1474" s="5" t="s">
        <v>640</v>
      </c>
      <c r="D1474" s="5" t="s">
        <v>641</v>
      </c>
      <c r="E1474" s="5" t="s">
        <v>32</v>
      </c>
      <c r="F1474" s="8" t="s">
        <v>12</v>
      </c>
      <c r="G1474" s="8" t="s">
        <v>12</v>
      </c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  <c r="Z1474" s="5"/>
    </row>
    <row r="1475" ht="14.25" customHeight="1">
      <c r="A1475" s="5" t="s">
        <v>36</v>
      </c>
      <c r="B1475" s="5" t="s">
        <v>8</v>
      </c>
      <c r="C1475" s="5" t="s">
        <v>180</v>
      </c>
      <c r="D1475" s="5" t="s">
        <v>181</v>
      </c>
      <c r="E1475" s="5" t="s">
        <v>11</v>
      </c>
      <c r="F1475" s="8" t="s">
        <v>12</v>
      </c>
      <c r="G1475" s="8" t="s">
        <v>28</v>
      </c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  <c r="Z1475" s="5"/>
    </row>
    <row r="1476" ht="14.25" customHeight="1">
      <c r="A1476" s="5" t="s">
        <v>17</v>
      </c>
      <c r="B1476" s="5" t="s">
        <v>8</v>
      </c>
      <c r="C1476" s="5" t="s">
        <v>18</v>
      </c>
      <c r="D1476" s="5" t="s">
        <v>19</v>
      </c>
      <c r="E1476" s="5" t="s">
        <v>32</v>
      </c>
      <c r="F1476" s="8" t="s">
        <v>12</v>
      </c>
      <c r="G1476" s="8" t="s">
        <v>12</v>
      </c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  <c r="Z1476" s="5"/>
    </row>
    <row r="1477" ht="14.25" customHeight="1">
      <c r="A1477" s="5" t="s">
        <v>36</v>
      </c>
      <c r="B1477" s="5" t="s">
        <v>8</v>
      </c>
      <c r="C1477" s="5" t="s">
        <v>180</v>
      </c>
      <c r="D1477" s="5" t="s">
        <v>181</v>
      </c>
      <c r="E1477" s="5" t="s">
        <v>39</v>
      </c>
      <c r="F1477" s="8" t="s">
        <v>12</v>
      </c>
      <c r="G1477" s="8" t="s">
        <v>28</v>
      </c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  <c r="Z1477" s="5"/>
    </row>
    <row r="1478" ht="14.25" customHeight="1">
      <c r="A1478" s="5" t="s">
        <v>117</v>
      </c>
      <c r="B1478" s="5" t="s">
        <v>8</v>
      </c>
      <c r="C1478" s="5" t="s">
        <v>200</v>
      </c>
      <c r="D1478" s="5" t="s">
        <v>201</v>
      </c>
      <c r="E1478" s="5" t="s">
        <v>20</v>
      </c>
      <c r="F1478" s="8" t="s">
        <v>12</v>
      </c>
      <c r="G1478" s="8" t="s">
        <v>12</v>
      </c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  <c r="Z1478" s="5"/>
    </row>
    <row r="1479" ht="14.25" customHeight="1">
      <c r="A1479" s="5" t="s">
        <v>7</v>
      </c>
      <c r="B1479" s="5" t="s">
        <v>8</v>
      </c>
      <c r="C1479" s="5" t="s">
        <v>9</v>
      </c>
      <c r="D1479" s="5" t="s">
        <v>10</v>
      </c>
      <c r="E1479" s="5" t="s">
        <v>27</v>
      </c>
      <c r="F1479" s="8" t="s">
        <v>12</v>
      </c>
      <c r="G1479" s="8" t="s">
        <v>13</v>
      </c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  <c r="Z1479" s="5"/>
    </row>
    <row r="1480" ht="14.25" customHeight="1">
      <c r="A1480" s="5" t="s">
        <v>72</v>
      </c>
      <c r="B1480" s="5" t="s">
        <v>8</v>
      </c>
      <c r="C1480" s="5" t="s">
        <v>73</v>
      </c>
      <c r="D1480" s="5" t="s">
        <v>74</v>
      </c>
      <c r="E1480" s="5" t="s">
        <v>39</v>
      </c>
      <c r="F1480" s="8" t="s">
        <v>12</v>
      </c>
      <c r="G1480" s="8" t="s">
        <v>28</v>
      </c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  <c r="Z1480" s="5"/>
    </row>
    <row r="1481" ht="14.25" customHeight="1">
      <c r="A1481" s="5" t="s">
        <v>84</v>
      </c>
      <c r="B1481" s="5" t="s">
        <v>8</v>
      </c>
      <c r="C1481" s="5" t="s">
        <v>85</v>
      </c>
      <c r="D1481" s="5" t="s">
        <v>86</v>
      </c>
      <c r="E1481" s="5" t="s">
        <v>27</v>
      </c>
      <c r="F1481" s="8" t="s">
        <v>28</v>
      </c>
      <c r="G1481" s="8" t="s">
        <v>28</v>
      </c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  <c r="Z1481" s="5"/>
    </row>
    <row r="1482" ht="14.25" customHeight="1">
      <c r="A1482" s="5" t="s">
        <v>84</v>
      </c>
      <c r="B1482" s="5" t="s">
        <v>8</v>
      </c>
      <c r="C1482" s="5" t="s">
        <v>85</v>
      </c>
      <c r="D1482" s="5" t="s">
        <v>86</v>
      </c>
      <c r="E1482" s="5" t="s">
        <v>11</v>
      </c>
      <c r="F1482" s="8" t="s">
        <v>12</v>
      </c>
      <c r="G1482" s="8" t="s">
        <v>28</v>
      </c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  <c r="Z1482" s="5"/>
    </row>
    <row r="1483" ht="14.25" customHeight="1">
      <c r="A1483" s="5" t="s">
        <v>72</v>
      </c>
      <c r="B1483" s="5" t="s">
        <v>8</v>
      </c>
      <c r="C1483" s="5" t="s">
        <v>73</v>
      </c>
      <c r="D1483" s="5" t="s">
        <v>74</v>
      </c>
      <c r="E1483" s="5" t="s">
        <v>32</v>
      </c>
      <c r="F1483" s="8" t="s">
        <v>12</v>
      </c>
      <c r="G1483" s="8" t="s">
        <v>28</v>
      </c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  <c r="Z1483" s="5"/>
    </row>
    <row r="1484" ht="14.25" customHeight="1">
      <c r="A1484" s="5" t="s">
        <v>24</v>
      </c>
      <c r="B1484" s="5" t="s">
        <v>8</v>
      </c>
      <c r="C1484" s="5" t="s">
        <v>192</v>
      </c>
      <c r="D1484" s="5" t="s">
        <v>193</v>
      </c>
      <c r="E1484" s="5" t="s">
        <v>87</v>
      </c>
      <c r="F1484" s="8" t="s">
        <v>28</v>
      </c>
      <c r="G1484" s="8" t="s">
        <v>28</v>
      </c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  <c r="Z1484" s="5"/>
    </row>
    <row r="1485" ht="14.25" customHeight="1">
      <c r="A1485" s="5" t="s">
        <v>14</v>
      </c>
      <c r="B1485" s="5" t="s">
        <v>8</v>
      </c>
      <c r="C1485" s="5" t="s">
        <v>15</v>
      </c>
      <c r="D1485" s="5" t="s">
        <v>16</v>
      </c>
      <c r="E1485" s="5" t="s">
        <v>32</v>
      </c>
      <c r="F1485" s="8" t="s">
        <v>12</v>
      </c>
      <c r="G1485" s="8" t="s">
        <v>12</v>
      </c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  <c r="Z1485" s="5"/>
    </row>
    <row r="1486" ht="14.25" customHeight="1">
      <c r="A1486" s="5" t="s">
        <v>7</v>
      </c>
      <c r="B1486" s="5" t="s">
        <v>8</v>
      </c>
      <c r="C1486" s="5" t="s">
        <v>9</v>
      </c>
      <c r="D1486" s="5" t="s">
        <v>10</v>
      </c>
      <c r="E1486" s="5" t="s">
        <v>48</v>
      </c>
      <c r="F1486" s="8" t="s">
        <v>12</v>
      </c>
      <c r="G1486" s="8" t="s">
        <v>13</v>
      </c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  <c r="Z1486" s="5"/>
    </row>
    <row r="1487" ht="14.25" customHeight="1">
      <c r="A1487" s="5" t="s">
        <v>49</v>
      </c>
      <c r="B1487" s="5" t="s">
        <v>8</v>
      </c>
      <c r="C1487" s="5" t="s">
        <v>411</v>
      </c>
      <c r="D1487" s="5" t="s">
        <v>412</v>
      </c>
      <c r="E1487" s="5" t="s">
        <v>39</v>
      </c>
      <c r="F1487" s="8" t="s">
        <v>12</v>
      </c>
      <c r="G1487" s="8" t="s">
        <v>12</v>
      </c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  <c r="Z1487" s="5"/>
    </row>
    <row r="1488" ht="14.25" customHeight="1">
      <c r="A1488" s="5" t="s">
        <v>62</v>
      </c>
      <c r="B1488" s="5" t="s">
        <v>8</v>
      </c>
      <c r="C1488" s="5" t="s">
        <v>63</v>
      </c>
      <c r="D1488" s="5" t="s">
        <v>64</v>
      </c>
      <c r="E1488" s="5" t="s">
        <v>11</v>
      </c>
      <c r="F1488" s="8" t="s">
        <v>12</v>
      </c>
      <c r="G1488" s="8" t="s">
        <v>28</v>
      </c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  <c r="Z1488" s="5"/>
    </row>
    <row r="1489" ht="14.25" customHeight="1">
      <c r="A1489" s="5" t="s">
        <v>110</v>
      </c>
      <c r="B1489" s="5" t="s">
        <v>8</v>
      </c>
      <c r="C1489" s="5" t="s">
        <v>111</v>
      </c>
      <c r="D1489" s="5" t="s">
        <v>112</v>
      </c>
      <c r="E1489" s="5" t="s">
        <v>27</v>
      </c>
      <c r="F1489" s="8" t="s">
        <v>12</v>
      </c>
      <c r="G1489" s="8" t="s">
        <v>12</v>
      </c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  <c r="Z1489" s="5"/>
    </row>
    <row r="1490" ht="14.25" customHeight="1">
      <c r="A1490" s="5" t="s">
        <v>117</v>
      </c>
      <c r="B1490" s="5" t="s">
        <v>8</v>
      </c>
      <c r="C1490" s="5" t="s">
        <v>118</v>
      </c>
      <c r="D1490" s="5" t="s">
        <v>119</v>
      </c>
      <c r="E1490" s="5" t="s">
        <v>27</v>
      </c>
      <c r="F1490" s="8" t="s">
        <v>28</v>
      </c>
      <c r="G1490" s="8" t="s">
        <v>28</v>
      </c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  <c r="Z1490" s="5"/>
    </row>
    <row r="1491" ht="14.25" customHeight="1">
      <c r="A1491" s="5" t="s">
        <v>24</v>
      </c>
      <c r="B1491" s="5" t="s">
        <v>8</v>
      </c>
      <c r="C1491" s="5" t="s">
        <v>192</v>
      </c>
      <c r="D1491" s="5" t="s">
        <v>193</v>
      </c>
      <c r="E1491" s="5" t="s">
        <v>11</v>
      </c>
      <c r="F1491" s="8" t="s">
        <v>28</v>
      </c>
      <c r="G1491" s="8" t="s">
        <v>28</v>
      </c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  <c r="Z1491" s="5"/>
    </row>
    <row r="1492" ht="14.25" customHeight="1">
      <c r="A1492" s="5" t="s">
        <v>93</v>
      </c>
      <c r="B1492" s="5" t="s">
        <v>8</v>
      </c>
      <c r="C1492" s="5" t="s">
        <v>285</v>
      </c>
      <c r="D1492" s="5" t="s">
        <v>286</v>
      </c>
      <c r="E1492" s="5" t="s">
        <v>20</v>
      </c>
      <c r="F1492" s="8" t="s">
        <v>12</v>
      </c>
      <c r="G1492" s="8" t="s">
        <v>28</v>
      </c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  <c r="Z1492" s="5"/>
    </row>
    <row r="1493" ht="14.25" customHeight="1">
      <c r="A1493" s="5" t="s">
        <v>72</v>
      </c>
      <c r="B1493" s="5" t="s">
        <v>8</v>
      </c>
      <c r="C1493" s="5" t="s">
        <v>163</v>
      </c>
      <c r="D1493" s="5" t="s">
        <v>164</v>
      </c>
      <c r="E1493" s="5" t="s">
        <v>27</v>
      </c>
      <c r="F1493" s="8" t="s">
        <v>12</v>
      </c>
      <c r="G1493" s="8" t="s">
        <v>28</v>
      </c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  <c r="Z1493" s="5"/>
    </row>
    <row r="1494" ht="14.25" customHeight="1">
      <c r="A1494" s="5" t="s">
        <v>88</v>
      </c>
      <c r="B1494" s="5" t="s">
        <v>8</v>
      </c>
      <c r="C1494" s="5" t="s">
        <v>148</v>
      </c>
      <c r="D1494" s="5" t="s">
        <v>149</v>
      </c>
      <c r="E1494" s="5" t="s">
        <v>48</v>
      </c>
      <c r="F1494" s="8" t="s">
        <v>12</v>
      </c>
      <c r="G1494" s="8" t="s">
        <v>28</v>
      </c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  <c r="Z1494" s="5"/>
    </row>
    <row r="1495" ht="14.25" customHeight="1">
      <c r="A1495" s="5" t="s">
        <v>62</v>
      </c>
      <c r="B1495" s="5" t="s">
        <v>8</v>
      </c>
      <c r="C1495" s="5" t="s">
        <v>91</v>
      </c>
      <c r="D1495" s="5" t="s">
        <v>92</v>
      </c>
      <c r="E1495" s="5" t="s">
        <v>48</v>
      </c>
      <c r="F1495" s="8" t="s">
        <v>12</v>
      </c>
      <c r="G1495" s="8" t="s">
        <v>28</v>
      </c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  <c r="Z1495" s="5"/>
    </row>
    <row r="1496" ht="14.25" customHeight="1">
      <c r="A1496" s="5" t="s">
        <v>105</v>
      </c>
      <c r="B1496" s="5" t="s">
        <v>8</v>
      </c>
      <c r="C1496" s="5" t="s">
        <v>152</v>
      </c>
      <c r="D1496" s="5" t="s">
        <v>153</v>
      </c>
      <c r="E1496" s="5" t="s">
        <v>11</v>
      </c>
      <c r="F1496" s="8" t="s">
        <v>28</v>
      </c>
      <c r="G1496" s="8" t="s">
        <v>28</v>
      </c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  <c r="Z1496" s="5"/>
    </row>
    <row r="1497" ht="14.25" customHeight="1">
      <c r="A1497" s="5" t="s">
        <v>49</v>
      </c>
      <c r="B1497" s="5" t="s">
        <v>8</v>
      </c>
      <c r="C1497" s="5" t="s">
        <v>411</v>
      </c>
      <c r="D1497" s="5" t="s">
        <v>412</v>
      </c>
      <c r="E1497" s="5" t="s">
        <v>11</v>
      </c>
      <c r="F1497" s="8" t="s">
        <v>12</v>
      </c>
      <c r="G1497" s="8" t="s">
        <v>12</v>
      </c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  <c r="Z1497" s="5"/>
    </row>
    <row r="1498" ht="14.25" customHeight="1">
      <c r="A1498" s="5" t="s">
        <v>132</v>
      </c>
      <c r="B1498" s="5" t="s">
        <v>8</v>
      </c>
      <c r="C1498" s="5" t="s">
        <v>133</v>
      </c>
      <c r="D1498" s="5" t="s">
        <v>134</v>
      </c>
      <c r="E1498" s="5" t="s">
        <v>27</v>
      </c>
      <c r="F1498" s="8" t="s">
        <v>28</v>
      </c>
      <c r="G1498" s="8" t="s">
        <v>28</v>
      </c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  <c r="Z1498" s="5"/>
    </row>
    <row r="1499" ht="14.25" customHeight="1">
      <c r="A1499" s="5" t="s">
        <v>102</v>
      </c>
      <c r="B1499" s="5" t="s">
        <v>8</v>
      </c>
      <c r="C1499" s="5" t="s">
        <v>640</v>
      </c>
      <c r="D1499" s="5" t="s">
        <v>641</v>
      </c>
      <c r="E1499" s="5" t="s">
        <v>11</v>
      </c>
      <c r="F1499" s="8" t="s">
        <v>12</v>
      </c>
      <c r="G1499" s="8" t="s">
        <v>28</v>
      </c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  <c r="Z1499" s="5"/>
    </row>
    <row r="1500" ht="14.25" customHeight="1">
      <c r="A1500" s="5" t="s">
        <v>88</v>
      </c>
      <c r="B1500" s="5" t="s">
        <v>8</v>
      </c>
      <c r="C1500" s="5" t="s">
        <v>148</v>
      </c>
      <c r="D1500" s="5" t="s">
        <v>149</v>
      </c>
      <c r="E1500" s="5" t="s">
        <v>20</v>
      </c>
      <c r="F1500" s="8" t="s">
        <v>12</v>
      </c>
      <c r="G1500" s="8" t="s">
        <v>28</v>
      </c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  <c r="Z1500" s="5"/>
    </row>
    <row r="1501" ht="14.25" customHeight="1">
      <c r="A1501" s="5" t="s">
        <v>24</v>
      </c>
      <c r="B1501" s="5" t="s">
        <v>8</v>
      </c>
      <c r="C1501" s="5" t="s">
        <v>52</v>
      </c>
      <c r="D1501" s="5" t="s">
        <v>53</v>
      </c>
      <c r="E1501" s="5" t="s">
        <v>32</v>
      </c>
      <c r="F1501" s="8" t="s">
        <v>12</v>
      </c>
      <c r="G1501" s="8" t="s">
        <v>12</v>
      </c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  <c r="Z1501" s="5"/>
    </row>
    <row r="1502" ht="14.25" customHeight="1">
      <c r="A1502" s="5" t="s">
        <v>105</v>
      </c>
      <c r="B1502" s="5" t="s">
        <v>8</v>
      </c>
      <c r="C1502" s="5" t="s">
        <v>152</v>
      </c>
      <c r="D1502" s="5" t="s">
        <v>153</v>
      </c>
      <c r="E1502" s="5" t="s">
        <v>20</v>
      </c>
      <c r="F1502" s="8" t="s">
        <v>28</v>
      </c>
      <c r="G1502" s="8" t="s">
        <v>28</v>
      </c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  <c r="Z1502" s="5"/>
    </row>
    <row r="1503" ht="14.25" customHeight="1">
      <c r="A1503" s="5" t="s">
        <v>17</v>
      </c>
      <c r="B1503" s="5" t="s">
        <v>8</v>
      </c>
      <c r="C1503" s="5" t="s">
        <v>58</v>
      </c>
      <c r="D1503" s="5" t="s">
        <v>59</v>
      </c>
      <c r="E1503" s="5" t="s">
        <v>39</v>
      </c>
      <c r="F1503" s="8" t="s">
        <v>12</v>
      </c>
      <c r="G1503" s="8" t="s">
        <v>12</v>
      </c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  <c r="Z1503" s="5"/>
    </row>
    <row r="1504" ht="14.25" customHeight="1">
      <c r="A1504" s="5" t="s">
        <v>132</v>
      </c>
      <c r="B1504" s="5" t="s">
        <v>8</v>
      </c>
      <c r="C1504" s="5" t="s">
        <v>133</v>
      </c>
      <c r="D1504" s="5" t="s">
        <v>134</v>
      </c>
      <c r="E1504" s="5" t="s">
        <v>48</v>
      </c>
      <c r="F1504" s="8" t="s">
        <v>28</v>
      </c>
      <c r="G1504" s="8" t="s">
        <v>28</v>
      </c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  <c r="Z1504" s="5"/>
    </row>
    <row r="1505" ht="14.25" customHeight="1">
      <c r="A1505" s="5" t="s">
        <v>62</v>
      </c>
      <c r="B1505" s="5" t="s">
        <v>8</v>
      </c>
      <c r="C1505" s="5" t="s">
        <v>91</v>
      </c>
      <c r="D1505" s="5" t="s">
        <v>92</v>
      </c>
      <c r="E1505" s="5" t="s">
        <v>39</v>
      </c>
      <c r="F1505" s="8" t="s">
        <v>12</v>
      </c>
      <c r="G1505" s="8" t="s">
        <v>28</v>
      </c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  <c r="Z1505" s="5"/>
    </row>
    <row r="1506" ht="14.25" customHeight="1">
      <c r="A1506" s="5" t="s">
        <v>72</v>
      </c>
      <c r="B1506" s="5" t="s">
        <v>8</v>
      </c>
      <c r="C1506" s="5" t="s">
        <v>292</v>
      </c>
      <c r="D1506" s="5" t="s">
        <v>293</v>
      </c>
      <c r="E1506" s="5" t="s">
        <v>27</v>
      </c>
      <c r="F1506" s="8" t="s">
        <v>13</v>
      </c>
      <c r="G1506" s="8" t="s">
        <v>13</v>
      </c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  <c r="Z1506" s="5"/>
    </row>
    <row r="1507" ht="14.25" customHeight="1">
      <c r="A1507" s="5" t="s">
        <v>14</v>
      </c>
      <c r="B1507" s="5" t="s">
        <v>8</v>
      </c>
      <c r="C1507" s="5" t="s">
        <v>15</v>
      </c>
      <c r="D1507" s="5" t="s">
        <v>16</v>
      </c>
      <c r="E1507" s="5" t="s">
        <v>27</v>
      </c>
      <c r="F1507" s="8" t="s">
        <v>12</v>
      </c>
      <c r="G1507" s="8" t="s">
        <v>12</v>
      </c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  <c r="Z1507" s="5"/>
    </row>
    <row r="1508" ht="14.25" customHeight="1">
      <c r="A1508" s="5" t="s">
        <v>102</v>
      </c>
      <c r="B1508" s="5" t="s">
        <v>8</v>
      </c>
      <c r="C1508" s="5" t="s">
        <v>640</v>
      </c>
      <c r="D1508" s="5" t="s">
        <v>641</v>
      </c>
      <c r="E1508" s="5" t="s">
        <v>87</v>
      </c>
      <c r="F1508" s="8" t="s">
        <v>12</v>
      </c>
      <c r="G1508" s="8" t="s">
        <v>28</v>
      </c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  <c r="Z1508" s="5"/>
    </row>
    <row r="1509" ht="14.25" customHeight="1">
      <c r="A1509" s="5" t="s">
        <v>93</v>
      </c>
      <c r="B1509" s="5" t="s">
        <v>8</v>
      </c>
      <c r="C1509" s="5" t="s">
        <v>94</v>
      </c>
      <c r="D1509" s="5" t="s">
        <v>95</v>
      </c>
      <c r="E1509" s="5" t="s">
        <v>27</v>
      </c>
      <c r="F1509" s="8" t="s">
        <v>12</v>
      </c>
      <c r="G1509" s="8" t="s">
        <v>12</v>
      </c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  <c r="Z1509" s="5"/>
    </row>
    <row r="1510" ht="14.25" customHeight="1">
      <c r="A1510" s="5" t="s">
        <v>88</v>
      </c>
      <c r="B1510" s="5" t="s">
        <v>8</v>
      </c>
      <c r="C1510" s="5" t="s">
        <v>89</v>
      </c>
      <c r="D1510" s="5" t="s">
        <v>90</v>
      </c>
      <c r="E1510" s="5" t="s">
        <v>27</v>
      </c>
      <c r="F1510" s="8" t="s">
        <v>28</v>
      </c>
      <c r="G1510" s="8" t="s">
        <v>28</v>
      </c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  <c r="Z1510" s="5"/>
    </row>
    <row r="1511" ht="14.25" customHeight="1">
      <c r="A1511" s="5" t="s">
        <v>7</v>
      </c>
      <c r="B1511" s="5" t="s">
        <v>8</v>
      </c>
      <c r="C1511" s="5" t="s">
        <v>75</v>
      </c>
      <c r="D1511" s="5" t="s">
        <v>76</v>
      </c>
      <c r="E1511" s="5" t="s">
        <v>27</v>
      </c>
      <c r="F1511" s="8" t="s">
        <v>28</v>
      </c>
      <c r="G1511" s="8" t="s">
        <v>28</v>
      </c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  <c r="Z1511" s="5"/>
    </row>
    <row r="1512" ht="14.25" customHeight="1">
      <c r="A1512" s="5" t="s">
        <v>110</v>
      </c>
      <c r="B1512" s="5" t="s">
        <v>8</v>
      </c>
      <c r="C1512" s="5" t="s">
        <v>111</v>
      </c>
      <c r="D1512" s="5" t="s">
        <v>112</v>
      </c>
      <c r="E1512" s="5" t="s">
        <v>48</v>
      </c>
      <c r="F1512" s="8" t="s">
        <v>12</v>
      </c>
      <c r="G1512" s="8" t="s">
        <v>12</v>
      </c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  <c r="Z1512" s="5"/>
    </row>
    <row r="1513" ht="14.25" customHeight="1">
      <c r="A1513" s="5" t="s">
        <v>42</v>
      </c>
      <c r="B1513" s="5" t="s">
        <v>8</v>
      </c>
      <c r="C1513" s="5" t="s">
        <v>43</v>
      </c>
      <c r="D1513" s="5" t="s">
        <v>44</v>
      </c>
      <c r="E1513" s="5" t="s">
        <v>39</v>
      </c>
      <c r="F1513" s="8" t="s">
        <v>12</v>
      </c>
      <c r="G1513" s="8" t="s">
        <v>12</v>
      </c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  <c r="Z1513" s="5"/>
    </row>
    <row r="1514" ht="14.25" customHeight="1">
      <c r="A1514" s="5" t="s">
        <v>7</v>
      </c>
      <c r="B1514" s="5" t="s">
        <v>8</v>
      </c>
      <c r="C1514" s="5" t="s">
        <v>9</v>
      </c>
      <c r="D1514" s="5" t="s">
        <v>10</v>
      </c>
      <c r="E1514" s="5" t="s">
        <v>39</v>
      </c>
      <c r="F1514" s="8" t="s">
        <v>12</v>
      </c>
      <c r="G1514" s="8" t="s">
        <v>13</v>
      </c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  <c r="Z1514" s="5"/>
    </row>
    <row r="1515" ht="14.25" customHeight="1">
      <c r="A1515" s="5" t="s">
        <v>14</v>
      </c>
      <c r="B1515" s="5" t="s">
        <v>8</v>
      </c>
      <c r="C1515" s="5" t="s">
        <v>15</v>
      </c>
      <c r="D1515" s="5" t="s">
        <v>16</v>
      </c>
      <c r="E1515" s="5" t="s">
        <v>48</v>
      </c>
      <c r="F1515" s="8" t="s">
        <v>12</v>
      </c>
      <c r="G1515" s="8" t="s">
        <v>12</v>
      </c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  <c r="Z1515" s="5"/>
    </row>
    <row r="1516" ht="14.25" customHeight="1">
      <c r="A1516" s="5" t="s">
        <v>24</v>
      </c>
      <c r="B1516" s="5" t="s">
        <v>8</v>
      </c>
      <c r="C1516" s="5" t="s">
        <v>25</v>
      </c>
      <c r="D1516" s="5" t="s">
        <v>26</v>
      </c>
      <c r="E1516" s="5" t="s">
        <v>39</v>
      </c>
      <c r="F1516" s="8" t="s">
        <v>28</v>
      </c>
      <c r="G1516" s="8" t="s">
        <v>28</v>
      </c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  <c r="Z1516" s="5"/>
    </row>
    <row r="1517" ht="14.25" customHeight="1">
      <c r="A1517" s="5" t="s">
        <v>24</v>
      </c>
      <c r="B1517" s="5" t="s">
        <v>709</v>
      </c>
      <c r="C1517" s="5" t="s">
        <v>466</v>
      </c>
      <c r="D1517" s="5" t="s">
        <v>467</v>
      </c>
      <c r="E1517" s="5" t="s">
        <v>710</v>
      </c>
      <c r="F1517" s="8" t="s">
        <v>224</v>
      </c>
      <c r="G1517" s="8" t="s">
        <v>224</v>
      </c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  <c r="Z1517" s="5"/>
    </row>
    <row r="1518" ht="14.25" customHeight="1">
      <c r="A1518" s="5" t="s">
        <v>158</v>
      </c>
      <c r="B1518" s="5" t="s">
        <v>709</v>
      </c>
      <c r="C1518" s="5" t="s">
        <v>512</v>
      </c>
      <c r="D1518" s="5" t="s">
        <v>513</v>
      </c>
      <c r="E1518" s="5" t="s">
        <v>710</v>
      </c>
      <c r="F1518" s="8" t="s">
        <v>224</v>
      </c>
      <c r="G1518" s="8" t="s">
        <v>224</v>
      </c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  <c r="Z1518" s="5"/>
    </row>
    <row r="1519" ht="14.25" customHeight="1">
      <c r="A1519" s="5" t="s">
        <v>79</v>
      </c>
      <c r="B1519" s="5" t="s">
        <v>709</v>
      </c>
      <c r="C1519" s="5" t="s">
        <v>711</v>
      </c>
      <c r="D1519" s="5" t="s">
        <v>712</v>
      </c>
      <c r="E1519" s="5" t="s">
        <v>713</v>
      </c>
      <c r="F1519" s="8" t="s">
        <v>227</v>
      </c>
      <c r="G1519" s="8" t="s">
        <v>227</v>
      </c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  <c r="Z1519" s="5"/>
    </row>
    <row r="1520" ht="14.25" customHeight="1">
      <c r="A1520" s="5" t="s">
        <v>72</v>
      </c>
      <c r="B1520" s="5" t="s">
        <v>709</v>
      </c>
      <c r="C1520" s="5" t="s">
        <v>241</v>
      </c>
      <c r="D1520" s="5" t="s">
        <v>242</v>
      </c>
      <c r="E1520" s="5" t="s">
        <v>710</v>
      </c>
      <c r="F1520" s="8" t="s">
        <v>224</v>
      </c>
      <c r="G1520" s="8" t="s">
        <v>224</v>
      </c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  <c r="Z1520" s="5"/>
    </row>
    <row r="1521" ht="14.25" customHeight="1">
      <c r="A1521" s="5" t="s">
        <v>204</v>
      </c>
      <c r="B1521" s="5" t="s">
        <v>709</v>
      </c>
      <c r="C1521" s="5" t="s">
        <v>714</v>
      </c>
      <c r="D1521" s="5" t="s">
        <v>715</v>
      </c>
      <c r="E1521" s="5" t="s">
        <v>716</v>
      </c>
      <c r="F1521" s="8" t="s">
        <v>215</v>
      </c>
      <c r="G1521" s="8" t="s">
        <v>256</v>
      </c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  <c r="Z1521" s="5"/>
    </row>
    <row r="1522" ht="14.25" customHeight="1">
      <c r="A1522" s="5" t="s">
        <v>652</v>
      </c>
      <c r="B1522" s="5" t="s">
        <v>709</v>
      </c>
      <c r="C1522" s="5" t="s">
        <v>653</v>
      </c>
      <c r="D1522" s="5" t="s">
        <v>654</v>
      </c>
      <c r="E1522" s="5" t="s">
        <v>710</v>
      </c>
      <c r="F1522" s="8" t="s">
        <v>256</v>
      </c>
      <c r="G1522" s="8" t="s">
        <v>256</v>
      </c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  <c r="Z1522" s="5"/>
    </row>
    <row r="1523" ht="14.25" customHeight="1">
      <c r="A1523" s="9" t="s">
        <v>42</v>
      </c>
      <c r="B1523" s="10" t="s">
        <v>709</v>
      </c>
      <c r="C1523" s="10" t="s">
        <v>43</v>
      </c>
      <c r="D1523" s="10" t="s">
        <v>44</v>
      </c>
      <c r="E1523" s="10" t="s">
        <v>710</v>
      </c>
      <c r="F1523" s="11" t="s">
        <v>12</v>
      </c>
      <c r="G1523" s="12" t="s">
        <v>12</v>
      </c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  <c r="Z1523" s="5"/>
    </row>
    <row r="1524" ht="14.25" customHeight="1">
      <c r="A1524" s="9" t="s">
        <v>65</v>
      </c>
      <c r="B1524" s="10" t="s">
        <v>709</v>
      </c>
      <c r="C1524" s="10" t="s">
        <v>66</v>
      </c>
      <c r="D1524" s="10" t="s">
        <v>67</v>
      </c>
      <c r="E1524" s="10" t="s">
        <v>716</v>
      </c>
      <c r="F1524" s="11" t="s">
        <v>717</v>
      </c>
      <c r="G1524" s="12" t="s">
        <v>718</v>
      </c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  <c r="Z1524" s="5"/>
    </row>
    <row r="1525" ht="14.25" customHeight="1">
      <c r="A1525" s="9" t="s">
        <v>135</v>
      </c>
      <c r="B1525" s="10" t="s">
        <v>709</v>
      </c>
      <c r="C1525" s="10" t="s">
        <v>719</v>
      </c>
      <c r="D1525" s="10" t="s">
        <v>720</v>
      </c>
      <c r="E1525" s="10" t="s">
        <v>713</v>
      </c>
      <c r="F1525" s="11" t="s">
        <v>224</v>
      </c>
      <c r="G1525" s="12" t="s">
        <v>224</v>
      </c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  <c r="Z1525" s="5"/>
    </row>
    <row r="1526" ht="14.25" customHeight="1">
      <c r="A1526" s="9" t="s">
        <v>72</v>
      </c>
      <c r="B1526" s="10" t="s">
        <v>709</v>
      </c>
      <c r="C1526" s="10" t="s">
        <v>244</v>
      </c>
      <c r="D1526" s="10" t="s">
        <v>245</v>
      </c>
      <c r="E1526" s="10" t="s">
        <v>710</v>
      </c>
      <c r="F1526" s="11" t="s">
        <v>238</v>
      </c>
      <c r="G1526" s="12" t="s">
        <v>238</v>
      </c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  <c r="Z1526" s="5"/>
    </row>
    <row r="1527" ht="14.25" customHeight="1">
      <c r="A1527" s="9" t="s">
        <v>72</v>
      </c>
      <c r="B1527" s="10" t="s">
        <v>709</v>
      </c>
      <c r="C1527" s="10" t="s">
        <v>721</v>
      </c>
      <c r="D1527" s="10" t="s">
        <v>722</v>
      </c>
      <c r="E1527" s="10" t="s">
        <v>713</v>
      </c>
      <c r="F1527" s="11" t="s">
        <v>243</v>
      </c>
      <c r="G1527" s="12" t="s">
        <v>238</v>
      </c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  <c r="Z1527" s="5"/>
    </row>
    <row r="1528" ht="14.25" customHeight="1">
      <c r="A1528" s="9" t="s">
        <v>388</v>
      </c>
      <c r="B1528" s="10" t="s">
        <v>709</v>
      </c>
      <c r="C1528" s="10" t="s">
        <v>389</v>
      </c>
      <c r="D1528" s="10" t="s">
        <v>390</v>
      </c>
      <c r="E1528" s="10" t="s">
        <v>710</v>
      </c>
      <c r="F1528" s="11" t="s">
        <v>264</v>
      </c>
      <c r="G1528" s="12" t="s">
        <v>264</v>
      </c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  <c r="Z1528" s="5"/>
    </row>
    <row r="1529" ht="14.25" customHeight="1">
      <c r="A1529" s="9" t="s">
        <v>122</v>
      </c>
      <c r="B1529" s="10" t="s">
        <v>709</v>
      </c>
      <c r="C1529" s="10" t="s">
        <v>526</v>
      </c>
      <c r="D1529" s="10" t="s">
        <v>527</v>
      </c>
      <c r="E1529" s="10" t="s">
        <v>710</v>
      </c>
      <c r="F1529" s="11" t="s">
        <v>28</v>
      </c>
      <c r="G1529" s="12" t="s">
        <v>28</v>
      </c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  <c r="Z1529" s="5"/>
    </row>
    <row r="1530" ht="14.25" customHeight="1">
      <c r="A1530" s="9" t="s">
        <v>65</v>
      </c>
      <c r="B1530" s="10" t="s">
        <v>709</v>
      </c>
      <c r="C1530" s="10" t="s">
        <v>302</v>
      </c>
      <c r="D1530" s="10" t="s">
        <v>303</v>
      </c>
      <c r="E1530" s="10" t="s">
        <v>710</v>
      </c>
      <c r="F1530" s="11" t="s">
        <v>256</v>
      </c>
      <c r="G1530" s="12" t="s">
        <v>256</v>
      </c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  <c r="Z1530" s="5"/>
    </row>
    <row r="1531" ht="14.25" customHeight="1">
      <c r="A1531" s="9" t="s">
        <v>45</v>
      </c>
      <c r="B1531" s="10" t="s">
        <v>709</v>
      </c>
      <c r="C1531" s="10" t="s">
        <v>574</v>
      </c>
      <c r="D1531" s="10" t="s">
        <v>575</v>
      </c>
      <c r="E1531" s="10" t="s">
        <v>710</v>
      </c>
      <c r="F1531" s="11" t="s">
        <v>215</v>
      </c>
      <c r="G1531" s="12" t="s">
        <v>215</v>
      </c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  <c r="Z1531" s="5"/>
    </row>
    <row r="1532" ht="14.25" customHeight="1">
      <c r="A1532" s="9" t="s">
        <v>132</v>
      </c>
      <c r="B1532" s="10" t="s">
        <v>709</v>
      </c>
      <c r="C1532" s="10" t="s">
        <v>723</v>
      </c>
      <c r="D1532" s="10" t="s">
        <v>724</v>
      </c>
      <c r="E1532" s="10" t="s">
        <v>710</v>
      </c>
      <c r="F1532" s="11" t="s">
        <v>264</v>
      </c>
      <c r="G1532" s="12" t="s">
        <v>264</v>
      </c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  <c r="Z1532" s="5"/>
    </row>
    <row r="1533" ht="14.25" customHeight="1">
      <c r="A1533" s="9" t="s">
        <v>110</v>
      </c>
      <c r="B1533" s="10" t="s">
        <v>709</v>
      </c>
      <c r="C1533" s="10" t="s">
        <v>386</v>
      </c>
      <c r="D1533" s="10" t="s">
        <v>387</v>
      </c>
      <c r="E1533" s="10" t="s">
        <v>710</v>
      </c>
      <c r="F1533" s="11" t="s">
        <v>224</v>
      </c>
      <c r="G1533" s="12" t="s">
        <v>224</v>
      </c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  <c r="Z1533" s="5"/>
    </row>
    <row r="1534" ht="14.25" customHeight="1">
      <c r="A1534" s="9" t="s">
        <v>110</v>
      </c>
      <c r="B1534" s="10" t="s">
        <v>709</v>
      </c>
      <c r="C1534" s="10" t="s">
        <v>725</v>
      </c>
      <c r="D1534" s="10" t="s">
        <v>726</v>
      </c>
      <c r="E1534" s="10" t="s">
        <v>710</v>
      </c>
      <c r="F1534" s="11" t="s">
        <v>256</v>
      </c>
      <c r="G1534" s="12" t="s">
        <v>227</v>
      </c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  <c r="Z1534" s="5"/>
    </row>
    <row r="1535" ht="14.25" customHeight="1">
      <c r="A1535" s="9" t="s">
        <v>110</v>
      </c>
      <c r="B1535" s="10" t="s">
        <v>709</v>
      </c>
      <c r="C1535" s="10" t="s">
        <v>725</v>
      </c>
      <c r="D1535" s="10" t="s">
        <v>726</v>
      </c>
      <c r="E1535" s="10" t="s">
        <v>716</v>
      </c>
      <c r="F1535" s="11" t="s">
        <v>227</v>
      </c>
      <c r="G1535" s="12" t="s">
        <v>227</v>
      </c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  <c r="Z1535" s="5"/>
    </row>
    <row r="1536" ht="14.25" customHeight="1">
      <c r="A1536" s="9" t="s">
        <v>105</v>
      </c>
      <c r="B1536" s="10" t="s">
        <v>709</v>
      </c>
      <c r="C1536" s="10" t="s">
        <v>727</v>
      </c>
      <c r="D1536" s="10" t="s">
        <v>728</v>
      </c>
      <c r="E1536" s="10" t="s">
        <v>710</v>
      </c>
      <c r="F1536" s="11" t="s">
        <v>256</v>
      </c>
      <c r="G1536" s="12" t="s">
        <v>256</v>
      </c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  <c r="Z1536" s="5"/>
    </row>
    <row r="1537" ht="14.25" customHeight="1">
      <c r="A1537" s="9" t="s">
        <v>17</v>
      </c>
      <c r="B1537" s="10" t="s">
        <v>709</v>
      </c>
      <c r="C1537" s="10" t="s">
        <v>96</v>
      </c>
      <c r="D1537" s="10" t="s">
        <v>97</v>
      </c>
      <c r="E1537" s="10" t="s">
        <v>710</v>
      </c>
      <c r="F1537" s="11" t="s">
        <v>28</v>
      </c>
      <c r="G1537" s="12" t="s">
        <v>28</v>
      </c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  <c r="Z1537" s="5"/>
    </row>
    <row r="1538" ht="14.25" customHeight="1">
      <c r="A1538" s="9" t="s">
        <v>72</v>
      </c>
      <c r="B1538" s="10" t="s">
        <v>709</v>
      </c>
      <c r="C1538" s="10" t="s">
        <v>252</v>
      </c>
      <c r="D1538" s="10" t="s">
        <v>253</v>
      </c>
      <c r="E1538" s="10" t="s">
        <v>710</v>
      </c>
      <c r="F1538" s="11" t="s">
        <v>332</v>
      </c>
      <c r="G1538" s="12" t="s">
        <v>224</v>
      </c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  <c r="Z1538" s="5"/>
    </row>
    <row r="1539" ht="14.25" customHeight="1">
      <c r="A1539" s="9" t="s">
        <v>117</v>
      </c>
      <c r="B1539" s="10" t="s">
        <v>709</v>
      </c>
      <c r="C1539" s="10" t="s">
        <v>380</v>
      </c>
      <c r="D1539" s="10" t="s">
        <v>381</v>
      </c>
      <c r="E1539" s="10" t="s">
        <v>710</v>
      </c>
      <c r="F1539" s="11" t="s">
        <v>224</v>
      </c>
      <c r="G1539" s="12" t="s">
        <v>264</v>
      </c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  <c r="Z1539" s="5"/>
    </row>
    <row r="1540" ht="14.25" customHeight="1">
      <c r="A1540" s="9" t="s">
        <v>93</v>
      </c>
      <c r="B1540" s="10" t="s">
        <v>709</v>
      </c>
      <c r="C1540" s="10" t="s">
        <v>196</v>
      </c>
      <c r="D1540" s="10" t="s">
        <v>197</v>
      </c>
      <c r="E1540" s="10" t="s">
        <v>710</v>
      </c>
      <c r="F1540" s="11" t="s">
        <v>12</v>
      </c>
      <c r="G1540" s="12" t="s">
        <v>13</v>
      </c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  <c r="Z1540" s="5"/>
    </row>
    <row r="1541" ht="14.25" customHeight="1">
      <c r="A1541" s="9" t="s">
        <v>62</v>
      </c>
      <c r="B1541" s="10" t="s">
        <v>709</v>
      </c>
      <c r="C1541" s="10" t="s">
        <v>357</v>
      </c>
      <c r="D1541" s="10" t="s">
        <v>358</v>
      </c>
      <c r="E1541" s="10" t="s">
        <v>710</v>
      </c>
      <c r="F1541" s="11" t="s">
        <v>224</v>
      </c>
      <c r="G1541" s="12" t="s">
        <v>215</v>
      </c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  <c r="Z1541" s="5"/>
    </row>
    <row r="1542" ht="14.25" customHeight="1">
      <c r="A1542" s="9" t="s">
        <v>435</v>
      </c>
      <c r="B1542" s="10" t="s">
        <v>709</v>
      </c>
      <c r="C1542" s="10" t="s">
        <v>580</v>
      </c>
      <c r="D1542" s="10" t="s">
        <v>581</v>
      </c>
      <c r="E1542" s="10" t="s">
        <v>710</v>
      </c>
      <c r="F1542" s="11" t="s">
        <v>729</v>
      </c>
      <c r="G1542" s="12" t="s">
        <v>215</v>
      </c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  <c r="Z1542" s="5"/>
    </row>
    <row r="1543" ht="14.25" customHeight="1">
      <c r="A1543" s="9" t="s">
        <v>132</v>
      </c>
      <c r="B1543" s="10" t="s">
        <v>709</v>
      </c>
      <c r="C1543" s="10" t="s">
        <v>312</v>
      </c>
      <c r="D1543" s="10" t="s">
        <v>313</v>
      </c>
      <c r="E1543" s="10" t="s">
        <v>710</v>
      </c>
      <c r="F1543" s="11" t="s">
        <v>214</v>
      </c>
      <c r="G1543" s="12" t="s">
        <v>214</v>
      </c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  <c r="Z1543" s="5"/>
    </row>
    <row r="1544" ht="14.25" customHeight="1">
      <c r="A1544" s="9" t="s">
        <v>65</v>
      </c>
      <c r="B1544" s="10" t="s">
        <v>709</v>
      </c>
      <c r="C1544" s="10" t="s">
        <v>304</v>
      </c>
      <c r="D1544" s="10" t="s">
        <v>305</v>
      </c>
      <c r="E1544" s="10" t="s">
        <v>710</v>
      </c>
      <c r="F1544" s="11" t="s">
        <v>215</v>
      </c>
      <c r="G1544" s="12" t="s">
        <v>215</v>
      </c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  <c r="Z1544" s="5"/>
    </row>
    <row r="1545" ht="14.25" customHeight="1">
      <c r="A1545" s="9" t="s">
        <v>122</v>
      </c>
      <c r="B1545" s="10" t="s">
        <v>709</v>
      </c>
      <c r="C1545" s="10" t="s">
        <v>540</v>
      </c>
      <c r="D1545" s="10" t="s">
        <v>541</v>
      </c>
      <c r="E1545" s="10" t="s">
        <v>710</v>
      </c>
      <c r="F1545" s="11" t="s">
        <v>215</v>
      </c>
      <c r="G1545" s="12" t="s">
        <v>256</v>
      </c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  <c r="Z1545" s="5"/>
    </row>
    <row r="1546" ht="14.25" customHeight="1">
      <c r="A1546" s="9" t="s">
        <v>72</v>
      </c>
      <c r="B1546" s="10" t="s">
        <v>709</v>
      </c>
      <c r="C1546" s="10" t="s">
        <v>612</v>
      </c>
      <c r="D1546" s="10" t="s">
        <v>613</v>
      </c>
      <c r="E1546" s="10" t="s">
        <v>713</v>
      </c>
      <c r="F1546" s="11" t="s">
        <v>227</v>
      </c>
      <c r="G1546" s="12" t="s">
        <v>264</v>
      </c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  <c r="Z1546" s="5"/>
    </row>
    <row r="1547" ht="14.25" customHeight="1">
      <c r="A1547" s="9" t="s">
        <v>652</v>
      </c>
      <c r="B1547" s="10" t="s">
        <v>709</v>
      </c>
      <c r="C1547" s="10" t="s">
        <v>653</v>
      </c>
      <c r="D1547" s="10" t="s">
        <v>654</v>
      </c>
      <c r="E1547" s="10" t="s">
        <v>716</v>
      </c>
      <c r="F1547" s="11" t="s">
        <v>256</v>
      </c>
      <c r="G1547" s="12" t="s">
        <v>256</v>
      </c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  <c r="Z1547" s="5"/>
    </row>
    <row r="1548" ht="14.25" customHeight="1">
      <c r="A1548" s="9" t="s">
        <v>62</v>
      </c>
      <c r="B1548" s="10" t="s">
        <v>709</v>
      </c>
      <c r="C1548" s="10" t="s">
        <v>91</v>
      </c>
      <c r="D1548" s="10" t="s">
        <v>92</v>
      </c>
      <c r="E1548" s="10" t="s">
        <v>710</v>
      </c>
      <c r="F1548" s="11" t="s">
        <v>12</v>
      </c>
      <c r="G1548" s="12" t="s">
        <v>28</v>
      </c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  <c r="Z1548" s="5"/>
    </row>
    <row r="1549" ht="14.25" customHeight="1">
      <c r="A1549" s="9" t="s">
        <v>158</v>
      </c>
      <c r="B1549" s="10" t="s">
        <v>709</v>
      </c>
      <c r="C1549" s="10" t="s">
        <v>320</v>
      </c>
      <c r="D1549" s="10" t="s">
        <v>321</v>
      </c>
      <c r="E1549" s="10" t="s">
        <v>710</v>
      </c>
      <c r="F1549" s="11" t="s">
        <v>28</v>
      </c>
      <c r="G1549" s="12" t="s">
        <v>28</v>
      </c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  <c r="Z1549" s="5"/>
    </row>
    <row r="1550" ht="14.25" customHeight="1">
      <c r="A1550" s="9" t="s">
        <v>24</v>
      </c>
      <c r="B1550" s="10" t="s">
        <v>709</v>
      </c>
      <c r="C1550" s="10" t="s">
        <v>25</v>
      </c>
      <c r="D1550" s="10" t="s">
        <v>26</v>
      </c>
      <c r="E1550" s="10" t="s">
        <v>710</v>
      </c>
      <c r="F1550" s="11" t="s">
        <v>28</v>
      </c>
      <c r="G1550" s="12" t="s">
        <v>28</v>
      </c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  <c r="Z1550" s="5"/>
    </row>
    <row r="1551" ht="14.25" customHeight="1">
      <c r="A1551" s="9" t="s">
        <v>65</v>
      </c>
      <c r="B1551" s="10" t="s">
        <v>709</v>
      </c>
      <c r="C1551" s="10" t="s">
        <v>66</v>
      </c>
      <c r="D1551" s="10" t="s">
        <v>67</v>
      </c>
      <c r="E1551" s="10" t="s">
        <v>710</v>
      </c>
      <c r="F1551" s="11" t="s">
        <v>730</v>
      </c>
      <c r="G1551" s="12" t="s">
        <v>287</v>
      </c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  <c r="Z1551" s="5"/>
    </row>
    <row r="1552" ht="14.25" customHeight="1">
      <c r="A1552" s="9" t="s">
        <v>45</v>
      </c>
      <c r="B1552" s="10" t="s">
        <v>709</v>
      </c>
      <c r="C1552" s="10" t="s">
        <v>100</v>
      </c>
      <c r="D1552" s="10" t="s">
        <v>101</v>
      </c>
      <c r="E1552" s="10" t="s">
        <v>710</v>
      </c>
      <c r="F1552" s="11" t="s">
        <v>12</v>
      </c>
      <c r="G1552" s="12" t="s">
        <v>12</v>
      </c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  <c r="Z1552" s="5"/>
    </row>
    <row r="1553" ht="14.25" customHeight="1">
      <c r="A1553" s="9" t="s">
        <v>105</v>
      </c>
      <c r="B1553" s="10" t="s">
        <v>709</v>
      </c>
      <c r="C1553" s="10" t="s">
        <v>106</v>
      </c>
      <c r="D1553" s="10" t="s">
        <v>107</v>
      </c>
      <c r="E1553" s="10" t="s">
        <v>710</v>
      </c>
      <c r="F1553" s="11" t="s">
        <v>28</v>
      </c>
      <c r="G1553" s="12" t="s">
        <v>28</v>
      </c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  <c r="Z1553" s="5"/>
    </row>
    <row r="1554" ht="14.25" customHeight="1">
      <c r="A1554" s="9" t="s">
        <v>21</v>
      </c>
      <c r="B1554" s="10" t="s">
        <v>709</v>
      </c>
      <c r="C1554" s="10" t="s">
        <v>40</v>
      </c>
      <c r="D1554" s="10" t="s">
        <v>41</v>
      </c>
      <c r="E1554" s="10" t="s">
        <v>710</v>
      </c>
      <c r="F1554" s="11" t="s">
        <v>718</v>
      </c>
      <c r="G1554" s="12" t="s">
        <v>28</v>
      </c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  <c r="Z1554" s="5"/>
    </row>
    <row r="1555" ht="14.25" customHeight="1">
      <c r="A1555" s="9" t="s">
        <v>49</v>
      </c>
      <c r="B1555" s="10" t="s">
        <v>709</v>
      </c>
      <c r="C1555" s="10" t="s">
        <v>50</v>
      </c>
      <c r="D1555" s="10" t="s">
        <v>51</v>
      </c>
      <c r="E1555" s="10" t="s">
        <v>710</v>
      </c>
      <c r="F1555" s="11" t="s">
        <v>264</v>
      </c>
      <c r="G1555" s="12" t="s">
        <v>12</v>
      </c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  <c r="Z1555" s="5"/>
    </row>
    <row r="1556" ht="14.25" customHeight="1">
      <c r="A1556" s="9" t="s">
        <v>102</v>
      </c>
      <c r="B1556" s="10" t="s">
        <v>709</v>
      </c>
      <c r="C1556" s="10" t="s">
        <v>490</v>
      </c>
      <c r="D1556" s="10" t="s">
        <v>491</v>
      </c>
      <c r="E1556" s="10" t="s">
        <v>710</v>
      </c>
      <c r="F1556" s="11" t="s">
        <v>238</v>
      </c>
      <c r="G1556" s="12" t="s">
        <v>224</v>
      </c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  <c r="Z1556" s="5"/>
    </row>
    <row r="1557" ht="14.25" customHeight="1">
      <c r="A1557" s="9" t="s">
        <v>72</v>
      </c>
      <c r="B1557" s="10" t="s">
        <v>709</v>
      </c>
      <c r="C1557" s="10" t="s">
        <v>604</v>
      </c>
      <c r="D1557" s="10" t="s">
        <v>605</v>
      </c>
      <c r="E1557" s="10" t="s">
        <v>716</v>
      </c>
      <c r="F1557" s="11" t="s">
        <v>731</v>
      </c>
      <c r="G1557" s="12" t="s">
        <v>732</v>
      </c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  <c r="Z1557" s="5"/>
    </row>
    <row r="1558" ht="14.25" customHeight="1">
      <c r="A1558" s="9" t="s">
        <v>24</v>
      </c>
      <c r="B1558" s="10" t="s">
        <v>709</v>
      </c>
      <c r="C1558" s="10" t="s">
        <v>52</v>
      </c>
      <c r="D1558" s="10" t="s">
        <v>53</v>
      </c>
      <c r="E1558" s="10" t="s">
        <v>710</v>
      </c>
      <c r="F1558" s="11" t="s">
        <v>12</v>
      </c>
      <c r="G1558" s="12" t="s">
        <v>12</v>
      </c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  <c r="Z1558" s="5"/>
    </row>
    <row r="1559" ht="14.25" customHeight="1">
      <c r="A1559" s="9" t="s">
        <v>7</v>
      </c>
      <c r="B1559" s="10" t="s">
        <v>709</v>
      </c>
      <c r="C1559" s="10" t="s">
        <v>733</v>
      </c>
      <c r="D1559" s="10" t="s">
        <v>734</v>
      </c>
      <c r="E1559" s="10" t="s">
        <v>713</v>
      </c>
      <c r="F1559" s="11" t="s">
        <v>13</v>
      </c>
      <c r="G1559" s="12" t="s">
        <v>13</v>
      </c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  <c r="Z1559" s="5"/>
    </row>
    <row r="1560" ht="14.25" customHeight="1">
      <c r="A1560" s="9" t="s">
        <v>36</v>
      </c>
      <c r="B1560" s="10" t="s">
        <v>709</v>
      </c>
      <c r="C1560" s="10" t="s">
        <v>735</v>
      </c>
      <c r="D1560" s="10" t="s">
        <v>736</v>
      </c>
      <c r="E1560" s="10" t="s">
        <v>713</v>
      </c>
      <c r="F1560" s="11" t="s">
        <v>28</v>
      </c>
      <c r="G1560" s="12" t="s">
        <v>28</v>
      </c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  <c r="Z1560" s="5"/>
    </row>
    <row r="1561" ht="14.25" customHeight="1">
      <c r="A1561" s="9" t="s">
        <v>29</v>
      </c>
      <c r="B1561" s="10" t="s">
        <v>709</v>
      </c>
      <c r="C1561" s="10" t="s">
        <v>373</v>
      </c>
      <c r="D1561" s="10" t="s">
        <v>374</v>
      </c>
      <c r="E1561" s="10" t="s">
        <v>710</v>
      </c>
      <c r="F1561" s="11" t="s">
        <v>227</v>
      </c>
      <c r="G1561" s="12" t="s">
        <v>227</v>
      </c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  <c r="Z1561" s="5"/>
    </row>
    <row r="1562" ht="14.25" customHeight="1">
      <c r="A1562" s="9" t="s">
        <v>435</v>
      </c>
      <c r="B1562" s="10" t="s">
        <v>709</v>
      </c>
      <c r="C1562" s="10" t="s">
        <v>737</v>
      </c>
      <c r="D1562" s="10" t="s">
        <v>738</v>
      </c>
      <c r="E1562" s="10" t="s">
        <v>710</v>
      </c>
      <c r="F1562" s="11" t="s">
        <v>256</v>
      </c>
      <c r="G1562" s="12" t="s">
        <v>227</v>
      </c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  <c r="Z1562" s="5"/>
    </row>
    <row r="1563" ht="14.25" customHeight="1">
      <c r="A1563" s="9" t="s">
        <v>435</v>
      </c>
      <c r="B1563" s="10" t="s">
        <v>709</v>
      </c>
      <c r="C1563" s="10" t="s">
        <v>737</v>
      </c>
      <c r="D1563" s="10" t="s">
        <v>738</v>
      </c>
      <c r="E1563" s="10" t="s">
        <v>713</v>
      </c>
      <c r="F1563" s="11" t="s">
        <v>227</v>
      </c>
      <c r="G1563" s="12" t="s">
        <v>227</v>
      </c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  <c r="Z1563" s="5"/>
    </row>
    <row r="1564" ht="14.25" customHeight="1">
      <c r="A1564" s="9" t="s">
        <v>45</v>
      </c>
      <c r="B1564" s="10" t="s">
        <v>709</v>
      </c>
      <c r="C1564" s="10" t="s">
        <v>176</v>
      </c>
      <c r="D1564" s="10" t="s">
        <v>177</v>
      </c>
      <c r="E1564" s="10" t="s">
        <v>710</v>
      </c>
      <c r="F1564" s="11" t="s">
        <v>28</v>
      </c>
      <c r="G1564" s="12" t="s">
        <v>28</v>
      </c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  <c r="Z1564" s="5"/>
    </row>
    <row r="1565" ht="14.25" customHeight="1">
      <c r="A1565" s="9" t="s">
        <v>72</v>
      </c>
      <c r="B1565" s="10" t="s">
        <v>709</v>
      </c>
      <c r="C1565" s="10" t="s">
        <v>330</v>
      </c>
      <c r="D1565" s="10" t="s">
        <v>331</v>
      </c>
      <c r="E1565" s="10" t="s">
        <v>710</v>
      </c>
      <c r="F1565" s="11" t="s">
        <v>238</v>
      </c>
      <c r="G1565" s="12" t="s">
        <v>238</v>
      </c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  <c r="Z1565" s="5"/>
    </row>
    <row r="1566" ht="14.25" customHeight="1">
      <c r="A1566" s="9" t="s">
        <v>122</v>
      </c>
      <c r="B1566" s="10" t="s">
        <v>709</v>
      </c>
      <c r="C1566" s="10" t="s">
        <v>510</v>
      </c>
      <c r="D1566" s="10" t="s">
        <v>511</v>
      </c>
      <c r="E1566" s="10" t="s">
        <v>710</v>
      </c>
      <c r="F1566" s="11" t="s">
        <v>215</v>
      </c>
      <c r="G1566" s="12" t="s">
        <v>256</v>
      </c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  <c r="Z1566" s="5"/>
    </row>
    <row r="1567" ht="14.25" customHeight="1">
      <c r="A1567" s="9" t="s">
        <v>17</v>
      </c>
      <c r="B1567" s="10" t="s">
        <v>709</v>
      </c>
      <c r="C1567" s="10" t="s">
        <v>18</v>
      </c>
      <c r="D1567" s="10" t="s">
        <v>19</v>
      </c>
      <c r="E1567" s="10" t="s">
        <v>710</v>
      </c>
      <c r="F1567" s="11" t="s">
        <v>12</v>
      </c>
      <c r="G1567" s="12" t="s">
        <v>12</v>
      </c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  <c r="Z1567" s="5"/>
    </row>
    <row r="1568" ht="14.25" customHeight="1">
      <c r="A1568" s="9" t="s">
        <v>158</v>
      </c>
      <c r="B1568" s="10" t="s">
        <v>709</v>
      </c>
      <c r="C1568" s="10" t="s">
        <v>739</v>
      </c>
      <c r="D1568" s="10" t="s">
        <v>740</v>
      </c>
      <c r="E1568" s="10" t="s">
        <v>710</v>
      </c>
      <c r="F1568" s="11" t="s">
        <v>224</v>
      </c>
      <c r="G1568" s="12" t="s">
        <v>264</v>
      </c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  <c r="Z1568" s="5"/>
    </row>
    <row r="1569" ht="14.25" customHeight="1">
      <c r="A1569" s="9" t="s">
        <v>110</v>
      </c>
      <c r="B1569" s="10" t="s">
        <v>709</v>
      </c>
      <c r="C1569" s="10" t="s">
        <v>442</v>
      </c>
      <c r="D1569" s="10" t="s">
        <v>443</v>
      </c>
      <c r="E1569" s="10" t="s">
        <v>710</v>
      </c>
      <c r="F1569" s="11" t="s">
        <v>215</v>
      </c>
      <c r="G1569" s="12" t="s">
        <v>215</v>
      </c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  <c r="Z1569" s="5"/>
    </row>
    <row r="1570" ht="14.25" customHeight="1">
      <c r="A1570" s="9" t="s">
        <v>117</v>
      </c>
      <c r="B1570" s="10" t="s">
        <v>709</v>
      </c>
      <c r="C1570" s="10" t="s">
        <v>322</v>
      </c>
      <c r="D1570" s="10" t="s">
        <v>323</v>
      </c>
      <c r="E1570" s="10" t="s">
        <v>710</v>
      </c>
      <c r="F1570" s="11" t="s">
        <v>12</v>
      </c>
      <c r="G1570" s="12" t="s">
        <v>12</v>
      </c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  <c r="Z1570" s="5"/>
    </row>
    <row r="1571" ht="14.25" customHeight="1">
      <c r="A1571" s="9" t="s">
        <v>93</v>
      </c>
      <c r="B1571" s="10" t="s">
        <v>709</v>
      </c>
      <c r="C1571" s="10" t="s">
        <v>355</v>
      </c>
      <c r="D1571" s="10" t="s">
        <v>356</v>
      </c>
      <c r="E1571" s="10" t="s">
        <v>710</v>
      </c>
      <c r="F1571" s="11" t="s">
        <v>215</v>
      </c>
      <c r="G1571" s="12" t="s">
        <v>215</v>
      </c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  <c r="Z1571" s="5"/>
    </row>
    <row r="1572" ht="14.25" customHeight="1">
      <c r="A1572" s="9" t="s">
        <v>72</v>
      </c>
      <c r="B1572" s="10" t="s">
        <v>709</v>
      </c>
      <c r="C1572" s="10" t="s">
        <v>576</v>
      </c>
      <c r="D1572" s="10" t="s">
        <v>577</v>
      </c>
      <c r="E1572" s="10" t="s">
        <v>710</v>
      </c>
      <c r="F1572" s="11" t="s">
        <v>224</v>
      </c>
      <c r="G1572" s="12" t="s">
        <v>256</v>
      </c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  <c r="Z1572" s="5"/>
    </row>
    <row r="1573" ht="14.25" customHeight="1">
      <c r="A1573" s="9" t="s">
        <v>84</v>
      </c>
      <c r="B1573" s="10" t="s">
        <v>709</v>
      </c>
      <c r="C1573" s="10" t="s">
        <v>741</v>
      </c>
      <c r="D1573" s="10" t="s">
        <v>742</v>
      </c>
      <c r="E1573" s="10" t="s">
        <v>710</v>
      </c>
      <c r="F1573" s="11" t="s">
        <v>227</v>
      </c>
      <c r="G1573" s="12" t="s">
        <v>227</v>
      </c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  <c r="Z1573" s="5"/>
    </row>
    <row r="1574" ht="14.25" customHeight="1">
      <c r="A1574" s="9" t="s">
        <v>17</v>
      </c>
      <c r="B1574" s="10" t="s">
        <v>709</v>
      </c>
      <c r="C1574" s="10" t="s">
        <v>743</v>
      </c>
      <c r="D1574" s="10" t="s">
        <v>744</v>
      </c>
      <c r="E1574" s="10" t="s">
        <v>716</v>
      </c>
      <c r="F1574" s="11" t="s">
        <v>12</v>
      </c>
      <c r="G1574" s="12" t="s">
        <v>12</v>
      </c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  <c r="Z1574" s="5"/>
    </row>
    <row r="1575" ht="14.25" customHeight="1">
      <c r="A1575" s="9" t="s">
        <v>36</v>
      </c>
      <c r="B1575" s="10" t="s">
        <v>709</v>
      </c>
      <c r="C1575" s="10" t="s">
        <v>735</v>
      </c>
      <c r="D1575" s="10" t="s">
        <v>736</v>
      </c>
      <c r="E1575" s="10" t="s">
        <v>716</v>
      </c>
      <c r="F1575" s="11" t="s">
        <v>28</v>
      </c>
      <c r="G1575" s="12" t="s">
        <v>28</v>
      </c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  <c r="Z1575" s="5"/>
    </row>
    <row r="1576" ht="14.25" customHeight="1">
      <c r="A1576" s="9" t="s">
        <v>435</v>
      </c>
      <c r="B1576" s="10" t="s">
        <v>709</v>
      </c>
      <c r="C1576" s="10" t="s">
        <v>737</v>
      </c>
      <c r="D1576" s="10" t="s">
        <v>738</v>
      </c>
      <c r="E1576" s="10" t="s">
        <v>716</v>
      </c>
      <c r="F1576" s="11" t="s">
        <v>227</v>
      </c>
      <c r="G1576" s="12" t="s">
        <v>227</v>
      </c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  <c r="Z1576" s="5"/>
    </row>
    <row r="1577" ht="14.25" customHeight="1">
      <c r="A1577" s="9" t="s">
        <v>652</v>
      </c>
      <c r="B1577" s="10" t="s">
        <v>709</v>
      </c>
      <c r="C1577" s="10" t="s">
        <v>683</v>
      </c>
      <c r="D1577" s="10" t="s">
        <v>684</v>
      </c>
      <c r="E1577" s="10" t="s">
        <v>710</v>
      </c>
      <c r="F1577" s="11" t="s">
        <v>264</v>
      </c>
      <c r="G1577" s="12" t="s">
        <v>13</v>
      </c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  <c r="Z1577" s="5"/>
    </row>
    <row r="1578" ht="14.25" customHeight="1">
      <c r="A1578" s="9" t="s">
        <v>169</v>
      </c>
      <c r="B1578" s="10" t="s">
        <v>709</v>
      </c>
      <c r="C1578" s="10" t="s">
        <v>170</v>
      </c>
      <c r="D1578" s="10" t="s">
        <v>171</v>
      </c>
      <c r="E1578" s="10" t="s">
        <v>710</v>
      </c>
      <c r="F1578" s="11" t="s">
        <v>264</v>
      </c>
      <c r="G1578" s="12" t="s">
        <v>264</v>
      </c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  <c r="Z1578" s="5"/>
    </row>
    <row r="1579" ht="14.25" customHeight="1">
      <c r="A1579" s="9" t="s">
        <v>204</v>
      </c>
      <c r="B1579" s="10" t="s">
        <v>709</v>
      </c>
      <c r="C1579" s="10" t="s">
        <v>359</v>
      </c>
      <c r="D1579" s="10" t="s">
        <v>360</v>
      </c>
      <c r="E1579" s="10" t="s">
        <v>710</v>
      </c>
      <c r="F1579" s="11" t="s">
        <v>215</v>
      </c>
      <c r="G1579" s="12" t="s">
        <v>256</v>
      </c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  <c r="Z1579" s="5"/>
    </row>
    <row r="1580" ht="14.25" customHeight="1">
      <c r="A1580" s="9" t="s">
        <v>105</v>
      </c>
      <c r="B1580" s="10" t="s">
        <v>709</v>
      </c>
      <c r="C1580" s="10" t="s">
        <v>727</v>
      </c>
      <c r="D1580" s="10" t="s">
        <v>728</v>
      </c>
      <c r="E1580" s="10" t="s">
        <v>713</v>
      </c>
      <c r="F1580" s="11" t="s">
        <v>256</v>
      </c>
      <c r="G1580" s="12" t="s">
        <v>256</v>
      </c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  <c r="Z1580" s="5"/>
    </row>
    <row r="1581" ht="14.25" customHeight="1">
      <c r="A1581" s="9" t="s">
        <v>105</v>
      </c>
      <c r="B1581" s="10" t="s">
        <v>709</v>
      </c>
      <c r="C1581" s="10" t="s">
        <v>532</v>
      </c>
      <c r="D1581" s="10" t="s">
        <v>533</v>
      </c>
      <c r="E1581" s="10" t="s">
        <v>710</v>
      </c>
      <c r="F1581" s="11" t="s">
        <v>215</v>
      </c>
      <c r="G1581" s="12" t="s">
        <v>215</v>
      </c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  <c r="Z1581" s="5"/>
    </row>
    <row r="1582" ht="14.25" customHeight="1">
      <c r="A1582" s="9" t="s">
        <v>24</v>
      </c>
      <c r="B1582" s="10" t="s">
        <v>709</v>
      </c>
      <c r="C1582" s="10" t="s">
        <v>548</v>
      </c>
      <c r="D1582" s="10" t="s">
        <v>549</v>
      </c>
      <c r="E1582" s="10" t="s">
        <v>710</v>
      </c>
      <c r="F1582" s="11" t="s">
        <v>224</v>
      </c>
      <c r="G1582" s="12" t="s">
        <v>224</v>
      </c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  <c r="Z1582" s="5"/>
    </row>
    <row r="1583" ht="14.25" customHeight="1">
      <c r="A1583" s="9" t="s">
        <v>45</v>
      </c>
      <c r="B1583" s="10" t="s">
        <v>709</v>
      </c>
      <c r="C1583" s="10" t="s">
        <v>552</v>
      </c>
      <c r="D1583" s="10" t="s">
        <v>553</v>
      </c>
      <c r="E1583" s="10" t="s">
        <v>710</v>
      </c>
      <c r="F1583" s="11" t="s">
        <v>215</v>
      </c>
      <c r="G1583" s="12" t="s">
        <v>215</v>
      </c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  <c r="Z1583" s="5"/>
    </row>
    <row r="1584" ht="14.25" customHeight="1">
      <c r="A1584" s="9" t="s">
        <v>49</v>
      </c>
      <c r="B1584" s="10" t="s">
        <v>709</v>
      </c>
      <c r="C1584" s="10" t="s">
        <v>254</v>
      </c>
      <c r="D1584" s="10" t="s">
        <v>255</v>
      </c>
      <c r="E1584" s="10" t="s">
        <v>710</v>
      </c>
      <c r="F1584" s="11" t="s">
        <v>215</v>
      </c>
      <c r="G1584" s="12" t="s">
        <v>256</v>
      </c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  <c r="Z1584" s="5"/>
    </row>
    <row r="1585" ht="14.25" customHeight="1">
      <c r="A1585" s="9" t="s">
        <v>42</v>
      </c>
      <c r="B1585" s="10" t="s">
        <v>709</v>
      </c>
      <c r="C1585" s="10" t="s">
        <v>681</v>
      </c>
      <c r="D1585" s="10" t="s">
        <v>682</v>
      </c>
      <c r="E1585" s="10" t="s">
        <v>710</v>
      </c>
      <c r="F1585" s="11" t="s">
        <v>227</v>
      </c>
      <c r="G1585" s="12" t="s">
        <v>227</v>
      </c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  <c r="Z1585" s="5"/>
    </row>
    <row r="1586" ht="14.25" customHeight="1">
      <c r="A1586" s="9" t="s">
        <v>21</v>
      </c>
      <c r="B1586" s="10" t="s">
        <v>709</v>
      </c>
      <c r="C1586" s="10" t="s">
        <v>246</v>
      </c>
      <c r="D1586" s="10" t="s">
        <v>247</v>
      </c>
      <c r="E1586" s="10" t="s">
        <v>710</v>
      </c>
      <c r="F1586" s="11" t="s">
        <v>227</v>
      </c>
      <c r="G1586" s="12" t="s">
        <v>227</v>
      </c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  <c r="Z1586" s="5"/>
    </row>
    <row r="1587" ht="14.25" customHeight="1">
      <c r="A1587" s="9" t="s">
        <v>36</v>
      </c>
      <c r="B1587" s="10" t="s">
        <v>709</v>
      </c>
      <c r="C1587" s="10" t="s">
        <v>248</v>
      </c>
      <c r="D1587" s="10" t="s">
        <v>249</v>
      </c>
      <c r="E1587" s="10" t="s">
        <v>710</v>
      </c>
      <c r="F1587" s="11" t="s">
        <v>238</v>
      </c>
      <c r="G1587" s="12" t="s">
        <v>215</v>
      </c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  <c r="Z1587" s="5"/>
    </row>
    <row r="1588" ht="14.25" customHeight="1">
      <c r="A1588" s="9" t="s">
        <v>24</v>
      </c>
      <c r="B1588" s="10" t="s">
        <v>709</v>
      </c>
      <c r="C1588" s="10" t="s">
        <v>212</v>
      </c>
      <c r="D1588" s="10" t="s">
        <v>213</v>
      </c>
      <c r="E1588" s="10" t="s">
        <v>710</v>
      </c>
      <c r="F1588" s="11" t="s">
        <v>243</v>
      </c>
      <c r="G1588" s="12" t="s">
        <v>215</v>
      </c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  <c r="Z1588" s="5"/>
    </row>
    <row r="1589" ht="14.25" customHeight="1">
      <c r="A1589" s="9" t="s">
        <v>24</v>
      </c>
      <c r="B1589" s="10" t="s">
        <v>709</v>
      </c>
      <c r="C1589" s="10" t="s">
        <v>514</v>
      </c>
      <c r="D1589" s="10" t="s">
        <v>515</v>
      </c>
      <c r="E1589" s="10" t="s">
        <v>710</v>
      </c>
      <c r="F1589" s="11" t="s">
        <v>238</v>
      </c>
      <c r="G1589" s="12" t="s">
        <v>238</v>
      </c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  <c r="Z1589" s="5"/>
    </row>
    <row r="1590" ht="14.25" customHeight="1">
      <c r="A1590" s="9" t="s">
        <v>29</v>
      </c>
      <c r="B1590" s="10" t="s">
        <v>709</v>
      </c>
      <c r="C1590" s="10" t="s">
        <v>202</v>
      </c>
      <c r="D1590" s="10" t="s">
        <v>203</v>
      </c>
      <c r="E1590" s="10" t="s">
        <v>710</v>
      </c>
      <c r="F1590" s="11" t="s">
        <v>28</v>
      </c>
      <c r="G1590" s="12" t="s">
        <v>28</v>
      </c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  <c r="Z1590" s="5"/>
    </row>
    <row r="1591" ht="14.25" customHeight="1">
      <c r="A1591" s="9" t="s">
        <v>72</v>
      </c>
      <c r="B1591" s="10" t="s">
        <v>709</v>
      </c>
      <c r="C1591" s="10" t="s">
        <v>721</v>
      </c>
      <c r="D1591" s="10" t="s">
        <v>722</v>
      </c>
      <c r="E1591" s="10" t="s">
        <v>710</v>
      </c>
      <c r="F1591" s="11" t="s">
        <v>224</v>
      </c>
      <c r="G1591" s="12" t="s">
        <v>224</v>
      </c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  <c r="Z1591" s="5"/>
    </row>
    <row r="1592" ht="14.25" customHeight="1">
      <c r="A1592" s="9" t="s">
        <v>117</v>
      </c>
      <c r="B1592" s="10" t="s">
        <v>709</v>
      </c>
      <c r="C1592" s="10" t="s">
        <v>745</v>
      </c>
      <c r="D1592" s="10" t="s">
        <v>746</v>
      </c>
      <c r="E1592" s="10" t="s">
        <v>716</v>
      </c>
      <c r="F1592" s="11" t="s">
        <v>215</v>
      </c>
      <c r="G1592" s="12" t="s">
        <v>215</v>
      </c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  <c r="Z1592" s="5"/>
    </row>
    <row r="1593" ht="14.25" customHeight="1">
      <c r="A1593" s="9" t="s">
        <v>158</v>
      </c>
      <c r="B1593" s="10" t="s">
        <v>709</v>
      </c>
      <c r="C1593" s="10" t="s">
        <v>524</v>
      </c>
      <c r="D1593" s="10" t="s">
        <v>525</v>
      </c>
      <c r="E1593" s="10" t="s">
        <v>710</v>
      </c>
      <c r="F1593" s="11" t="s">
        <v>238</v>
      </c>
      <c r="G1593" s="12" t="s">
        <v>224</v>
      </c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  <c r="Z1593" s="5"/>
    </row>
    <row r="1594" ht="14.25" customHeight="1">
      <c r="A1594" s="9" t="s">
        <v>129</v>
      </c>
      <c r="B1594" s="10" t="s">
        <v>709</v>
      </c>
      <c r="C1594" s="10" t="s">
        <v>747</v>
      </c>
      <c r="D1594" s="10" t="s">
        <v>748</v>
      </c>
      <c r="E1594" s="10" t="s">
        <v>710</v>
      </c>
      <c r="F1594" s="11" t="s">
        <v>215</v>
      </c>
      <c r="G1594" s="12" t="s">
        <v>12</v>
      </c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  <c r="Z1594" s="5"/>
    </row>
    <row r="1595" ht="14.25" customHeight="1">
      <c r="A1595" s="9" t="s">
        <v>72</v>
      </c>
      <c r="B1595" s="10" t="s">
        <v>709</v>
      </c>
      <c r="C1595" s="10" t="s">
        <v>636</v>
      </c>
      <c r="D1595" s="10" t="s">
        <v>637</v>
      </c>
      <c r="E1595" s="10" t="s">
        <v>710</v>
      </c>
      <c r="F1595" s="11" t="s">
        <v>227</v>
      </c>
      <c r="G1595" s="12" t="s">
        <v>264</v>
      </c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  <c r="Z1595" s="5"/>
    </row>
    <row r="1596" ht="14.25" customHeight="1">
      <c r="A1596" s="9" t="s">
        <v>21</v>
      </c>
      <c r="B1596" s="10" t="s">
        <v>709</v>
      </c>
      <c r="C1596" s="10" t="s">
        <v>703</v>
      </c>
      <c r="D1596" s="10" t="s">
        <v>704</v>
      </c>
      <c r="E1596" s="10" t="s">
        <v>716</v>
      </c>
      <c r="F1596" s="11" t="s">
        <v>12</v>
      </c>
      <c r="G1596" s="12" t="s">
        <v>12</v>
      </c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  <c r="Z1596" s="5"/>
    </row>
    <row r="1597" ht="14.25" customHeight="1">
      <c r="A1597" s="9" t="s">
        <v>79</v>
      </c>
      <c r="B1597" s="10" t="s">
        <v>709</v>
      </c>
      <c r="C1597" s="10" t="s">
        <v>711</v>
      </c>
      <c r="D1597" s="10" t="s">
        <v>712</v>
      </c>
      <c r="E1597" s="10" t="s">
        <v>716</v>
      </c>
      <c r="F1597" s="11" t="s">
        <v>227</v>
      </c>
      <c r="G1597" s="12" t="s">
        <v>227</v>
      </c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  <c r="Z1597" s="5"/>
    </row>
    <row r="1598" ht="14.25" customHeight="1">
      <c r="A1598" s="9" t="s">
        <v>14</v>
      </c>
      <c r="B1598" s="10" t="s">
        <v>709</v>
      </c>
      <c r="C1598" s="10" t="s">
        <v>679</v>
      </c>
      <c r="D1598" s="10" t="s">
        <v>680</v>
      </c>
      <c r="E1598" s="10" t="s">
        <v>710</v>
      </c>
      <c r="F1598" s="11" t="s">
        <v>227</v>
      </c>
      <c r="G1598" s="12" t="s">
        <v>227</v>
      </c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  <c r="Z1598" s="5"/>
    </row>
    <row r="1599" ht="14.25" customHeight="1">
      <c r="A1599" s="9" t="s">
        <v>84</v>
      </c>
      <c r="B1599" s="10" t="s">
        <v>709</v>
      </c>
      <c r="C1599" s="10" t="s">
        <v>741</v>
      </c>
      <c r="D1599" s="10" t="s">
        <v>742</v>
      </c>
      <c r="E1599" s="10" t="s">
        <v>716</v>
      </c>
      <c r="F1599" s="11" t="s">
        <v>227</v>
      </c>
      <c r="G1599" s="12" t="s">
        <v>227</v>
      </c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  <c r="Z1599" s="5"/>
    </row>
    <row r="1600" ht="14.25" customHeight="1">
      <c r="A1600" s="9" t="s">
        <v>55</v>
      </c>
      <c r="B1600" s="10" t="s">
        <v>709</v>
      </c>
      <c r="C1600" s="10" t="s">
        <v>56</v>
      </c>
      <c r="D1600" s="10" t="s">
        <v>57</v>
      </c>
      <c r="E1600" s="10" t="s">
        <v>710</v>
      </c>
      <c r="F1600" s="11" t="s">
        <v>12</v>
      </c>
      <c r="G1600" s="12" t="s">
        <v>28</v>
      </c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  <c r="Z1600" s="5"/>
    </row>
    <row r="1601" ht="14.25" customHeight="1">
      <c r="A1601" s="9" t="s">
        <v>169</v>
      </c>
      <c r="B1601" s="10" t="s">
        <v>709</v>
      </c>
      <c r="C1601" s="10" t="s">
        <v>228</v>
      </c>
      <c r="D1601" s="10" t="s">
        <v>229</v>
      </c>
      <c r="E1601" s="10" t="s">
        <v>710</v>
      </c>
      <c r="F1601" s="11" t="s">
        <v>214</v>
      </c>
      <c r="G1601" s="12" t="s">
        <v>238</v>
      </c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  <c r="Z1601" s="5"/>
    </row>
    <row r="1602" ht="14.25" customHeight="1">
      <c r="A1602" s="9" t="s">
        <v>122</v>
      </c>
      <c r="B1602" s="10" t="s">
        <v>709</v>
      </c>
      <c r="C1602" s="10" t="s">
        <v>749</v>
      </c>
      <c r="D1602" s="10" t="s">
        <v>750</v>
      </c>
      <c r="E1602" s="10" t="s">
        <v>713</v>
      </c>
      <c r="F1602" s="11" t="s">
        <v>224</v>
      </c>
      <c r="G1602" s="12" t="s">
        <v>215</v>
      </c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  <c r="Z1602" s="5"/>
    </row>
    <row r="1603" ht="14.25" customHeight="1">
      <c r="A1603" s="9" t="s">
        <v>49</v>
      </c>
      <c r="B1603" s="10" t="s">
        <v>709</v>
      </c>
      <c r="C1603" s="10" t="s">
        <v>369</v>
      </c>
      <c r="D1603" s="10" t="s">
        <v>370</v>
      </c>
      <c r="E1603" s="10" t="s">
        <v>710</v>
      </c>
      <c r="F1603" s="11" t="s">
        <v>264</v>
      </c>
      <c r="G1603" s="12" t="s">
        <v>13</v>
      </c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  <c r="Z1603" s="5"/>
    </row>
    <row r="1604" ht="14.25" customHeight="1">
      <c r="A1604" s="9" t="s">
        <v>110</v>
      </c>
      <c r="B1604" s="10" t="s">
        <v>709</v>
      </c>
      <c r="C1604" s="10" t="s">
        <v>346</v>
      </c>
      <c r="D1604" s="10" t="s">
        <v>347</v>
      </c>
      <c r="E1604" s="10" t="s">
        <v>710</v>
      </c>
      <c r="F1604" s="11" t="s">
        <v>227</v>
      </c>
      <c r="G1604" s="12" t="s">
        <v>264</v>
      </c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  <c r="Z1604" s="5"/>
    </row>
    <row r="1605" ht="14.25" customHeight="1">
      <c r="A1605" s="9" t="s">
        <v>129</v>
      </c>
      <c r="B1605" s="10" t="s">
        <v>709</v>
      </c>
      <c r="C1605" s="10" t="s">
        <v>751</v>
      </c>
      <c r="D1605" s="10" t="s">
        <v>752</v>
      </c>
      <c r="E1605" s="10" t="s">
        <v>716</v>
      </c>
      <c r="F1605" s="11" t="s">
        <v>256</v>
      </c>
      <c r="G1605" s="12" t="s">
        <v>256</v>
      </c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  <c r="Z1605" s="5"/>
    </row>
    <row r="1606" ht="14.25" customHeight="1">
      <c r="A1606" s="9" t="s">
        <v>7</v>
      </c>
      <c r="B1606" s="10" t="s">
        <v>709</v>
      </c>
      <c r="C1606" s="10" t="s">
        <v>413</v>
      </c>
      <c r="D1606" s="10" t="s">
        <v>414</v>
      </c>
      <c r="E1606" s="10" t="s">
        <v>710</v>
      </c>
      <c r="F1606" s="11" t="s">
        <v>345</v>
      </c>
      <c r="G1606" s="12" t="s">
        <v>345</v>
      </c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  <c r="Z1606" s="5"/>
    </row>
    <row r="1607" ht="14.25" customHeight="1">
      <c r="A1607" s="9" t="s">
        <v>24</v>
      </c>
      <c r="B1607" s="10" t="s">
        <v>709</v>
      </c>
      <c r="C1607" s="10" t="s">
        <v>600</v>
      </c>
      <c r="D1607" s="10" t="s">
        <v>601</v>
      </c>
      <c r="E1607" s="10" t="s">
        <v>713</v>
      </c>
      <c r="F1607" s="11" t="s">
        <v>215</v>
      </c>
      <c r="G1607" s="12" t="s">
        <v>215</v>
      </c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  <c r="Z1607" s="5"/>
    </row>
    <row r="1608" ht="14.25" customHeight="1">
      <c r="A1608" s="9" t="s">
        <v>652</v>
      </c>
      <c r="B1608" s="10" t="s">
        <v>709</v>
      </c>
      <c r="C1608" s="10" t="s">
        <v>657</v>
      </c>
      <c r="D1608" s="10" t="s">
        <v>658</v>
      </c>
      <c r="E1608" s="10" t="s">
        <v>710</v>
      </c>
      <c r="F1608" s="11" t="s">
        <v>264</v>
      </c>
      <c r="G1608" s="12" t="s">
        <v>12</v>
      </c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  <c r="Z1608" s="5"/>
    </row>
    <row r="1609" ht="14.25" customHeight="1">
      <c r="A1609" s="9" t="s">
        <v>88</v>
      </c>
      <c r="B1609" s="10" t="s">
        <v>709</v>
      </c>
      <c r="C1609" s="10" t="s">
        <v>618</v>
      </c>
      <c r="D1609" s="10" t="s">
        <v>619</v>
      </c>
      <c r="E1609" s="10" t="s">
        <v>710</v>
      </c>
      <c r="F1609" s="11" t="s">
        <v>215</v>
      </c>
      <c r="G1609" s="12" t="s">
        <v>227</v>
      </c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  <c r="Z1609" s="5"/>
    </row>
    <row r="1610" ht="14.25" customHeight="1">
      <c r="A1610" s="9" t="s">
        <v>24</v>
      </c>
      <c r="B1610" s="10" t="s">
        <v>709</v>
      </c>
      <c r="C1610" s="10" t="s">
        <v>620</v>
      </c>
      <c r="D1610" s="10" t="s">
        <v>621</v>
      </c>
      <c r="E1610" s="10" t="s">
        <v>710</v>
      </c>
      <c r="F1610" s="11" t="s">
        <v>28</v>
      </c>
      <c r="G1610" s="12" t="s">
        <v>28</v>
      </c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  <c r="Z1610" s="5"/>
    </row>
    <row r="1611" ht="14.25" customHeight="1">
      <c r="A1611" s="9" t="s">
        <v>24</v>
      </c>
      <c r="B1611" s="10" t="s">
        <v>709</v>
      </c>
      <c r="C1611" s="10" t="s">
        <v>283</v>
      </c>
      <c r="D1611" s="10" t="s">
        <v>284</v>
      </c>
      <c r="E1611" s="10" t="s">
        <v>710</v>
      </c>
      <c r="F1611" s="11" t="s">
        <v>12</v>
      </c>
      <c r="G1611" s="12" t="s">
        <v>12</v>
      </c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  <c r="Z1611" s="5"/>
    </row>
    <row r="1612" ht="14.25" customHeight="1">
      <c r="A1612" s="9" t="s">
        <v>388</v>
      </c>
      <c r="B1612" s="10" t="s">
        <v>709</v>
      </c>
      <c r="C1612" s="10" t="s">
        <v>398</v>
      </c>
      <c r="D1612" s="10" t="s">
        <v>399</v>
      </c>
      <c r="E1612" s="10" t="s">
        <v>710</v>
      </c>
      <c r="F1612" s="11" t="s">
        <v>224</v>
      </c>
      <c r="G1612" s="12" t="s">
        <v>215</v>
      </c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  <c r="Z1612" s="5"/>
    </row>
    <row r="1613" ht="14.25" customHeight="1">
      <c r="A1613" s="9" t="s">
        <v>132</v>
      </c>
      <c r="B1613" s="10" t="s">
        <v>709</v>
      </c>
      <c r="C1613" s="10" t="s">
        <v>723</v>
      </c>
      <c r="D1613" s="10" t="s">
        <v>724</v>
      </c>
      <c r="E1613" s="10" t="s">
        <v>716</v>
      </c>
      <c r="F1613" s="11" t="s">
        <v>28</v>
      </c>
      <c r="G1613" s="12" t="s">
        <v>28</v>
      </c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  <c r="Z1613" s="5"/>
    </row>
    <row r="1614" ht="14.25" customHeight="1">
      <c r="A1614" s="9" t="s">
        <v>169</v>
      </c>
      <c r="B1614" s="10" t="s">
        <v>709</v>
      </c>
      <c r="C1614" s="10" t="s">
        <v>281</v>
      </c>
      <c r="D1614" s="10" t="s">
        <v>282</v>
      </c>
      <c r="E1614" s="10" t="s">
        <v>710</v>
      </c>
      <c r="F1614" s="11" t="s">
        <v>243</v>
      </c>
      <c r="G1614" s="12" t="s">
        <v>238</v>
      </c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  <c r="Z1614" s="5"/>
    </row>
    <row r="1615" ht="14.25" customHeight="1">
      <c r="A1615" s="9" t="s">
        <v>21</v>
      </c>
      <c r="B1615" s="10" t="s">
        <v>709</v>
      </c>
      <c r="C1615" s="10" t="s">
        <v>113</v>
      </c>
      <c r="D1615" s="10" t="s">
        <v>114</v>
      </c>
      <c r="E1615" s="10" t="s">
        <v>710</v>
      </c>
      <c r="F1615" s="11" t="s">
        <v>12</v>
      </c>
      <c r="G1615" s="12" t="s">
        <v>12</v>
      </c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  <c r="Z1615" s="5"/>
    </row>
    <row r="1616" ht="14.25" customHeight="1">
      <c r="A1616" s="9" t="s">
        <v>72</v>
      </c>
      <c r="B1616" s="10" t="s">
        <v>709</v>
      </c>
      <c r="C1616" s="10" t="s">
        <v>77</v>
      </c>
      <c r="D1616" s="10" t="s">
        <v>78</v>
      </c>
      <c r="E1616" s="10" t="s">
        <v>710</v>
      </c>
      <c r="F1616" s="11" t="s">
        <v>12</v>
      </c>
      <c r="G1616" s="12" t="s">
        <v>28</v>
      </c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  <c r="Z1616" s="5"/>
    </row>
    <row r="1617" ht="14.25" customHeight="1">
      <c r="A1617" s="9" t="s">
        <v>24</v>
      </c>
      <c r="B1617" s="10" t="s">
        <v>709</v>
      </c>
      <c r="C1617" s="10" t="s">
        <v>431</v>
      </c>
      <c r="D1617" s="10" t="s">
        <v>432</v>
      </c>
      <c r="E1617" s="10" t="s">
        <v>710</v>
      </c>
      <c r="F1617" s="11" t="s">
        <v>227</v>
      </c>
      <c r="G1617" s="12" t="s">
        <v>227</v>
      </c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  <c r="Z1617" s="5"/>
    </row>
    <row r="1618" ht="14.25" customHeight="1">
      <c r="A1618" s="9" t="s">
        <v>62</v>
      </c>
      <c r="B1618" s="10" t="s">
        <v>709</v>
      </c>
      <c r="C1618" s="10" t="s">
        <v>753</v>
      </c>
      <c r="D1618" s="10" t="s">
        <v>754</v>
      </c>
      <c r="E1618" s="10" t="s">
        <v>716</v>
      </c>
      <c r="F1618" s="11" t="s">
        <v>12</v>
      </c>
      <c r="G1618" s="12" t="s">
        <v>12</v>
      </c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  <c r="Z1618" s="5"/>
    </row>
    <row r="1619" ht="14.25" customHeight="1">
      <c r="A1619" s="9" t="s">
        <v>65</v>
      </c>
      <c r="B1619" s="10" t="s">
        <v>709</v>
      </c>
      <c r="C1619" s="10" t="s">
        <v>140</v>
      </c>
      <c r="D1619" s="10" t="s">
        <v>141</v>
      </c>
      <c r="E1619" s="10" t="s">
        <v>710</v>
      </c>
      <c r="F1619" s="11" t="s">
        <v>28</v>
      </c>
      <c r="G1619" s="12" t="s">
        <v>28</v>
      </c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  <c r="Z1619" s="5"/>
    </row>
    <row r="1620" ht="14.25" customHeight="1">
      <c r="A1620" s="9" t="s">
        <v>158</v>
      </c>
      <c r="B1620" s="10" t="s">
        <v>709</v>
      </c>
      <c r="C1620" s="10" t="s">
        <v>663</v>
      </c>
      <c r="D1620" s="10" t="s">
        <v>664</v>
      </c>
      <c r="E1620" s="10" t="s">
        <v>710</v>
      </c>
      <c r="F1620" s="11" t="s">
        <v>256</v>
      </c>
      <c r="G1620" s="12" t="s">
        <v>227</v>
      </c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  <c r="Z1620" s="5"/>
    </row>
    <row r="1621" ht="14.25" customHeight="1">
      <c r="A1621" s="9" t="s">
        <v>24</v>
      </c>
      <c r="B1621" s="10" t="s">
        <v>709</v>
      </c>
      <c r="C1621" s="10" t="s">
        <v>417</v>
      </c>
      <c r="D1621" s="10" t="s">
        <v>418</v>
      </c>
      <c r="E1621" s="10" t="s">
        <v>710</v>
      </c>
      <c r="F1621" s="11" t="s">
        <v>215</v>
      </c>
      <c r="G1621" s="12" t="s">
        <v>215</v>
      </c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  <c r="Z1621" s="5"/>
    </row>
    <row r="1622" ht="14.25" customHeight="1">
      <c r="A1622" s="9" t="s">
        <v>102</v>
      </c>
      <c r="B1622" s="10" t="s">
        <v>709</v>
      </c>
      <c r="C1622" s="10" t="s">
        <v>120</v>
      </c>
      <c r="D1622" s="10" t="s">
        <v>121</v>
      </c>
      <c r="E1622" s="10" t="s">
        <v>710</v>
      </c>
      <c r="F1622" s="11" t="s">
        <v>28</v>
      </c>
      <c r="G1622" s="12" t="s">
        <v>28</v>
      </c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  <c r="Z1622" s="5"/>
    </row>
    <row r="1623" ht="14.25" customHeight="1">
      <c r="A1623" s="9" t="s">
        <v>17</v>
      </c>
      <c r="B1623" s="10" t="s">
        <v>709</v>
      </c>
      <c r="C1623" s="10" t="s">
        <v>60</v>
      </c>
      <c r="D1623" s="10" t="s">
        <v>61</v>
      </c>
      <c r="E1623" s="10" t="s">
        <v>710</v>
      </c>
      <c r="F1623" s="11" t="s">
        <v>12</v>
      </c>
      <c r="G1623" s="12" t="s">
        <v>28</v>
      </c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  <c r="Z1623" s="5"/>
    </row>
    <row r="1624" ht="14.25" customHeight="1">
      <c r="A1624" s="9" t="s">
        <v>36</v>
      </c>
      <c r="B1624" s="10" t="s">
        <v>709</v>
      </c>
      <c r="C1624" s="10" t="s">
        <v>294</v>
      </c>
      <c r="D1624" s="10" t="s">
        <v>295</v>
      </c>
      <c r="E1624" s="10" t="s">
        <v>710</v>
      </c>
      <c r="F1624" s="11" t="s">
        <v>12</v>
      </c>
      <c r="G1624" s="12" t="s">
        <v>12</v>
      </c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  <c r="Z1624" s="5"/>
    </row>
    <row r="1625" ht="14.25" customHeight="1">
      <c r="A1625" s="9" t="s">
        <v>105</v>
      </c>
      <c r="B1625" s="10" t="s">
        <v>709</v>
      </c>
      <c r="C1625" s="10" t="s">
        <v>125</v>
      </c>
      <c r="D1625" s="10" t="s">
        <v>126</v>
      </c>
      <c r="E1625" s="10" t="s">
        <v>710</v>
      </c>
      <c r="F1625" s="11" t="s">
        <v>28</v>
      </c>
      <c r="G1625" s="12" t="s">
        <v>28</v>
      </c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  <c r="Z1625" s="5"/>
    </row>
    <row r="1626" ht="14.25" customHeight="1">
      <c r="A1626" s="9" t="s">
        <v>45</v>
      </c>
      <c r="B1626" s="10" t="s">
        <v>709</v>
      </c>
      <c r="C1626" s="10" t="s">
        <v>46</v>
      </c>
      <c r="D1626" s="10" t="s">
        <v>47</v>
      </c>
      <c r="E1626" s="10" t="s">
        <v>710</v>
      </c>
      <c r="F1626" s="11" t="s">
        <v>28</v>
      </c>
      <c r="G1626" s="12" t="s">
        <v>28</v>
      </c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  <c r="Z1626" s="5"/>
    </row>
    <row r="1627" ht="14.25" customHeight="1">
      <c r="A1627" s="9" t="s">
        <v>72</v>
      </c>
      <c r="B1627" s="10" t="s">
        <v>709</v>
      </c>
      <c r="C1627" s="10" t="s">
        <v>456</v>
      </c>
      <c r="D1627" s="10" t="s">
        <v>457</v>
      </c>
      <c r="E1627" s="10" t="s">
        <v>713</v>
      </c>
      <c r="F1627" s="11" t="s">
        <v>264</v>
      </c>
      <c r="G1627" s="12" t="s">
        <v>264</v>
      </c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  <c r="Z1627" s="5"/>
    </row>
    <row r="1628" ht="14.25" customHeight="1">
      <c r="A1628" s="9" t="s">
        <v>33</v>
      </c>
      <c r="B1628" s="10" t="s">
        <v>709</v>
      </c>
      <c r="C1628" s="10" t="s">
        <v>419</v>
      </c>
      <c r="D1628" s="10" t="s">
        <v>420</v>
      </c>
      <c r="E1628" s="10" t="s">
        <v>710</v>
      </c>
      <c r="F1628" s="11" t="s">
        <v>264</v>
      </c>
      <c r="G1628" s="12" t="s">
        <v>12</v>
      </c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  <c r="Z1628" s="5"/>
    </row>
    <row r="1629" ht="14.25" customHeight="1">
      <c r="A1629" s="9" t="s">
        <v>102</v>
      </c>
      <c r="B1629" s="10" t="s">
        <v>709</v>
      </c>
      <c r="C1629" s="10" t="s">
        <v>558</v>
      </c>
      <c r="D1629" s="10" t="s">
        <v>559</v>
      </c>
      <c r="E1629" s="10" t="s">
        <v>710</v>
      </c>
      <c r="F1629" s="11" t="s">
        <v>215</v>
      </c>
      <c r="G1629" s="12" t="s">
        <v>256</v>
      </c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  <c r="Z1629" s="5"/>
    </row>
    <row r="1630" ht="14.25" customHeight="1">
      <c r="A1630" s="9" t="s">
        <v>21</v>
      </c>
      <c r="B1630" s="10" t="s">
        <v>709</v>
      </c>
      <c r="C1630" s="10" t="s">
        <v>608</v>
      </c>
      <c r="D1630" s="10" t="s">
        <v>609</v>
      </c>
      <c r="E1630" s="10" t="s">
        <v>710</v>
      </c>
      <c r="F1630" s="11" t="s">
        <v>215</v>
      </c>
      <c r="G1630" s="12" t="s">
        <v>227</v>
      </c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  <c r="Z1630" s="5"/>
    </row>
    <row r="1631" ht="14.25" customHeight="1">
      <c r="A1631" s="9" t="s">
        <v>49</v>
      </c>
      <c r="B1631" s="10" t="s">
        <v>709</v>
      </c>
      <c r="C1631" s="10" t="s">
        <v>127</v>
      </c>
      <c r="D1631" s="10" t="s">
        <v>128</v>
      </c>
      <c r="E1631" s="10" t="s">
        <v>710</v>
      </c>
      <c r="F1631" s="11" t="s">
        <v>12</v>
      </c>
      <c r="G1631" s="12" t="s">
        <v>28</v>
      </c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  <c r="Z1631" s="5"/>
    </row>
    <row r="1632" ht="14.25" customHeight="1">
      <c r="A1632" s="9" t="s">
        <v>17</v>
      </c>
      <c r="B1632" s="10" t="s">
        <v>709</v>
      </c>
      <c r="C1632" s="10" t="s">
        <v>58</v>
      </c>
      <c r="D1632" s="10" t="s">
        <v>59</v>
      </c>
      <c r="E1632" s="10" t="s">
        <v>710</v>
      </c>
      <c r="F1632" s="11" t="s">
        <v>28</v>
      </c>
      <c r="G1632" s="12" t="s">
        <v>28</v>
      </c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  <c r="Z1632" s="5"/>
    </row>
    <row r="1633" ht="14.25" customHeight="1">
      <c r="A1633" s="9" t="s">
        <v>105</v>
      </c>
      <c r="B1633" s="10" t="s">
        <v>709</v>
      </c>
      <c r="C1633" s="10" t="s">
        <v>152</v>
      </c>
      <c r="D1633" s="10" t="s">
        <v>153</v>
      </c>
      <c r="E1633" s="10" t="s">
        <v>710</v>
      </c>
      <c r="F1633" s="11" t="s">
        <v>28</v>
      </c>
      <c r="G1633" s="12" t="s">
        <v>28</v>
      </c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  <c r="Z1633" s="5"/>
    </row>
    <row r="1634" ht="14.25" customHeight="1">
      <c r="A1634" s="9" t="s">
        <v>169</v>
      </c>
      <c r="B1634" s="10" t="s">
        <v>709</v>
      </c>
      <c r="C1634" s="10" t="s">
        <v>755</v>
      </c>
      <c r="D1634" s="10" t="s">
        <v>756</v>
      </c>
      <c r="E1634" s="10" t="s">
        <v>713</v>
      </c>
      <c r="F1634" s="11" t="s">
        <v>28</v>
      </c>
      <c r="G1634" s="12" t="s">
        <v>28</v>
      </c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  <c r="Z1634" s="5"/>
    </row>
    <row r="1635" ht="14.25" customHeight="1">
      <c r="A1635" s="9" t="s">
        <v>7</v>
      </c>
      <c r="B1635" s="10" t="s">
        <v>709</v>
      </c>
      <c r="C1635" s="10" t="s">
        <v>75</v>
      </c>
      <c r="D1635" s="10" t="s">
        <v>76</v>
      </c>
      <c r="E1635" s="10" t="s">
        <v>710</v>
      </c>
      <c r="F1635" s="11" t="s">
        <v>28</v>
      </c>
      <c r="G1635" s="12" t="s">
        <v>28</v>
      </c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  <c r="Z1635" s="5"/>
    </row>
    <row r="1636" ht="14.25" customHeight="1">
      <c r="A1636" s="9" t="s">
        <v>62</v>
      </c>
      <c r="B1636" s="10" t="s">
        <v>709</v>
      </c>
      <c r="C1636" s="10" t="s">
        <v>701</v>
      </c>
      <c r="D1636" s="10" t="s">
        <v>702</v>
      </c>
      <c r="E1636" s="10" t="s">
        <v>710</v>
      </c>
      <c r="F1636" s="11" t="s">
        <v>264</v>
      </c>
      <c r="G1636" s="12" t="s">
        <v>12</v>
      </c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  <c r="Z1636" s="5"/>
    </row>
    <row r="1637" ht="14.25" customHeight="1">
      <c r="A1637" s="9" t="s">
        <v>49</v>
      </c>
      <c r="B1637" s="10" t="s">
        <v>709</v>
      </c>
      <c r="C1637" s="10" t="s">
        <v>190</v>
      </c>
      <c r="D1637" s="10" t="s">
        <v>191</v>
      </c>
      <c r="E1637" s="10" t="s">
        <v>710</v>
      </c>
      <c r="F1637" s="11" t="s">
        <v>12</v>
      </c>
      <c r="G1637" s="12" t="s">
        <v>28</v>
      </c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  <c r="Z1637" s="5"/>
    </row>
    <row r="1638" ht="14.25" customHeight="1">
      <c r="A1638" s="9" t="s">
        <v>122</v>
      </c>
      <c r="B1638" s="10" t="s">
        <v>709</v>
      </c>
      <c r="C1638" s="10" t="s">
        <v>749</v>
      </c>
      <c r="D1638" s="10" t="s">
        <v>750</v>
      </c>
      <c r="E1638" s="10" t="s">
        <v>710</v>
      </c>
      <c r="F1638" s="11" t="s">
        <v>215</v>
      </c>
      <c r="G1638" s="12" t="s">
        <v>215</v>
      </c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  <c r="Z1638" s="5"/>
    </row>
    <row r="1639" ht="14.25" customHeight="1">
      <c r="A1639" s="9" t="s">
        <v>17</v>
      </c>
      <c r="B1639" s="10" t="s">
        <v>709</v>
      </c>
      <c r="C1639" s="10" t="s">
        <v>508</v>
      </c>
      <c r="D1639" s="10" t="s">
        <v>509</v>
      </c>
      <c r="E1639" s="10" t="s">
        <v>710</v>
      </c>
      <c r="F1639" s="11" t="s">
        <v>215</v>
      </c>
      <c r="G1639" s="12" t="s">
        <v>215</v>
      </c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  <c r="Z1639" s="5"/>
    </row>
    <row r="1640" ht="14.25" customHeight="1">
      <c r="A1640" s="9" t="s">
        <v>36</v>
      </c>
      <c r="B1640" s="10" t="s">
        <v>709</v>
      </c>
      <c r="C1640" s="10" t="s">
        <v>37</v>
      </c>
      <c r="D1640" s="10" t="s">
        <v>38</v>
      </c>
      <c r="E1640" s="10" t="s">
        <v>710</v>
      </c>
      <c r="F1640" s="11" t="s">
        <v>12</v>
      </c>
      <c r="G1640" s="12" t="s">
        <v>28</v>
      </c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  <c r="Z1640" s="5"/>
    </row>
    <row r="1641" ht="14.25" customHeight="1">
      <c r="A1641" s="9" t="s">
        <v>14</v>
      </c>
      <c r="B1641" s="10" t="s">
        <v>709</v>
      </c>
      <c r="C1641" s="10" t="s">
        <v>231</v>
      </c>
      <c r="D1641" s="10" t="s">
        <v>232</v>
      </c>
      <c r="E1641" s="10" t="s">
        <v>710</v>
      </c>
      <c r="F1641" s="11" t="s">
        <v>238</v>
      </c>
      <c r="G1641" s="12" t="s">
        <v>238</v>
      </c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  <c r="Z1641" s="5"/>
    </row>
    <row r="1642" ht="14.25" customHeight="1">
      <c r="A1642" s="9" t="s">
        <v>158</v>
      </c>
      <c r="B1642" s="10" t="s">
        <v>709</v>
      </c>
      <c r="C1642" s="10" t="s">
        <v>450</v>
      </c>
      <c r="D1642" s="10" t="s">
        <v>451</v>
      </c>
      <c r="E1642" s="10" t="s">
        <v>710</v>
      </c>
      <c r="F1642" s="11" t="s">
        <v>215</v>
      </c>
      <c r="G1642" s="12" t="s">
        <v>215</v>
      </c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  <c r="Z1642" s="5"/>
    </row>
    <row r="1643" ht="14.25" customHeight="1">
      <c r="A1643" s="9" t="s">
        <v>135</v>
      </c>
      <c r="B1643" s="10" t="s">
        <v>709</v>
      </c>
      <c r="C1643" s="10" t="s">
        <v>719</v>
      </c>
      <c r="D1643" s="10" t="s">
        <v>720</v>
      </c>
      <c r="E1643" s="10" t="s">
        <v>710</v>
      </c>
      <c r="F1643" s="11" t="s">
        <v>215</v>
      </c>
      <c r="G1643" s="12" t="s">
        <v>215</v>
      </c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  <c r="Z1643" s="5"/>
    </row>
    <row r="1644" ht="14.25" customHeight="1">
      <c r="A1644" s="9" t="s">
        <v>88</v>
      </c>
      <c r="B1644" s="10" t="s">
        <v>709</v>
      </c>
      <c r="C1644" s="10" t="s">
        <v>148</v>
      </c>
      <c r="D1644" s="10" t="s">
        <v>149</v>
      </c>
      <c r="E1644" s="10" t="s">
        <v>710</v>
      </c>
      <c r="F1644" s="11" t="s">
        <v>12</v>
      </c>
      <c r="G1644" s="12" t="s">
        <v>12</v>
      </c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  <c r="Z1644" s="5"/>
    </row>
    <row r="1645" ht="14.25" customHeight="1">
      <c r="A1645" s="9" t="s">
        <v>42</v>
      </c>
      <c r="B1645" s="10" t="s">
        <v>709</v>
      </c>
      <c r="C1645" s="10" t="s">
        <v>194</v>
      </c>
      <c r="D1645" s="10" t="s">
        <v>195</v>
      </c>
      <c r="E1645" s="10" t="s">
        <v>710</v>
      </c>
      <c r="F1645" s="11" t="s">
        <v>28</v>
      </c>
      <c r="G1645" s="12" t="s">
        <v>28</v>
      </c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  <c r="Z1645" s="5"/>
    </row>
    <row r="1646" ht="14.25" customHeight="1">
      <c r="A1646" s="9" t="s">
        <v>204</v>
      </c>
      <c r="B1646" s="10" t="s">
        <v>709</v>
      </c>
      <c r="C1646" s="10" t="s">
        <v>714</v>
      </c>
      <c r="D1646" s="10" t="s">
        <v>715</v>
      </c>
      <c r="E1646" s="10" t="s">
        <v>713</v>
      </c>
      <c r="F1646" s="11" t="s">
        <v>215</v>
      </c>
      <c r="G1646" s="12" t="s">
        <v>256</v>
      </c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  <c r="Z1646" s="5"/>
    </row>
    <row r="1647" ht="14.25" customHeight="1">
      <c r="A1647" s="9" t="s">
        <v>93</v>
      </c>
      <c r="B1647" s="10" t="s">
        <v>709</v>
      </c>
      <c r="C1647" s="10" t="s">
        <v>285</v>
      </c>
      <c r="D1647" s="10" t="s">
        <v>286</v>
      </c>
      <c r="E1647" s="10" t="s">
        <v>710</v>
      </c>
      <c r="F1647" s="11" t="s">
        <v>12</v>
      </c>
      <c r="G1647" s="12" t="s">
        <v>28</v>
      </c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  <c r="Z1647" s="5"/>
    </row>
    <row r="1648" ht="14.25" customHeight="1">
      <c r="A1648" s="9" t="s">
        <v>158</v>
      </c>
      <c r="B1648" s="10" t="s">
        <v>709</v>
      </c>
      <c r="C1648" s="10" t="s">
        <v>458</v>
      </c>
      <c r="D1648" s="10" t="s">
        <v>459</v>
      </c>
      <c r="E1648" s="10" t="s">
        <v>710</v>
      </c>
      <c r="F1648" s="11" t="s">
        <v>215</v>
      </c>
      <c r="G1648" s="12" t="s">
        <v>215</v>
      </c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  <c r="Z1648" s="5"/>
    </row>
    <row r="1649" ht="14.25" customHeight="1">
      <c r="A1649" s="9" t="s">
        <v>49</v>
      </c>
      <c r="B1649" s="10" t="s">
        <v>709</v>
      </c>
      <c r="C1649" s="10" t="s">
        <v>174</v>
      </c>
      <c r="D1649" s="10" t="s">
        <v>175</v>
      </c>
      <c r="E1649" s="10" t="s">
        <v>710</v>
      </c>
      <c r="F1649" s="11" t="s">
        <v>28</v>
      </c>
      <c r="G1649" s="12" t="s">
        <v>13</v>
      </c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  <c r="Z1649" s="5"/>
    </row>
    <row r="1650" ht="14.25" customHeight="1">
      <c r="A1650" s="9" t="s">
        <v>49</v>
      </c>
      <c r="B1650" s="10" t="s">
        <v>709</v>
      </c>
      <c r="C1650" s="10" t="s">
        <v>68</v>
      </c>
      <c r="D1650" s="10" t="s">
        <v>69</v>
      </c>
      <c r="E1650" s="10" t="s">
        <v>710</v>
      </c>
      <c r="F1650" s="11" t="s">
        <v>264</v>
      </c>
      <c r="G1650" s="12" t="s">
        <v>12</v>
      </c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  <c r="Z1650" s="5"/>
    </row>
    <row r="1651" ht="14.25" customHeight="1">
      <c r="A1651" s="9" t="s">
        <v>36</v>
      </c>
      <c r="B1651" s="10" t="s">
        <v>709</v>
      </c>
      <c r="C1651" s="10" t="s">
        <v>735</v>
      </c>
      <c r="D1651" s="10" t="s">
        <v>736</v>
      </c>
      <c r="E1651" s="10" t="s">
        <v>710</v>
      </c>
      <c r="F1651" s="11" t="s">
        <v>12</v>
      </c>
      <c r="G1651" s="12" t="s">
        <v>12</v>
      </c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  <c r="Z1651" s="5"/>
    </row>
    <row r="1652" ht="14.25" customHeight="1">
      <c r="A1652" s="9" t="s">
        <v>117</v>
      </c>
      <c r="B1652" s="10" t="s">
        <v>709</v>
      </c>
      <c r="C1652" s="10" t="s">
        <v>118</v>
      </c>
      <c r="D1652" s="10" t="s">
        <v>119</v>
      </c>
      <c r="E1652" s="10" t="s">
        <v>710</v>
      </c>
      <c r="F1652" s="11" t="s">
        <v>12</v>
      </c>
      <c r="G1652" s="12" t="s">
        <v>12</v>
      </c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  <c r="Z1652" s="5"/>
    </row>
    <row r="1653" ht="14.25" customHeight="1">
      <c r="A1653" s="9" t="s">
        <v>72</v>
      </c>
      <c r="B1653" s="10" t="s">
        <v>709</v>
      </c>
      <c r="C1653" s="10" t="s">
        <v>520</v>
      </c>
      <c r="D1653" s="10" t="s">
        <v>521</v>
      </c>
      <c r="E1653" s="10" t="s">
        <v>710</v>
      </c>
      <c r="F1653" s="11" t="s">
        <v>238</v>
      </c>
      <c r="G1653" s="12" t="s">
        <v>238</v>
      </c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  <c r="Z1653" s="5"/>
    </row>
    <row r="1654" ht="14.25" customHeight="1">
      <c r="A1654" s="9" t="s">
        <v>102</v>
      </c>
      <c r="B1654" s="10" t="s">
        <v>709</v>
      </c>
      <c r="C1654" s="10" t="s">
        <v>103</v>
      </c>
      <c r="D1654" s="10" t="s">
        <v>104</v>
      </c>
      <c r="E1654" s="10" t="s">
        <v>710</v>
      </c>
      <c r="F1654" s="11" t="s">
        <v>12</v>
      </c>
      <c r="G1654" s="12" t="s">
        <v>12</v>
      </c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  <c r="Z1654" s="5"/>
    </row>
    <row r="1655" ht="14.25" customHeight="1">
      <c r="A1655" s="9" t="s">
        <v>33</v>
      </c>
      <c r="B1655" s="10" t="s">
        <v>709</v>
      </c>
      <c r="C1655" s="10" t="s">
        <v>648</v>
      </c>
      <c r="D1655" s="10" t="s">
        <v>649</v>
      </c>
      <c r="E1655" s="10" t="s">
        <v>710</v>
      </c>
      <c r="F1655" s="11" t="s">
        <v>256</v>
      </c>
      <c r="G1655" s="12" t="s">
        <v>256</v>
      </c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  <c r="Z1655" s="5"/>
    </row>
    <row r="1656" ht="14.25" customHeight="1">
      <c r="A1656" s="9" t="s">
        <v>93</v>
      </c>
      <c r="B1656" s="10" t="s">
        <v>709</v>
      </c>
      <c r="C1656" s="10" t="s">
        <v>470</v>
      </c>
      <c r="D1656" s="10" t="s">
        <v>471</v>
      </c>
      <c r="E1656" s="10" t="s">
        <v>710</v>
      </c>
      <c r="F1656" s="11" t="s">
        <v>215</v>
      </c>
      <c r="G1656" s="12" t="s">
        <v>215</v>
      </c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  <c r="Z1656" s="5"/>
    </row>
    <row r="1657" ht="14.25" customHeight="1">
      <c r="A1657" s="9" t="s">
        <v>88</v>
      </c>
      <c r="B1657" s="10" t="s">
        <v>709</v>
      </c>
      <c r="C1657" s="10" t="s">
        <v>757</v>
      </c>
      <c r="D1657" s="10" t="s">
        <v>758</v>
      </c>
      <c r="E1657" s="10" t="s">
        <v>716</v>
      </c>
      <c r="F1657" s="11" t="s">
        <v>215</v>
      </c>
      <c r="G1657" s="12" t="s">
        <v>256</v>
      </c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  <c r="Z1657" s="5"/>
    </row>
    <row r="1658" ht="14.25" customHeight="1">
      <c r="A1658" s="9" t="s">
        <v>62</v>
      </c>
      <c r="B1658" s="10" t="s">
        <v>709</v>
      </c>
      <c r="C1658" s="10" t="s">
        <v>753</v>
      </c>
      <c r="D1658" s="10" t="s">
        <v>754</v>
      </c>
      <c r="E1658" s="10" t="s">
        <v>710</v>
      </c>
      <c r="F1658" s="11" t="s">
        <v>264</v>
      </c>
      <c r="G1658" s="12" t="s">
        <v>264</v>
      </c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  <c r="Z1658" s="5"/>
    </row>
    <row r="1659" ht="14.25" customHeight="1">
      <c r="A1659" s="9" t="s">
        <v>132</v>
      </c>
      <c r="B1659" s="10" t="s">
        <v>709</v>
      </c>
      <c r="C1659" s="10" t="s">
        <v>723</v>
      </c>
      <c r="D1659" s="10" t="s">
        <v>724</v>
      </c>
      <c r="E1659" s="10" t="s">
        <v>713</v>
      </c>
      <c r="F1659" s="11" t="s">
        <v>264</v>
      </c>
      <c r="G1659" s="12" t="s">
        <v>28</v>
      </c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  <c r="Z1659" s="5"/>
    </row>
    <row r="1660" ht="14.25" customHeight="1">
      <c r="A1660" s="9" t="s">
        <v>72</v>
      </c>
      <c r="B1660" s="10" t="s">
        <v>709</v>
      </c>
      <c r="C1660" s="10" t="s">
        <v>759</v>
      </c>
      <c r="D1660" s="10" t="s">
        <v>760</v>
      </c>
      <c r="E1660" s="10" t="s">
        <v>710</v>
      </c>
      <c r="F1660" s="11" t="s">
        <v>12</v>
      </c>
      <c r="G1660" s="12" t="s">
        <v>12</v>
      </c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  <c r="Z1660" s="5"/>
    </row>
    <row r="1661" ht="14.25" customHeight="1">
      <c r="A1661" s="9" t="s">
        <v>24</v>
      </c>
      <c r="B1661" s="10" t="s">
        <v>709</v>
      </c>
      <c r="C1661" s="10" t="s">
        <v>333</v>
      </c>
      <c r="D1661" s="10" t="s">
        <v>334</v>
      </c>
      <c r="E1661" s="10" t="s">
        <v>710</v>
      </c>
      <c r="F1661" s="11" t="s">
        <v>238</v>
      </c>
      <c r="G1661" s="12" t="s">
        <v>238</v>
      </c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  <c r="Z1661" s="5"/>
    </row>
    <row r="1662" ht="14.25" customHeight="1">
      <c r="A1662" s="9" t="s">
        <v>55</v>
      </c>
      <c r="B1662" s="10" t="s">
        <v>709</v>
      </c>
      <c r="C1662" s="10" t="s">
        <v>761</v>
      </c>
      <c r="D1662" s="10" t="s">
        <v>762</v>
      </c>
      <c r="E1662" s="10" t="s">
        <v>716</v>
      </c>
      <c r="F1662" s="11" t="s">
        <v>227</v>
      </c>
      <c r="G1662" s="12" t="s">
        <v>227</v>
      </c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  <c r="Z1662" s="5"/>
    </row>
    <row r="1663" ht="14.25" customHeight="1">
      <c r="A1663" s="9" t="s">
        <v>33</v>
      </c>
      <c r="B1663" s="10" t="s">
        <v>709</v>
      </c>
      <c r="C1663" s="10" t="s">
        <v>685</v>
      </c>
      <c r="D1663" s="10" t="s">
        <v>686</v>
      </c>
      <c r="E1663" s="10" t="s">
        <v>710</v>
      </c>
      <c r="F1663" s="11" t="s">
        <v>227</v>
      </c>
      <c r="G1663" s="12" t="s">
        <v>227</v>
      </c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  <c r="Z1663" s="5"/>
    </row>
    <row r="1664" ht="14.25" customHeight="1">
      <c r="A1664" s="9" t="s">
        <v>105</v>
      </c>
      <c r="B1664" s="10" t="s">
        <v>709</v>
      </c>
      <c r="C1664" s="10" t="s">
        <v>546</v>
      </c>
      <c r="D1664" s="10" t="s">
        <v>547</v>
      </c>
      <c r="E1664" s="10" t="s">
        <v>710</v>
      </c>
      <c r="F1664" s="11" t="s">
        <v>215</v>
      </c>
      <c r="G1664" s="12" t="s">
        <v>215</v>
      </c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  <c r="Z1664" s="5"/>
    </row>
    <row r="1665" ht="14.25" customHeight="1">
      <c r="A1665" s="9" t="s">
        <v>33</v>
      </c>
      <c r="B1665" s="10" t="s">
        <v>709</v>
      </c>
      <c r="C1665" s="10" t="s">
        <v>34</v>
      </c>
      <c r="D1665" s="10" t="s">
        <v>35</v>
      </c>
      <c r="E1665" s="10" t="s">
        <v>710</v>
      </c>
      <c r="F1665" s="11" t="s">
        <v>28</v>
      </c>
      <c r="G1665" s="12" t="s">
        <v>28</v>
      </c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  <c r="Z1665" s="5"/>
    </row>
    <row r="1666" ht="14.25" customHeight="1">
      <c r="A1666" s="9" t="s">
        <v>79</v>
      </c>
      <c r="B1666" s="10" t="s">
        <v>709</v>
      </c>
      <c r="C1666" s="10" t="s">
        <v>339</v>
      </c>
      <c r="D1666" s="10" t="s">
        <v>340</v>
      </c>
      <c r="E1666" s="10" t="s">
        <v>710</v>
      </c>
      <c r="F1666" s="11" t="s">
        <v>215</v>
      </c>
      <c r="G1666" s="12" t="s">
        <v>215</v>
      </c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  <c r="Z1666" s="5"/>
    </row>
    <row r="1667" ht="14.25" customHeight="1">
      <c r="A1667" s="9" t="s">
        <v>129</v>
      </c>
      <c r="B1667" s="10" t="s">
        <v>709</v>
      </c>
      <c r="C1667" s="10" t="s">
        <v>644</v>
      </c>
      <c r="D1667" s="10" t="s">
        <v>645</v>
      </c>
      <c r="E1667" s="10" t="s">
        <v>710</v>
      </c>
      <c r="F1667" s="11" t="s">
        <v>264</v>
      </c>
      <c r="G1667" s="12" t="s">
        <v>264</v>
      </c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  <c r="Z1667" s="5"/>
    </row>
    <row r="1668" ht="14.25" customHeight="1">
      <c r="A1668" s="9" t="s">
        <v>110</v>
      </c>
      <c r="B1668" s="10" t="s">
        <v>709</v>
      </c>
      <c r="C1668" s="10" t="s">
        <v>661</v>
      </c>
      <c r="D1668" s="10" t="s">
        <v>662</v>
      </c>
      <c r="E1668" s="10" t="s">
        <v>710</v>
      </c>
      <c r="F1668" s="11" t="s">
        <v>227</v>
      </c>
      <c r="G1668" s="12" t="s">
        <v>227</v>
      </c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  <c r="Z1668" s="5"/>
    </row>
    <row r="1669" ht="14.25" customHeight="1">
      <c r="A1669" s="9" t="s">
        <v>21</v>
      </c>
      <c r="B1669" s="10" t="s">
        <v>709</v>
      </c>
      <c r="C1669" s="10" t="s">
        <v>763</v>
      </c>
      <c r="D1669" s="10" t="s">
        <v>764</v>
      </c>
      <c r="E1669" s="10" t="s">
        <v>713</v>
      </c>
      <c r="F1669" s="11" t="s">
        <v>264</v>
      </c>
      <c r="G1669" s="12" t="s">
        <v>264</v>
      </c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  <c r="Z1669" s="5"/>
    </row>
    <row r="1670" ht="14.25" customHeight="1">
      <c r="A1670" s="9" t="s">
        <v>132</v>
      </c>
      <c r="B1670" s="10" t="s">
        <v>709</v>
      </c>
      <c r="C1670" s="10" t="s">
        <v>316</v>
      </c>
      <c r="D1670" s="10" t="s">
        <v>317</v>
      </c>
      <c r="E1670" s="10" t="s">
        <v>710</v>
      </c>
      <c r="F1670" s="11" t="s">
        <v>227</v>
      </c>
      <c r="G1670" s="12" t="s">
        <v>227</v>
      </c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  <c r="Z1670" s="5"/>
    </row>
    <row r="1671" ht="14.25" customHeight="1">
      <c r="A1671" s="9" t="s">
        <v>45</v>
      </c>
      <c r="B1671" s="10" t="s">
        <v>709</v>
      </c>
      <c r="C1671" s="10" t="s">
        <v>765</v>
      </c>
      <c r="D1671" s="10" t="s">
        <v>766</v>
      </c>
      <c r="E1671" s="10" t="s">
        <v>716</v>
      </c>
      <c r="F1671" s="11" t="s">
        <v>227</v>
      </c>
      <c r="G1671" s="12" t="s">
        <v>227</v>
      </c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  <c r="Z1671" s="5"/>
    </row>
    <row r="1672" ht="14.25" customHeight="1">
      <c r="A1672" s="9" t="s">
        <v>21</v>
      </c>
      <c r="B1672" s="10" t="s">
        <v>709</v>
      </c>
      <c r="C1672" s="10" t="s">
        <v>763</v>
      </c>
      <c r="D1672" s="10" t="s">
        <v>764</v>
      </c>
      <c r="E1672" s="10" t="s">
        <v>710</v>
      </c>
      <c r="F1672" s="11" t="s">
        <v>264</v>
      </c>
      <c r="G1672" s="12" t="s">
        <v>264</v>
      </c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  <c r="Z1672" s="5"/>
    </row>
    <row r="1673" ht="14.25" customHeight="1">
      <c r="A1673" s="9" t="s">
        <v>65</v>
      </c>
      <c r="B1673" s="10" t="s">
        <v>709</v>
      </c>
      <c r="C1673" s="10" t="s">
        <v>767</v>
      </c>
      <c r="D1673" s="10" t="s">
        <v>768</v>
      </c>
      <c r="E1673" s="10" t="s">
        <v>710</v>
      </c>
      <c r="F1673" s="11" t="s">
        <v>12</v>
      </c>
      <c r="G1673" s="12" t="s">
        <v>12</v>
      </c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  <c r="Z1673" s="5"/>
    </row>
    <row r="1674" ht="14.25" customHeight="1">
      <c r="A1674" s="9" t="s">
        <v>24</v>
      </c>
      <c r="B1674" s="10" t="s">
        <v>709</v>
      </c>
      <c r="C1674" s="10" t="s">
        <v>486</v>
      </c>
      <c r="D1674" s="10" t="s">
        <v>487</v>
      </c>
      <c r="E1674" s="10" t="s">
        <v>710</v>
      </c>
      <c r="F1674" s="11" t="s">
        <v>224</v>
      </c>
      <c r="G1674" s="12" t="s">
        <v>215</v>
      </c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  <c r="Z1674" s="5"/>
    </row>
    <row r="1675" ht="14.25" customHeight="1">
      <c r="A1675" s="9" t="s">
        <v>24</v>
      </c>
      <c r="B1675" s="10" t="s">
        <v>709</v>
      </c>
      <c r="C1675" s="10" t="s">
        <v>82</v>
      </c>
      <c r="D1675" s="10" t="s">
        <v>83</v>
      </c>
      <c r="E1675" s="10" t="s">
        <v>710</v>
      </c>
      <c r="F1675" s="11" t="s">
        <v>12</v>
      </c>
      <c r="G1675" s="12" t="s">
        <v>12</v>
      </c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  <c r="Z1675" s="5"/>
    </row>
    <row r="1676" ht="14.25" customHeight="1">
      <c r="A1676" s="9" t="s">
        <v>29</v>
      </c>
      <c r="B1676" s="10" t="s">
        <v>709</v>
      </c>
      <c r="C1676" s="10" t="s">
        <v>769</v>
      </c>
      <c r="D1676" s="10" t="s">
        <v>770</v>
      </c>
      <c r="E1676" s="10" t="s">
        <v>710</v>
      </c>
      <c r="F1676" s="11" t="s">
        <v>227</v>
      </c>
      <c r="G1676" s="12" t="s">
        <v>227</v>
      </c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  <c r="Z1676" s="5"/>
    </row>
    <row r="1677" ht="14.25" customHeight="1">
      <c r="A1677" s="9" t="s">
        <v>55</v>
      </c>
      <c r="B1677" s="10" t="s">
        <v>709</v>
      </c>
      <c r="C1677" s="10" t="s">
        <v>156</v>
      </c>
      <c r="D1677" s="10" t="s">
        <v>157</v>
      </c>
      <c r="E1677" s="10" t="s">
        <v>716</v>
      </c>
      <c r="F1677" s="11" t="s">
        <v>28</v>
      </c>
      <c r="G1677" s="12" t="s">
        <v>28</v>
      </c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  <c r="Z1677" s="5"/>
    </row>
    <row r="1678" ht="14.25" customHeight="1">
      <c r="A1678" s="9" t="s">
        <v>102</v>
      </c>
      <c r="B1678" s="10" t="s">
        <v>709</v>
      </c>
      <c r="C1678" s="10" t="s">
        <v>640</v>
      </c>
      <c r="D1678" s="10" t="s">
        <v>641</v>
      </c>
      <c r="E1678" s="10" t="s">
        <v>710</v>
      </c>
      <c r="F1678" s="11" t="s">
        <v>12</v>
      </c>
      <c r="G1678" s="12" t="s">
        <v>28</v>
      </c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  <c r="Z1678" s="5"/>
    </row>
    <row r="1679" ht="14.25" customHeight="1">
      <c r="A1679" s="9" t="s">
        <v>72</v>
      </c>
      <c r="B1679" s="10" t="s">
        <v>709</v>
      </c>
      <c r="C1679" s="10" t="s">
        <v>429</v>
      </c>
      <c r="D1679" s="10" t="s">
        <v>430</v>
      </c>
      <c r="E1679" s="10" t="s">
        <v>710</v>
      </c>
      <c r="F1679" s="11" t="s">
        <v>224</v>
      </c>
      <c r="G1679" s="12" t="s">
        <v>215</v>
      </c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  <c r="Z1679" s="5"/>
    </row>
    <row r="1680" ht="14.25" customHeight="1">
      <c r="A1680" s="9" t="s">
        <v>84</v>
      </c>
      <c r="B1680" s="10" t="s">
        <v>709</v>
      </c>
      <c r="C1680" s="10" t="s">
        <v>741</v>
      </c>
      <c r="D1680" s="10" t="s">
        <v>742</v>
      </c>
      <c r="E1680" s="10" t="s">
        <v>713</v>
      </c>
      <c r="F1680" s="11" t="s">
        <v>227</v>
      </c>
      <c r="G1680" s="12" t="s">
        <v>227</v>
      </c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  <c r="Z1680" s="5"/>
    </row>
    <row r="1681" ht="14.25" customHeight="1">
      <c r="A1681" s="9" t="s">
        <v>129</v>
      </c>
      <c r="B1681" s="10" t="s">
        <v>709</v>
      </c>
      <c r="C1681" s="10" t="s">
        <v>650</v>
      </c>
      <c r="D1681" s="10" t="s">
        <v>651</v>
      </c>
      <c r="E1681" s="10" t="s">
        <v>710</v>
      </c>
      <c r="F1681" s="11" t="s">
        <v>224</v>
      </c>
      <c r="G1681" s="12" t="s">
        <v>224</v>
      </c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  <c r="Z1681" s="5"/>
    </row>
    <row r="1682" ht="14.25" customHeight="1">
      <c r="A1682" s="9" t="s">
        <v>29</v>
      </c>
      <c r="B1682" s="10" t="s">
        <v>709</v>
      </c>
      <c r="C1682" s="10" t="s">
        <v>144</v>
      </c>
      <c r="D1682" s="10" t="s">
        <v>145</v>
      </c>
      <c r="E1682" s="10" t="s">
        <v>710</v>
      </c>
      <c r="F1682" s="11" t="s">
        <v>28</v>
      </c>
      <c r="G1682" s="12" t="s">
        <v>28</v>
      </c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  <c r="Z1682" s="5"/>
    </row>
    <row r="1683" ht="14.25" customHeight="1">
      <c r="A1683" s="9" t="s">
        <v>72</v>
      </c>
      <c r="B1683" s="10" t="s">
        <v>709</v>
      </c>
      <c r="C1683" s="10" t="s">
        <v>438</v>
      </c>
      <c r="D1683" s="10" t="s">
        <v>439</v>
      </c>
      <c r="E1683" s="10" t="s">
        <v>710</v>
      </c>
      <c r="F1683" s="11" t="s">
        <v>224</v>
      </c>
      <c r="G1683" s="12" t="s">
        <v>224</v>
      </c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  <c r="Z1683" s="5"/>
    </row>
    <row r="1684" ht="14.25" customHeight="1">
      <c r="A1684" s="9" t="s">
        <v>17</v>
      </c>
      <c r="B1684" s="10" t="s">
        <v>709</v>
      </c>
      <c r="C1684" s="10" t="s">
        <v>743</v>
      </c>
      <c r="D1684" s="10" t="s">
        <v>744</v>
      </c>
      <c r="E1684" s="10" t="s">
        <v>710</v>
      </c>
      <c r="F1684" s="11" t="s">
        <v>227</v>
      </c>
      <c r="G1684" s="12" t="s">
        <v>227</v>
      </c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  <c r="Z1684" s="5"/>
    </row>
    <row r="1685" ht="14.25" customHeight="1">
      <c r="A1685" s="9" t="s">
        <v>169</v>
      </c>
      <c r="B1685" s="10" t="s">
        <v>709</v>
      </c>
      <c r="C1685" s="10" t="s">
        <v>755</v>
      </c>
      <c r="D1685" s="10" t="s">
        <v>756</v>
      </c>
      <c r="E1685" s="10" t="s">
        <v>716</v>
      </c>
      <c r="F1685" s="11" t="s">
        <v>256</v>
      </c>
      <c r="G1685" s="12" t="s">
        <v>227</v>
      </c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  <c r="Z1685" s="5"/>
    </row>
    <row r="1686" ht="14.25" customHeight="1">
      <c r="A1686" s="9" t="s">
        <v>88</v>
      </c>
      <c r="B1686" s="10" t="s">
        <v>709</v>
      </c>
      <c r="C1686" s="10" t="s">
        <v>757</v>
      </c>
      <c r="D1686" s="10" t="s">
        <v>758</v>
      </c>
      <c r="E1686" s="10" t="s">
        <v>710</v>
      </c>
      <c r="F1686" s="11" t="s">
        <v>227</v>
      </c>
      <c r="G1686" s="12" t="s">
        <v>227</v>
      </c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  <c r="Z1686" s="5"/>
    </row>
    <row r="1687" ht="14.25" customHeight="1">
      <c r="A1687" s="9" t="s">
        <v>93</v>
      </c>
      <c r="B1687" s="10" t="s">
        <v>709</v>
      </c>
      <c r="C1687" s="10" t="s">
        <v>771</v>
      </c>
      <c r="D1687" s="10" t="s">
        <v>772</v>
      </c>
      <c r="E1687" s="10" t="s">
        <v>710</v>
      </c>
      <c r="F1687" s="11" t="s">
        <v>264</v>
      </c>
      <c r="G1687" s="12" t="s">
        <v>264</v>
      </c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  <c r="Z1687" s="5"/>
    </row>
    <row r="1688" ht="14.25" customHeight="1">
      <c r="A1688" s="9" t="s">
        <v>45</v>
      </c>
      <c r="B1688" s="10" t="s">
        <v>709</v>
      </c>
      <c r="C1688" s="10" t="s">
        <v>765</v>
      </c>
      <c r="D1688" s="10" t="s">
        <v>766</v>
      </c>
      <c r="E1688" s="10" t="s">
        <v>710</v>
      </c>
      <c r="F1688" s="11" t="s">
        <v>264</v>
      </c>
      <c r="G1688" s="12" t="s">
        <v>264</v>
      </c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  <c r="Z1688" s="5"/>
    </row>
    <row r="1689" ht="14.25" customHeight="1">
      <c r="A1689" s="9" t="s">
        <v>36</v>
      </c>
      <c r="B1689" s="10" t="s">
        <v>709</v>
      </c>
      <c r="C1689" s="10" t="s">
        <v>530</v>
      </c>
      <c r="D1689" s="10" t="s">
        <v>531</v>
      </c>
      <c r="E1689" s="10" t="s">
        <v>710</v>
      </c>
      <c r="F1689" s="11" t="s">
        <v>238</v>
      </c>
      <c r="G1689" s="12" t="s">
        <v>215</v>
      </c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  <c r="Z1689" s="5"/>
    </row>
    <row r="1690" ht="14.25" customHeight="1">
      <c r="A1690" s="9" t="s">
        <v>93</v>
      </c>
      <c r="B1690" s="10" t="s">
        <v>709</v>
      </c>
      <c r="C1690" s="10" t="s">
        <v>707</v>
      </c>
      <c r="D1690" s="10" t="s">
        <v>708</v>
      </c>
      <c r="E1690" s="10" t="s">
        <v>710</v>
      </c>
      <c r="F1690" s="11" t="s">
        <v>12</v>
      </c>
      <c r="G1690" s="12" t="s">
        <v>12</v>
      </c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  <c r="Z1690" s="5"/>
    </row>
    <row r="1691" ht="14.25" customHeight="1">
      <c r="A1691" s="9" t="s">
        <v>55</v>
      </c>
      <c r="B1691" s="10" t="s">
        <v>709</v>
      </c>
      <c r="C1691" s="10" t="s">
        <v>156</v>
      </c>
      <c r="D1691" s="10" t="s">
        <v>157</v>
      </c>
      <c r="E1691" s="10" t="s">
        <v>710</v>
      </c>
      <c r="F1691" s="11" t="s">
        <v>28</v>
      </c>
      <c r="G1691" s="12" t="s">
        <v>28</v>
      </c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  <c r="Z1691" s="5"/>
    </row>
    <row r="1692" ht="14.25" customHeight="1">
      <c r="A1692" s="9" t="s">
        <v>84</v>
      </c>
      <c r="B1692" s="10" t="s">
        <v>709</v>
      </c>
      <c r="C1692" s="10" t="s">
        <v>85</v>
      </c>
      <c r="D1692" s="10" t="s">
        <v>86</v>
      </c>
      <c r="E1692" s="10" t="s">
        <v>710</v>
      </c>
      <c r="F1692" s="11" t="s">
        <v>12</v>
      </c>
      <c r="G1692" s="12" t="s">
        <v>28</v>
      </c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  <c r="Z1692" s="5"/>
    </row>
    <row r="1693" ht="14.25" customHeight="1">
      <c r="A1693" s="9" t="s">
        <v>93</v>
      </c>
      <c r="B1693" s="10" t="s">
        <v>709</v>
      </c>
      <c r="C1693" s="10" t="s">
        <v>275</v>
      </c>
      <c r="D1693" s="10" t="s">
        <v>276</v>
      </c>
      <c r="E1693" s="10" t="s">
        <v>710</v>
      </c>
      <c r="F1693" s="11" t="s">
        <v>227</v>
      </c>
      <c r="G1693" s="12" t="s">
        <v>227</v>
      </c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  <c r="Z1693" s="5"/>
    </row>
    <row r="1694" ht="14.25" customHeight="1">
      <c r="A1694" s="9" t="s">
        <v>65</v>
      </c>
      <c r="B1694" s="10" t="s">
        <v>709</v>
      </c>
      <c r="C1694" s="10" t="s">
        <v>304</v>
      </c>
      <c r="D1694" s="10" t="s">
        <v>305</v>
      </c>
      <c r="E1694" s="10" t="s">
        <v>716</v>
      </c>
      <c r="F1694" s="11" t="s">
        <v>215</v>
      </c>
      <c r="G1694" s="12" t="s">
        <v>215</v>
      </c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  <c r="Z1694" s="5"/>
    </row>
    <row r="1695" ht="14.25" customHeight="1">
      <c r="A1695" s="9" t="s">
        <v>93</v>
      </c>
      <c r="B1695" s="10" t="s">
        <v>709</v>
      </c>
      <c r="C1695" s="10" t="s">
        <v>384</v>
      </c>
      <c r="D1695" s="10" t="s">
        <v>385</v>
      </c>
      <c r="E1695" s="10" t="s">
        <v>710</v>
      </c>
      <c r="F1695" s="11" t="s">
        <v>264</v>
      </c>
      <c r="G1695" s="12" t="s">
        <v>12</v>
      </c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  <c r="Z1695" s="5"/>
    </row>
    <row r="1696" ht="14.25" customHeight="1">
      <c r="A1696" s="9" t="s">
        <v>88</v>
      </c>
      <c r="B1696" s="10" t="s">
        <v>709</v>
      </c>
      <c r="C1696" s="10" t="s">
        <v>673</v>
      </c>
      <c r="D1696" s="10" t="s">
        <v>674</v>
      </c>
      <c r="E1696" s="10" t="s">
        <v>710</v>
      </c>
      <c r="F1696" s="11" t="s">
        <v>227</v>
      </c>
      <c r="G1696" s="12" t="s">
        <v>264</v>
      </c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  <c r="Z1696" s="5"/>
    </row>
    <row r="1697" ht="14.25" customHeight="1">
      <c r="A1697" s="9" t="s">
        <v>169</v>
      </c>
      <c r="B1697" s="10" t="s">
        <v>709</v>
      </c>
      <c r="C1697" s="10" t="s">
        <v>378</v>
      </c>
      <c r="D1697" s="10" t="s">
        <v>379</v>
      </c>
      <c r="E1697" s="10" t="s">
        <v>710</v>
      </c>
      <c r="F1697" s="11" t="s">
        <v>12</v>
      </c>
      <c r="G1697" s="12" t="s">
        <v>28</v>
      </c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  <c r="Z1697" s="5"/>
    </row>
    <row r="1698" ht="14.25" customHeight="1">
      <c r="A1698" s="9" t="s">
        <v>88</v>
      </c>
      <c r="B1698" s="10" t="s">
        <v>709</v>
      </c>
      <c r="C1698" s="10" t="s">
        <v>757</v>
      </c>
      <c r="D1698" s="10" t="s">
        <v>758</v>
      </c>
      <c r="E1698" s="10" t="s">
        <v>713</v>
      </c>
      <c r="F1698" s="11" t="s">
        <v>215</v>
      </c>
      <c r="G1698" s="12" t="s">
        <v>256</v>
      </c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  <c r="Z1698" s="5"/>
    </row>
    <row r="1699" ht="14.25" customHeight="1">
      <c r="A1699" s="9" t="s">
        <v>29</v>
      </c>
      <c r="B1699" s="10" t="s">
        <v>709</v>
      </c>
      <c r="C1699" s="10" t="s">
        <v>769</v>
      </c>
      <c r="D1699" s="10" t="s">
        <v>770</v>
      </c>
      <c r="E1699" s="10" t="s">
        <v>713</v>
      </c>
      <c r="F1699" s="11" t="s">
        <v>227</v>
      </c>
      <c r="G1699" s="12" t="s">
        <v>227</v>
      </c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  <c r="Z1699" s="5"/>
    </row>
    <row r="1700" ht="14.25" customHeight="1">
      <c r="A1700" s="9" t="s">
        <v>105</v>
      </c>
      <c r="B1700" s="10" t="s">
        <v>709</v>
      </c>
      <c r="C1700" s="10" t="s">
        <v>727</v>
      </c>
      <c r="D1700" s="10" t="s">
        <v>728</v>
      </c>
      <c r="E1700" s="10" t="s">
        <v>716</v>
      </c>
      <c r="F1700" s="11" t="s">
        <v>256</v>
      </c>
      <c r="G1700" s="12" t="s">
        <v>256</v>
      </c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  <c r="Z1700" s="5"/>
    </row>
    <row r="1701" ht="14.25" customHeight="1">
      <c r="A1701" s="9" t="s">
        <v>65</v>
      </c>
      <c r="B1701" s="10" t="s">
        <v>709</v>
      </c>
      <c r="C1701" s="10" t="s">
        <v>767</v>
      </c>
      <c r="D1701" s="10" t="s">
        <v>768</v>
      </c>
      <c r="E1701" s="10" t="s">
        <v>713</v>
      </c>
      <c r="F1701" s="11" t="s">
        <v>12</v>
      </c>
      <c r="G1701" s="12" t="s">
        <v>12</v>
      </c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  <c r="Z1701" s="5"/>
    </row>
    <row r="1702" ht="14.25" customHeight="1">
      <c r="A1702" s="9" t="s">
        <v>72</v>
      </c>
      <c r="B1702" s="10" t="s">
        <v>709</v>
      </c>
      <c r="C1702" s="10" t="s">
        <v>421</v>
      </c>
      <c r="D1702" s="10" t="s">
        <v>422</v>
      </c>
      <c r="E1702" s="10" t="s">
        <v>710</v>
      </c>
      <c r="F1702" s="11" t="s">
        <v>224</v>
      </c>
      <c r="G1702" s="12" t="s">
        <v>224</v>
      </c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  <c r="Z1702" s="5"/>
    </row>
    <row r="1703" ht="14.25" customHeight="1">
      <c r="A1703" s="9" t="s">
        <v>17</v>
      </c>
      <c r="B1703" s="10" t="s">
        <v>709</v>
      </c>
      <c r="C1703" s="10" t="s">
        <v>536</v>
      </c>
      <c r="D1703" s="10" t="s">
        <v>537</v>
      </c>
      <c r="E1703" s="10" t="s">
        <v>710</v>
      </c>
      <c r="F1703" s="11" t="s">
        <v>238</v>
      </c>
      <c r="G1703" s="12" t="s">
        <v>224</v>
      </c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  <c r="Z1703" s="5"/>
    </row>
    <row r="1704" ht="14.25" customHeight="1">
      <c r="A1704" s="9" t="s">
        <v>93</v>
      </c>
      <c r="B1704" s="10" t="s">
        <v>709</v>
      </c>
      <c r="C1704" s="10" t="s">
        <v>310</v>
      </c>
      <c r="D1704" s="10" t="s">
        <v>311</v>
      </c>
      <c r="E1704" s="10" t="s">
        <v>710</v>
      </c>
      <c r="F1704" s="11" t="s">
        <v>215</v>
      </c>
      <c r="G1704" s="12" t="s">
        <v>256</v>
      </c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  <c r="Z1704" s="5"/>
    </row>
    <row r="1705" ht="14.25" customHeight="1">
      <c r="A1705" s="9" t="s">
        <v>102</v>
      </c>
      <c r="B1705" s="10" t="s">
        <v>709</v>
      </c>
      <c r="C1705" s="10" t="s">
        <v>773</v>
      </c>
      <c r="D1705" s="10" t="s">
        <v>774</v>
      </c>
      <c r="E1705" s="10" t="s">
        <v>716</v>
      </c>
      <c r="F1705" s="11" t="s">
        <v>215</v>
      </c>
      <c r="G1705" s="12" t="s">
        <v>215</v>
      </c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  <c r="Z1705" s="5"/>
    </row>
    <row r="1706" ht="14.25" customHeight="1">
      <c r="A1706" s="9" t="s">
        <v>79</v>
      </c>
      <c r="B1706" s="10" t="s">
        <v>709</v>
      </c>
      <c r="C1706" s="10" t="s">
        <v>361</v>
      </c>
      <c r="D1706" s="10" t="s">
        <v>362</v>
      </c>
      <c r="E1706" s="10" t="s">
        <v>710</v>
      </c>
      <c r="F1706" s="11" t="s">
        <v>12</v>
      </c>
      <c r="G1706" s="12" t="s">
        <v>28</v>
      </c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  <c r="Z1706" s="5"/>
    </row>
    <row r="1707" ht="14.25" customHeight="1">
      <c r="A1707" s="9" t="s">
        <v>72</v>
      </c>
      <c r="B1707" s="10" t="s">
        <v>709</v>
      </c>
      <c r="C1707" s="10" t="s">
        <v>269</v>
      </c>
      <c r="D1707" s="10" t="s">
        <v>270</v>
      </c>
      <c r="E1707" s="10" t="s">
        <v>710</v>
      </c>
      <c r="F1707" s="11" t="s">
        <v>256</v>
      </c>
      <c r="G1707" s="12" t="s">
        <v>256</v>
      </c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  <c r="Z1707" s="5"/>
    </row>
    <row r="1708" ht="14.25" customHeight="1">
      <c r="A1708" s="9" t="s">
        <v>169</v>
      </c>
      <c r="B1708" s="10" t="s">
        <v>709</v>
      </c>
      <c r="C1708" s="10" t="s">
        <v>586</v>
      </c>
      <c r="D1708" s="10" t="s">
        <v>587</v>
      </c>
      <c r="E1708" s="10" t="s">
        <v>710</v>
      </c>
      <c r="F1708" s="11" t="s">
        <v>224</v>
      </c>
      <c r="G1708" s="12" t="s">
        <v>224</v>
      </c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  <c r="Z1708" s="5"/>
    </row>
    <row r="1709" ht="14.25" customHeight="1">
      <c r="A1709" s="9" t="s">
        <v>93</v>
      </c>
      <c r="B1709" s="10" t="s">
        <v>709</v>
      </c>
      <c r="C1709" s="10" t="s">
        <v>448</v>
      </c>
      <c r="D1709" s="10" t="s">
        <v>449</v>
      </c>
      <c r="E1709" s="10" t="s">
        <v>710</v>
      </c>
      <c r="F1709" s="11" t="s">
        <v>256</v>
      </c>
      <c r="G1709" s="12" t="s">
        <v>256</v>
      </c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  <c r="Z1709" s="5"/>
    </row>
    <row r="1710" ht="14.25" customHeight="1">
      <c r="A1710" s="9" t="s">
        <v>7</v>
      </c>
      <c r="B1710" s="10" t="s">
        <v>709</v>
      </c>
      <c r="C1710" s="10" t="s">
        <v>733</v>
      </c>
      <c r="D1710" s="10" t="s">
        <v>734</v>
      </c>
      <c r="E1710" s="10" t="s">
        <v>716</v>
      </c>
      <c r="F1710" s="11" t="s">
        <v>13</v>
      </c>
      <c r="G1710" s="12" t="s">
        <v>13</v>
      </c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  <c r="Z1710" s="5"/>
    </row>
    <row r="1711" ht="14.25" customHeight="1">
      <c r="A1711" s="9" t="s">
        <v>204</v>
      </c>
      <c r="B1711" s="10" t="s">
        <v>709</v>
      </c>
      <c r="C1711" s="10" t="s">
        <v>205</v>
      </c>
      <c r="D1711" s="10" t="s">
        <v>206</v>
      </c>
      <c r="E1711" s="10" t="s">
        <v>710</v>
      </c>
      <c r="F1711" s="11" t="s">
        <v>13</v>
      </c>
      <c r="G1711" s="12" t="s">
        <v>13</v>
      </c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  <c r="Z1711" s="5"/>
    </row>
    <row r="1712" ht="14.25" customHeight="1">
      <c r="A1712" s="9" t="s">
        <v>42</v>
      </c>
      <c r="B1712" s="10" t="s">
        <v>709</v>
      </c>
      <c r="C1712" s="10" t="s">
        <v>482</v>
      </c>
      <c r="D1712" s="10" t="s">
        <v>483</v>
      </c>
      <c r="E1712" s="10" t="s">
        <v>710</v>
      </c>
      <c r="F1712" s="11" t="s">
        <v>227</v>
      </c>
      <c r="G1712" s="12" t="s">
        <v>227</v>
      </c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  <c r="Z1712" s="5"/>
    </row>
    <row r="1713" ht="14.25" customHeight="1">
      <c r="A1713" s="9" t="s">
        <v>84</v>
      </c>
      <c r="B1713" s="10" t="s">
        <v>709</v>
      </c>
      <c r="C1713" s="10" t="s">
        <v>365</v>
      </c>
      <c r="D1713" s="10" t="s">
        <v>366</v>
      </c>
      <c r="E1713" s="10" t="s">
        <v>710</v>
      </c>
      <c r="F1713" s="11" t="s">
        <v>215</v>
      </c>
      <c r="G1713" s="12" t="s">
        <v>264</v>
      </c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  <c r="Z1713" s="5"/>
    </row>
    <row r="1714" ht="14.25" customHeight="1">
      <c r="A1714" s="9" t="s">
        <v>204</v>
      </c>
      <c r="B1714" s="10" t="s">
        <v>709</v>
      </c>
      <c r="C1714" s="10" t="s">
        <v>464</v>
      </c>
      <c r="D1714" s="10" t="s">
        <v>465</v>
      </c>
      <c r="E1714" s="10" t="s">
        <v>710</v>
      </c>
      <c r="F1714" s="11" t="s">
        <v>12</v>
      </c>
      <c r="G1714" s="12" t="s">
        <v>28</v>
      </c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  <c r="Z1714" s="5"/>
    </row>
    <row r="1715" ht="14.25" customHeight="1">
      <c r="A1715" s="9" t="s">
        <v>110</v>
      </c>
      <c r="B1715" s="10" t="s">
        <v>709</v>
      </c>
      <c r="C1715" s="10" t="s">
        <v>188</v>
      </c>
      <c r="D1715" s="10" t="s">
        <v>189</v>
      </c>
      <c r="E1715" s="10" t="s">
        <v>710</v>
      </c>
      <c r="F1715" s="11" t="s">
        <v>28</v>
      </c>
      <c r="G1715" s="12" t="s">
        <v>28</v>
      </c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  <c r="Z1715" s="5"/>
    </row>
    <row r="1716" ht="14.25" customHeight="1">
      <c r="A1716" s="9" t="s">
        <v>435</v>
      </c>
      <c r="B1716" s="10" t="s">
        <v>709</v>
      </c>
      <c r="C1716" s="10" t="s">
        <v>560</v>
      </c>
      <c r="D1716" s="10" t="s">
        <v>561</v>
      </c>
      <c r="E1716" s="10" t="s">
        <v>710</v>
      </c>
      <c r="F1716" s="11" t="s">
        <v>224</v>
      </c>
      <c r="G1716" s="12" t="s">
        <v>224</v>
      </c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  <c r="Z1716" s="5"/>
    </row>
    <row r="1717" ht="14.25" customHeight="1">
      <c r="A1717" s="9" t="s">
        <v>72</v>
      </c>
      <c r="B1717" s="10" t="s">
        <v>709</v>
      </c>
      <c r="C1717" s="10" t="s">
        <v>612</v>
      </c>
      <c r="D1717" s="10" t="s">
        <v>613</v>
      </c>
      <c r="E1717" s="10" t="s">
        <v>710</v>
      </c>
      <c r="F1717" s="11" t="s">
        <v>264</v>
      </c>
      <c r="G1717" s="12" t="s">
        <v>264</v>
      </c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  <c r="Z1717" s="5"/>
    </row>
    <row r="1718" ht="14.25" customHeight="1">
      <c r="A1718" s="9" t="s">
        <v>55</v>
      </c>
      <c r="B1718" s="10" t="s">
        <v>709</v>
      </c>
      <c r="C1718" s="10" t="s">
        <v>761</v>
      </c>
      <c r="D1718" s="10" t="s">
        <v>762</v>
      </c>
      <c r="E1718" s="10" t="s">
        <v>713</v>
      </c>
      <c r="F1718" s="11" t="s">
        <v>227</v>
      </c>
      <c r="G1718" s="12" t="s">
        <v>227</v>
      </c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  <c r="Z1718" s="5"/>
    </row>
    <row r="1719" ht="14.25" customHeight="1">
      <c r="A1719" s="9" t="s">
        <v>55</v>
      </c>
      <c r="B1719" s="10" t="s">
        <v>709</v>
      </c>
      <c r="C1719" s="10" t="s">
        <v>554</v>
      </c>
      <c r="D1719" s="10" t="s">
        <v>555</v>
      </c>
      <c r="E1719" s="10" t="s">
        <v>710</v>
      </c>
      <c r="F1719" s="11" t="s">
        <v>256</v>
      </c>
      <c r="G1719" s="12" t="s">
        <v>227</v>
      </c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  <c r="Z1719" s="5"/>
    </row>
    <row r="1720" ht="14.25" customHeight="1">
      <c r="A1720" s="9" t="s">
        <v>42</v>
      </c>
      <c r="B1720" s="10" t="s">
        <v>709</v>
      </c>
      <c r="C1720" s="10" t="s">
        <v>70</v>
      </c>
      <c r="D1720" s="10" t="s">
        <v>71</v>
      </c>
      <c r="E1720" s="10" t="s">
        <v>710</v>
      </c>
      <c r="F1720" s="11" t="s">
        <v>264</v>
      </c>
      <c r="G1720" s="12" t="s">
        <v>12</v>
      </c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  <c r="Z1720" s="5"/>
    </row>
    <row r="1721" ht="14.25" customHeight="1">
      <c r="A1721" s="9" t="s">
        <v>55</v>
      </c>
      <c r="B1721" s="10" t="s">
        <v>709</v>
      </c>
      <c r="C1721" s="10" t="s">
        <v>761</v>
      </c>
      <c r="D1721" s="10" t="s">
        <v>762</v>
      </c>
      <c r="E1721" s="10" t="s">
        <v>710</v>
      </c>
      <c r="F1721" s="11" t="s">
        <v>227</v>
      </c>
      <c r="G1721" s="12" t="s">
        <v>227</v>
      </c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  <c r="Z1721" s="5"/>
    </row>
    <row r="1722" ht="14.25" customHeight="1">
      <c r="A1722" s="9" t="s">
        <v>79</v>
      </c>
      <c r="B1722" s="10" t="s">
        <v>709</v>
      </c>
      <c r="C1722" s="10" t="s">
        <v>98</v>
      </c>
      <c r="D1722" s="10" t="s">
        <v>99</v>
      </c>
      <c r="E1722" s="10" t="s">
        <v>710</v>
      </c>
      <c r="F1722" s="11" t="s">
        <v>12</v>
      </c>
      <c r="G1722" s="12" t="s">
        <v>28</v>
      </c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  <c r="Z1722" s="5"/>
    </row>
    <row r="1723" ht="14.25" customHeight="1">
      <c r="A1723" s="9" t="s">
        <v>72</v>
      </c>
      <c r="B1723" s="10" t="s">
        <v>709</v>
      </c>
      <c r="C1723" s="10" t="s">
        <v>292</v>
      </c>
      <c r="D1723" s="10" t="s">
        <v>293</v>
      </c>
      <c r="E1723" s="10" t="s">
        <v>713</v>
      </c>
      <c r="F1723" s="11" t="s">
        <v>264</v>
      </c>
      <c r="G1723" s="12" t="s">
        <v>264</v>
      </c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  <c r="Z1723" s="5"/>
    </row>
    <row r="1724" ht="14.25" customHeight="1">
      <c r="A1724" s="9" t="s">
        <v>79</v>
      </c>
      <c r="B1724" s="10" t="s">
        <v>709</v>
      </c>
      <c r="C1724" s="10" t="s">
        <v>444</v>
      </c>
      <c r="D1724" s="10" t="s">
        <v>445</v>
      </c>
      <c r="E1724" s="10" t="s">
        <v>710</v>
      </c>
      <c r="F1724" s="11" t="s">
        <v>227</v>
      </c>
      <c r="G1724" s="12" t="s">
        <v>227</v>
      </c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  <c r="Z1724" s="5"/>
    </row>
    <row r="1725" ht="14.25" customHeight="1">
      <c r="A1725" s="9" t="s">
        <v>62</v>
      </c>
      <c r="B1725" s="10" t="s">
        <v>709</v>
      </c>
      <c r="C1725" s="10" t="s">
        <v>314</v>
      </c>
      <c r="D1725" s="10" t="s">
        <v>315</v>
      </c>
      <c r="E1725" s="10" t="s">
        <v>710</v>
      </c>
      <c r="F1725" s="11" t="s">
        <v>238</v>
      </c>
      <c r="G1725" s="12" t="s">
        <v>224</v>
      </c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  <c r="Z1725" s="5"/>
    </row>
    <row r="1726" ht="14.25" customHeight="1">
      <c r="A1726" s="9" t="s">
        <v>132</v>
      </c>
      <c r="B1726" s="10" t="s">
        <v>709</v>
      </c>
      <c r="C1726" s="10" t="s">
        <v>133</v>
      </c>
      <c r="D1726" s="10" t="s">
        <v>134</v>
      </c>
      <c r="E1726" s="10" t="s">
        <v>710</v>
      </c>
      <c r="F1726" s="11" t="s">
        <v>28</v>
      </c>
      <c r="G1726" s="12" t="s">
        <v>28</v>
      </c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  <c r="Z1726" s="5"/>
    </row>
    <row r="1727" ht="14.25" customHeight="1">
      <c r="A1727" s="9" t="s">
        <v>72</v>
      </c>
      <c r="B1727" s="10" t="s">
        <v>709</v>
      </c>
      <c r="C1727" s="10" t="s">
        <v>721</v>
      </c>
      <c r="D1727" s="10" t="s">
        <v>722</v>
      </c>
      <c r="E1727" s="10" t="s">
        <v>716</v>
      </c>
      <c r="F1727" s="11" t="s">
        <v>243</v>
      </c>
      <c r="G1727" s="12" t="s">
        <v>238</v>
      </c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  <c r="Z1727" s="5"/>
    </row>
    <row r="1728" ht="14.25" customHeight="1">
      <c r="A1728" s="9" t="s">
        <v>102</v>
      </c>
      <c r="B1728" s="10" t="s">
        <v>709</v>
      </c>
      <c r="C1728" s="10" t="s">
        <v>184</v>
      </c>
      <c r="D1728" s="10" t="s">
        <v>185</v>
      </c>
      <c r="E1728" s="10" t="s">
        <v>710</v>
      </c>
      <c r="F1728" s="11" t="s">
        <v>215</v>
      </c>
      <c r="G1728" s="12" t="s">
        <v>12</v>
      </c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  <c r="Z1728" s="5"/>
    </row>
    <row r="1729" ht="14.25" customHeight="1">
      <c r="A1729" s="9" t="s">
        <v>72</v>
      </c>
      <c r="B1729" s="10" t="s">
        <v>709</v>
      </c>
      <c r="C1729" s="10" t="s">
        <v>292</v>
      </c>
      <c r="D1729" s="10" t="s">
        <v>293</v>
      </c>
      <c r="E1729" s="10" t="s">
        <v>710</v>
      </c>
      <c r="F1729" s="11" t="s">
        <v>12</v>
      </c>
      <c r="G1729" s="12" t="s">
        <v>28</v>
      </c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  <c r="Z1729" s="5"/>
    </row>
    <row r="1730" ht="14.25" customHeight="1">
      <c r="A1730" s="9" t="s">
        <v>24</v>
      </c>
      <c r="B1730" s="10" t="s">
        <v>709</v>
      </c>
      <c r="C1730" s="10" t="s">
        <v>562</v>
      </c>
      <c r="D1730" s="10" t="s">
        <v>563</v>
      </c>
      <c r="E1730" s="10" t="s">
        <v>710</v>
      </c>
      <c r="F1730" s="11" t="s">
        <v>224</v>
      </c>
      <c r="G1730" s="12" t="s">
        <v>224</v>
      </c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  <c r="Z1730" s="5"/>
    </row>
    <row r="1731" ht="14.25" customHeight="1">
      <c r="A1731" s="9" t="s">
        <v>84</v>
      </c>
      <c r="B1731" s="10" t="s">
        <v>709</v>
      </c>
      <c r="C1731" s="10" t="s">
        <v>697</v>
      </c>
      <c r="D1731" s="10" t="s">
        <v>698</v>
      </c>
      <c r="E1731" s="10" t="s">
        <v>710</v>
      </c>
      <c r="F1731" s="11" t="s">
        <v>28</v>
      </c>
      <c r="G1731" s="12" t="s">
        <v>28</v>
      </c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  <c r="Z1731" s="5"/>
    </row>
    <row r="1732" ht="14.25" customHeight="1">
      <c r="A1732" s="9" t="s">
        <v>29</v>
      </c>
      <c r="B1732" s="10" t="s">
        <v>709</v>
      </c>
      <c r="C1732" s="10" t="s">
        <v>440</v>
      </c>
      <c r="D1732" s="10" t="s">
        <v>441</v>
      </c>
      <c r="E1732" s="10" t="s">
        <v>710</v>
      </c>
      <c r="F1732" s="11" t="s">
        <v>243</v>
      </c>
      <c r="G1732" s="12" t="s">
        <v>256</v>
      </c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  <c r="Z1732" s="5"/>
    </row>
    <row r="1733" ht="14.25" customHeight="1">
      <c r="A1733" s="9" t="s">
        <v>435</v>
      </c>
      <c r="B1733" s="10" t="s">
        <v>709</v>
      </c>
      <c r="C1733" s="10" t="s">
        <v>667</v>
      </c>
      <c r="D1733" s="10" t="s">
        <v>668</v>
      </c>
      <c r="E1733" s="10" t="s">
        <v>710</v>
      </c>
      <c r="F1733" s="11" t="s">
        <v>227</v>
      </c>
      <c r="G1733" s="12" t="s">
        <v>227</v>
      </c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  <c r="Z1733" s="5"/>
    </row>
    <row r="1734" ht="14.25" customHeight="1">
      <c r="A1734" s="9" t="s">
        <v>72</v>
      </c>
      <c r="B1734" s="10" t="s">
        <v>709</v>
      </c>
      <c r="C1734" s="10" t="s">
        <v>456</v>
      </c>
      <c r="D1734" s="10" t="s">
        <v>457</v>
      </c>
      <c r="E1734" s="10" t="s">
        <v>716</v>
      </c>
      <c r="F1734" s="11" t="s">
        <v>264</v>
      </c>
      <c r="G1734" s="12" t="s">
        <v>264</v>
      </c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  <c r="Z1734" s="5"/>
    </row>
    <row r="1735" ht="14.25" customHeight="1">
      <c r="A1735" s="9" t="s">
        <v>122</v>
      </c>
      <c r="B1735" s="10" t="s">
        <v>709</v>
      </c>
      <c r="C1735" s="10" t="s">
        <v>749</v>
      </c>
      <c r="D1735" s="10" t="s">
        <v>750</v>
      </c>
      <c r="E1735" s="10" t="s">
        <v>716</v>
      </c>
      <c r="F1735" s="11" t="s">
        <v>215</v>
      </c>
      <c r="G1735" s="12" t="s">
        <v>215</v>
      </c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  <c r="Z1735" s="5"/>
    </row>
    <row r="1736" ht="14.25" customHeight="1">
      <c r="A1736" s="9" t="s">
        <v>7</v>
      </c>
      <c r="B1736" s="10" t="s">
        <v>709</v>
      </c>
      <c r="C1736" s="10" t="s">
        <v>572</v>
      </c>
      <c r="D1736" s="10" t="s">
        <v>573</v>
      </c>
      <c r="E1736" s="10" t="s">
        <v>710</v>
      </c>
      <c r="F1736" s="11" t="s">
        <v>215</v>
      </c>
      <c r="G1736" s="12" t="s">
        <v>227</v>
      </c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  <c r="Z1736" s="5"/>
    </row>
    <row r="1737" ht="14.25" customHeight="1">
      <c r="A1737" s="9" t="s">
        <v>388</v>
      </c>
      <c r="B1737" s="10" t="s">
        <v>709</v>
      </c>
      <c r="C1737" s="10" t="s">
        <v>677</v>
      </c>
      <c r="D1737" s="10" t="s">
        <v>678</v>
      </c>
      <c r="E1737" s="10" t="s">
        <v>710</v>
      </c>
      <c r="F1737" s="11" t="s">
        <v>227</v>
      </c>
      <c r="G1737" s="12" t="s">
        <v>227</v>
      </c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  <c r="Z1737" s="5"/>
    </row>
    <row r="1738" ht="14.25" customHeight="1">
      <c r="A1738" s="9" t="s">
        <v>102</v>
      </c>
      <c r="B1738" s="10" t="s">
        <v>709</v>
      </c>
      <c r="C1738" s="10" t="s">
        <v>773</v>
      </c>
      <c r="D1738" s="10" t="s">
        <v>774</v>
      </c>
      <c r="E1738" s="10" t="s">
        <v>710</v>
      </c>
      <c r="F1738" s="11" t="s">
        <v>215</v>
      </c>
      <c r="G1738" s="12" t="s">
        <v>215</v>
      </c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  <c r="Z1738" s="5"/>
    </row>
    <row r="1739" ht="14.25" customHeight="1">
      <c r="A1739" s="9" t="s">
        <v>72</v>
      </c>
      <c r="B1739" s="10" t="s">
        <v>709</v>
      </c>
      <c r="C1739" s="10" t="s">
        <v>759</v>
      </c>
      <c r="D1739" s="10" t="s">
        <v>760</v>
      </c>
      <c r="E1739" s="10" t="s">
        <v>713</v>
      </c>
      <c r="F1739" s="11" t="s">
        <v>12</v>
      </c>
      <c r="G1739" s="12" t="s">
        <v>12</v>
      </c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  <c r="Z1739" s="5"/>
    </row>
    <row r="1740" ht="14.25" customHeight="1">
      <c r="A1740" s="9" t="s">
        <v>33</v>
      </c>
      <c r="B1740" s="10" t="s">
        <v>709</v>
      </c>
      <c r="C1740" s="10" t="s">
        <v>775</v>
      </c>
      <c r="D1740" s="10" t="s">
        <v>776</v>
      </c>
      <c r="E1740" s="10" t="s">
        <v>713</v>
      </c>
      <c r="F1740" s="11" t="s">
        <v>227</v>
      </c>
      <c r="G1740" s="12" t="s">
        <v>227</v>
      </c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  <c r="Z1740" s="5"/>
    </row>
    <row r="1741" ht="14.25" customHeight="1">
      <c r="A1741" s="9" t="s">
        <v>72</v>
      </c>
      <c r="B1741" s="10" t="s">
        <v>709</v>
      </c>
      <c r="C1741" s="10" t="s">
        <v>460</v>
      </c>
      <c r="D1741" s="10" t="s">
        <v>461</v>
      </c>
      <c r="E1741" s="10" t="s">
        <v>710</v>
      </c>
      <c r="F1741" s="11" t="s">
        <v>215</v>
      </c>
      <c r="G1741" s="12" t="s">
        <v>215</v>
      </c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  <c r="Z1741" s="5"/>
    </row>
    <row r="1742" ht="14.25" customHeight="1">
      <c r="A1742" s="9" t="s">
        <v>158</v>
      </c>
      <c r="B1742" s="10" t="s">
        <v>709</v>
      </c>
      <c r="C1742" s="10" t="s">
        <v>739</v>
      </c>
      <c r="D1742" s="10" t="s">
        <v>740</v>
      </c>
      <c r="E1742" s="10" t="s">
        <v>713</v>
      </c>
      <c r="F1742" s="11" t="s">
        <v>224</v>
      </c>
      <c r="G1742" s="12" t="s">
        <v>264</v>
      </c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  <c r="Z1742" s="5"/>
    </row>
    <row r="1743" ht="14.25" customHeight="1">
      <c r="A1743" s="9" t="s">
        <v>169</v>
      </c>
      <c r="B1743" s="10" t="s">
        <v>709</v>
      </c>
      <c r="C1743" s="10" t="s">
        <v>755</v>
      </c>
      <c r="D1743" s="10" t="s">
        <v>756</v>
      </c>
      <c r="E1743" s="10" t="s">
        <v>710</v>
      </c>
      <c r="F1743" s="11" t="s">
        <v>28</v>
      </c>
      <c r="G1743" s="12" t="s">
        <v>28</v>
      </c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  <c r="Z1743" s="5"/>
    </row>
    <row r="1744" ht="14.25" customHeight="1">
      <c r="A1744" s="9" t="s">
        <v>158</v>
      </c>
      <c r="B1744" s="10" t="s">
        <v>709</v>
      </c>
      <c r="C1744" s="10" t="s">
        <v>739</v>
      </c>
      <c r="D1744" s="10" t="s">
        <v>740</v>
      </c>
      <c r="E1744" s="10" t="s">
        <v>716</v>
      </c>
      <c r="F1744" s="11" t="s">
        <v>224</v>
      </c>
      <c r="G1744" s="12" t="s">
        <v>264</v>
      </c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  <c r="Z1744" s="5"/>
    </row>
    <row r="1745" ht="14.25" customHeight="1">
      <c r="A1745" s="9" t="s">
        <v>102</v>
      </c>
      <c r="B1745" s="10" t="s">
        <v>709</v>
      </c>
      <c r="C1745" s="10" t="s">
        <v>773</v>
      </c>
      <c r="D1745" s="10" t="s">
        <v>774</v>
      </c>
      <c r="E1745" s="10" t="s">
        <v>713</v>
      </c>
      <c r="F1745" s="11" t="s">
        <v>215</v>
      </c>
      <c r="G1745" s="12" t="s">
        <v>215</v>
      </c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  <c r="Z1745" s="5"/>
    </row>
    <row r="1746" ht="14.25" customHeight="1">
      <c r="A1746" s="9" t="s">
        <v>17</v>
      </c>
      <c r="B1746" s="10" t="s">
        <v>709</v>
      </c>
      <c r="C1746" s="10" t="s">
        <v>743</v>
      </c>
      <c r="D1746" s="10" t="s">
        <v>744</v>
      </c>
      <c r="E1746" s="10" t="s">
        <v>713</v>
      </c>
      <c r="F1746" s="11" t="s">
        <v>227</v>
      </c>
      <c r="G1746" s="12" t="s">
        <v>227</v>
      </c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  <c r="Z1746" s="5"/>
    </row>
    <row r="1747" ht="14.25" customHeight="1">
      <c r="A1747" s="9" t="s">
        <v>110</v>
      </c>
      <c r="B1747" s="10" t="s">
        <v>709</v>
      </c>
      <c r="C1747" s="10" t="s">
        <v>138</v>
      </c>
      <c r="D1747" s="10" t="s">
        <v>139</v>
      </c>
      <c r="E1747" s="10" t="s">
        <v>710</v>
      </c>
      <c r="F1747" s="11" t="s">
        <v>28</v>
      </c>
      <c r="G1747" s="12" t="s">
        <v>28</v>
      </c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  <c r="Z1747" s="5"/>
    </row>
    <row r="1748" ht="14.25" customHeight="1">
      <c r="A1748" s="9" t="s">
        <v>33</v>
      </c>
      <c r="B1748" s="10" t="s">
        <v>709</v>
      </c>
      <c r="C1748" s="10" t="s">
        <v>775</v>
      </c>
      <c r="D1748" s="10" t="s">
        <v>776</v>
      </c>
      <c r="E1748" s="10" t="s">
        <v>716</v>
      </c>
      <c r="F1748" s="11" t="s">
        <v>227</v>
      </c>
      <c r="G1748" s="12" t="s">
        <v>227</v>
      </c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  <c r="Z1748" s="5"/>
    </row>
    <row r="1749" ht="14.25" customHeight="1">
      <c r="A1749" s="9" t="s">
        <v>105</v>
      </c>
      <c r="B1749" s="10" t="s">
        <v>709</v>
      </c>
      <c r="C1749" s="10" t="s">
        <v>296</v>
      </c>
      <c r="D1749" s="10" t="s">
        <v>297</v>
      </c>
      <c r="E1749" s="10" t="s">
        <v>710</v>
      </c>
      <c r="F1749" s="11" t="s">
        <v>215</v>
      </c>
      <c r="G1749" s="12" t="s">
        <v>215</v>
      </c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  <c r="Z1749" s="5"/>
    </row>
    <row r="1750" ht="14.25" customHeight="1">
      <c r="A1750" s="9" t="s">
        <v>33</v>
      </c>
      <c r="B1750" s="10" t="s">
        <v>709</v>
      </c>
      <c r="C1750" s="10" t="s">
        <v>775</v>
      </c>
      <c r="D1750" s="10" t="s">
        <v>776</v>
      </c>
      <c r="E1750" s="10" t="s">
        <v>710</v>
      </c>
      <c r="F1750" s="11" t="s">
        <v>227</v>
      </c>
      <c r="G1750" s="12" t="s">
        <v>227</v>
      </c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  <c r="Z1750" s="5"/>
    </row>
    <row r="1751" ht="14.25" customHeight="1">
      <c r="A1751" s="9" t="s">
        <v>24</v>
      </c>
      <c r="B1751" s="10" t="s">
        <v>709</v>
      </c>
      <c r="C1751" s="10" t="s">
        <v>600</v>
      </c>
      <c r="D1751" s="10" t="s">
        <v>601</v>
      </c>
      <c r="E1751" s="10" t="s">
        <v>710</v>
      </c>
      <c r="F1751" s="11" t="s">
        <v>215</v>
      </c>
      <c r="G1751" s="12" t="s">
        <v>215</v>
      </c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  <c r="Z1751" s="5"/>
    </row>
    <row r="1752" ht="14.25" customHeight="1">
      <c r="A1752" s="9" t="s">
        <v>79</v>
      </c>
      <c r="B1752" s="10" t="s">
        <v>709</v>
      </c>
      <c r="C1752" s="10" t="s">
        <v>711</v>
      </c>
      <c r="D1752" s="10" t="s">
        <v>712</v>
      </c>
      <c r="E1752" s="10" t="s">
        <v>710</v>
      </c>
      <c r="F1752" s="11" t="s">
        <v>227</v>
      </c>
      <c r="G1752" s="12" t="s">
        <v>227</v>
      </c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  <c r="Z1752" s="5"/>
    </row>
    <row r="1753" ht="14.25" customHeight="1">
      <c r="A1753" s="9" t="s">
        <v>14</v>
      </c>
      <c r="B1753" s="10" t="s">
        <v>709</v>
      </c>
      <c r="C1753" s="10" t="s">
        <v>777</v>
      </c>
      <c r="D1753" s="10" t="s">
        <v>778</v>
      </c>
      <c r="E1753" s="10" t="s">
        <v>710</v>
      </c>
      <c r="F1753" s="11" t="s">
        <v>256</v>
      </c>
      <c r="G1753" s="12" t="s">
        <v>256</v>
      </c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  <c r="Z1753" s="5"/>
    </row>
    <row r="1754" ht="14.25" customHeight="1">
      <c r="A1754" s="9" t="s">
        <v>117</v>
      </c>
      <c r="B1754" s="10" t="s">
        <v>709</v>
      </c>
      <c r="C1754" s="10" t="s">
        <v>745</v>
      </c>
      <c r="D1754" s="10" t="s">
        <v>746</v>
      </c>
      <c r="E1754" s="10" t="s">
        <v>713</v>
      </c>
      <c r="F1754" s="11" t="s">
        <v>215</v>
      </c>
      <c r="G1754" s="12" t="s">
        <v>215</v>
      </c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  <c r="Z1754" s="5"/>
    </row>
    <row r="1755" ht="14.25" customHeight="1">
      <c r="A1755" s="9" t="s">
        <v>135</v>
      </c>
      <c r="B1755" s="10" t="s">
        <v>709</v>
      </c>
      <c r="C1755" s="10" t="s">
        <v>610</v>
      </c>
      <c r="D1755" s="10" t="s">
        <v>611</v>
      </c>
      <c r="E1755" s="10" t="s">
        <v>710</v>
      </c>
      <c r="F1755" s="11" t="s">
        <v>215</v>
      </c>
      <c r="G1755" s="12" t="s">
        <v>227</v>
      </c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  <c r="Z1755" s="5"/>
    </row>
    <row r="1756" ht="14.25" customHeight="1">
      <c r="A1756" s="9" t="s">
        <v>117</v>
      </c>
      <c r="B1756" s="10" t="s">
        <v>709</v>
      </c>
      <c r="C1756" s="10" t="s">
        <v>745</v>
      </c>
      <c r="D1756" s="10" t="s">
        <v>746</v>
      </c>
      <c r="E1756" s="10" t="s">
        <v>710</v>
      </c>
      <c r="F1756" s="11" t="s">
        <v>215</v>
      </c>
      <c r="G1756" s="12" t="s">
        <v>215</v>
      </c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  <c r="Z1756" s="5"/>
    </row>
    <row r="1757" ht="14.25" customHeight="1">
      <c r="A1757" s="9" t="s">
        <v>14</v>
      </c>
      <c r="B1757" s="10" t="s">
        <v>709</v>
      </c>
      <c r="C1757" s="10" t="s">
        <v>777</v>
      </c>
      <c r="D1757" s="10" t="s">
        <v>778</v>
      </c>
      <c r="E1757" s="10" t="s">
        <v>713</v>
      </c>
      <c r="F1757" s="11" t="s">
        <v>256</v>
      </c>
      <c r="G1757" s="12" t="s">
        <v>256</v>
      </c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  <c r="Z1757" s="5"/>
    </row>
    <row r="1758" ht="14.25" customHeight="1">
      <c r="A1758" s="9" t="s">
        <v>21</v>
      </c>
      <c r="B1758" s="10" t="s">
        <v>709</v>
      </c>
      <c r="C1758" s="10" t="s">
        <v>763</v>
      </c>
      <c r="D1758" s="10" t="s">
        <v>764</v>
      </c>
      <c r="E1758" s="10" t="s">
        <v>716</v>
      </c>
      <c r="F1758" s="11" t="s">
        <v>28</v>
      </c>
      <c r="G1758" s="12" t="s">
        <v>28</v>
      </c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  <c r="Z1758" s="5"/>
    </row>
    <row r="1759" ht="14.25" customHeight="1">
      <c r="A1759" s="9" t="s">
        <v>14</v>
      </c>
      <c r="B1759" s="10" t="s">
        <v>709</v>
      </c>
      <c r="C1759" s="10" t="s">
        <v>777</v>
      </c>
      <c r="D1759" s="10" t="s">
        <v>778</v>
      </c>
      <c r="E1759" s="10" t="s">
        <v>716</v>
      </c>
      <c r="F1759" s="11" t="s">
        <v>215</v>
      </c>
      <c r="G1759" s="12" t="s">
        <v>215</v>
      </c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  <c r="Z1759" s="5"/>
    </row>
    <row r="1760" ht="14.25" customHeight="1">
      <c r="A1760" s="9" t="s">
        <v>72</v>
      </c>
      <c r="B1760" s="10" t="s">
        <v>709</v>
      </c>
      <c r="C1760" s="10" t="s">
        <v>759</v>
      </c>
      <c r="D1760" s="10" t="s">
        <v>760</v>
      </c>
      <c r="E1760" s="10" t="s">
        <v>716</v>
      </c>
      <c r="F1760" s="11" t="s">
        <v>224</v>
      </c>
      <c r="G1760" s="12" t="s">
        <v>12</v>
      </c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  <c r="Z1760" s="5"/>
    </row>
    <row r="1761" ht="14.25" customHeight="1">
      <c r="A1761" s="9" t="s">
        <v>110</v>
      </c>
      <c r="B1761" s="10" t="s">
        <v>709</v>
      </c>
      <c r="C1761" s="10" t="s">
        <v>111</v>
      </c>
      <c r="D1761" s="10" t="s">
        <v>112</v>
      </c>
      <c r="E1761" s="10" t="s">
        <v>710</v>
      </c>
      <c r="F1761" s="11" t="s">
        <v>12</v>
      </c>
      <c r="G1761" s="12" t="s">
        <v>12</v>
      </c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  <c r="Z1761" s="5"/>
    </row>
    <row r="1762" ht="14.25" customHeight="1">
      <c r="A1762" s="9" t="s">
        <v>49</v>
      </c>
      <c r="B1762" s="10" t="s">
        <v>709</v>
      </c>
      <c r="C1762" s="10" t="s">
        <v>779</v>
      </c>
      <c r="D1762" s="10" t="s">
        <v>780</v>
      </c>
      <c r="E1762" s="10" t="s">
        <v>713</v>
      </c>
      <c r="F1762" s="11" t="s">
        <v>227</v>
      </c>
      <c r="G1762" s="12" t="s">
        <v>227</v>
      </c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  <c r="Z1762" s="5"/>
    </row>
    <row r="1763" ht="14.25" customHeight="1">
      <c r="A1763" s="9" t="s">
        <v>49</v>
      </c>
      <c r="B1763" s="10" t="s">
        <v>709</v>
      </c>
      <c r="C1763" s="10" t="s">
        <v>779</v>
      </c>
      <c r="D1763" s="10" t="s">
        <v>780</v>
      </c>
      <c r="E1763" s="10" t="s">
        <v>716</v>
      </c>
      <c r="F1763" s="11" t="s">
        <v>227</v>
      </c>
      <c r="G1763" s="12" t="s">
        <v>227</v>
      </c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  <c r="Z1763" s="5"/>
    </row>
    <row r="1764" ht="14.25" customHeight="1">
      <c r="A1764" s="9" t="s">
        <v>49</v>
      </c>
      <c r="B1764" s="10" t="s">
        <v>709</v>
      </c>
      <c r="C1764" s="10" t="s">
        <v>779</v>
      </c>
      <c r="D1764" s="10" t="s">
        <v>780</v>
      </c>
      <c r="E1764" s="10" t="s">
        <v>710</v>
      </c>
      <c r="F1764" s="11" t="s">
        <v>227</v>
      </c>
      <c r="G1764" s="12" t="s">
        <v>227</v>
      </c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  <c r="Z1764" s="5"/>
    </row>
    <row r="1765" ht="14.25" customHeight="1">
      <c r="A1765" s="9" t="s">
        <v>435</v>
      </c>
      <c r="B1765" s="10" t="s">
        <v>709</v>
      </c>
      <c r="C1765" s="10" t="s">
        <v>671</v>
      </c>
      <c r="D1765" s="10" t="s">
        <v>672</v>
      </c>
      <c r="E1765" s="10" t="s">
        <v>710</v>
      </c>
      <c r="F1765" s="11" t="s">
        <v>227</v>
      </c>
      <c r="G1765" s="12" t="s">
        <v>227</v>
      </c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  <c r="Z1765" s="5"/>
    </row>
    <row r="1766" ht="14.25" customHeight="1">
      <c r="A1766" s="9" t="s">
        <v>129</v>
      </c>
      <c r="B1766" s="10" t="s">
        <v>709</v>
      </c>
      <c r="C1766" s="10" t="s">
        <v>178</v>
      </c>
      <c r="D1766" s="10" t="s">
        <v>179</v>
      </c>
      <c r="E1766" s="10" t="s">
        <v>710</v>
      </c>
      <c r="F1766" s="11" t="s">
        <v>28</v>
      </c>
      <c r="G1766" s="12" t="s">
        <v>28</v>
      </c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  <c r="Z1766" s="5"/>
    </row>
    <row r="1767" ht="14.25" customHeight="1">
      <c r="A1767" s="9" t="s">
        <v>36</v>
      </c>
      <c r="B1767" s="10" t="s">
        <v>709</v>
      </c>
      <c r="C1767" s="10" t="s">
        <v>382</v>
      </c>
      <c r="D1767" s="10" t="s">
        <v>383</v>
      </c>
      <c r="E1767" s="10" t="s">
        <v>710</v>
      </c>
      <c r="F1767" s="11" t="s">
        <v>224</v>
      </c>
      <c r="G1767" s="12" t="s">
        <v>224</v>
      </c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  <c r="Z1767" s="5"/>
    </row>
    <row r="1768" ht="14.25" customHeight="1">
      <c r="A1768" s="9" t="s">
        <v>117</v>
      </c>
      <c r="B1768" s="10" t="s">
        <v>709</v>
      </c>
      <c r="C1768" s="10" t="s">
        <v>200</v>
      </c>
      <c r="D1768" s="10" t="s">
        <v>201</v>
      </c>
      <c r="E1768" s="10" t="s">
        <v>710</v>
      </c>
      <c r="F1768" s="11" t="s">
        <v>12</v>
      </c>
      <c r="G1768" s="12" t="s">
        <v>12</v>
      </c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  <c r="Z1768" s="5"/>
    </row>
    <row r="1769" ht="14.25" customHeight="1">
      <c r="A1769" s="9" t="s">
        <v>129</v>
      </c>
      <c r="B1769" s="10" t="s">
        <v>709</v>
      </c>
      <c r="C1769" s="10" t="s">
        <v>751</v>
      </c>
      <c r="D1769" s="10" t="s">
        <v>752</v>
      </c>
      <c r="E1769" s="10" t="s">
        <v>713</v>
      </c>
      <c r="F1769" s="11" t="s">
        <v>224</v>
      </c>
      <c r="G1769" s="12" t="s">
        <v>215</v>
      </c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  <c r="Z1769" s="5"/>
    </row>
    <row r="1770" ht="14.25" customHeight="1">
      <c r="A1770" s="9" t="s">
        <v>135</v>
      </c>
      <c r="B1770" s="10" t="s">
        <v>709</v>
      </c>
      <c r="C1770" s="10" t="s">
        <v>136</v>
      </c>
      <c r="D1770" s="10" t="s">
        <v>137</v>
      </c>
      <c r="E1770" s="10" t="s">
        <v>710</v>
      </c>
      <c r="F1770" s="11" t="s">
        <v>13</v>
      </c>
      <c r="G1770" s="12" t="s">
        <v>13</v>
      </c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  <c r="Z1770" s="5"/>
    </row>
    <row r="1771" ht="14.25" customHeight="1">
      <c r="A1771" s="9" t="s">
        <v>129</v>
      </c>
      <c r="B1771" s="10" t="s">
        <v>709</v>
      </c>
      <c r="C1771" s="10" t="s">
        <v>751</v>
      </c>
      <c r="D1771" s="10" t="s">
        <v>752</v>
      </c>
      <c r="E1771" s="10" t="s">
        <v>710</v>
      </c>
      <c r="F1771" s="11" t="s">
        <v>224</v>
      </c>
      <c r="G1771" s="12" t="s">
        <v>215</v>
      </c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  <c r="Z1771" s="5"/>
    </row>
    <row r="1772" ht="14.25" customHeight="1">
      <c r="A1772" s="9" t="s">
        <v>72</v>
      </c>
      <c r="B1772" s="10" t="s">
        <v>709</v>
      </c>
      <c r="C1772" s="10" t="s">
        <v>488</v>
      </c>
      <c r="D1772" s="10" t="s">
        <v>489</v>
      </c>
      <c r="E1772" s="10" t="s">
        <v>710</v>
      </c>
      <c r="F1772" s="11" t="s">
        <v>215</v>
      </c>
      <c r="G1772" s="12" t="s">
        <v>227</v>
      </c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  <c r="Z1772" s="5"/>
    </row>
    <row r="1773" ht="14.25" customHeight="1">
      <c r="A1773" s="9" t="s">
        <v>7</v>
      </c>
      <c r="B1773" s="10" t="s">
        <v>709</v>
      </c>
      <c r="C1773" s="10" t="s">
        <v>480</v>
      </c>
      <c r="D1773" s="10" t="s">
        <v>481</v>
      </c>
      <c r="E1773" s="10" t="s">
        <v>710</v>
      </c>
      <c r="F1773" s="11" t="s">
        <v>224</v>
      </c>
      <c r="G1773" s="12" t="s">
        <v>224</v>
      </c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  <c r="Z1773" s="5"/>
    </row>
    <row r="1774" ht="14.25" customHeight="1">
      <c r="A1774" s="9" t="s">
        <v>110</v>
      </c>
      <c r="B1774" s="10" t="s">
        <v>709</v>
      </c>
      <c r="C1774" s="10" t="s">
        <v>341</v>
      </c>
      <c r="D1774" s="10" t="s">
        <v>342</v>
      </c>
      <c r="E1774" s="10" t="s">
        <v>710</v>
      </c>
      <c r="F1774" s="11" t="s">
        <v>224</v>
      </c>
      <c r="G1774" s="12" t="s">
        <v>224</v>
      </c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  <c r="Z1774" s="5"/>
    </row>
    <row r="1775" ht="14.25" customHeight="1">
      <c r="A1775" s="9" t="s">
        <v>7</v>
      </c>
      <c r="B1775" s="10" t="s">
        <v>709</v>
      </c>
      <c r="C1775" s="10" t="s">
        <v>733</v>
      </c>
      <c r="D1775" s="10" t="s">
        <v>734</v>
      </c>
      <c r="E1775" s="10" t="s">
        <v>710</v>
      </c>
      <c r="F1775" s="11" t="s">
        <v>28</v>
      </c>
      <c r="G1775" s="12" t="s">
        <v>28</v>
      </c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  <c r="Z1775" s="5"/>
    </row>
    <row r="1776" ht="14.25" customHeight="1">
      <c r="A1776" s="9" t="s">
        <v>42</v>
      </c>
      <c r="B1776" s="10" t="s">
        <v>709</v>
      </c>
      <c r="C1776" s="10" t="s">
        <v>781</v>
      </c>
      <c r="D1776" s="10" t="s">
        <v>782</v>
      </c>
      <c r="E1776" s="10" t="s">
        <v>710</v>
      </c>
      <c r="F1776" s="11" t="s">
        <v>256</v>
      </c>
      <c r="G1776" s="12" t="s">
        <v>227</v>
      </c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  <c r="Z1776" s="5"/>
    </row>
    <row r="1777" ht="14.25" customHeight="1">
      <c r="A1777" s="9" t="s">
        <v>42</v>
      </c>
      <c r="B1777" s="10" t="s">
        <v>709</v>
      </c>
      <c r="C1777" s="10" t="s">
        <v>781</v>
      </c>
      <c r="D1777" s="10" t="s">
        <v>782</v>
      </c>
      <c r="E1777" s="10" t="s">
        <v>716</v>
      </c>
      <c r="F1777" s="11" t="s">
        <v>256</v>
      </c>
      <c r="G1777" s="12" t="s">
        <v>227</v>
      </c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  <c r="Z1777" s="5"/>
    </row>
    <row r="1778" ht="14.25" customHeight="1">
      <c r="A1778" s="9" t="s">
        <v>72</v>
      </c>
      <c r="B1778" s="10" t="s">
        <v>709</v>
      </c>
      <c r="C1778" s="10" t="s">
        <v>150</v>
      </c>
      <c r="D1778" s="10" t="s">
        <v>151</v>
      </c>
      <c r="E1778" s="10" t="s">
        <v>710</v>
      </c>
      <c r="F1778" s="11" t="s">
        <v>28</v>
      </c>
      <c r="G1778" s="12" t="s">
        <v>28</v>
      </c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  <c r="Z1778" s="5"/>
    </row>
    <row r="1779" ht="14.25" customHeight="1">
      <c r="A1779" s="9" t="s">
        <v>29</v>
      </c>
      <c r="B1779" s="10" t="s">
        <v>709</v>
      </c>
      <c r="C1779" s="10" t="s">
        <v>769</v>
      </c>
      <c r="D1779" s="10" t="s">
        <v>770</v>
      </c>
      <c r="E1779" s="10" t="s">
        <v>716</v>
      </c>
      <c r="F1779" s="11" t="s">
        <v>227</v>
      </c>
      <c r="G1779" s="12" t="s">
        <v>227</v>
      </c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  <c r="Z1779" s="5"/>
    </row>
    <row r="1780" ht="14.25" customHeight="1">
      <c r="A1780" s="9" t="s">
        <v>21</v>
      </c>
      <c r="B1780" s="10" t="s">
        <v>709</v>
      </c>
      <c r="C1780" s="10" t="s">
        <v>260</v>
      </c>
      <c r="D1780" s="10" t="s">
        <v>261</v>
      </c>
      <c r="E1780" s="10" t="s">
        <v>710</v>
      </c>
      <c r="F1780" s="11" t="s">
        <v>215</v>
      </c>
      <c r="G1780" s="12" t="s">
        <v>13</v>
      </c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  <c r="Z1780" s="5"/>
    </row>
    <row r="1781" ht="14.25" customHeight="1">
      <c r="A1781" s="9" t="s">
        <v>62</v>
      </c>
      <c r="B1781" s="10" t="s">
        <v>709</v>
      </c>
      <c r="C1781" s="10" t="s">
        <v>753</v>
      </c>
      <c r="D1781" s="10" t="s">
        <v>754</v>
      </c>
      <c r="E1781" s="10" t="s">
        <v>713</v>
      </c>
      <c r="F1781" s="11" t="s">
        <v>264</v>
      </c>
      <c r="G1781" s="12" t="s">
        <v>264</v>
      </c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  <c r="Z1781" s="5"/>
    </row>
    <row r="1782" ht="14.25" customHeight="1">
      <c r="A1782" s="9" t="s">
        <v>110</v>
      </c>
      <c r="B1782" s="10" t="s">
        <v>709</v>
      </c>
      <c r="C1782" s="10" t="s">
        <v>725</v>
      </c>
      <c r="D1782" s="10" t="s">
        <v>726</v>
      </c>
      <c r="E1782" s="10" t="s">
        <v>713</v>
      </c>
      <c r="F1782" s="11" t="s">
        <v>227</v>
      </c>
      <c r="G1782" s="12" t="s">
        <v>227</v>
      </c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  <c r="Z1782" s="5"/>
    </row>
    <row r="1783" ht="14.25" customHeight="1">
      <c r="A1783" s="9" t="s">
        <v>24</v>
      </c>
      <c r="B1783" s="10" t="s">
        <v>709</v>
      </c>
      <c r="C1783" s="10" t="s">
        <v>600</v>
      </c>
      <c r="D1783" s="10" t="s">
        <v>601</v>
      </c>
      <c r="E1783" s="10" t="s">
        <v>716</v>
      </c>
      <c r="F1783" s="11" t="s">
        <v>12</v>
      </c>
      <c r="G1783" s="12" t="s">
        <v>12</v>
      </c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  <c r="Z1783" s="5"/>
    </row>
    <row r="1784" ht="14.25" customHeight="1">
      <c r="A1784" s="9" t="s">
        <v>42</v>
      </c>
      <c r="B1784" s="10" t="s">
        <v>709</v>
      </c>
      <c r="C1784" s="10" t="s">
        <v>781</v>
      </c>
      <c r="D1784" s="10" t="s">
        <v>782</v>
      </c>
      <c r="E1784" s="10" t="s">
        <v>713</v>
      </c>
      <c r="F1784" s="11" t="s">
        <v>256</v>
      </c>
      <c r="G1784" s="12" t="s">
        <v>227</v>
      </c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  <c r="Z1784" s="5"/>
    </row>
    <row r="1785" ht="14.25" customHeight="1">
      <c r="A1785" s="9" t="s">
        <v>72</v>
      </c>
      <c r="B1785" s="10" t="s">
        <v>709</v>
      </c>
      <c r="C1785" s="10" t="s">
        <v>456</v>
      </c>
      <c r="D1785" s="10" t="s">
        <v>457</v>
      </c>
      <c r="E1785" s="10" t="s">
        <v>710</v>
      </c>
      <c r="F1785" s="11" t="s">
        <v>264</v>
      </c>
      <c r="G1785" s="12" t="s">
        <v>264</v>
      </c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  <c r="Z1785" s="5"/>
    </row>
    <row r="1786" ht="14.25" customHeight="1">
      <c r="A1786" s="9" t="s">
        <v>49</v>
      </c>
      <c r="B1786" s="10" t="s">
        <v>709</v>
      </c>
      <c r="C1786" s="10" t="s">
        <v>198</v>
      </c>
      <c r="D1786" s="10" t="s">
        <v>199</v>
      </c>
      <c r="E1786" s="10" t="s">
        <v>710</v>
      </c>
      <c r="F1786" s="11" t="s">
        <v>28</v>
      </c>
      <c r="G1786" s="12" t="s">
        <v>28</v>
      </c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  <c r="Z1786" s="5"/>
    </row>
  </sheetData>
  <autoFilter ref="$A$1:$G$1761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0"/>
    <col customWidth="1" min="2" max="2" width="18.29"/>
    <col customWidth="1" min="3" max="3" width="11.43"/>
    <col customWidth="1" min="4" max="4" width="46.29"/>
    <col customWidth="1" min="5" max="5" width="48.71"/>
    <col customWidth="1" min="6" max="6" width="12.0"/>
    <col customWidth="1" min="7" max="7" width="20.29"/>
    <col customWidth="1" min="8" max="8" width="21.71"/>
    <col customWidth="1" min="9" max="9" width="11.29"/>
    <col customWidth="1" min="10" max="10" width="13.14"/>
    <col customWidth="1" min="11" max="11" width="12.86"/>
    <col customWidth="1" min="12" max="12" width="11.71"/>
    <col customWidth="1" min="13" max="26" width="11.43"/>
  </cols>
  <sheetData>
    <row r="1" ht="14.2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783</v>
      </c>
      <c r="G1" s="13" t="s">
        <v>5</v>
      </c>
      <c r="H1" s="13" t="s">
        <v>6</v>
      </c>
      <c r="I1" s="13" t="s">
        <v>784</v>
      </c>
      <c r="J1" s="13" t="s">
        <v>785</v>
      </c>
      <c r="K1" s="13" t="s">
        <v>786</v>
      </c>
      <c r="L1" s="7" t="s">
        <v>787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4.25" customHeight="1">
      <c r="A2" s="14" t="str">
        <f>Base_report!A2</f>
        <v>TCHOLOGO</v>
      </c>
      <c r="B2" s="14" t="str">
        <f>Base_report!B2</f>
        <v>DECEMBRE 2023</v>
      </c>
      <c r="C2" s="15" t="str">
        <f>Base_report!C2</f>
        <v>C3004</v>
      </c>
      <c r="D2" s="14" t="str">
        <f>TRIM(IF(ISNUMBER(FIND("PNSME",Base_report!D2,1)),SUBSTITUTE(Base_report!D2,"PNSME",""),IF(ISNUMBER(FIND("PHG",Base_report!D2,1)),SUBSTITUTE(Base_report!D2,"PHG",""),IF(ISNUMBER(FIND("PCS",Base_report!D2,1)),SUBSTITUTE(Base_report!D2,"PCS",""),IF(ISNUMBER(FIND("CMU",Base_report!D2,1)),SUBSTITUTE(Base_report!D2,"CMU",""),Base_report!D2)))))</f>
        <v>DISTRICT SANITAIRE FERKESSEDOUGOU</v>
      </c>
      <c r="E2" s="14" t="str">
        <f>SUBSTITUTE(Base_report!E2,"-","/")</f>
        <v>PNN/MEDICAMENTS ET INTRANTS</v>
      </c>
      <c r="F2" s="14" t="s">
        <v>788</v>
      </c>
      <c r="G2" s="16">
        <f>DATE(YEAR(SUBSTITUTE(LEFT(Base_report!F2,10),"-","/")),MONTH(SUBSTITUTE(LEFT(Base_report!F2,10),"-","/")),DAY(SUBSTITUTE(LEFT(Base_report!F2,10),"-","/")))</f>
        <v>45300</v>
      </c>
      <c r="H2" s="16">
        <f>DATE(YEAR(SUBSTITUTE(LEFT(Base_report!G2,10),"-","/")),MONTH(SUBSTITUTE(LEFT(Base_report!G2,10),"-","/")),DAY(SUBSTITUTE(LEFT(Base_report!G2,10),"-","/")))</f>
        <v>45302</v>
      </c>
      <c r="I2" s="17" t="str">
        <f t="shared" ref="I2:I1800" si="1">IF(F2="","",IF(OR(F2="SUBMITTED",F2="INITIATED"),"NON","OUI"))</f>
        <v>OUI</v>
      </c>
      <c r="J2" s="18">
        <f>IF(L2="DS",DATE(RIGHT(B2,4),VLOOKUP(LEFT(B2,LEN(B2)-5),Feuil1!$E$3:$F$19,2,FALSE)+1,10),DATE(RIGHT(B2,4),VLOOKUP(LEFT(B2,LEN(B2)-5),Feuil1!$E$3:$F$19,2,FALSE)+1,7))</f>
        <v>45301</v>
      </c>
      <c r="K2" s="19">
        <f t="shared" ref="K2:K1800" si="2">IF(I2="","",IF(I2="NON",0,IF(J2&gt;=H2,1,0)))</f>
        <v>0</v>
      </c>
      <c r="L2" s="6" t="str">
        <f t="shared" ref="L2:L1800" si="3">IF(ISNUMBER(FIND("DISTRICT SANITAIRE",D2)),"DS","FS")</f>
        <v>DS</v>
      </c>
    </row>
    <row r="3" ht="14.25" customHeight="1">
      <c r="A3" s="14" t="str">
        <f>Base_report!A3</f>
        <v>BAFING</v>
      </c>
      <c r="B3" s="14" t="str">
        <f>Base_report!B3</f>
        <v>DECEMBRE 2023</v>
      </c>
      <c r="C3" s="15" t="str">
        <f>Base_report!C3</f>
        <v>C5081</v>
      </c>
      <c r="D3" s="14" t="str">
        <f>TRIM(IF(ISNUMBER(FIND("PNSME",Base_report!D3,1)),SUBSTITUTE(Base_report!D3,"PNSME",""),IF(ISNUMBER(FIND("PHG",Base_report!D3,1)),SUBSTITUTE(Base_report!D3,"PHG",""),IF(ISNUMBER(FIND("PCS",Base_report!D3,1)),SUBSTITUTE(Base_report!D3,"PCS",""),IF(ISNUMBER(FIND("CMU",Base_report!D3,1)),SUBSTITUTE(Base_report!D3,"CMU",""),Base_report!D3)))))</f>
        <v>DISTRICT SANITAIRE OUANINOU</v>
      </c>
      <c r="E3" s="14" t="str">
        <f>SUBSTITUTE(Base_report!E3,"-","/")</f>
        <v>PNN/MEDICAMENTS ET INTRANTS</v>
      </c>
      <c r="F3" s="14" t="s">
        <v>788</v>
      </c>
      <c r="G3" s="16">
        <f>DATE(YEAR(SUBSTITUTE(LEFT(Base_report!F3,10),"-","/")),MONTH(SUBSTITUTE(LEFT(Base_report!F3,10),"-","/")),DAY(SUBSTITUTE(LEFT(Base_report!F3,10),"-","/")))</f>
        <v>45300</v>
      </c>
      <c r="H3" s="16">
        <f>DATE(YEAR(SUBSTITUTE(LEFT(Base_report!G3,10),"-","/")),MONTH(SUBSTITUTE(LEFT(Base_report!G3,10),"-","/")),DAY(SUBSTITUTE(LEFT(Base_report!G3,10),"-","/")))</f>
        <v>45300</v>
      </c>
      <c r="I3" s="17" t="str">
        <f t="shared" si="1"/>
        <v>OUI</v>
      </c>
      <c r="J3" s="18">
        <f>IF(L3="DS",DATE(RIGHT(B3,4),VLOOKUP(LEFT(B3,LEN(B3)-5),Feuil1!$E$3:$F$19,2,FALSE)+1,10),DATE(RIGHT(B3,4),VLOOKUP(LEFT(B3,LEN(B3)-5),Feuil1!$E$3:$F$19,2,FALSE)+1,7))</f>
        <v>45301</v>
      </c>
      <c r="K3" s="19">
        <f t="shared" si="2"/>
        <v>1</v>
      </c>
      <c r="L3" s="6" t="str">
        <f t="shared" si="3"/>
        <v>DS</v>
      </c>
    </row>
    <row r="4" ht="14.25" customHeight="1">
      <c r="A4" s="14" t="str">
        <f>Base_report!A4</f>
        <v>BELIER</v>
      </c>
      <c r="B4" s="14" t="str">
        <f>Base_report!B4</f>
        <v>DECEMBRE 2023</v>
      </c>
      <c r="C4" s="15" t="str">
        <f>Base_report!C4</f>
        <v>C2042</v>
      </c>
      <c r="D4" s="14" t="str">
        <f>TRIM(IF(ISNUMBER(FIND("PNSME",Base_report!D4,1)),SUBSTITUTE(Base_report!D4,"PNSME",""),IF(ISNUMBER(FIND("PHG",Base_report!D4,1)),SUBSTITUTE(Base_report!D4,"PHG",""),IF(ISNUMBER(FIND("PCS",Base_report!D4,1)),SUBSTITUTE(Base_report!D4,"PCS",""),IF(ISNUMBER(FIND("CMU",Base_report!D4,1)),SUBSTITUTE(Base_report!D4,"CMU",""),Base_report!D4)))))</f>
        <v>DISTRICT SANITAIRE TIEBISSOU</v>
      </c>
      <c r="E4" s="14" t="str">
        <f>SUBSTITUTE(Base_report!E4,"-","/")</f>
        <v>PNSME/MEDICAMENTS ET INTRANTS</v>
      </c>
      <c r="F4" s="14" t="s">
        <v>788</v>
      </c>
      <c r="G4" s="16">
        <f>DATE(YEAR(SUBSTITUTE(LEFT(Base_report!F4,10),"-","/")),MONTH(SUBSTITUTE(LEFT(Base_report!F4,10),"-","/")),DAY(SUBSTITUTE(LEFT(Base_report!F4,10),"-","/")))</f>
        <v>45300</v>
      </c>
      <c r="H4" s="16">
        <f>DATE(YEAR(SUBSTITUTE(LEFT(Base_report!G4,10),"-","/")),MONTH(SUBSTITUTE(LEFT(Base_report!G4,10),"-","/")),DAY(SUBSTITUTE(LEFT(Base_report!G4,10),"-","/")))</f>
        <v>45300</v>
      </c>
      <c r="I4" s="17" t="str">
        <f t="shared" si="1"/>
        <v>OUI</v>
      </c>
      <c r="J4" s="18">
        <f>IF(L4="DS",DATE(RIGHT(B4,4),VLOOKUP(LEFT(B4,LEN(B4)-5),Feuil1!$E$3:$F$19,2,FALSE)+1,10),DATE(RIGHT(B4,4),VLOOKUP(LEFT(B4,LEN(B4)-5),Feuil1!$E$3:$F$19,2,FALSE)+1,7))</f>
        <v>45301</v>
      </c>
      <c r="K4" s="19">
        <f t="shared" si="2"/>
        <v>1</v>
      </c>
      <c r="L4" s="6" t="str">
        <f t="shared" si="3"/>
        <v>DS</v>
      </c>
    </row>
    <row r="5" ht="14.25" customHeight="1">
      <c r="A5" s="14" t="str">
        <f>Base_report!A5</f>
        <v>PORO</v>
      </c>
      <c r="B5" s="14" t="str">
        <f>Base_report!B5</f>
        <v>DECEMBRE 2023</v>
      </c>
      <c r="C5" s="15" t="str">
        <f>Base_report!C5</f>
        <v>C3058</v>
      </c>
      <c r="D5" s="14" t="str">
        <f>TRIM(IF(ISNUMBER(FIND("PNSME",Base_report!D5,1)),SUBSTITUTE(Base_report!D5,"PNSME",""),IF(ISNUMBER(FIND("PHG",Base_report!D5,1)),SUBSTITUTE(Base_report!D5,"PHG",""),IF(ISNUMBER(FIND("PCS",Base_report!D5,1)),SUBSTITUTE(Base_report!D5,"PCS",""),IF(ISNUMBER(FIND("CMU",Base_report!D5,1)),SUBSTITUTE(Base_report!D5,"CMU",""),Base_report!D5)))))</f>
        <v>DISTRICT SANITAIRE DIKODOUGOU</v>
      </c>
      <c r="E5" s="14" t="str">
        <f>SUBSTITUTE(Base_report!E5,"-","/")</f>
        <v>PNSME/MEDICAMENTS ET INTRANTS</v>
      </c>
      <c r="F5" s="14" t="s">
        <v>788</v>
      </c>
      <c r="G5" s="16">
        <f>DATE(YEAR(SUBSTITUTE(LEFT(Base_report!F5,10),"-","/")),MONTH(SUBSTITUTE(LEFT(Base_report!F5,10),"-","/")),DAY(SUBSTITUTE(LEFT(Base_report!F5,10),"-","/")))</f>
        <v>45300</v>
      </c>
      <c r="H5" s="16">
        <f>DATE(YEAR(SUBSTITUTE(LEFT(Base_report!G5,10),"-","/")),MONTH(SUBSTITUTE(LEFT(Base_report!G5,10),"-","/")),DAY(SUBSTITUTE(LEFT(Base_report!G5,10),"-","/")))</f>
        <v>45302</v>
      </c>
      <c r="I5" s="17" t="str">
        <f t="shared" si="1"/>
        <v>OUI</v>
      </c>
      <c r="J5" s="18">
        <f>IF(L5="DS",DATE(RIGHT(B5,4),VLOOKUP(LEFT(B5,LEN(B5)-5),Feuil1!$E$3:$F$19,2,FALSE)+1,10),DATE(RIGHT(B5,4),VLOOKUP(LEFT(B5,LEN(B5)-5),Feuil1!$E$3:$F$19,2,FALSE)+1,7))</f>
        <v>45301</v>
      </c>
      <c r="K5" s="19">
        <f t="shared" si="2"/>
        <v>0</v>
      </c>
      <c r="L5" s="6" t="str">
        <f t="shared" si="3"/>
        <v>DS</v>
      </c>
    </row>
    <row r="6" ht="14.25" customHeight="1">
      <c r="A6" s="14" t="str">
        <f>Base_report!A6</f>
        <v>ABIDJAN 1</v>
      </c>
      <c r="B6" s="14" t="str">
        <f>Base_report!B6</f>
        <v>DECEMBRE 2023</v>
      </c>
      <c r="C6" s="15" t="str">
        <f>Base_report!C6</f>
        <v>C1398</v>
      </c>
      <c r="D6" s="14" t="str">
        <f>TRIM(IF(ISNUMBER(FIND("PNSME",Base_report!D6,1)),SUBSTITUTE(Base_report!D6,"PNSME",""),IF(ISNUMBER(FIND("PHG",Base_report!D6,1)),SUBSTITUTE(Base_report!D6,"PHG",""),IF(ISNUMBER(FIND("PCS",Base_report!D6,1)),SUBSTITUTE(Base_report!D6,"PCS",""),IF(ISNUMBER(FIND("CMU",Base_report!D6,1)),SUBSTITUTE(Base_report!D6,"CMU",""),Base_report!D6)))))</f>
        <v>DISTRICT SANITAIRE ABOBO EST</v>
      </c>
      <c r="E6" s="14" t="str">
        <f>SUBSTITUTE(Base_report!E6,"-","/")</f>
        <v>PNLS/ANTIRETROVIRAUX ET IO</v>
      </c>
      <c r="F6" s="14" t="s">
        <v>788</v>
      </c>
      <c r="G6" s="16">
        <f>DATE(YEAR(SUBSTITUTE(LEFT(Base_report!F6,10),"-","/")),MONTH(SUBSTITUTE(LEFT(Base_report!F6,10),"-","/")),DAY(SUBSTITUTE(LEFT(Base_report!F6,10),"-","/")))</f>
        <v>45301</v>
      </c>
      <c r="H6" s="16">
        <f>DATE(YEAR(SUBSTITUTE(LEFT(Base_report!G6,10),"-","/")),MONTH(SUBSTITUTE(LEFT(Base_report!G6,10),"-","/")),DAY(SUBSTITUTE(LEFT(Base_report!G6,10),"-","/")))</f>
        <v>45301</v>
      </c>
      <c r="I6" s="17" t="str">
        <f t="shared" si="1"/>
        <v>OUI</v>
      </c>
      <c r="J6" s="18">
        <f>IF(L6="DS",DATE(RIGHT(B6,4),VLOOKUP(LEFT(B6,LEN(B6)-5),Feuil1!$E$3:$F$19,2,FALSE)+1,10),DATE(RIGHT(B6,4),VLOOKUP(LEFT(B6,LEN(B6)-5),Feuil1!$E$3:$F$19,2,FALSE)+1,7))</f>
        <v>45301</v>
      </c>
      <c r="K6" s="19">
        <f t="shared" si="2"/>
        <v>1</v>
      </c>
      <c r="L6" s="6" t="str">
        <f t="shared" si="3"/>
        <v>DS</v>
      </c>
    </row>
    <row r="7" ht="14.25" customHeight="1">
      <c r="A7" s="14" t="str">
        <f>Base_report!A7</f>
        <v>GUEMON</v>
      </c>
      <c r="B7" s="14" t="str">
        <f>Base_report!B7</f>
        <v>DECEMBRE 2023</v>
      </c>
      <c r="C7" s="15" t="str">
        <f>Base_report!C7</f>
        <v>C5007</v>
      </c>
      <c r="D7" s="14" t="str">
        <f>TRIM(IF(ISNUMBER(FIND("PNSME",Base_report!D7,1)),SUBSTITUTE(Base_report!D7,"PNSME",""),IF(ISNUMBER(FIND("PHG",Base_report!D7,1)),SUBSTITUTE(Base_report!D7,"PHG",""),IF(ISNUMBER(FIND("PCS",Base_report!D7,1)),SUBSTITUTE(Base_report!D7,"PCS",""),IF(ISNUMBER(FIND("CMU",Base_report!D7,1)),SUBSTITUTE(Base_report!D7,"CMU",""),Base_report!D7)))))</f>
        <v>DISTRICT SANITAIRE BANGOLO</v>
      </c>
      <c r="E7" s="14" t="str">
        <f>SUBSTITUTE(Base_report!E7,"-","/")</f>
        <v>PNLP/MEDICAMENTS ET INTRANTS</v>
      </c>
      <c r="F7" s="14" t="s">
        <v>788</v>
      </c>
      <c r="G7" s="16">
        <f>DATE(YEAR(SUBSTITUTE(LEFT(Base_report!F7,10),"-","/")),MONTH(SUBSTITUTE(LEFT(Base_report!F7,10),"-","/")),DAY(SUBSTITUTE(LEFT(Base_report!F7,10),"-","/")))</f>
        <v>45301</v>
      </c>
      <c r="H7" s="16">
        <f>DATE(YEAR(SUBSTITUTE(LEFT(Base_report!G7,10),"-","/")),MONTH(SUBSTITUTE(LEFT(Base_report!G7,10),"-","/")),DAY(SUBSTITUTE(LEFT(Base_report!G7,10),"-","/")))</f>
        <v>45301</v>
      </c>
      <c r="I7" s="17" t="str">
        <f t="shared" si="1"/>
        <v>OUI</v>
      </c>
      <c r="J7" s="18">
        <f>IF(L7="DS",DATE(RIGHT(B7,4),VLOOKUP(LEFT(B7,LEN(B7)-5),Feuil1!$E$3:$F$19,2,FALSE)+1,10),DATE(RIGHT(B7,4),VLOOKUP(LEFT(B7,LEN(B7)-5),Feuil1!$E$3:$F$19,2,FALSE)+1,7))</f>
        <v>45301</v>
      </c>
      <c r="K7" s="19">
        <f t="shared" si="2"/>
        <v>1</v>
      </c>
      <c r="L7" s="6" t="str">
        <f t="shared" si="3"/>
        <v>DS</v>
      </c>
    </row>
    <row r="8" ht="14.25" customHeight="1">
      <c r="A8" s="14" t="str">
        <f>Base_report!A8</f>
        <v>HAMBOL</v>
      </c>
      <c r="B8" s="14" t="str">
        <f>Base_report!B8</f>
        <v>DECEMBRE 2023</v>
      </c>
      <c r="C8" s="15" t="str">
        <f>Base_report!C8</f>
        <v>C3045</v>
      </c>
      <c r="D8" s="14" t="str">
        <f>TRIM(IF(ISNUMBER(FIND("PNSME",Base_report!D8,1)),SUBSTITUTE(Base_report!D8,"PNSME",""),IF(ISNUMBER(FIND("PHG",Base_report!D8,1)),SUBSTITUTE(Base_report!D8,"PHG",""),IF(ISNUMBER(FIND("PCS",Base_report!D8,1)),SUBSTITUTE(Base_report!D8,"PCS",""),IF(ISNUMBER(FIND("CMU",Base_report!D8,1)),SUBSTITUTE(Base_report!D8,"CMU",""),Base_report!D8)))))</f>
        <v>DISTRICT SANITAIRE NIAKARA</v>
      </c>
      <c r="E8" s="14" t="str">
        <f>SUBSTITUTE(Base_report!E8,"-","/")</f>
        <v>PNSME/MEDICAMENTS ET INTRANTS</v>
      </c>
      <c r="F8" s="14" t="s">
        <v>788</v>
      </c>
      <c r="G8" s="16">
        <f>DATE(YEAR(SUBSTITUTE(LEFT(Base_report!F8,10),"-","/")),MONTH(SUBSTITUTE(LEFT(Base_report!F8,10),"-","/")),DAY(SUBSTITUTE(LEFT(Base_report!F8,10),"-","/")))</f>
        <v>45300</v>
      </c>
      <c r="H8" s="16">
        <f>DATE(YEAR(SUBSTITUTE(LEFT(Base_report!G8,10),"-","/")),MONTH(SUBSTITUTE(LEFT(Base_report!G8,10),"-","/")),DAY(SUBSTITUTE(LEFT(Base_report!G8,10),"-","/")))</f>
        <v>45301</v>
      </c>
      <c r="I8" s="17" t="str">
        <f t="shared" si="1"/>
        <v>OUI</v>
      </c>
      <c r="J8" s="18">
        <f>IF(L8="DS",DATE(RIGHT(B8,4),VLOOKUP(LEFT(B8,LEN(B8)-5),Feuil1!$E$3:$F$19,2,FALSE)+1,10),DATE(RIGHT(B8,4),VLOOKUP(LEFT(B8,LEN(B8)-5),Feuil1!$E$3:$F$19,2,FALSE)+1,7))</f>
        <v>45301</v>
      </c>
      <c r="K8" s="19">
        <f t="shared" si="2"/>
        <v>1</v>
      </c>
      <c r="L8" s="6" t="str">
        <f t="shared" si="3"/>
        <v>DS</v>
      </c>
    </row>
    <row r="9" ht="14.25" customHeight="1">
      <c r="A9" s="14" t="str">
        <f>Base_report!A9</f>
        <v>BAFING</v>
      </c>
      <c r="B9" s="14" t="str">
        <f>Base_report!B9</f>
        <v>DECEMBRE 2023</v>
      </c>
      <c r="C9" s="15" t="str">
        <f>Base_report!C9</f>
        <v>C5081</v>
      </c>
      <c r="D9" s="14" t="str">
        <f>TRIM(IF(ISNUMBER(FIND("PNSME",Base_report!D9,1)),SUBSTITUTE(Base_report!D9,"PNSME",""),IF(ISNUMBER(FIND("PHG",Base_report!D9,1)),SUBSTITUTE(Base_report!D9,"PHG",""),IF(ISNUMBER(FIND("PCS",Base_report!D9,1)),SUBSTITUTE(Base_report!D9,"PCS",""),IF(ISNUMBER(FIND("CMU",Base_report!D9,1)),SUBSTITUTE(Base_report!D9,"CMU",""),Base_report!D9)))))</f>
        <v>DISTRICT SANITAIRE OUANINOU</v>
      </c>
      <c r="E9" s="14" t="str">
        <f>SUBSTITUTE(Base_report!E9,"-","/")</f>
        <v>PNSME/MEDICAMENTS ET INTRANTS</v>
      </c>
      <c r="F9" s="14" t="s">
        <v>788</v>
      </c>
      <c r="G9" s="16">
        <f>DATE(YEAR(SUBSTITUTE(LEFT(Base_report!F9,10),"-","/")),MONTH(SUBSTITUTE(LEFT(Base_report!F9,10),"-","/")),DAY(SUBSTITUTE(LEFT(Base_report!F9,10),"-","/")))</f>
        <v>45300</v>
      </c>
      <c r="H9" s="16">
        <f>DATE(YEAR(SUBSTITUTE(LEFT(Base_report!G9,10),"-","/")),MONTH(SUBSTITUTE(LEFT(Base_report!G9,10),"-","/")),DAY(SUBSTITUTE(LEFT(Base_report!G9,10),"-","/")))</f>
        <v>45300</v>
      </c>
      <c r="I9" s="17" t="str">
        <f t="shared" si="1"/>
        <v>OUI</v>
      </c>
      <c r="J9" s="18">
        <f>IF(L9="DS",DATE(RIGHT(B9,4),VLOOKUP(LEFT(B9,LEN(B9)-5),Feuil1!$E$3:$F$19,2,FALSE)+1,10),DATE(RIGHT(B9,4),VLOOKUP(LEFT(B9,LEN(B9)-5),Feuil1!$E$3:$F$19,2,FALSE)+1,7))</f>
        <v>45301</v>
      </c>
      <c r="K9" s="19">
        <f t="shared" si="2"/>
        <v>1</v>
      </c>
      <c r="L9" s="6" t="str">
        <f t="shared" si="3"/>
        <v>DS</v>
      </c>
    </row>
    <row r="10" ht="14.25" customHeight="1">
      <c r="A10" s="14" t="str">
        <f>Base_report!A10</f>
        <v>GRANDS PONTS</v>
      </c>
      <c r="B10" s="14" t="str">
        <f>Base_report!B10</f>
        <v>DECEMBRE 2023</v>
      </c>
      <c r="C10" s="15" t="str">
        <f>Base_report!C10</f>
        <v>C1047</v>
      </c>
      <c r="D10" s="14" t="str">
        <f>TRIM(IF(ISNUMBER(FIND("PNSME",Base_report!D10,1)),SUBSTITUTE(Base_report!D10,"PNSME",""),IF(ISNUMBER(FIND("PHG",Base_report!D10,1)),SUBSTITUTE(Base_report!D10,"PHG",""),IF(ISNUMBER(FIND("PCS",Base_report!D10,1)),SUBSTITUTE(Base_report!D10,"PCS",""),IF(ISNUMBER(FIND("CMU",Base_report!D10,1)),SUBSTITUTE(Base_report!D10,"CMU",""),Base_report!D10)))))</f>
        <v>DISTRICT SANITAIRE DABOU</v>
      </c>
      <c r="E10" s="14" t="str">
        <f>SUBSTITUTE(Base_report!E10,"-","/")</f>
        <v>PNLS/PRODUITS DE LABORATOIRE</v>
      </c>
      <c r="F10" s="14" t="s">
        <v>788</v>
      </c>
      <c r="G10" s="16">
        <f>DATE(YEAR(SUBSTITUTE(LEFT(Base_report!F10,10),"-","/")),MONTH(SUBSTITUTE(LEFT(Base_report!F10,10),"-","/")),DAY(SUBSTITUTE(LEFT(Base_report!F10,10),"-","/")))</f>
        <v>45300</v>
      </c>
      <c r="H10" s="16">
        <f>DATE(YEAR(SUBSTITUTE(LEFT(Base_report!G10,10),"-","/")),MONTH(SUBSTITUTE(LEFT(Base_report!G10,10),"-","/")),DAY(SUBSTITUTE(LEFT(Base_report!G10,10),"-","/")))</f>
        <v>45301</v>
      </c>
      <c r="I10" s="17" t="str">
        <f t="shared" si="1"/>
        <v>OUI</v>
      </c>
      <c r="J10" s="18">
        <f>IF(L10="DS",DATE(RIGHT(B10,4),VLOOKUP(LEFT(B10,LEN(B10)-5),Feuil1!$E$3:$F$19,2,FALSE)+1,10),DATE(RIGHT(B10,4),VLOOKUP(LEFT(B10,LEN(B10)-5),Feuil1!$E$3:$F$19,2,FALSE)+1,7))</f>
        <v>45301</v>
      </c>
      <c r="K10" s="19">
        <f t="shared" si="2"/>
        <v>1</v>
      </c>
      <c r="L10" s="6" t="str">
        <f t="shared" si="3"/>
        <v>DS</v>
      </c>
    </row>
    <row r="11" ht="14.25" customHeight="1">
      <c r="A11" s="14" t="str">
        <f>Base_report!A11</f>
        <v>HAMBOL</v>
      </c>
      <c r="B11" s="14" t="str">
        <f>Base_report!B11</f>
        <v>DECEMBRE 2023</v>
      </c>
      <c r="C11" s="15" t="str">
        <f>Base_report!C11</f>
        <v>C3045</v>
      </c>
      <c r="D11" s="14" t="str">
        <f>TRIM(IF(ISNUMBER(FIND("PNSME",Base_report!D11,1)),SUBSTITUTE(Base_report!D11,"PNSME",""),IF(ISNUMBER(FIND("PHG",Base_report!D11,1)),SUBSTITUTE(Base_report!D11,"PHG",""),IF(ISNUMBER(FIND("PCS",Base_report!D11,1)),SUBSTITUTE(Base_report!D11,"PCS",""),IF(ISNUMBER(FIND("CMU",Base_report!D11,1)),SUBSTITUTE(Base_report!D11,"CMU",""),Base_report!D11)))))</f>
        <v>DISTRICT SANITAIRE NIAKARA</v>
      </c>
      <c r="E11" s="14" t="str">
        <f>SUBSTITUTE(Base_report!E11,"-","/")</f>
        <v>PNLS/PRODUITS DE LABORATOIRE</v>
      </c>
      <c r="F11" s="14" t="s">
        <v>788</v>
      </c>
      <c r="G11" s="16">
        <f>DATE(YEAR(SUBSTITUTE(LEFT(Base_report!F11,10),"-","/")),MONTH(SUBSTITUTE(LEFT(Base_report!F11,10),"-","/")),DAY(SUBSTITUTE(LEFT(Base_report!F11,10),"-","/")))</f>
        <v>45300</v>
      </c>
      <c r="H11" s="16">
        <f>DATE(YEAR(SUBSTITUTE(LEFT(Base_report!G11,10),"-","/")),MONTH(SUBSTITUTE(LEFT(Base_report!G11,10),"-","/")),DAY(SUBSTITUTE(LEFT(Base_report!G11,10),"-","/")))</f>
        <v>45301</v>
      </c>
      <c r="I11" s="17" t="str">
        <f t="shared" si="1"/>
        <v>OUI</v>
      </c>
      <c r="J11" s="18">
        <f>IF(L11="DS",DATE(RIGHT(B11,4),VLOOKUP(LEFT(B11,LEN(B11)-5),Feuil1!$E$3:$F$19,2,FALSE)+1,10),DATE(RIGHT(B11,4),VLOOKUP(LEFT(B11,LEN(B11)-5),Feuil1!$E$3:$F$19,2,FALSE)+1,7))</f>
        <v>45301</v>
      </c>
      <c r="K11" s="19">
        <f t="shared" si="2"/>
        <v>1</v>
      </c>
      <c r="L11" s="6" t="str">
        <f t="shared" si="3"/>
        <v>DS</v>
      </c>
    </row>
    <row r="12" ht="14.25" customHeight="1">
      <c r="A12" s="14" t="str">
        <f>Base_report!A12</f>
        <v>PORO</v>
      </c>
      <c r="B12" s="14" t="str">
        <f>Base_report!B12</f>
        <v>DECEMBRE 2023</v>
      </c>
      <c r="C12" s="15" t="str">
        <f>Base_report!C12</f>
        <v>C2218</v>
      </c>
      <c r="D12" s="14" t="str">
        <f>TRIM(IF(ISNUMBER(FIND("PNSME",Base_report!D12,1)),SUBSTITUTE(Base_report!D12,"PNSME",""),IF(ISNUMBER(FIND("PHG",Base_report!D12,1)),SUBSTITUTE(Base_report!D12,"PHG",""),IF(ISNUMBER(FIND("PCS",Base_report!D12,1)),SUBSTITUTE(Base_report!D12,"PCS",""),IF(ISNUMBER(FIND("CMU",Base_report!D12,1)),SUBSTITUTE(Base_report!D12,"CMU",""),Base_report!D12)))))</f>
        <v>DISTRICT SANITAIRE KORHOGO 2</v>
      </c>
      <c r="E12" s="14" t="str">
        <f>SUBSTITUTE(Base_report!E12,"-","/")</f>
        <v>PNLS/ANTIRETROVIRAUX ET IO</v>
      </c>
      <c r="F12" s="14" t="s">
        <v>788</v>
      </c>
      <c r="G12" s="16">
        <f>DATE(YEAR(SUBSTITUTE(LEFT(Base_report!F12,10),"-","/")),MONTH(SUBSTITUTE(LEFT(Base_report!F12,10),"-","/")),DAY(SUBSTITUTE(LEFT(Base_report!F12,10),"-","/")))</f>
        <v>45301</v>
      </c>
      <c r="H12" s="16">
        <f>DATE(YEAR(SUBSTITUTE(LEFT(Base_report!G12,10),"-","/")),MONTH(SUBSTITUTE(LEFT(Base_report!G12,10),"-","/")),DAY(SUBSTITUTE(LEFT(Base_report!G12,10),"-","/")))</f>
        <v>45301</v>
      </c>
      <c r="I12" s="17" t="str">
        <f t="shared" si="1"/>
        <v>OUI</v>
      </c>
      <c r="J12" s="18">
        <f>IF(L12="DS",DATE(RIGHT(B12,4),VLOOKUP(LEFT(B12,LEN(B12)-5),Feuil1!$E$3:$F$19,2,FALSE)+1,10),DATE(RIGHT(B12,4),VLOOKUP(LEFT(B12,LEN(B12)-5),Feuil1!$E$3:$F$19,2,FALSE)+1,7))</f>
        <v>45301</v>
      </c>
      <c r="K12" s="19">
        <f t="shared" si="2"/>
        <v>1</v>
      </c>
      <c r="L12" s="6" t="str">
        <f t="shared" si="3"/>
        <v>DS</v>
      </c>
    </row>
    <row r="13" ht="14.25" customHeight="1">
      <c r="A13" s="14" t="str">
        <f>Base_report!A13</f>
        <v>TONKPI</v>
      </c>
      <c r="B13" s="14" t="str">
        <f>Base_report!B13</f>
        <v>DECEMBRE 2023</v>
      </c>
      <c r="C13" s="15" t="str">
        <f>Base_report!C13</f>
        <v>C5012</v>
      </c>
      <c r="D13" s="14" t="str">
        <f>TRIM(IF(ISNUMBER(FIND("PNSME",Base_report!D13,1)),SUBSTITUTE(Base_report!D13,"PNSME",""),IF(ISNUMBER(FIND("PHG",Base_report!D13,1)),SUBSTITUTE(Base_report!D13,"PHG",""),IF(ISNUMBER(FIND("PCS",Base_report!D13,1)),SUBSTITUTE(Base_report!D13,"PCS",""),IF(ISNUMBER(FIND("CMU",Base_report!D13,1)),SUBSTITUTE(Base_report!D13,"CMU",""),Base_report!D13)))))</f>
        <v>DISTRICT SANITAIRE MAN</v>
      </c>
      <c r="E13" s="14" t="str">
        <f>SUBSTITUTE(Base_report!E13,"-","/")</f>
        <v>PNLP/MEDICAMENTS ET INTRANTS</v>
      </c>
      <c r="F13" s="14" t="s">
        <v>788</v>
      </c>
      <c r="G13" s="16">
        <f>DATE(YEAR(SUBSTITUTE(LEFT(Base_report!F13,10),"-","/")),MONTH(SUBSTITUTE(LEFT(Base_report!F13,10),"-","/")),DAY(SUBSTITUTE(LEFT(Base_report!F13,10),"-","/")))</f>
        <v>45300</v>
      </c>
      <c r="H13" s="16">
        <f>DATE(YEAR(SUBSTITUTE(LEFT(Base_report!G13,10),"-","/")),MONTH(SUBSTITUTE(LEFT(Base_report!G13,10),"-","/")),DAY(SUBSTITUTE(LEFT(Base_report!G13,10),"-","/")))</f>
        <v>45300</v>
      </c>
      <c r="I13" s="17" t="str">
        <f t="shared" si="1"/>
        <v>OUI</v>
      </c>
      <c r="J13" s="18">
        <f>IF(L13="DS",DATE(RIGHT(B13,4),VLOOKUP(LEFT(B13,LEN(B13)-5),Feuil1!$E$3:$F$19,2,FALSE)+1,10),DATE(RIGHT(B13,4),VLOOKUP(LEFT(B13,LEN(B13)-5),Feuil1!$E$3:$F$19,2,FALSE)+1,7))</f>
        <v>45301</v>
      </c>
      <c r="K13" s="19">
        <f t="shared" si="2"/>
        <v>1</v>
      </c>
      <c r="L13" s="6" t="str">
        <f t="shared" si="3"/>
        <v>DS</v>
      </c>
    </row>
    <row r="14" ht="14.25" customHeight="1">
      <c r="A14" s="14" t="str">
        <f>Base_report!A14</f>
        <v>CAVALLY</v>
      </c>
      <c r="B14" s="14" t="str">
        <f>Base_report!B14</f>
        <v>DECEMBRE 2023</v>
      </c>
      <c r="C14" s="15" t="str">
        <f>Base_report!C14</f>
        <v>C5070</v>
      </c>
      <c r="D14" s="14" t="str">
        <f>TRIM(IF(ISNUMBER(FIND("PNSME",Base_report!D14,1)),SUBSTITUTE(Base_report!D14,"PNSME",""),IF(ISNUMBER(FIND("PHG",Base_report!D14,1)),SUBSTITUTE(Base_report!D14,"PHG",""),IF(ISNUMBER(FIND("PCS",Base_report!D14,1)),SUBSTITUTE(Base_report!D14,"PCS",""),IF(ISNUMBER(FIND("CMU",Base_report!D14,1)),SUBSTITUTE(Base_report!D14,"CMU",""),Base_report!D14)))))</f>
        <v>DISTRICT SANITAIRE TAI</v>
      </c>
      <c r="E14" s="14" t="str">
        <f>SUBSTITUTE(Base_report!E14,"-","/")</f>
        <v>PNSME/MEDICAMENTS ET INTRANTS</v>
      </c>
      <c r="F14" s="14" t="s">
        <v>788</v>
      </c>
      <c r="G14" s="16">
        <f>DATE(YEAR(SUBSTITUTE(LEFT(Base_report!F14,10),"-","/")),MONTH(SUBSTITUTE(LEFT(Base_report!F14,10),"-","/")),DAY(SUBSTITUTE(LEFT(Base_report!F14,10),"-","/")))</f>
        <v>45300</v>
      </c>
      <c r="H14" s="16">
        <f>DATE(YEAR(SUBSTITUTE(LEFT(Base_report!G14,10),"-","/")),MONTH(SUBSTITUTE(LEFT(Base_report!G14,10),"-","/")),DAY(SUBSTITUTE(LEFT(Base_report!G14,10),"-","/")))</f>
        <v>45300</v>
      </c>
      <c r="I14" s="17" t="str">
        <f t="shared" si="1"/>
        <v>OUI</v>
      </c>
      <c r="J14" s="18">
        <f>IF(L14="DS",DATE(RIGHT(B14,4),VLOOKUP(LEFT(B14,LEN(B14)-5),Feuil1!$E$3:$F$19,2,FALSE)+1,10),DATE(RIGHT(B14,4),VLOOKUP(LEFT(B14,LEN(B14)-5),Feuil1!$E$3:$F$19,2,FALSE)+1,7))</f>
        <v>45301</v>
      </c>
      <c r="K14" s="19">
        <f t="shared" si="2"/>
        <v>1</v>
      </c>
      <c r="L14" s="6" t="str">
        <f t="shared" si="3"/>
        <v>DS</v>
      </c>
    </row>
    <row r="15" ht="14.25" customHeight="1">
      <c r="A15" s="14" t="str">
        <f>Base_report!A15</f>
        <v>PORO</v>
      </c>
      <c r="B15" s="14" t="str">
        <f>Base_report!B15</f>
        <v>DECEMBRE 2023</v>
      </c>
      <c r="C15" s="15" t="str">
        <f>Base_report!C15</f>
        <v>C3058</v>
      </c>
      <c r="D15" s="14" t="str">
        <f>TRIM(IF(ISNUMBER(FIND("PNSME",Base_report!D15,1)),SUBSTITUTE(Base_report!D15,"PNSME",""),IF(ISNUMBER(FIND("PHG",Base_report!D15,1)),SUBSTITUTE(Base_report!D15,"PHG",""),IF(ISNUMBER(FIND("PCS",Base_report!D15,1)),SUBSTITUTE(Base_report!D15,"PCS",""),IF(ISNUMBER(FIND("CMU",Base_report!D15,1)),SUBSTITUTE(Base_report!D15,"CMU",""),Base_report!D15)))))</f>
        <v>DISTRICT SANITAIRE DIKODOUGOU</v>
      </c>
      <c r="E15" s="14" t="str">
        <f>SUBSTITUTE(Base_report!E15,"-","/")</f>
        <v>PNN/MEDICAMENTS ET INTRANTS</v>
      </c>
      <c r="F15" s="14" t="s">
        <v>788</v>
      </c>
      <c r="G15" s="16">
        <f>DATE(YEAR(SUBSTITUTE(LEFT(Base_report!F15,10),"-","/")),MONTH(SUBSTITUTE(LEFT(Base_report!F15,10),"-","/")),DAY(SUBSTITUTE(LEFT(Base_report!F15,10),"-","/")))</f>
        <v>45300</v>
      </c>
      <c r="H15" s="16">
        <f>DATE(YEAR(SUBSTITUTE(LEFT(Base_report!G15,10),"-","/")),MONTH(SUBSTITUTE(LEFT(Base_report!G15,10),"-","/")),DAY(SUBSTITUTE(LEFT(Base_report!G15,10),"-","/")))</f>
        <v>45302</v>
      </c>
      <c r="I15" s="17" t="str">
        <f t="shared" si="1"/>
        <v>OUI</v>
      </c>
      <c r="J15" s="18">
        <f>IF(L15="DS",DATE(RIGHT(B15,4),VLOOKUP(LEFT(B15,LEN(B15)-5),Feuil1!$E$3:$F$19,2,FALSE)+1,10),DATE(RIGHT(B15,4),VLOOKUP(LEFT(B15,LEN(B15)-5),Feuil1!$E$3:$F$19,2,FALSE)+1,7))</f>
        <v>45301</v>
      </c>
      <c r="K15" s="19">
        <f t="shared" si="2"/>
        <v>0</v>
      </c>
      <c r="L15" s="6" t="str">
        <f t="shared" si="3"/>
        <v>DS</v>
      </c>
    </row>
    <row r="16" ht="14.25" customHeight="1">
      <c r="A16" s="14" t="str">
        <f>Base_report!A16</f>
        <v>HAMBOL</v>
      </c>
      <c r="B16" s="14" t="str">
        <f>Base_report!B16</f>
        <v>DECEMBRE 2023</v>
      </c>
      <c r="C16" s="15" t="str">
        <f>Base_report!C16</f>
        <v>C3045</v>
      </c>
      <c r="D16" s="14" t="str">
        <f>TRIM(IF(ISNUMBER(FIND("PNSME",Base_report!D16,1)),SUBSTITUTE(Base_report!D16,"PNSME",""),IF(ISNUMBER(FIND("PHG",Base_report!D16,1)),SUBSTITUTE(Base_report!D16,"PHG",""),IF(ISNUMBER(FIND("PCS",Base_report!D16,1)),SUBSTITUTE(Base_report!D16,"PCS",""),IF(ISNUMBER(FIND("CMU",Base_report!D16,1)),SUBSTITUTE(Base_report!D16,"CMU",""),Base_report!D16)))))</f>
        <v>DISTRICT SANITAIRE NIAKARA</v>
      </c>
      <c r="E16" s="14" t="str">
        <f>SUBSTITUTE(Base_report!E16,"-","/")</f>
        <v>PNLS/TESTS RAPIDES ET CONSOMMABLES</v>
      </c>
      <c r="F16" s="14" t="s">
        <v>788</v>
      </c>
      <c r="G16" s="16">
        <f>DATE(YEAR(SUBSTITUTE(LEFT(Base_report!F16,10),"-","/")),MONTH(SUBSTITUTE(LEFT(Base_report!F16,10),"-","/")),DAY(SUBSTITUTE(LEFT(Base_report!F16,10),"-","/")))</f>
        <v>45300</v>
      </c>
      <c r="H16" s="16">
        <f>DATE(YEAR(SUBSTITUTE(LEFT(Base_report!G16,10),"-","/")),MONTH(SUBSTITUTE(LEFT(Base_report!G16,10),"-","/")),DAY(SUBSTITUTE(LEFT(Base_report!G16,10),"-","/")))</f>
        <v>45301</v>
      </c>
      <c r="I16" s="17" t="str">
        <f t="shared" si="1"/>
        <v>OUI</v>
      </c>
      <c r="J16" s="18">
        <f>IF(L16="DS",DATE(RIGHT(B16,4),VLOOKUP(LEFT(B16,LEN(B16)-5),Feuil1!$E$3:$F$19,2,FALSE)+1,10),DATE(RIGHT(B16,4),VLOOKUP(LEFT(B16,LEN(B16)-5),Feuil1!$E$3:$F$19,2,FALSE)+1,7))</f>
        <v>45301</v>
      </c>
      <c r="K16" s="19">
        <f t="shared" si="2"/>
        <v>1</v>
      </c>
      <c r="L16" s="6" t="str">
        <f t="shared" si="3"/>
        <v>DS</v>
      </c>
    </row>
    <row r="17" ht="14.25" customHeight="1">
      <c r="A17" s="14" t="str">
        <f>Base_report!A17</f>
        <v>GBEKE</v>
      </c>
      <c r="B17" s="14" t="str">
        <f>Base_report!B17</f>
        <v>DECEMBRE 2023</v>
      </c>
      <c r="C17" s="15" t="str">
        <f>Base_report!C17</f>
        <v>C2010</v>
      </c>
      <c r="D17" s="14" t="str">
        <f>TRIM(IF(ISNUMBER(FIND("PNSME",Base_report!D17,1)),SUBSTITUTE(Base_report!D17,"PNSME",""),IF(ISNUMBER(FIND("PHG",Base_report!D17,1)),SUBSTITUTE(Base_report!D17,"PHG",""),IF(ISNUMBER(FIND("PCS",Base_report!D17,1)),SUBSTITUTE(Base_report!D17,"PCS",""),IF(ISNUMBER(FIND("CMU",Base_report!D17,1)),SUBSTITUTE(Base_report!D17,"CMU",""),Base_report!D17)))))</f>
        <v>CHU BOUAKE</v>
      </c>
      <c r="E17" s="14" t="str">
        <f>SUBSTITUTE(Base_report!E17,"-","/")</f>
        <v>PNLS/TESTS RAPIDES ET CONSOMMABLES</v>
      </c>
      <c r="F17" s="14" t="s">
        <v>788</v>
      </c>
      <c r="G17" s="16">
        <f>DATE(YEAR(SUBSTITUTE(LEFT(Base_report!F17,10),"-","/")),MONTH(SUBSTITUTE(LEFT(Base_report!F17,10),"-","/")),DAY(SUBSTITUTE(LEFT(Base_report!F17,10),"-","/")))</f>
        <v>45300</v>
      </c>
      <c r="H17" s="16">
        <f>DATE(YEAR(SUBSTITUTE(LEFT(Base_report!G17,10),"-","/")),MONTH(SUBSTITUTE(LEFT(Base_report!G17,10),"-","/")),DAY(SUBSTITUTE(LEFT(Base_report!G17,10),"-","/")))</f>
        <v>45300</v>
      </c>
      <c r="I17" s="17" t="str">
        <f t="shared" si="1"/>
        <v>OUI</v>
      </c>
      <c r="J17" s="18">
        <f>IF(L17="DS",DATE(RIGHT(B17,4),VLOOKUP(LEFT(B17,LEN(B17)-5),Feuil1!$E$3:$F$19,2,FALSE)+1,10),DATE(RIGHT(B17,4),VLOOKUP(LEFT(B17,LEN(B17)-5),Feuil1!$E$3:$F$19,2,FALSE)+1,7))</f>
        <v>45298</v>
      </c>
      <c r="K17" s="19">
        <f t="shared" si="2"/>
        <v>0</v>
      </c>
      <c r="L17" s="6" t="str">
        <f t="shared" si="3"/>
        <v>FS</v>
      </c>
    </row>
    <row r="18" ht="14.25" customHeight="1">
      <c r="A18" s="14" t="str">
        <f>Base_report!A18</f>
        <v>ABIDJAN 1</v>
      </c>
      <c r="B18" s="14" t="str">
        <f>Base_report!B18</f>
        <v>DECEMBRE 2023</v>
      </c>
      <c r="C18" s="15" t="str">
        <f>Base_report!C18</f>
        <v>C1064</v>
      </c>
      <c r="D18" s="14" t="str">
        <f>TRIM(IF(ISNUMBER(FIND("PNSME",Base_report!D18,1)),SUBSTITUTE(Base_report!D18,"PNSME",""),IF(ISNUMBER(FIND("PHG",Base_report!D18,1)),SUBSTITUTE(Base_report!D18,"PHG",""),IF(ISNUMBER(FIND("PCS",Base_report!D18,1)),SUBSTITUTE(Base_report!D18,"PCS",""),IF(ISNUMBER(FIND("CMU",Base_report!D18,1)),SUBSTITUTE(Base_report!D18,"CMU",""),Base_report!D18)))))</f>
        <v>FSU COM ABOBO AVOCATIER</v>
      </c>
      <c r="E18" s="14" t="str">
        <f>SUBSTITUTE(Base_report!E18,"-","/")</f>
        <v>PNLS/CHARGES VIRALES</v>
      </c>
      <c r="F18" s="14" t="s">
        <v>788</v>
      </c>
      <c r="G18" s="16">
        <f>DATE(YEAR(SUBSTITUTE(LEFT(Base_report!F18,10),"-","/")),MONTH(SUBSTITUTE(LEFT(Base_report!F18,10),"-","/")),DAY(SUBSTITUTE(LEFT(Base_report!F18,10),"-","/")))</f>
        <v>45300</v>
      </c>
      <c r="H18" s="16">
        <f>DATE(YEAR(SUBSTITUTE(LEFT(Base_report!G18,10),"-","/")),MONTH(SUBSTITUTE(LEFT(Base_report!G18,10),"-","/")),DAY(SUBSTITUTE(LEFT(Base_report!G18,10),"-","/")))</f>
        <v>45300</v>
      </c>
      <c r="I18" s="17" t="str">
        <f t="shared" si="1"/>
        <v>OUI</v>
      </c>
      <c r="J18" s="18">
        <f>IF(L18="DS",DATE(RIGHT(B18,4),VLOOKUP(LEFT(B18,LEN(B18)-5),Feuil1!$E$3:$F$19,2,FALSE)+1,10),DATE(RIGHT(B18,4),VLOOKUP(LEFT(B18,LEN(B18)-5),Feuil1!$E$3:$F$19,2,FALSE)+1,7))</f>
        <v>45298</v>
      </c>
      <c r="K18" s="19">
        <f t="shared" si="2"/>
        <v>0</v>
      </c>
      <c r="L18" s="6" t="str">
        <f t="shared" si="3"/>
        <v>FS</v>
      </c>
    </row>
    <row r="19" ht="14.25" customHeight="1">
      <c r="A19" s="14" t="str">
        <f>Base_report!A19</f>
        <v>GONTOUGO</v>
      </c>
      <c r="B19" s="14" t="str">
        <f>Base_report!B19</f>
        <v>DECEMBRE 2023</v>
      </c>
      <c r="C19" s="15" t="str">
        <f>Base_report!C19</f>
        <v>C4013</v>
      </c>
      <c r="D19" s="14" t="str">
        <f>TRIM(IF(ISNUMBER(FIND("PNSME",Base_report!D19,1)),SUBSTITUTE(Base_report!D19,"PNSME",""),IF(ISNUMBER(FIND("PHG",Base_report!D19,1)),SUBSTITUTE(Base_report!D19,"PHG",""),IF(ISNUMBER(FIND("PCS",Base_report!D19,1)),SUBSTITUTE(Base_report!D19,"PCS",""),IF(ISNUMBER(FIND("CMU",Base_report!D19,1)),SUBSTITUTE(Base_report!D19,"CMU",""),Base_report!D19)))))</f>
        <v>DISTRICT SANITAIRE TANDA</v>
      </c>
      <c r="E19" s="14" t="str">
        <f>SUBSTITUTE(Base_report!E19,"-","/")</f>
        <v>PNN/MEDICAMENTS ET INTRANTS</v>
      </c>
      <c r="F19" s="14" t="s">
        <v>788</v>
      </c>
      <c r="G19" s="16">
        <f>DATE(YEAR(SUBSTITUTE(LEFT(Base_report!F19,10),"-","/")),MONTH(SUBSTITUTE(LEFT(Base_report!F19,10),"-","/")),DAY(SUBSTITUTE(LEFT(Base_report!F19,10),"-","/")))</f>
        <v>45300</v>
      </c>
      <c r="H19" s="16">
        <f>DATE(YEAR(SUBSTITUTE(LEFT(Base_report!G19,10),"-","/")),MONTH(SUBSTITUTE(LEFT(Base_report!G19,10),"-","/")),DAY(SUBSTITUTE(LEFT(Base_report!G19,10),"-","/")))</f>
        <v>45301</v>
      </c>
      <c r="I19" s="17" t="str">
        <f t="shared" si="1"/>
        <v>OUI</v>
      </c>
      <c r="J19" s="18">
        <f>IF(L19="DS",DATE(RIGHT(B19,4),VLOOKUP(LEFT(B19,LEN(B19)-5),Feuil1!$E$3:$F$19,2,FALSE)+1,10),DATE(RIGHT(B19,4),VLOOKUP(LEFT(B19,LEN(B19)-5),Feuil1!$E$3:$F$19,2,FALSE)+1,7))</f>
        <v>45301</v>
      </c>
      <c r="K19" s="19">
        <f t="shared" si="2"/>
        <v>1</v>
      </c>
      <c r="L19" s="6" t="str">
        <f t="shared" si="3"/>
        <v>DS</v>
      </c>
    </row>
    <row r="20" ht="14.25" customHeight="1">
      <c r="A20" s="14" t="str">
        <f>Base_report!A20</f>
        <v>BELIER</v>
      </c>
      <c r="B20" s="14" t="str">
        <f>Base_report!B20</f>
        <v>DECEMBRE 2023</v>
      </c>
      <c r="C20" s="15" t="str">
        <f>Base_report!C20</f>
        <v>C2045</v>
      </c>
      <c r="D20" s="14" t="str">
        <f>TRIM(IF(ISNUMBER(FIND("PNSME",Base_report!D20,1)),SUBSTITUTE(Base_report!D20,"PNSME",""),IF(ISNUMBER(FIND("PHG",Base_report!D20,1)),SUBSTITUTE(Base_report!D20,"PHG",""),IF(ISNUMBER(FIND("PCS",Base_report!D20,1)),SUBSTITUTE(Base_report!D20,"PCS",""),IF(ISNUMBER(FIND("CMU",Base_report!D20,1)),SUBSTITUTE(Base_report!D20,"CMU",""),Base_report!D20)))))</f>
        <v>DISTRICT SANITAIRE YAMOUSSOUKRO</v>
      </c>
      <c r="E20" s="14" t="str">
        <f>SUBSTITUTE(Base_report!E20,"-","/")</f>
        <v>PNLS/TESTS RAPIDES ET CONSOMMABLES</v>
      </c>
      <c r="F20" s="14" t="s">
        <v>788</v>
      </c>
      <c r="G20" s="16">
        <f>DATE(YEAR(SUBSTITUTE(LEFT(Base_report!F20,10),"-","/")),MONTH(SUBSTITUTE(LEFT(Base_report!F20,10),"-","/")),DAY(SUBSTITUTE(LEFT(Base_report!F20,10),"-","/")))</f>
        <v>45300</v>
      </c>
      <c r="H20" s="16">
        <f>DATE(YEAR(SUBSTITUTE(LEFT(Base_report!G20,10),"-","/")),MONTH(SUBSTITUTE(LEFT(Base_report!G20,10),"-","/")),DAY(SUBSTITUTE(LEFT(Base_report!G20,10),"-","/")))</f>
        <v>45300</v>
      </c>
      <c r="I20" s="17" t="str">
        <f t="shared" si="1"/>
        <v>OUI</v>
      </c>
      <c r="J20" s="18">
        <f>IF(L20="DS",DATE(RIGHT(B20,4),VLOOKUP(LEFT(B20,LEN(B20)-5),Feuil1!$E$3:$F$19,2,FALSE)+1,10),DATE(RIGHT(B20,4),VLOOKUP(LEFT(B20,LEN(B20)-5),Feuil1!$E$3:$F$19,2,FALSE)+1,7))</f>
        <v>45301</v>
      </c>
      <c r="K20" s="19">
        <f t="shared" si="2"/>
        <v>1</v>
      </c>
      <c r="L20" s="6" t="str">
        <f t="shared" si="3"/>
        <v>DS</v>
      </c>
    </row>
    <row r="21" ht="14.25" customHeight="1">
      <c r="A21" s="14" t="str">
        <f>Base_report!A21</f>
        <v>TONKPI</v>
      </c>
      <c r="B21" s="14" t="str">
        <f>Base_report!B21</f>
        <v>DECEMBRE 2023</v>
      </c>
      <c r="C21" s="15" t="str">
        <f>Base_report!C21</f>
        <v>C5012</v>
      </c>
      <c r="D21" s="14" t="str">
        <f>TRIM(IF(ISNUMBER(FIND("PNSME",Base_report!D21,1)),SUBSTITUTE(Base_report!D21,"PNSME",""),IF(ISNUMBER(FIND("PHG",Base_report!D21,1)),SUBSTITUTE(Base_report!D21,"PHG",""),IF(ISNUMBER(FIND("PCS",Base_report!D21,1)),SUBSTITUTE(Base_report!D21,"PCS",""),IF(ISNUMBER(FIND("CMU",Base_report!D21,1)),SUBSTITUTE(Base_report!D21,"CMU",""),Base_report!D21)))))</f>
        <v>DISTRICT SANITAIRE MAN</v>
      </c>
      <c r="E21" s="14" t="str">
        <f>SUBSTITUTE(Base_report!E21,"-","/")</f>
        <v>PNN/MEDICAMENTS ET INTRANTS</v>
      </c>
      <c r="F21" s="14" t="s">
        <v>788</v>
      </c>
      <c r="G21" s="16">
        <f>DATE(YEAR(SUBSTITUTE(LEFT(Base_report!F21,10),"-","/")),MONTH(SUBSTITUTE(LEFT(Base_report!F21,10),"-","/")),DAY(SUBSTITUTE(LEFT(Base_report!F21,10),"-","/")))</f>
        <v>45300</v>
      </c>
      <c r="H21" s="16">
        <f>DATE(YEAR(SUBSTITUTE(LEFT(Base_report!G21,10),"-","/")),MONTH(SUBSTITUTE(LEFT(Base_report!G21,10),"-","/")),DAY(SUBSTITUTE(LEFT(Base_report!G21,10),"-","/")))</f>
        <v>45300</v>
      </c>
      <c r="I21" s="17" t="str">
        <f t="shared" si="1"/>
        <v>OUI</v>
      </c>
      <c r="J21" s="18">
        <f>IF(L21="DS",DATE(RIGHT(B21,4),VLOOKUP(LEFT(B21,LEN(B21)-5),Feuil1!$E$3:$F$19,2,FALSE)+1,10),DATE(RIGHT(B21,4),VLOOKUP(LEFT(B21,LEN(B21)-5),Feuil1!$E$3:$F$19,2,FALSE)+1,7))</f>
        <v>45301</v>
      </c>
      <c r="K21" s="19">
        <f t="shared" si="2"/>
        <v>1</v>
      </c>
      <c r="L21" s="6" t="str">
        <f t="shared" si="3"/>
        <v>DS</v>
      </c>
    </row>
    <row r="22" ht="14.25" customHeight="1">
      <c r="A22" s="14" t="str">
        <f>Base_report!A22</f>
        <v>TONKPI</v>
      </c>
      <c r="B22" s="14" t="str">
        <f>Base_report!B22</f>
        <v>DECEMBRE 2023</v>
      </c>
      <c r="C22" s="15" t="str">
        <f>Base_report!C22</f>
        <v>C5012</v>
      </c>
      <c r="D22" s="14" t="str">
        <f>TRIM(IF(ISNUMBER(FIND("PNSME",Base_report!D22,1)),SUBSTITUTE(Base_report!D22,"PNSME",""),IF(ISNUMBER(FIND("PHG",Base_report!D22,1)),SUBSTITUTE(Base_report!D22,"PHG",""),IF(ISNUMBER(FIND("PCS",Base_report!D22,1)),SUBSTITUTE(Base_report!D22,"PCS",""),IF(ISNUMBER(FIND("CMU",Base_report!D22,1)),SUBSTITUTE(Base_report!D22,"CMU",""),Base_report!D22)))))</f>
        <v>DISTRICT SANITAIRE MAN</v>
      </c>
      <c r="E22" s="14" t="str">
        <f>SUBSTITUTE(Base_report!E22,"-","/")</f>
        <v>PNSME/MEDICAMENTS ET INTRANTS</v>
      </c>
      <c r="F22" s="14" t="s">
        <v>788</v>
      </c>
      <c r="G22" s="16">
        <f>DATE(YEAR(SUBSTITUTE(LEFT(Base_report!F22,10),"-","/")),MONTH(SUBSTITUTE(LEFT(Base_report!F22,10),"-","/")),DAY(SUBSTITUTE(LEFT(Base_report!F22,10),"-","/")))</f>
        <v>45300</v>
      </c>
      <c r="H22" s="16">
        <f>DATE(YEAR(SUBSTITUTE(LEFT(Base_report!G22,10),"-","/")),MONTH(SUBSTITUTE(LEFT(Base_report!G22,10),"-","/")),DAY(SUBSTITUTE(LEFT(Base_report!G22,10),"-","/")))</f>
        <v>45300</v>
      </c>
      <c r="I22" s="17" t="str">
        <f t="shared" si="1"/>
        <v>OUI</v>
      </c>
      <c r="J22" s="18">
        <f>IF(L22="DS",DATE(RIGHT(B22,4),VLOOKUP(LEFT(B22,LEN(B22)-5),Feuil1!$E$3:$F$19,2,FALSE)+1,10),DATE(RIGHT(B22,4),VLOOKUP(LEFT(B22,LEN(B22)-5),Feuil1!$E$3:$F$19,2,FALSE)+1,7))</f>
        <v>45301</v>
      </c>
      <c r="K22" s="19">
        <f t="shared" si="2"/>
        <v>1</v>
      </c>
      <c r="L22" s="6" t="str">
        <f t="shared" si="3"/>
        <v>DS</v>
      </c>
    </row>
    <row r="23" ht="14.25" customHeight="1">
      <c r="A23" s="14" t="str">
        <f>Base_report!A23</f>
        <v>GBEKE</v>
      </c>
      <c r="B23" s="14" t="str">
        <f>Base_report!B23</f>
        <v>DECEMBRE 2023</v>
      </c>
      <c r="C23" s="15" t="str">
        <f>Base_report!C23</f>
        <v>C2010</v>
      </c>
      <c r="D23" s="14" t="str">
        <f>TRIM(IF(ISNUMBER(FIND("PNSME",Base_report!D23,1)),SUBSTITUTE(Base_report!D23,"PNSME",""),IF(ISNUMBER(FIND("PHG",Base_report!D23,1)),SUBSTITUTE(Base_report!D23,"PHG",""),IF(ISNUMBER(FIND("PCS",Base_report!D23,1)),SUBSTITUTE(Base_report!D23,"PCS",""),IF(ISNUMBER(FIND("CMU",Base_report!D23,1)),SUBSTITUTE(Base_report!D23,"CMU",""),Base_report!D23)))))</f>
        <v>CHU BOUAKE</v>
      </c>
      <c r="E23" s="14" t="str">
        <f>SUBSTITUTE(Base_report!E23,"-","/")</f>
        <v>PNLS/PRODUITS DE LABORATOIRE</v>
      </c>
      <c r="F23" s="14" t="s">
        <v>788</v>
      </c>
      <c r="G23" s="16">
        <f>DATE(YEAR(SUBSTITUTE(LEFT(Base_report!F23,10),"-","/")),MONTH(SUBSTITUTE(LEFT(Base_report!F23,10),"-","/")),DAY(SUBSTITUTE(LEFT(Base_report!F23,10),"-","/")))</f>
        <v>45300</v>
      </c>
      <c r="H23" s="16">
        <f>DATE(YEAR(SUBSTITUTE(LEFT(Base_report!G23,10),"-","/")),MONTH(SUBSTITUTE(LEFT(Base_report!G23,10),"-","/")),DAY(SUBSTITUTE(LEFT(Base_report!G23,10),"-","/")))</f>
        <v>45301</v>
      </c>
      <c r="I23" s="17" t="str">
        <f t="shared" si="1"/>
        <v>OUI</v>
      </c>
      <c r="J23" s="18">
        <f>IF(L23="DS",DATE(RIGHT(B23,4),VLOOKUP(LEFT(B23,LEN(B23)-5),Feuil1!$E$3:$F$19,2,FALSE)+1,10),DATE(RIGHT(B23,4),VLOOKUP(LEFT(B23,LEN(B23)-5),Feuil1!$E$3:$F$19,2,FALSE)+1,7))</f>
        <v>45298</v>
      </c>
      <c r="K23" s="19">
        <f t="shared" si="2"/>
        <v>0</v>
      </c>
      <c r="L23" s="6" t="str">
        <f t="shared" si="3"/>
        <v>FS</v>
      </c>
    </row>
    <row r="24" ht="14.25" customHeight="1">
      <c r="A24" s="14" t="str">
        <f>Base_report!A24</f>
        <v>BELIER</v>
      </c>
      <c r="B24" s="14" t="str">
        <f>Base_report!B24</f>
        <v>DECEMBRE 2023</v>
      </c>
      <c r="C24" s="15" t="str">
        <f>Base_report!C24</f>
        <v>C2026</v>
      </c>
      <c r="D24" s="14" t="str">
        <f>TRIM(IF(ISNUMBER(FIND("PNSME",Base_report!D24,1)),SUBSTITUTE(Base_report!D24,"PNSME",""),IF(ISNUMBER(FIND("PHG",Base_report!D24,1)),SUBSTITUTE(Base_report!D24,"PHG",""),IF(ISNUMBER(FIND("PCS",Base_report!D24,1)),SUBSTITUTE(Base_report!D24,"PCS",""),IF(ISNUMBER(FIND("CMU",Base_report!D24,1)),SUBSTITUTE(Base_report!D24,"CMU",""),Base_report!D24)))))</f>
        <v>DISTRICT SANITAIRE DIDIEVI</v>
      </c>
      <c r="E24" s="14" t="str">
        <f>SUBSTITUTE(Base_report!E24,"-","/")</f>
        <v>PNLS/TESTS RAPIDES ET CONSOMMABLES</v>
      </c>
      <c r="F24" s="14" t="s">
        <v>788</v>
      </c>
      <c r="G24" s="16">
        <f>DATE(YEAR(SUBSTITUTE(LEFT(Base_report!F24,10),"-","/")),MONTH(SUBSTITUTE(LEFT(Base_report!F24,10),"-","/")),DAY(SUBSTITUTE(LEFT(Base_report!F24,10),"-","/")))</f>
        <v>45300</v>
      </c>
      <c r="H24" s="16">
        <f>DATE(YEAR(SUBSTITUTE(LEFT(Base_report!G24,10),"-","/")),MONTH(SUBSTITUTE(LEFT(Base_report!G24,10),"-","/")),DAY(SUBSTITUTE(LEFT(Base_report!G24,10),"-","/")))</f>
        <v>45301</v>
      </c>
      <c r="I24" s="17" t="str">
        <f t="shared" si="1"/>
        <v>OUI</v>
      </c>
      <c r="J24" s="18">
        <f>IF(L24="DS",DATE(RIGHT(B24,4),VLOOKUP(LEFT(B24,LEN(B24)-5),Feuil1!$E$3:$F$19,2,FALSE)+1,10),DATE(RIGHT(B24,4),VLOOKUP(LEFT(B24,LEN(B24)-5),Feuil1!$E$3:$F$19,2,FALSE)+1,7))</f>
        <v>45301</v>
      </c>
      <c r="K24" s="19">
        <f t="shared" si="2"/>
        <v>1</v>
      </c>
      <c r="L24" s="6" t="str">
        <f t="shared" si="3"/>
        <v>DS</v>
      </c>
    </row>
    <row r="25" ht="14.25" customHeight="1">
      <c r="A25" s="14" t="str">
        <f>Base_report!A25</f>
        <v>GBEKE</v>
      </c>
      <c r="B25" s="14" t="str">
        <f>Base_report!B25</f>
        <v>DECEMBRE 2023</v>
      </c>
      <c r="C25" s="15" t="str">
        <f>Base_report!C25</f>
        <v>C2010</v>
      </c>
      <c r="D25" s="14" t="str">
        <f>TRIM(IF(ISNUMBER(FIND("PNSME",Base_report!D25,1)),SUBSTITUTE(Base_report!D25,"PNSME",""),IF(ISNUMBER(FIND("PHG",Base_report!D25,1)),SUBSTITUTE(Base_report!D25,"PHG",""),IF(ISNUMBER(FIND("PCS",Base_report!D25,1)),SUBSTITUTE(Base_report!D25,"PCS",""),IF(ISNUMBER(FIND("CMU",Base_report!D25,1)),SUBSTITUTE(Base_report!D25,"CMU",""),Base_report!D25)))))</f>
        <v>CHU BOUAKE</v>
      </c>
      <c r="E25" s="14" t="str">
        <f>SUBSTITUTE(Base_report!E25,"-","/")</f>
        <v>PNLS/CHARGES VIRALES</v>
      </c>
      <c r="F25" s="14" t="s">
        <v>788</v>
      </c>
      <c r="G25" s="16">
        <f>DATE(YEAR(SUBSTITUTE(LEFT(Base_report!F25,10),"-","/")),MONTH(SUBSTITUTE(LEFT(Base_report!F25,10),"-","/")),DAY(SUBSTITUTE(LEFT(Base_report!F25,10),"-","/")))</f>
        <v>45300</v>
      </c>
      <c r="H25" s="16">
        <f>DATE(YEAR(SUBSTITUTE(LEFT(Base_report!G25,10),"-","/")),MONTH(SUBSTITUTE(LEFT(Base_report!G25,10),"-","/")),DAY(SUBSTITUTE(LEFT(Base_report!G25,10),"-","/")))</f>
        <v>45301</v>
      </c>
      <c r="I25" s="17" t="str">
        <f t="shared" si="1"/>
        <v>OUI</v>
      </c>
      <c r="J25" s="18">
        <f>IF(L25="DS",DATE(RIGHT(B25,4),VLOOKUP(LEFT(B25,LEN(B25)-5),Feuil1!$E$3:$F$19,2,FALSE)+1,10),DATE(RIGHT(B25,4),VLOOKUP(LEFT(B25,LEN(B25)-5),Feuil1!$E$3:$F$19,2,FALSE)+1,7))</f>
        <v>45298</v>
      </c>
      <c r="K25" s="19">
        <f t="shared" si="2"/>
        <v>0</v>
      </c>
      <c r="L25" s="6" t="str">
        <f t="shared" si="3"/>
        <v>FS</v>
      </c>
    </row>
    <row r="26" ht="14.25" customHeight="1">
      <c r="A26" s="14" t="str">
        <f>Base_report!A26</f>
        <v>MORONOU</v>
      </c>
      <c r="B26" s="14" t="str">
        <f>Base_report!B26</f>
        <v>DECEMBRE 2023</v>
      </c>
      <c r="C26" s="15" t="str">
        <f>Base_report!C26</f>
        <v>C4071</v>
      </c>
      <c r="D26" s="14" t="str">
        <f>TRIM(IF(ISNUMBER(FIND("PNSME",Base_report!D26,1)),SUBSTITUTE(Base_report!D26,"PNSME",""),IF(ISNUMBER(FIND("PHG",Base_report!D26,1)),SUBSTITUTE(Base_report!D26,"PHG",""),IF(ISNUMBER(FIND("PCS",Base_report!D26,1)),SUBSTITUTE(Base_report!D26,"PCS",""),IF(ISNUMBER(FIND("CMU",Base_report!D26,1)),SUBSTITUTE(Base_report!D26,"CMU",""),Base_report!D26)))))</f>
        <v>DISTRICT SANITAIRE MBATTO</v>
      </c>
      <c r="E26" s="14" t="str">
        <f>SUBSTITUTE(Base_report!E26,"-","/")</f>
        <v>PNLP/MEDICAMENTS ET INTRANTS</v>
      </c>
      <c r="F26" s="14" t="s">
        <v>788</v>
      </c>
      <c r="G26" s="16">
        <f>DATE(YEAR(SUBSTITUTE(LEFT(Base_report!F26,10),"-","/")),MONTH(SUBSTITUTE(LEFT(Base_report!F26,10),"-","/")),DAY(SUBSTITUTE(LEFT(Base_report!F26,10),"-","/")))</f>
        <v>45300</v>
      </c>
      <c r="H26" s="16">
        <f>DATE(YEAR(SUBSTITUTE(LEFT(Base_report!G26,10),"-","/")),MONTH(SUBSTITUTE(LEFT(Base_report!G26,10),"-","/")),DAY(SUBSTITUTE(LEFT(Base_report!G26,10),"-","/")))</f>
        <v>45301</v>
      </c>
      <c r="I26" s="17" t="str">
        <f t="shared" si="1"/>
        <v>OUI</v>
      </c>
      <c r="J26" s="18">
        <f>IF(L26="DS",DATE(RIGHT(B26,4),VLOOKUP(LEFT(B26,LEN(B26)-5),Feuil1!$E$3:$F$19,2,FALSE)+1,10),DATE(RIGHT(B26,4),VLOOKUP(LEFT(B26,LEN(B26)-5),Feuil1!$E$3:$F$19,2,FALSE)+1,7))</f>
        <v>45301</v>
      </c>
      <c r="K26" s="19">
        <f t="shared" si="2"/>
        <v>1</v>
      </c>
      <c r="L26" s="6" t="str">
        <f t="shared" si="3"/>
        <v>DS</v>
      </c>
    </row>
    <row r="27" ht="14.25" customHeight="1">
      <c r="A27" s="14" t="str">
        <f>Base_report!A27</f>
        <v>BERE</v>
      </c>
      <c r="B27" s="14" t="str">
        <f>Base_report!B27</f>
        <v>DECEMBRE 2023</v>
      </c>
      <c r="C27" s="15" t="str">
        <f>Base_report!C27</f>
        <v>C5080</v>
      </c>
      <c r="D27" s="14" t="str">
        <f>TRIM(IF(ISNUMBER(FIND("PNSME",Base_report!D27,1)),SUBSTITUTE(Base_report!D27,"PNSME",""),IF(ISNUMBER(FIND("PHG",Base_report!D27,1)),SUBSTITUTE(Base_report!D27,"PHG",""),IF(ISNUMBER(FIND("PCS",Base_report!D27,1)),SUBSTITUTE(Base_report!D27,"PCS",""),IF(ISNUMBER(FIND("CMU",Base_report!D27,1)),SUBSTITUTE(Base_report!D27,"CMU",""),Base_report!D27)))))</f>
        <v>DISTRICT SANITAIRE KOUNAHIRI</v>
      </c>
      <c r="E27" s="14" t="str">
        <f>SUBSTITUTE(Base_report!E27,"-","/")</f>
        <v>PNLS/TESTS RAPIDES ET CONSOMMABLES</v>
      </c>
      <c r="F27" s="14" t="s">
        <v>788</v>
      </c>
      <c r="G27" s="16">
        <f>DATE(YEAR(SUBSTITUTE(LEFT(Base_report!F27,10),"-","/")),MONTH(SUBSTITUTE(LEFT(Base_report!F27,10),"-","/")),DAY(SUBSTITUTE(LEFT(Base_report!F27,10),"-","/")))</f>
        <v>45300</v>
      </c>
      <c r="H27" s="16">
        <f>DATE(YEAR(SUBSTITUTE(LEFT(Base_report!G27,10),"-","/")),MONTH(SUBSTITUTE(LEFT(Base_report!G27,10),"-","/")),DAY(SUBSTITUTE(LEFT(Base_report!G27,10),"-","/")))</f>
        <v>45300</v>
      </c>
      <c r="I27" s="17" t="str">
        <f t="shared" si="1"/>
        <v>OUI</v>
      </c>
      <c r="J27" s="18">
        <f>IF(L27="DS",DATE(RIGHT(B27,4),VLOOKUP(LEFT(B27,LEN(B27)-5),Feuil1!$E$3:$F$19,2,FALSE)+1,10),DATE(RIGHT(B27,4),VLOOKUP(LEFT(B27,LEN(B27)-5),Feuil1!$E$3:$F$19,2,FALSE)+1,7))</f>
        <v>45301</v>
      </c>
      <c r="K27" s="19">
        <f t="shared" si="2"/>
        <v>1</v>
      </c>
      <c r="L27" s="6" t="str">
        <f t="shared" si="3"/>
        <v>DS</v>
      </c>
    </row>
    <row r="28" ht="14.25" customHeight="1">
      <c r="A28" s="14" t="str">
        <f>Base_report!A28</f>
        <v>GBEKE</v>
      </c>
      <c r="B28" s="14" t="str">
        <f>Base_report!B28</f>
        <v>DECEMBRE 2023</v>
      </c>
      <c r="C28" s="15" t="str">
        <f>Base_report!C28</f>
        <v>C2034</v>
      </c>
      <c r="D28" s="14" t="str">
        <f>TRIM(IF(ISNUMBER(FIND("PNSME",Base_report!D28,1)),SUBSTITUTE(Base_report!D28,"PNSME",""),IF(ISNUMBER(FIND("PHG",Base_report!D28,1)),SUBSTITUTE(Base_report!D28,"PHG",""),IF(ISNUMBER(FIND("PCS",Base_report!D28,1)),SUBSTITUTE(Base_report!D28,"PCS",""),IF(ISNUMBER(FIND("CMU",Base_report!D28,1)),SUBSTITUTE(Base_report!D28,"CMU",""),Base_report!D28)))))</f>
        <v>DISTRICT SANITAIRE SAKASSOU</v>
      </c>
      <c r="E28" s="14" t="str">
        <f>SUBSTITUTE(Base_report!E28,"-","/")</f>
        <v>PNLS/TESTS RAPIDES ET CONSOMMABLES</v>
      </c>
      <c r="F28" s="14" t="s">
        <v>788</v>
      </c>
      <c r="G28" s="16">
        <f>DATE(YEAR(SUBSTITUTE(LEFT(Base_report!F28,10),"-","/")),MONTH(SUBSTITUTE(LEFT(Base_report!F28,10),"-","/")),DAY(SUBSTITUTE(LEFT(Base_report!F28,10),"-","/")))</f>
        <v>45300</v>
      </c>
      <c r="H28" s="16">
        <f>DATE(YEAR(SUBSTITUTE(LEFT(Base_report!G28,10),"-","/")),MONTH(SUBSTITUTE(LEFT(Base_report!G28,10),"-","/")),DAY(SUBSTITUTE(LEFT(Base_report!G28,10),"-","/")))</f>
        <v>45300</v>
      </c>
      <c r="I28" s="17" t="str">
        <f t="shared" si="1"/>
        <v>OUI</v>
      </c>
      <c r="J28" s="18">
        <f>IF(L28="DS",DATE(RIGHT(B28,4),VLOOKUP(LEFT(B28,LEN(B28)-5),Feuil1!$E$3:$F$19,2,FALSE)+1,10),DATE(RIGHT(B28,4),VLOOKUP(LEFT(B28,LEN(B28)-5),Feuil1!$E$3:$F$19,2,FALSE)+1,7))</f>
        <v>45301</v>
      </c>
      <c r="K28" s="19">
        <f t="shared" si="2"/>
        <v>1</v>
      </c>
      <c r="L28" s="6" t="str">
        <f t="shared" si="3"/>
        <v>DS</v>
      </c>
    </row>
    <row r="29" ht="14.25" customHeight="1">
      <c r="A29" s="14" t="str">
        <f>Base_report!A29</f>
        <v>TONKPI</v>
      </c>
      <c r="B29" s="14" t="str">
        <f>Base_report!B29</f>
        <v>DECEMBRE 2023</v>
      </c>
      <c r="C29" s="15" t="str">
        <f>Base_report!C29</f>
        <v>C5008</v>
      </c>
      <c r="D29" s="14" t="str">
        <f>TRIM(IF(ISNUMBER(FIND("PNSME",Base_report!D29,1)),SUBSTITUTE(Base_report!D29,"PNSME",""),IF(ISNUMBER(FIND("PHG",Base_report!D29,1)),SUBSTITUTE(Base_report!D29,"PHG",""),IF(ISNUMBER(FIND("PCS",Base_report!D29,1)),SUBSTITUTE(Base_report!D29,"PCS",""),IF(ISNUMBER(FIND("CMU",Base_report!D29,1)),SUBSTITUTE(Base_report!D29,"CMU",""),Base_report!D29)))))</f>
        <v>DISTRICT SANITAIRE BIANKOUMA</v>
      </c>
      <c r="E29" s="14" t="str">
        <f>SUBSTITUTE(Base_report!E29,"-","/")</f>
        <v>PNLP/MEDICAMENTS ET INTRANTS</v>
      </c>
      <c r="F29" s="14" t="s">
        <v>788</v>
      </c>
      <c r="G29" s="16">
        <f>DATE(YEAR(SUBSTITUTE(LEFT(Base_report!F29,10),"-","/")),MONTH(SUBSTITUTE(LEFT(Base_report!F29,10),"-","/")),DAY(SUBSTITUTE(LEFT(Base_report!F29,10),"-","/")))</f>
        <v>45300</v>
      </c>
      <c r="H29" s="16">
        <f>DATE(YEAR(SUBSTITUTE(LEFT(Base_report!G29,10),"-","/")),MONTH(SUBSTITUTE(LEFT(Base_report!G29,10),"-","/")),DAY(SUBSTITUTE(LEFT(Base_report!G29,10),"-","/")))</f>
        <v>45300</v>
      </c>
      <c r="I29" s="17" t="str">
        <f t="shared" si="1"/>
        <v>OUI</v>
      </c>
      <c r="J29" s="18">
        <f>IF(L29="DS",DATE(RIGHT(B29,4),VLOOKUP(LEFT(B29,LEN(B29)-5),Feuil1!$E$3:$F$19,2,FALSE)+1,10),DATE(RIGHT(B29,4),VLOOKUP(LEFT(B29,LEN(B29)-5),Feuil1!$E$3:$F$19,2,FALSE)+1,7))</f>
        <v>45301</v>
      </c>
      <c r="K29" s="19">
        <f t="shared" si="2"/>
        <v>1</v>
      </c>
      <c r="L29" s="6" t="str">
        <f t="shared" si="3"/>
        <v>DS</v>
      </c>
    </row>
    <row r="30" ht="14.25" customHeight="1">
      <c r="A30" s="14" t="str">
        <f>Base_report!A30</f>
        <v>GUEMON</v>
      </c>
      <c r="B30" s="14" t="str">
        <f>Base_report!B30</f>
        <v>DECEMBRE 2023</v>
      </c>
      <c r="C30" s="15" t="str">
        <f>Base_report!C30</f>
        <v>C5007</v>
      </c>
      <c r="D30" s="14" t="str">
        <f>TRIM(IF(ISNUMBER(FIND("PNSME",Base_report!D30,1)),SUBSTITUTE(Base_report!D30,"PNSME",""),IF(ISNUMBER(FIND("PHG",Base_report!D30,1)),SUBSTITUTE(Base_report!D30,"PHG",""),IF(ISNUMBER(FIND("PCS",Base_report!D30,1)),SUBSTITUTE(Base_report!D30,"PCS",""),IF(ISNUMBER(FIND("CMU",Base_report!D30,1)),SUBSTITUTE(Base_report!D30,"CMU",""),Base_report!D30)))))</f>
        <v>DISTRICT SANITAIRE BANGOLO</v>
      </c>
      <c r="E30" s="14" t="str">
        <f>SUBSTITUTE(Base_report!E30,"-","/")</f>
        <v>PNLS/ANTIRETROVIRAUX ET IO</v>
      </c>
      <c r="F30" s="14" t="s">
        <v>788</v>
      </c>
      <c r="G30" s="16">
        <f>DATE(YEAR(SUBSTITUTE(LEFT(Base_report!F30,10),"-","/")),MONTH(SUBSTITUTE(LEFT(Base_report!F30,10),"-","/")),DAY(SUBSTITUTE(LEFT(Base_report!F30,10),"-","/")))</f>
        <v>45301</v>
      </c>
      <c r="H30" s="16">
        <f>DATE(YEAR(SUBSTITUTE(LEFT(Base_report!G30,10),"-","/")),MONTH(SUBSTITUTE(LEFT(Base_report!G30,10),"-","/")),DAY(SUBSTITUTE(LEFT(Base_report!G30,10),"-","/")))</f>
        <v>45301</v>
      </c>
      <c r="I30" s="17" t="str">
        <f t="shared" si="1"/>
        <v>OUI</v>
      </c>
      <c r="J30" s="18">
        <f>IF(L30="DS",DATE(RIGHT(B30,4),VLOOKUP(LEFT(B30,LEN(B30)-5),Feuil1!$E$3:$F$19,2,FALSE)+1,10),DATE(RIGHT(B30,4),VLOOKUP(LEFT(B30,LEN(B30)-5),Feuil1!$E$3:$F$19,2,FALSE)+1,7))</f>
        <v>45301</v>
      </c>
      <c r="K30" s="19">
        <f t="shared" si="2"/>
        <v>1</v>
      </c>
      <c r="L30" s="6" t="str">
        <f t="shared" si="3"/>
        <v>DS</v>
      </c>
    </row>
    <row r="31" ht="14.25" customHeight="1">
      <c r="A31" s="14" t="str">
        <f>Base_report!A31</f>
        <v>ABIDJAN 2</v>
      </c>
      <c r="B31" s="14" t="str">
        <f>Base_report!B31</f>
        <v>DECEMBRE 2023</v>
      </c>
      <c r="C31" s="15" t="str">
        <f>Base_report!C31</f>
        <v>C1422</v>
      </c>
      <c r="D31" s="14" t="str">
        <f>TRIM(IF(ISNUMBER(FIND("PNSME",Base_report!D31,1)),SUBSTITUTE(Base_report!D31,"PNSME",""),IF(ISNUMBER(FIND("PHG",Base_report!D31,1)),SUBSTITUTE(Base_report!D31,"PHG",""),IF(ISNUMBER(FIND("PCS",Base_report!D31,1)),SUBSTITUTE(Base_report!D31,"PCS",""),IF(ISNUMBER(FIND("CMU",Base_report!D31,1)),SUBSTITUTE(Base_report!D31,"CMU",""),Base_report!D31)))))</f>
        <v>DISTRICT SANITAIRE PORT BOUET VRIDI</v>
      </c>
      <c r="E31" s="14" t="str">
        <f>SUBSTITUTE(Base_report!E31,"-","/")</f>
        <v>PNSME/MEDICAMENTS ET INTRANTS</v>
      </c>
      <c r="F31" s="14" t="s">
        <v>788</v>
      </c>
      <c r="G31" s="16">
        <f>DATE(YEAR(SUBSTITUTE(LEFT(Base_report!F31,10),"-","/")),MONTH(SUBSTITUTE(LEFT(Base_report!F31,10),"-","/")),DAY(SUBSTITUTE(LEFT(Base_report!F31,10),"-","/")))</f>
        <v>45300</v>
      </c>
      <c r="H31" s="16">
        <f>DATE(YEAR(SUBSTITUTE(LEFT(Base_report!G31,10),"-","/")),MONTH(SUBSTITUTE(LEFT(Base_report!G31,10),"-","/")),DAY(SUBSTITUTE(LEFT(Base_report!G31,10),"-","/")))</f>
        <v>45301</v>
      </c>
      <c r="I31" s="17" t="str">
        <f t="shared" si="1"/>
        <v>OUI</v>
      </c>
      <c r="J31" s="18">
        <f>IF(L31="DS",DATE(RIGHT(B31,4),VLOOKUP(LEFT(B31,LEN(B31)-5),Feuil1!$E$3:$F$19,2,FALSE)+1,10),DATE(RIGHT(B31,4),VLOOKUP(LEFT(B31,LEN(B31)-5),Feuil1!$E$3:$F$19,2,FALSE)+1,7))</f>
        <v>45301</v>
      </c>
      <c r="K31" s="19">
        <f t="shared" si="2"/>
        <v>1</v>
      </c>
      <c r="L31" s="6" t="str">
        <f t="shared" si="3"/>
        <v>DS</v>
      </c>
    </row>
    <row r="32" ht="14.25" customHeight="1">
      <c r="A32" s="14" t="str">
        <f>Base_report!A32</f>
        <v>TCHOLOGO</v>
      </c>
      <c r="B32" s="14" t="str">
        <f>Base_report!B32</f>
        <v>DECEMBRE 2023</v>
      </c>
      <c r="C32" s="15" t="str">
        <f>Base_report!C32</f>
        <v>C3046</v>
      </c>
      <c r="D32" s="14" t="str">
        <f>TRIM(IF(ISNUMBER(FIND("PNSME",Base_report!D32,1)),SUBSTITUTE(Base_report!D32,"PNSME",""),IF(ISNUMBER(FIND("PHG",Base_report!D32,1)),SUBSTITUTE(Base_report!D32,"PHG",""),IF(ISNUMBER(FIND("PCS",Base_report!D32,1)),SUBSTITUTE(Base_report!D32,"PCS",""),IF(ISNUMBER(FIND("CMU",Base_report!D32,1)),SUBSTITUTE(Base_report!D32,"CMU",""),Base_report!D32)))))</f>
        <v>DISTRICT SANITAIRE OUANGOLO</v>
      </c>
      <c r="E32" s="14" t="str">
        <f>SUBSTITUTE(Base_report!E32,"-","/")</f>
        <v>PNLS/TESTS RAPIDES ET CONSOMMABLES</v>
      </c>
      <c r="F32" s="14" t="s">
        <v>788</v>
      </c>
      <c r="G32" s="16">
        <f>DATE(YEAR(SUBSTITUTE(LEFT(Base_report!F32,10),"-","/")),MONTH(SUBSTITUTE(LEFT(Base_report!F32,10),"-","/")),DAY(SUBSTITUTE(LEFT(Base_report!F32,10),"-","/")))</f>
        <v>45301</v>
      </c>
      <c r="H32" s="16">
        <f>DATE(YEAR(SUBSTITUTE(LEFT(Base_report!G32,10),"-","/")),MONTH(SUBSTITUTE(LEFT(Base_report!G32,10),"-","/")),DAY(SUBSTITUTE(LEFT(Base_report!G32,10),"-","/")))</f>
        <v>45301</v>
      </c>
      <c r="I32" s="17" t="str">
        <f t="shared" si="1"/>
        <v>OUI</v>
      </c>
      <c r="J32" s="18">
        <f>IF(L32="DS",DATE(RIGHT(B32,4),VLOOKUP(LEFT(B32,LEN(B32)-5),Feuil1!$E$3:$F$19,2,FALSE)+1,10),DATE(RIGHT(B32,4),VLOOKUP(LEFT(B32,LEN(B32)-5),Feuil1!$E$3:$F$19,2,FALSE)+1,7))</f>
        <v>45301</v>
      </c>
      <c r="K32" s="19">
        <f t="shared" si="2"/>
        <v>1</v>
      </c>
      <c r="L32" s="6" t="str">
        <f t="shared" si="3"/>
        <v>DS</v>
      </c>
    </row>
    <row r="33" ht="14.25" customHeight="1">
      <c r="A33" s="14" t="str">
        <f>Base_report!A33</f>
        <v>ABIDJAN 2</v>
      </c>
      <c r="B33" s="14" t="str">
        <f>Base_report!B33</f>
        <v>DECEMBRE 2023</v>
      </c>
      <c r="C33" s="15" t="str">
        <f>Base_report!C33</f>
        <v>C1400</v>
      </c>
      <c r="D33" s="14" t="str">
        <f>TRIM(IF(ISNUMBER(FIND("PNSME",Base_report!D33,1)),SUBSTITUTE(Base_report!D33,"PNSME",""),IF(ISNUMBER(FIND("PHG",Base_report!D33,1)),SUBSTITUTE(Base_report!D33,"PHG",""),IF(ISNUMBER(FIND("PCS",Base_report!D33,1)),SUBSTITUTE(Base_report!D33,"PCS",""),IF(ISNUMBER(FIND("CMU",Base_report!D33,1)),SUBSTITUTE(Base_report!D33,"CMU",""),Base_report!D33)))))</f>
        <v>DISTRICT SANITAIRE COCODY BINGERVILLE</v>
      </c>
      <c r="E33" s="14" t="str">
        <f>SUBSTITUTE(Base_report!E33,"-","/")</f>
        <v>PNLS/TESTS RAPIDES ET CONSOMMABLES</v>
      </c>
      <c r="F33" s="14" t="s">
        <v>788</v>
      </c>
      <c r="G33" s="16">
        <f>DATE(YEAR(SUBSTITUTE(LEFT(Base_report!F33,10),"-","/")),MONTH(SUBSTITUTE(LEFT(Base_report!F33,10),"-","/")),DAY(SUBSTITUTE(LEFT(Base_report!F33,10),"-","/")))</f>
        <v>45301</v>
      </c>
      <c r="H33" s="16">
        <f>DATE(YEAR(SUBSTITUTE(LEFT(Base_report!G33,10),"-","/")),MONTH(SUBSTITUTE(LEFT(Base_report!G33,10),"-","/")),DAY(SUBSTITUTE(LEFT(Base_report!G33,10),"-","/")))</f>
        <v>45301</v>
      </c>
      <c r="I33" s="17" t="str">
        <f t="shared" si="1"/>
        <v>OUI</v>
      </c>
      <c r="J33" s="18">
        <f>IF(L33="DS",DATE(RIGHT(B33,4),VLOOKUP(LEFT(B33,LEN(B33)-5),Feuil1!$E$3:$F$19,2,FALSE)+1,10),DATE(RIGHT(B33,4),VLOOKUP(LEFT(B33,LEN(B33)-5),Feuil1!$E$3:$F$19,2,FALSE)+1,7))</f>
        <v>45301</v>
      </c>
      <c r="K33" s="19">
        <f t="shared" si="2"/>
        <v>1</v>
      </c>
      <c r="L33" s="6" t="str">
        <f t="shared" si="3"/>
        <v>DS</v>
      </c>
    </row>
    <row r="34" ht="14.25" customHeight="1">
      <c r="A34" s="14" t="str">
        <f>Base_report!A34</f>
        <v>BELIER</v>
      </c>
      <c r="B34" s="14" t="str">
        <f>Base_report!B34</f>
        <v>DECEMBRE 2023</v>
      </c>
      <c r="C34" s="15" t="str">
        <f>Base_report!C34</f>
        <v>C2042</v>
      </c>
      <c r="D34" s="14" t="str">
        <f>TRIM(IF(ISNUMBER(FIND("PNSME",Base_report!D34,1)),SUBSTITUTE(Base_report!D34,"PNSME",""),IF(ISNUMBER(FIND("PHG",Base_report!D34,1)),SUBSTITUTE(Base_report!D34,"PHG",""),IF(ISNUMBER(FIND("PCS",Base_report!D34,1)),SUBSTITUTE(Base_report!D34,"PCS",""),IF(ISNUMBER(FIND("CMU",Base_report!D34,1)),SUBSTITUTE(Base_report!D34,"CMU",""),Base_report!D34)))))</f>
        <v>DISTRICT SANITAIRE TIEBISSOU</v>
      </c>
      <c r="E34" s="14" t="str">
        <f>SUBSTITUTE(Base_report!E34,"-","/")</f>
        <v>PNLS/TESTS RAPIDES ET CONSOMMABLES</v>
      </c>
      <c r="F34" s="14" t="s">
        <v>788</v>
      </c>
      <c r="G34" s="16">
        <f>DATE(YEAR(SUBSTITUTE(LEFT(Base_report!F34,10),"-","/")),MONTH(SUBSTITUTE(LEFT(Base_report!F34,10),"-","/")),DAY(SUBSTITUTE(LEFT(Base_report!F34,10),"-","/")))</f>
        <v>45300</v>
      </c>
      <c r="H34" s="16">
        <f>DATE(YEAR(SUBSTITUTE(LEFT(Base_report!G34,10),"-","/")),MONTH(SUBSTITUTE(LEFT(Base_report!G34,10),"-","/")),DAY(SUBSTITUTE(LEFT(Base_report!G34,10),"-","/")))</f>
        <v>45300</v>
      </c>
      <c r="I34" s="17" t="str">
        <f t="shared" si="1"/>
        <v>OUI</v>
      </c>
      <c r="J34" s="18">
        <f>IF(L34="DS",DATE(RIGHT(B34,4),VLOOKUP(LEFT(B34,LEN(B34)-5),Feuil1!$E$3:$F$19,2,FALSE)+1,10),DATE(RIGHT(B34,4),VLOOKUP(LEFT(B34,LEN(B34)-5),Feuil1!$E$3:$F$19,2,FALSE)+1,7))</f>
        <v>45301</v>
      </c>
      <c r="K34" s="19">
        <f t="shared" si="2"/>
        <v>1</v>
      </c>
      <c r="L34" s="6" t="str">
        <f t="shared" si="3"/>
        <v>DS</v>
      </c>
    </row>
    <row r="35" ht="14.25" customHeight="1">
      <c r="A35" s="14" t="str">
        <f>Base_report!A35</f>
        <v>MARAHOUE</v>
      </c>
      <c r="B35" s="14" t="str">
        <f>Base_report!B35</f>
        <v>DECEMBRE 2023</v>
      </c>
      <c r="C35" s="15" t="str">
        <f>Base_report!C35</f>
        <v>C2037</v>
      </c>
      <c r="D35" s="14" t="str">
        <f>TRIM(IF(ISNUMBER(FIND("PNSME",Base_report!D35,1)),SUBSTITUTE(Base_report!D35,"PNSME",""),IF(ISNUMBER(FIND("PHG",Base_report!D35,1)),SUBSTITUTE(Base_report!D35,"PHG",""),IF(ISNUMBER(FIND("PCS",Base_report!D35,1)),SUBSTITUTE(Base_report!D35,"PCS",""),IF(ISNUMBER(FIND("CMU",Base_report!D35,1)),SUBSTITUTE(Base_report!D35,"CMU",""),Base_report!D35)))))</f>
        <v>DISTRICT SANITAIRE SINFRA</v>
      </c>
      <c r="E35" s="14" t="str">
        <f>SUBSTITUTE(Base_report!E35,"-","/")</f>
        <v>PNLS/ANTIRETROVIRAUX ET IO</v>
      </c>
      <c r="F35" s="14" t="s">
        <v>788</v>
      </c>
      <c r="G35" s="16">
        <f>DATE(YEAR(SUBSTITUTE(LEFT(Base_report!F35,10),"-","/")),MONTH(SUBSTITUTE(LEFT(Base_report!F35,10),"-","/")),DAY(SUBSTITUTE(LEFT(Base_report!F35,10),"-","/")))</f>
        <v>45301</v>
      </c>
      <c r="H35" s="16">
        <f>DATE(YEAR(SUBSTITUTE(LEFT(Base_report!G35,10),"-","/")),MONTH(SUBSTITUTE(LEFT(Base_report!G35,10),"-","/")),DAY(SUBSTITUTE(LEFT(Base_report!G35,10),"-","/")))</f>
        <v>45301</v>
      </c>
      <c r="I35" s="17" t="str">
        <f t="shared" si="1"/>
        <v>OUI</v>
      </c>
      <c r="J35" s="18">
        <f>IF(L35="DS",DATE(RIGHT(B35,4),VLOOKUP(LEFT(B35,LEN(B35)-5),Feuil1!$E$3:$F$19,2,FALSE)+1,10),DATE(RIGHT(B35,4),VLOOKUP(LEFT(B35,LEN(B35)-5),Feuil1!$E$3:$F$19,2,FALSE)+1,7))</f>
        <v>45301</v>
      </c>
      <c r="K35" s="19">
        <f t="shared" si="2"/>
        <v>1</v>
      </c>
      <c r="L35" s="6" t="str">
        <f t="shared" si="3"/>
        <v>DS</v>
      </c>
    </row>
    <row r="36" ht="14.25" customHeight="1">
      <c r="A36" s="14" t="str">
        <f>Base_report!A36</f>
        <v>ABIDJAN 1</v>
      </c>
      <c r="B36" s="14" t="str">
        <f>Base_report!B36</f>
        <v>DECEMBRE 2023</v>
      </c>
      <c r="C36" s="15" t="str">
        <f>Base_report!C36</f>
        <v>C1415</v>
      </c>
      <c r="D36" s="14" t="str">
        <f>TRIM(IF(ISNUMBER(FIND("PNSME",Base_report!D36,1)),SUBSTITUTE(Base_report!D36,"PNSME",""),IF(ISNUMBER(FIND("PHG",Base_report!D36,1)),SUBSTITUTE(Base_report!D36,"PHG",""),IF(ISNUMBER(FIND("PCS",Base_report!D36,1)),SUBSTITUTE(Base_report!D36,"PCS",""),IF(ISNUMBER(FIND("CMU",Base_report!D36,1)),SUBSTITUTE(Base_report!D36,"CMU",""),Base_report!D36)))))</f>
        <v>DISTRICT SANITAIRE YOPOUGON EST</v>
      </c>
      <c r="E36" s="14" t="str">
        <f>SUBSTITUTE(Base_report!E36,"-","/")</f>
        <v>PNLP/MEDICAMENTS ET INTRANTS</v>
      </c>
      <c r="F36" s="14" t="s">
        <v>788</v>
      </c>
      <c r="G36" s="16">
        <f>DATE(YEAR(SUBSTITUTE(LEFT(Base_report!F36,10),"-","/")),MONTH(SUBSTITUTE(LEFT(Base_report!F36,10),"-","/")),DAY(SUBSTITUTE(LEFT(Base_report!F36,10),"-","/")))</f>
        <v>45301</v>
      </c>
      <c r="H36" s="16">
        <f>DATE(YEAR(SUBSTITUTE(LEFT(Base_report!G36,10),"-","/")),MONTH(SUBSTITUTE(LEFT(Base_report!G36,10),"-","/")),DAY(SUBSTITUTE(LEFT(Base_report!G36,10),"-","/")))</f>
        <v>45301</v>
      </c>
      <c r="I36" s="17" t="str">
        <f t="shared" si="1"/>
        <v>OUI</v>
      </c>
      <c r="J36" s="18">
        <f>IF(L36="DS",DATE(RIGHT(B36,4),VLOOKUP(LEFT(B36,LEN(B36)-5),Feuil1!$E$3:$F$19,2,FALSE)+1,10),DATE(RIGHT(B36,4),VLOOKUP(LEFT(B36,LEN(B36)-5),Feuil1!$E$3:$F$19,2,FALSE)+1,7))</f>
        <v>45301</v>
      </c>
      <c r="K36" s="19">
        <f t="shared" si="2"/>
        <v>1</v>
      </c>
      <c r="L36" s="6" t="str">
        <f t="shared" si="3"/>
        <v>DS</v>
      </c>
    </row>
    <row r="37" ht="14.25" customHeight="1">
      <c r="A37" s="14" t="str">
        <f>Base_report!A37</f>
        <v>WORODOUGOU</v>
      </c>
      <c r="B37" s="14" t="str">
        <f>Base_report!B37</f>
        <v>DECEMBRE 2023</v>
      </c>
      <c r="C37" s="15" t="str">
        <f>Base_report!C37</f>
        <v>C2036</v>
      </c>
      <c r="D37" s="14" t="str">
        <f>TRIM(IF(ISNUMBER(FIND("PNSME",Base_report!D37,1)),SUBSTITUTE(Base_report!D37,"PNSME",""),IF(ISNUMBER(FIND("PHG",Base_report!D37,1)),SUBSTITUTE(Base_report!D37,"PHG",""),IF(ISNUMBER(FIND("PCS",Base_report!D37,1)),SUBSTITUTE(Base_report!D37,"PCS",""),IF(ISNUMBER(FIND("CMU",Base_report!D37,1)),SUBSTITUTE(Base_report!D37,"CMU",""),Base_report!D37)))))</f>
        <v>DISTRICT SANITAIRE SEGUELA</v>
      </c>
      <c r="E37" s="14" t="str">
        <f>SUBSTITUTE(Base_report!E37,"-","/")</f>
        <v>PNLS/TESTS RAPIDES ET CONSOMMABLES</v>
      </c>
      <c r="F37" s="14" t="s">
        <v>788</v>
      </c>
      <c r="G37" s="16">
        <f>DATE(YEAR(SUBSTITUTE(LEFT(Base_report!F37,10),"-","/")),MONTH(SUBSTITUTE(LEFT(Base_report!F37,10),"-","/")),DAY(SUBSTITUTE(LEFT(Base_report!F37,10),"-","/")))</f>
        <v>45301</v>
      </c>
      <c r="H37" s="16">
        <f>DATE(YEAR(SUBSTITUTE(LEFT(Base_report!G37,10),"-","/")),MONTH(SUBSTITUTE(LEFT(Base_report!G37,10),"-","/")),DAY(SUBSTITUTE(LEFT(Base_report!G37,10),"-","/")))</f>
        <v>45301</v>
      </c>
      <c r="I37" s="17" t="str">
        <f t="shared" si="1"/>
        <v>OUI</v>
      </c>
      <c r="J37" s="18">
        <f>IF(L37="DS",DATE(RIGHT(B37,4),VLOOKUP(LEFT(B37,LEN(B37)-5),Feuil1!$E$3:$F$19,2,FALSE)+1,10),DATE(RIGHT(B37,4),VLOOKUP(LEFT(B37,LEN(B37)-5),Feuil1!$E$3:$F$19,2,FALSE)+1,7))</f>
        <v>45301</v>
      </c>
      <c r="K37" s="19">
        <f t="shared" si="2"/>
        <v>1</v>
      </c>
      <c r="L37" s="6" t="str">
        <f t="shared" si="3"/>
        <v>DS</v>
      </c>
    </row>
    <row r="38" ht="14.25" customHeight="1">
      <c r="A38" s="14" t="str">
        <f>Base_report!A38</f>
        <v>ABIDJAN 2</v>
      </c>
      <c r="B38" s="14" t="str">
        <f>Base_report!B38</f>
        <v>DECEMBRE 2023</v>
      </c>
      <c r="C38" s="15" t="str">
        <f>Base_report!C38</f>
        <v>C1422</v>
      </c>
      <c r="D38" s="14" t="str">
        <f>TRIM(IF(ISNUMBER(FIND("PNSME",Base_report!D38,1)),SUBSTITUTE(Base_report!D38,"PNSME",""),IF(ISNUMBER(FIND("PHG",Base_report!D38,1)),SUBSTITUTE(Base_report!D38,"PHG",""),IF(ISNUMBER(FIND("PCS",Base_report!D38,1)),SUBSTITUTE(Base_report!D38,"PCS",""),IF(ISNUMBER(FIND("CMU",Base_report!D38,1)),SUBSTITUTE(Base_report!D38,"CMU",""),Base_report!D38)))))</f>
        <v>DISTRICT SANITAIRE PORT BOUET VRIDI</v>
      </c>
      <c r="E38" s="14" t="str">
        <f>SUBSTITUTE(Base_report!E38,"-","/")</f>
        <v>PNSME_GRATUITE:MEDICAMENTS ET INTRANTS</v>
      </c>
      <c r="F38" s="14" t="s">
        <v>788</v>
      </c>
      <c r="G38" s="16">
        <f>DATE(YEAR(SUBSTITUTE(LEFT(Base_report!F38,10),"-","/")),MONTH(SUBSTITUTE(LEFT(Base_report!F38,10),"-","/")),DAY(SUBSTITUTE(LEFT(Base_report!F38,10),"-","/")))</f>
        <v>45300</v>
      </c>
      <c r="H38" s="16">
        <f>DATE(YEAR(SUBSTITUTE(LEFT(Base_report!G38,10),"-","/")),MONTH(SUBSTITUTE(LEFT(Base_report!G38,10),"-","/")),DAY(SUBSTITUTE(LEFT(Base_report!G38,10),"-","/")))</f>
        <v>45301</v>
      </c>
      <c r="I38" s="17" t="str">
        <f t="shared" si="1"/>
        <v>OUI</v>
      </c>
      <c r="J38" s="18">
        <f>IF(L38="DS",DATE(RIGHT(B38,4),VLOOKUP(LEFT(B38,LEN(B38)-5),Feuil1!$E$3:$F$19,2,FALSE)+1,10),DATE(RIGHT(B38,4),VLOOKUP(LEFT(B38,LEN(B38)-5),Feuil1!$E$3:$F$19,2,FALSE)+1,7))</f>
        <v>45301</v>
      </c>
      <c r="K38" s="19">
        <f t="shared" si="2"/>
        <v>1</v>
      </c>
      <c r="L38" s="6" t="str">
        <f t="shared" si="3"/>
        <v>DS</v>
      </c>
    </row>
    <row r="39" ht="14.25" customHeight="1">
      <c r="A39" s="14" t="str">
        <f>Base_report!A39</f>
        <v>GUEMON</v>
      </c>
      <c r="B39" s="14" t="str">
        <f>Base_report!B39</f>
        <v>DECEMBRE 2023</v>
      </c>
      <c r="C39" s="15" t="str">
        <f>Base_report!C39</f>
        <v>C5007</v>
      </c>
      <c r="D39" s="14" t="str">
        <f>TRIM(IF(ISNUMBER(FIND("PNSME",Base_report!D39,1)),SUBSTITUTE(Base_report!D39,"PNSME",""),IF(ISNUMBER(FIND("PHG",Base_report!D39,1)),SUBSTITUTE(Base_report!D39,"PHG",""),IF(ISNUMBER(FIND("PCS",Base_report!D39,1)),SUBSTITUTE(Base_report!D39,"PCS",""),IF(ISNUMBER(FIND("CMU",Base_report!D39,1)),SUBSTITUTE(Base_report!D39,"CMU",""),Base_report!D39)))))</f>
        <v>DISTRICT SANITAIRE BANGOLO</v>
      </c>
      <c r="E39" s="14" t="str">
        <f>SUBSTITUTE(Base_report!E39,"-","/")</f>
        <v>PNLS/TESTS RAPIDES ET CONSOMMABLES</v>
      </c>
      <c r="F39" s="14" t="s">
        <v>788</v>
      </c>
      <c r="G39" s="16">
        <f>DATE(YEAR(SUBSTITUTE(LEFT(Base_report!F39,10),"-","/")),MONTH(SUBSTITUTE(LEFT(Base_report!F39,10),"-","/")),DAY(SUBSTITUTE(LEFT(Base_report!F39,10),"-","/")))</f>
        <v>45301</v>
      </c>
      <c r="H39" s="16">
        <f>DATE(YEAR(SUBSTITUTE(LEFT(Base_report!G39,10),"-","/")),MONTH(SUBSTITUTE(LEFT(Base_report!G39,10),"-","/")),DAY(SUBSTITUTE(LEFT(Base_report!G39,10),"-","/")))</f>
        <v>45301</v>
      </c>
      <c r="I39" s="17" t="str">
        <f t="shared" si="1"/>
        <v>OUI</v>
      </c>
      <c r="J39" s="18">
        <f>IF(L39="DS",DATE(RIGHT(B39,4),VLOOKUP(LEFT(B39,LEN(B39)-5),Feuil1!$E$3:$F$19,2,FALSE)+1,10),DATE(RIGHT(B39,4),VLOOKUP(LEFT(B39,LEN(B39)-5),Feuil1!$E$3:$F$19,2,FALSE)+1,7))</f>
        <v>45301</v>
      </c>
      <c r="K39" s="19">
        <f t="shared" si="2"/>
        <v>1</v>
      </c>
      <c r="L39" s="6" t="str">
        <f t="shared" si="3"/>
        <v>DS</v>
      </c>
    </row>
    <row r="40" ht="14.25" customHeight="1">
      <c r="A40" s="14" t="str">
        <f>Base_report!A40</f>
        <v>BELIER</v>
      </c>
      <c r="B40" s="14" t="str">
        <f>Base_report!B40</f>
        <v>DECEMBRE 2023</v>
      </c>
      <c r="C40" s="15" t="str">
        <f>Base_report!C40</f>
        <v>C2042</v>
      </c>
      <c r="D40" s="14" t="str">
        <f>TRIM(IF(ISNUMBER(FIND("PNSME",Base_report!D40,1)),SUBSTITUTE(Base_report!D40,"PNSME",""),IF(ISNUMBER(FIND("PHG",Base_report!D40,1)),SUBSTITUTE(Base_report!D40,"PHG",""),IF(ISNUMBER(FIND("PCS",Base_report!D40,1)),SUBSTITUTE(Base_report!D40,"PCS",""),IF(ISNUMBER(FIND("CMU",Base_report!D40,1)),SUBSTITUTE(Base_report!D40,"CMU",""),Base_report!D40)))))</f>
        <v>DISTRICT SANITAIRE TIEBISSOU</v>
      </c>
      <c r="E40" s="14" t="str">
        <f>SUBSTITUTE(Base_report!E40,"-","/")</f>
        <v>PNLS/ANTIRETROVIRAUX ET IO</v>
      </c>
      <c r="F40" s="14" t="s">
        <v>788</v>
      </c>
      <c r="G40" s="16">
        <f>DATE(YEAR(SUBSTITUTE(LEFT(Base_report!F40,10),"-","/")),MONTH(SUBSTITUTE(LEFT(Base_report!F40,10),"-","/")),DAY(SUBSTITUTE(LEFT(Base_report!F40,10),"-","/")))</f>
        <v>45300</v>
      </c>
      <c r="H40" s="16">
        <f>DATE(YEAR(SUBSTITUTE(LEFT(Base_report!G40,10),"-","/")),MONTH(SUBSTITUTE(LEFT(Base_report!G40,10),"-","/")),DAY(SUBSTITUTE(LEFT(Base_report!G40,10),"-","/")))</f>
        <v>45300</v>
      </c>
      <c r="I40" s="17" t="str">
        <f t="shared" si="1"/>
        <v>OUI</v>
      </c>
      <c r="J40" s="18">
        <f>IF(L40="DS",DATE(RIGHT(B40,4),VLOOKUP(LEFT(B40,LEN(B40)-5),Feuil1!$E$3:$F$19,2,FALSE)+1,10),DATE(RIGHT(B40,4),VLOOKUP(LEFT(B40,LEN(B40)-5),Feuil1!$E$3:$F$19,2,FALSE)+1,7))</f>
        <v>45301</v>
      </c>
      <c r="K40" s="19">
        <f t="shared" si="2"/>
        <v>1</v>
      </c>
      <c r="L40" s="6" t="str">
        <f t="shared" si="3"/>
        <v>DS</v>
      </c>
    </row>
    <row r="41" ht="14.25" customHeight="1">
      <c r="A41" s="14" t="str">
        <f>Base_report!A41</f>
        <v>PORO</v>
      </c>
      <c r="B41" s="14" t="str">
        <f>Base_report!B41</f>
        <v>DECEMBRE 2023</v>
      </c>
      <c r="C41" s="15" t="str">
        <f>Base_report!C41</f>
        <v>C2218</v>
      </c>
      <c r="D41" s="14" t="str">
        <f>TRIM(IF(ISNUMBER(FIND("PNSME",Base_report!D41,1)),SUBSTITUTE(Base_report!D41,"PNSME",""),IF(ISNUMBER(FIND("PHG",Base_report!D41,1)),SUBSTITUTE(Base_report!D41,"PHG",""),IF(ISNUMBER(FIND("PCS",Base_report!D41,1)),SUBSTITUTE(Base_report!D41,"PCS",""),IF(ISNUMBER(FIND("CMU",Base_report!D41,1)),SUBSTITUTE(Base_report!D41,"CMU",""),Base_report!D41)))))</f>
        <v>DISTRICT SANITAIRE KORHOGO 2</v>
      </c>
      <c r="E41" s="14" t="str">
        <f>SUBSTITUTE(Base_report!E41,"-","/")</f>
        <v>PNLS/TESTS RAPIDES ET CONSOMMABLES</v>
      </c>
      <c r="F41" s="14" t="s">
        <v>788</v>
      </c>
      <c r="G41" s="16">
        <f>DATE(YEAR(SUBSTITUTE(LEFT(Base_report!F41,10),"-","/")),MONTH(SUBSTITUTE(LEFT(Base_report!F41,10),"-","/")),DAY(SUBSTITUTE(LEFT(Base_report!F41,10),"-","/")))</f>
        <v>45301</v>
      </c>
      <c r="H41" s="16">
        <f>DATE(YEAR(SUBSTITUTE(LEFT(Base_report!G41,10),"-","/")),MONTH(SUBSTITUTE(LEFT(Base_report!G41,10),"-","/")),DAY(SUBSTITUTE(LEFT(Base_report!G41,10),"-","/")))</f>
        <v>45301</v>
      </c>
      <c r="I41" s="17" t="str">
        <f t="shared" si="1"/>
        <v>OUI</v>
      </c>
      <c r="J41" s="18">
        <f>IF(L41="DS",DATE(RIGHT(B41,4),VLOOKUP(LEFT(B41,LEN(B41)-5),Feuil1!$E$3:$F$19,2,FALSE)+1,10),DATE(RIGHT(B41,4),VLOOKUP(LEFT(B41,LEN(B41)-5),Feuil1!$E$3:$F$19,2,FALSE)+1,7))</f>
        <v>45301</v>
      </c>
      <c r="K41" s="19">
        <f t="shared" si="2"/>
        <v>1</v>
      </c>
      <c r="L41" s="6" t="str">
        <f t="shared" si="3"/>
        <v>DS</v>
      </c>
    </row>
    <row r="42" ht="14.25" customHeight="1">
      <c r="A42" s="14" t="str">
        <f>Base_report!A42</f>
        <v>IFFOU</v>
      </c>
      <c r="B42" s="14" t="str">
        <f>Base_report!B42</f>
        <v>DECEMBRE 2023</v>
      </c>
      <c r="C42" s="15" t="str">
        <f>Base_report!C42</f>
        <v>C4051</v>
      </c>
      <c r="D42" s="14" t="str">
        <f>TRIM(IF(ISNUMBER(FIND("PNSME",Base_report!D42,1)),SUBSTITUTE(Base_report!D42,"PNSME",""),IF(ISNUMBER(FIND("PHG",Base_report!D42,1)),SUBSTITUTE(Base_report!D42,"PHG",""),IF(ISNUMBER(FIND("PCS",Base_report!D42,1)),SUBSTITUTE(Base_report!D42,"PCS",""),IF(ISNUMBER(FIND("CMU",Base_report!D42,1)),SUBSTITUTE(Base_report!D42,"CMU",""),Base_report!D42)))))</f>
        <v>DISTRICT SANITAIRE PRIKRO</v>
      </c>
      <c r="E42" s="14" t="str">
        <f>SUBSTITUTE(Base_report!E42,"-","/")</f>
        <v>PNLS/TESTS RAPIDES ET CONSOMMABLES</v>
      </c>
      <c r="F42" s="14" t="s">
        <v>788</v>
      </c>
      <c r="G42" s="16">
        <f>DATE(YEAR(SUBSTITUTE(LEFT(Base_report!F42,10),"-","/")),MONTH(SUBSTITUTE(LEFT(Base_report!F42,10),"-","/")),DAY(SUBSTITUTE(LEFT(Base_report!F42,10),"-","/")))</f>
        <v>45301</v>
      </c>
      <c r="H42" s="16">
        <f>DATE(YEAR(SUBSTITUTE(LEFT(Base_report!G42,10),"-","/")),MONTH(SUBSTITUTE(LEFT(Base_report!G42,10),"-","/")),DAY(SUBSTITUTE(LEFT(Base_report!G42,10),"-","/")))</f>
        <v>45301</v>
      </c>
      <c r="I42" s="17" t="str">
        <f t="shared" si="1"/>
        <v>OUI</v>
      </c>
      <c r="J42" s="18">
        <f>IF(L42="DS",DATE(RIGHT(B42,4),VLOOKUP(LEFT(B42,LEN(B42)-5),Feuil1!$E$3:$F$19,2,FALSE)+1,10),DATE(RIGHT(B42,4),VLOOKUP(LEFT(B42,LEN(B42)-5),Feuil1!$E$3:$F$19,2,FALSE)+1,7))</f>
        <v>45301</v>
      </c>
      <c r="K42" s="19">
        <f t="shared" si="2"/>
        <v>1</v>
      </c>
      <c r="L42" s="6" t="str">
        <f t="shared" si="3"/>
        <v>DS</v>
      </c>
    </row>
    <row r="43" ht="14.25" customHeight="1">
      <c r="A43" s="14" t="str">
        <f>Base_report!A43</f>
        <v>GUEMON</v>
      </c>
      <c r="B43" s="14" t="str">
        <f>Base_report!B43</f>
        <v>DECEMBRE 2023</v>
      </c>
      <c r="C43" s="15" t="str">
        <f>Base_report!C43</f>
        <v>C5007</v>
      </c>
      <c r="D43" s="14" t="str">
        <f>TRIM(IF(ISNUMBER(FIND("PNSME",Base_report!D43,1)),SUBSTITUTE(Base_report!D43,"PNSME",""),IF(ISNUMBER(FIND("PHG",Base_report!D43,1)),SUBSTITUTE(Base_report!D43,"PHG",""),IF(ISNUMBER(FIND("PCS",Base_report!D43,1)),SUBSTITUTE(Base_report!D43,"PCS",""),IF(ISNUMBER(FIND("CMU",Base_report!D43,1)),SUBSTITUTE(Base_report!D43,"CMU",""),Base_report!D43)))))</f>
        <v>DISTRICT SANITAIRE BANGOLO</v>
      </c>
      <c r="E43" s="14" t="str">
        <f>SUBSTITUTE(Base_report!E43,"-","/")</f>
        <v>PNSME/MEDICAMENTS ET INTRANTS</v>
      </c>
      <c r="F43" s="14" t="s">
        <v>788</v>
      </c>
      <c r="G43" s="16">
        <f>DATE(YEAR(SUBSTITUTE(LEFT(Base_report!F43,10),"-","/")),MONTH(SUBSTITUTE(LEFT(Base_report!F43,10),"-","/")),DAY(SUBSTITUTE(LEFT(Base_report!F43,10),"-","/")))</f>
        <v>45301</v>
      </c>
      <c r="H43" s="16">
        <f>DATE(YEAR(SUBSTITUTE(LEFT(Base_report!G43,10),"-","/")),MONTH(SUBSTITUTE(LEFT(Base_report!G43,10),"-","/")),DAY(SUBSTITUTE(LEFT(Base_report!G43,10),"-","/")))</f>
        <v>45301</v>
      </c>
      <c r="I43" s="17" t="str">
        <f t="shared" si="1"/>
        <v>OUI</v>
      </c>
      <c r="J43" s="18">
        <f>IF(L43="DS",DATE(RIGHT(B43,4),VLOOKUP(LEFT(B43,LEN(B43)-5),Feuil1!$E$3:$F$19,2,FALSE)+1,10),DATE(RIGHT(B43,4),VLOOKUP(LEFT(B43,LEN(B43)-5),Feuil1!$E$3:$F$19,2,FALSE)+1,7))</f>
        <v>45301</v>
      </c>
      <c r="K43" s="19">
        <f t="shared" si="2"/>
        <v>1</v>
      </c>
      <c r="L43" s="6" t="str">
        <f t="shared" si="3"/>
        <v>DS</v>
      </c>
    </row>
    <row r="44" ht="14.25" customHeight="1">
      <c r="A44" s="14" t="str">
        <f>Base_report!A44</f>
        <v>TONKPI</v>
      </c>
      <c r="B44" s="14" t="str">
        <f>Base_report!B44</f>
        <v>DECEMBRE 2023</v>
      </c>
      <c r="C44" s="15" t="str">
        <f>Base_report!C44</f>
        <v>C5008</v>
      </c>
      <c r="D44" s="14" t="str">
        <f>TRIM(IF(ISNUMBER(FIND("PNSME",Base_report!D44,1)),SUBSTITUTE(Base_report!D44,"PNSME",""),IF(ISNUMBER(FIND("PHG",Base_report!D44,1)),SUBSTITUTE(Base_report!D44,"PHG",""),IF(ISNUMBER(FIND("PCS",Base_report!D44,1)),SUBSTITUTE(Base_report!D44,"PCS",""),IF(ISNUMBER(FIND("CMU",Base_report!D44,1)),SUBSTITUTE(Base_report!D44,"CMU",""),Base_report!D44)))))</f>
        <v>DISTRICT SANITAIRE BIANKOUMA</v>
      </c>
      <c r="E44" s="14" t="str">
        <f>SUBSTITUTE(Base_report!E44,"-","/")</f>
        <v>PNLS/ANTIRETROVIRAUX ET IO</v>
      </c>
      <c r="F44" s="14" t="s">
        <v>788</v>
      </c>
      <c r="G44" s="16">
        <f>DATE(YEAR(SUBSTITUTE(LEFT(Base_report!F44,10),"-","/")),MONTH(SUBSTITUTE(LEFT(Base_report!F44,10),"-","/")),DAY(SUBSTITUTE(LEFT(Base_report!F44,10),"-","/")))</f>
        <v>45300</v>
      </c>
      <c r="H44" s="16">
        <f>DATE(YEAR(SUBSTITUTE(LEFT(Base_report!G44,10),"-","/")),MONTH(SUBSTITUTE(LEFT(Base_report!G44,10),"-","/")),DAY(SUBSTITUTE(LEFT(Base_report!G44,10),"-","/")))</f>
        <v>45300</v>
      </c>
      <c r="I44" s="17" t="str">
        <f t="shared" si="1"/>
        <v>OUI</v>
      </c>
      <c r="J44" s="18">
        <f>IF(L44="DS",DATE(RIGHT(B44,4),VLOOKUP(LEFT(B44,LEN(B44)-5),Feuil1!$E$3:$F$19,2,FALSE)+1,10),DATE(RIGHT(B44,4),VLOOKUP(LEFT(B44,LEN(B44)-5),Feuil1!$E$3:$F$19,2,FALSE)+1,7))</f>
        <v>45301</v>
      </c>
      <c r="K44" s="19">
        <f t="shared" si="2"/>
        <v>1</v>
      </c>
      <c r="L44" s="6" t="str">
        <f t="shared" si="3"/>
        <v>DS</v>
      </c>
    </row>
    <row r="45" ht="14.25" customHeight="1">
      <c r="A45" s="14" t="str">
        <f>Base_report!A45</f>
        <v>MORONOU</v>
      </c>
      <c r="B45" s="14" t="str">
        <f>Base_report!B45</f>
        <v>DECEMBRE 2023</v>
      </c>
      <c r="C45" s="15" t="str">
        <f>Base_report!C45</f>
        <v>C4009</v>
      </c>
      <c r="D45" s="14" t="str">
        <f>TRIM(IF(ISNUMBER(FIND("PNSME",Base_report!D45,1)),SUBSTITUTE(Base_report!D45,"PNSME",""),IF(ISNUMBER(FIND("PHG",Base_report!D45,1)),SUBSTITUTE(Base_report!D45,"PHG",""),IF(ISNUMBER(FIND("PCS",Base_report!D45,1)),SUBSTITUTE(Base_report!D45,"PCS",""),IF(ISNUMBER(FIND("CMU",Base_report!D45,1)),SUBSTITUTE(Base_report!D45,"CMU",""),Base_report!D45)))))</f>
        <v>DISTRICT SANITAIRE BONGOUANOU</v>
      </c>
      <c r="E45" s="14" t="str">
        <f>SUBSTITUTE(Base_report!E45,"-","/")</f>
        <v>PNLP/MEDICAMENTS ET INTRANTS</v>
      </c>
      <c r="F45" s="14" t="s">
        <v>788</v>
      </c>
      <c r="G45" s="16">
        <f>DATE(YEAR(SUBSTITUTE(LEFT(Base_report!F45,10),"-","/")),MONTH(SUBSTITUTE(LEFT(Base_report!F45,10),"-","/")),DAY(SUBSTITUTE(LEFT(Base_report!F45,10),"-","/")))</f>
        <v>45300</v>
      </c>
      <c r="H45" s="16">
        <f>DATE(YEAR(SUBSTITUTE(LEFT(Base_report!G45,10),"-","/")),MONTH(SUBSTITUTE(LEFT(Base_report!G45,10),"-","/")),DAY(SUBSTITUTE(LEFT(Base_report!G45,10),"-","/")))</f>
        <v>45301</v>
      </c>
      <c r="I45" s="17" t="str">
        <f t="shared" si="1"/>
        <v>OUI</v>
      </c>
      <c r="J45" s="18">
        <f>IF(L45="DS",DATE(RIGHT(B45,4),VLOOKUP(LEFT(B45,LEN(B45)-5),Feuil1!$E$3:$F$19,2,FALSE)+1,10),DATE(RIGHT(B45,4),VLOOKUP(LEFT(B45,LEN(B45)-5),Feuil1!$E$3:$F$19,2,FALSE)+1,7))</f>
        <v>45301</v>
      </c>
      <c r="K45" s="19">
        <f t="shared" si="2"/>
        <v>1</v>
      </c>
      <c r="L45" s="6" t="str">
        <f t="shared" si="3"/>
        <v>DS</v>
      </c>
    </row>
    <row r="46" ht="14.25" customHeight="1">
      <c r="A46" s="14" t="str">
        <f>Base_report!A46</f>
        <v>GUEMON</v>
      </c>
      <c r="B46" s="14" t="str">
        <f>Base_report!B46</f>
        <v>DECEMBRE 2023</v>
      </c>
      <c r="C46" s="15" t="str">
        <f>Base_report!C46</f>
        <v>C5007</v>
      </c>
      <c r="D46" s="14" t="str">
        <f>TRIM(IF(ISNUMBER(FIND("PNSME",Base_report!D46,1)),SUBSTITUTE(Base_report!D46,"PNSME",""),IF(ISNUMBER(FIND("PHG",Base_report!D46,1)),SUBSTITUTE(Base_report!D46,"PHG",""),IF(ISNUMBER(FIND("PCS",Base_report!D46,1)),SUBSTITUTE(Base_report!D46,"PCS",""),IF(ISNUMBER(FIND("CMU",Base_report!D46,1)),SUBSTITUTE(Base_report!D46,"CMU",""),Base_report!D46)))))</f>
        <v>DISTRICT SANITAIRE BANGOLO</v>
      </c>
      <c r="E46" s="14" t="str">
        <f>SUBSTITUTE(Base_report!E46,"-","/")</f>
        <v>PNN/MEDICAMENTS ET INTRANTS</v>
      </c>
      <c r="F46" s="14" t="s">
        <v>788</v>
      </c>
      <c r="G46" s="16">
        <f>DATE(YEAR(SUBSTITUTE(LEFT(Base_report!F46,10),"-","/")),MONTH(SUBSTITUTE(LEFT(Base_report!F46,10),"-","/")),DAY(SUBSTITUTE(LEFT(Base_report!F46,10),"-","/")))</f>
        <v>45300</v>
      </c>
      <c r="H46" s="16">
        <f>DATE(YEAR(SUBSTITUTE(LEFT(Base_report!G46,10),"-","/")),MONTH(SUBSTITUTE(LEFT(Base_report!G46,10),"-","/")),DAY(SUBSTITUTE(LEFT(Base_report!G46,10),"-","/")))</f>
        <v>45301</v>
      </c>
      <c r="I46" s="17" t="str">
        <f t="shared" si="1"/>
        <v>OUI</v>
      </c>
      <c r="J46" s="18">
        <f>IF(L46="DS",DATE(RIGHT(B46,4),VLOOKUP(LEFT(B46,LEN(B46)-5),Feuil1!$E$3:$F$19,2,FALSE)+1,10),DATE(RIGHT(B46,4),VLOOKUP(LEFT(B46,LEN(B46)-5),Feuil1!$E$3:$F$19,2,FALSE)+1,7))</f>
        <v>45301</v>
      </c>
      <c r="K46" s="19">
        <f t="shared" si="2"/>
        <v>1</v>
      </c>
      <c r="L46" s="6" t="str">
        <f t="shared" si="3"/>
        <v>DS</v>
      </c>
    </row>
    <row r="47" ht="14.25" customHeight="1">
      <c r="A47" s="14" t="str">
        <f>Base_report!A47</f>
        <v>GUEMON</v>
      </c>
      <c r="B47" s="14" t="str">
        <f>Base_report!B47</f>
        <v>DECEMBRE 2023</v>
      </c>
      <c r="C47" s="15" t="str">
        <f>Base_report!C47</f>
        <v>C5007</v>
      </c>
      <c r="D47" s="14" t="str">
        <f>TRIM(IF(ISNUMBER(FIND("PNSME",Base_report!D47,1)),SUBSTITUTE(Base_report!D47,"PNSME",""),IF(ISNUMBER(FIND("PHG",Base_report!D47,1)),SUBSTITUTE(Base_report!D47,"PHG",""),IF(ISNUMBER(FIND("PCS",Base_report!D47,1)),SUBSTITUTE(Base_report!D47,"PCS",""),IF(ISNUMBER(FIND("CMU",Base_report!D47,1)),SUBSTITUTE(Base_report!D47,"CMU",""),Base_report!D47)))))</f>
        <v>DISTRICT SANITAIRE BANGOLO</v>
      </c>
      <c r="E47" s="14" t="str">
        <f>SUBSTITUTE(Base_report!E47,"-","/")</f>
        <v>PNLS/PRODUITS DE LABORATOIRE</v>
      </c>
      <c r="F47" s="14" t="s">
        <v>788</v>
      </c>
      <c r="G47" s="16">
        <f>DATE(YEAR(SUBSTITUTE(LEFT(Base_report!F47,10),"-","/")),MONTH(SUBSTITUTE(LEFT(Base_report!F47,10),"-","/")),DAY(SUBSTITUTE(LEFT(Base_report!F47,10),"-","/")))</f>
        <v>45300</v>
      </c>
      <c r="H47" s="16">
        <f>DATE(YEAR(SUBSTITUTE(LEFT(Base_report!G47,10),"-","/")),MONTH(SUBSTITUTE(LEFT(Base_report!G47,10),"-","/")),DAY(SUBSTITUTE(LEFT(Base_report!G47,10),"-","/")))</f>
        <v>45301</v>
      </c>
      <c r="I47" s="17" t="str">
        <f t="shared" si="1"/>
        <v>OUI</v>
      </c>
      <c r="J47" s="18">
        <f>IF(L47="DS",DATE(RIGHT(B47,4),VLOOKUP(LEFT(B47,LEN(B47)-5),Feuil1!$E$3:$F$19,2,FALSE)+1,10),DATE(RIGHT(B47,4),VLOOKUP(LEFT(B47,LEN(B47)-5),Feuil1!$E$3:$F$19,2,FALSE)+1,7))</f>
        <v>45301</v>
      </c>
      <c r="K47" s="19">
        <f t="shared" si="2"/>
        <v>1</v>
      </c>
      <c r="L47" s="6" t="str">
        <f t="shared" si="3"/>
        <v>DS</v>
      </c>
    </row>
    <row r="48" ht="14.25" customHeight="1">
      <c r="A48" s="14" t="str">
        <f>Base_report!A48</f>
        <v>TCHOLOGO</v>
      </c>
      <c r="B48" s="14" t="str">
        <f>Base_report!B48</f>
        <v>DECEMBRE 2023</v>
      </c>
      <c r="C48" s="15" t="str">
        <f>Base_report!C48</f>
        <v>C3046</v>
      </c>
      <c r="D48" s="14" t="str">
        <f>TRIM(IF(ISNUMBER(FIND("PNSME",Base_report!D48,1)),SUBSTITUTE(Base_report!D48,"PNSME",""),IF(ISNUMBER(FIND("PHG",Base_report!D48,1)),SUBSTITUTE(Base_report!D48,"PHG",""),IF(ISNUMBER(FIND("PCS",Base_report!D48,1)),SUBSTITUTE(Base_report!D48,"PCS",""),IF(ISNUMBER(FIND("CMU",Base_report!D48,1)),SUBSTITUTE(Base_report!D48,"CMU",""),Base_report!D48)))))</f>
        <v>DISTRICT SANITAIRE OUANGOLO</v>
      </c>
      <c r="E48" s="14" t="str">
        <f>SUBSTITUTE(Base_report!E48,"-","/")</f>
        <v>PNLS/PRODUITS DE LABORATOIRE</v>
      </c>
      <c r="F48" s="14" t="s">
        <v>788</v>
      </c>
      <c r="G48" s="16">
        <f>DATE(YEAR(SUBSTITUTE(LEFT(Base_report!F48,10),"-","/")),MONTH(SUBSTITUTE(LEFT(Base_report!F48,10),"-","/")),DAY(SUBSTITUTE(LEFT(Base_report!F48,10),"-","/")))</f>
        <v>45300</v>
      </c>
      <c r="H48" s="16">
        <f>DATE(YEAR(SUBSTITUTE(LEFT(Base_report!G48,10),"-","/")),MONTH(SUBSTITUTE(LEFT(Base_report!G48,10),"-","/")),DAY(SUBSTITUTE(LEFT(Base_report!G48,10),"-","/")))</f>
        <v>45301</v>
      </c>
      <c r="I48" s="17" t="str">
        <f t="shared" si="1"/>
        <v>OUI</v>
      </c>
      <c r="J48" s="18">
        <f>IF(L48="DS",DATE(RIGHT(B48,4),VLOOKUP(LEFT(B48,LEN(B48)-5),Feuil1!$E$3:$F$19,2,FALSE)+1,10),DATE(RIGHT(B48,4),VLOOKUP(LEFT(B48,LEN(B48)-5),Feuil1!$E$3:$F$19,2,FALSE)+1,7))</f>
        <v>45301</v>
      </c>
      <c r="K48" s="19">
        <f t="shared" si="2"/>
        <v>1</v>
      </c>
      <c r="L48" s="6" t="str">
        <f t="shared" si="3"/>
        <v>DS</v>
      </c>
    </row>
    <row r="49" ht="14.25" customHeight="1">
      <c r="A49" s="14" t="str">
        <f>Base_report!A49</f>
        <v>ABIDJAN 2</v>
      </c>
      <c r="B49" s="14" t="str">
        <f>Base_report!B49</f>
        <v>DECEMBRE 2023</v>
      </c>
      <c r="C49" s="15" t="str">
        <f>Base_report!C49</f>
        <v>C1400</v>
      </c>
      <c r="D49" s="14" t="str">
        <f>TRIM(IF(ISNUMBER(FIND("PNSME",Base_report!D49,1)),SUBSTITUTE(Base_report!D49,"PNSME",""),IF(ISNUMBER(FIND("PHG",Base_report!D49,1)),SUBSTITUTE(Base_report!D49,"PHG",""),IF(ISNUMBER(FIND("PCS",Base_report!D49,1)),SUBSTITUTE(Base_report!D49,"PCS",""),IF(ISNUMBER(FIND("CMU",Base_report!D49,1)),SUBSTITUTE(Base_report!D49,"CMU",""),Base_report!D49)))))</f>
        <v>DISTRICT SANITAIRE COCODY BINGERVILLE</v>
      </c>
      <c r="E49" s="14" t="str">
        <f>SUBSTITUTE(Base_report!E49,"-","/")</f>
        <v>PNLS/PRODUITS DE LABORATOIRE</v>
      </c>
      <c r="F49" s="14" t="s">
        <v>788</v>
      </c>
      <c r="G49" s="16">
        <f>DATE(YEAR(SUBSTITUTE(LEFT(Base_report!F49,10),"-","/")),MONTH(SUBSTITUTE(LEFT(Base_report!F49,10),"-","/")),DAY(SUBSTITUTE(LEFT(Base_report!F49,10),"-","/")))</f>
        <v>45300</v>
      </c>
      <c r="H49" s="16">
        <f>DATE(YEAR(SUBSTITUTE(LEFT(Base_report!G49,10),"-","/")),MONTH(SUBSTITUTE(LEFT(Base_report!G49,10),"-","/")),DAY(SUBSTITUTE(LEFT(Base_report!G49,10),"-","/")))</f>
        <v>45301</v>
      </c>
      <c r="I49" s="17" t="str">
        <f t="shared" si="1"/>
        <v>OUI</v>
      </c>
      <c r="J49" s="18">
        <f>IF(L49="DS",DATE(RIGHT(B49,4),VLOOKUP(LEFT(B49,LEN(B49)-5),Feuil1!$E$3:$F$19,2,FALSE)+1,10),DATE(RIGHT(B49,4),VLOOKUP(LEFT(B49,LEN(B49)-5),Feuil1!$E$3:$F$19,2,FALSE)+1,7))</f>
        <v>45301</v>
      </c>
      <c r="K49" s="19">
        <f t="shared" si="2"/>
        <v>1</v>
      </c>
      <c r="L49" s="6" t="str">
        <f t="shared" si="3"/>
        <v>DS</v>
      </c>
    </row>
    <row r="50" ht="14.25" customHeight="1">
      <c r="A50" s="14" t="str">
        <f>Base_report!A50</f>
        <v>SUD-COMOE</v>
      </c>
      <c r="B50" s="14" t="str">
        <f>Base_report!B50</f>
        <v>DECEMBRE 2023</v>
      </c>
      <c r="C50" s="15" t="str">
        <f>Base_report!C50</f>
        <v>C1048</v>
      </c>
      <c r="D50" s="14" t="str">
        <f>TRIM(IF(ISNUMBER(FIND("PNSME",Base_report!D50,1)),SUBSTITUTE(Base_report!D50,"PNSME",""),IF(ISNUMBER(FIND("PHG",Base_report!D50,1)),SUBSTITUTE(Base_report!D50,"PHG",""),IF(ISNUMBER(FIND("PCS",Base_report!D50,1)),SUBSTITUTE(Base_report!D50,"PCS",""),IF(ISNUMBER(FIND("CMU",Base_report!D50,1)),SUBSTITUTE(Base_report!D50,"CMU",""),Base_report!D50)))))</f>
        <v>DISTRICT SANITAIRE GRAND-BASSAM</v>
      </c>
      <c r="E50" s="14" t="str">
        <f>SUBSTITUTE(Base_report!E50,"-","/")</f>
        <v>PNLP/MEDICAMENTS ET INTRANTS</v>
      </c>
      <c r="F50" s="14" t="s">
        <v>788</v>
      </c>
      <c r="G50" s="16">
        <f>DATE(YEAR(SUBSTITUTE(LEFT(Base_report!F50,10),"-","/")),MONTH(SUBSTITUTE(LEFT(Base_report!F50,10),"-","/")),DAY(SUBSTITUTE(LEFT(Base_report!F50,10),"-","/")))</f>
        <v>45300</v>
      </c>
      <c r="H50" s="16">
        <f>DATE(YEAR(SUBSTITUTE(LEFT(Base_report!G50,10),"-","/")),MONTH(SUBSTITUTE(LEFT(Base_report!G50,10),"-","/")),DAY(SUBSTITUTE(LEFT(Base_report!G50,10),"-","/")))</f>
        <v>45300</v>
      </c>
      <c r="I50" s="17" t="str">
        <f t="shared" si="1"/>
        <v>OUI</v>
      </c>
      <c r="J50" s="18">
        <f>IF(L50="DS",DATE(RIGHT(B50,4),VLOOKUP(LEFT(B50,LEN(B50)-5),Feuil1!$E$3:$F$19,2,FALSE)+1,10),DATE(RIGHT(B50,4),VLOOKUP(LEFT(B50,LEN(B50)-5),Feuil1!$E$3:$F$19,2,FALSE)+1,7))</f>
        <v>45301</v>
      </c>
      <c r="K50" s="19">
        <f t="shared" si="2"/>
        <v>1</v>
      </c>
      <c r="L50" s="6" t="str">
        <f t="shared" si="3"/>
        <v>DS</v>
      </c>
    </row>
    <row r="51" ht="14.25" customHeight="1">
      <c r="A51" s="14" t="str">
        <f>Base_report!A51</f>
        <v>BELIER</v>
      </c>
      <c r="B51" s="14" t="str">
        <f>Base_report!B51</f>
        <v>DECEMBRE 2023</v>
      </c>
      <c r="C51" s="15" t="str">
        <f>Base_report!C51</f>
        <v>C2038</v>
      </c>
      <c r="D51" s="14" t="str">
        <f>TRIM(IF(ISNUMBER(FIND("PNSME",Base_report!D51,1)),SUBSTITUTE(Base_report!D51,"PNSME",""),IF(ISNUMBER(FIND("PHG",Base_report!D51,1)),SUBSTITUTE(Base_report!D51,"PHG",""),IF(ISNUMBER(FIND("PCS",Base_report!D51,1)),SUBSTITUTE(Base_report!D51,"PCS",""),IF(ISNUMBER(FIND("CMU",Base_report!D51,1)),SUBSTITUTE(Base_report!D51,"CMU",""),Base_report!D51)))))</f>
        <v>DISTRICT SANITAIRE TOUMODI</v>
      </c>
      <c r="E51" s="14" t="str">
        <f>SUBSTITUTE(Base_report!E51,"-","/")</f>
        <v>PNSME_GRATUITE:MEDICAMENTS ET INTRANTS</v>
      </c>
      <c r="F51" s="14" t="s">
        <v>788</v>
      </c>
      <c r="G51" s="16">
        <f>DATE(YEAR(SUBSTITUTE(LEFT(Base_report!F51,10),"-","/")),MONTH(SUBSTITUTE(LEFT(Base_report!F51,10),"-","/")),DAY(SUBSTITUTE(LEFT(Base_report!F51,10),"-","/")))</f>
        <v>45300</v>
      </c>
      <c r="H51" s="16">
        <f>DATE(YEAR(SUBSTITUTE(LEFT(Base_report!G51,10),"-","/")),MONTH(SUBSTITUTE(LEFT(Base_report!G51,10),"-","/")),DAY(SUBSTITUTE(LEFT(Base_report!G51,10),"-","/")))</f>
        <v>45301</v>
      </c>
      <c r="I51" s="17" t="str">
        <f t="shared" si="1"/>
        <v>OUI</v>
      </c>
      <c r="J51" s="18">
        <f>IF(L51="DS",DATE(RIGHT(B51,4),VLOOKUP(LEFT(B51,LEN(B51)-5),Feuil1!$E$3:$F$19,2,FALSE)+1,10),DATE(RIGHT(B51,4),VLOOKUP(LEFT(B51,LEN(B51)-5),Feuil1!$E$3:$F$19,2,FALSE)+1,7))</f>
        <v>45301</v>
      </c>
      <c r="K51" s="19">
        <f t="shared" si="2"/>
        <v>1</v>
      </c>
      <c r="L51" s="6" t="str">
        <f t="shared" si="3"/>
        <v>DS</v>
      </c>
    </row>
    <row r="52" ht="14.25" customHeight="1">
      <c r="A52" s="14" t="str">
        <f>Base_report!A52</f>
        <v>MARAHOUE</v>
      </c>
      <c r="B52" s="14" t="str">
        <f>Base_report!B52</f>
        <v>DECEMBRE 2023</v>
      </c>
      <c r="C52" s="15" t="str">
        <f>Base_report!C52</f>
        <v>C2046</v>
      </c>
      <c r="D52" s="14" t="str">
        <f>TRIM(IF(ISNUMBER(FIND("PNSME",Base_report!D52,1)),SUBSTITUTE(Base_report!D52,"PNSME",""),IF(ISNUMBER(FIND("PHG",Base_report!D52,1)),SUBSTITUTE(Base_report!D52,"PHG",""),IF(ISNUMBER(FIND("PCS",Base_report!D52,1)),SUBSTITUTE(Base_report!D52,"PCS",""),IF(ISNUMBER(FIND("CMU",Base_report!D52,1)),SUBSTITUTE(Base_report!D52,"CMU",""),Base_report!D52)))))</f>
        <v>DISTRICT SANITAIRE ZUENOULA</v>
      </c>
      <c r="E52" s="14" t="str">
        <f>SUBSTITUTE(Base_report!E52,"-","/")</f>
        <v>PNLP/MEDICAMENTS ET INTRANTS</v>
      </c>
      <c r="F52" s="14" t="s">
        <v>788</v>
      </c>
      <c r="G52" s="16">
        <f>DATE(YEAR(SUBSTITUTE(LEFT(Base_report!F52,10),"-","/")),MONTH(SUBSTITUTE(LEFT(Base_report!F52,10),"-","/")),DAY(SUBSTITUTE(LEFT(Base_report!F52,10),"-","/")))</f>
        <v>45301</v>
      </c>
      <c r="H52" s="16">
        <f>DATE(YEAR(SUBSTITUTE(LEFT(Base_report!G52,10),"-","/")),MONTH(SUBSTITUTE(LEFT(Base_report!G52,10),"-","/")),DAY(SUBSTITUTE(LEFT(Base_report!G52,10),"-","/")))</f>
        <v>45301</v>
      </c>
      <c r="I52" s="17" t="str">
        <f t="shared" si="1"/>
        <v>OUI</v>
      </c>
      <c r="J52" s="18">
        <f>IF(L52="DS",DATE(RIGHT(B52,4),VLOOKUP(LEFT(B52,LEN(B52)-5),Feuil1!$E$3:$F$19,2,FALSE)+1,10),DATE(RIGHT(B52,4),VLOOKUP(LEFT(B52,LEN(B52)-5),Feuil1!$E$3:$F$19,2,FALSE)+1,7))</f>
        <v>45301</v>
      </c>
      <c r="K52" s="19">
        <f t="shared" si="2"/>
        <v>1</v>
      </c>
      <c r="L52" s="6" t="str">
        <f t="shared" si="3"/>
        <v>DS</v>
      </c>
    </row>
    <row r="53" ht="14.25" customHeight="1">
      <c r="A53" s="14" t="str">
        <f>Base_report!A53</f>
        <v>CAVALLY</v>
      </c>
      <c r="B53" s="14" t="str">
        <f>Base_report!B53</f>
        <v>DECEMBRE 2023</v>
      </c>
      <c r="C53" s="15" t="str">
        <f>Base_report!C53</f>
        <v>C5014</v>
      </c>
      <c r="D53" s="14" t="str">
        <f>TRIM(IF(ISNUMBER(FIND("PNSME",Base_report!D53,1)),SUBSTITUTE(Base_report!D53,"PNSME",""),IF(ISNUMBER(FIND("PHG",Base_report!D53,1)),SUBSTITUTE(Base_report!D53,"PHG",""),IF(ISNUMBER(FIND("PCS",Base_report!D53,1)),SUBSTITUTE(Base_report!D53,"PCS",""),IF(ISNUMBER(FIND("CMU",Base_report!D53,1)),SUBSTITUTE(Base_report!D53,"CMU",""),Base_report!D53)))))</f>
        <v>DISTRICT SANITAIRE TOULEPLEU</v>
      </c>
      <c r="E53" s="14" t="str">
        <f>SUBSTITUTE(Base_report!E53,"-","/")</f>
        <v>PNN/MEDICAMENTS ET INTRANTS</v>
      </c>
      <c r="F53" s="14" t="s">
        <v>788</v>
      </c>
      <c r="G53" s="16">
        <f>DATE(YEAR(SUBSTITUTE(LEFT(Base_report!F53,10),"-","/")),MONTH(SUBSTITUTE(LEFT(Base_report!F53,10),"-","/")),DAY(SUBSTITUTE(LEFT(Base_report!F53,10),"-","/")))</f>
        <v>45300</v>
      </c>
      <c r="H53" s="16">
        <f>DATE(YEAR(SUBSTITUTE(LEFT(Base_report!G53,10),"-","/")),MONTH(SUBSTITUTE(LEFT(Base_report!G53,10),"-","/")),DAY(SUBSTITUTE(LEFT(Base_report!G53,10),"-","/")))</f>
        <v>45300</v>
      </c>
      <c r="I53" s="17" t="str">
        <f t="shared" si="1"/>
        <v>OUI</v>
      </c>
      <c r="J53" s="18">
        <f>IF(L53="DS",DATE(RIGHT(B53,4),VLOOKUP(LEFT(B53,LEN(B53)-5),Feuil1!$E$3:$F$19,2,FALSE)+1,10),DATE(RIGHT(B53,4),VLOOKUP(LEFT(B53,LEN(B53)-5),Feuil1!$E$3:$F$19,2,FALSE)+1,7))</f>
        <v>45301</v>
      </c>
      <c r="K53" s="19">
        <f t="shared" si="2"/>
        <v>1</v>
      </c>
      <c r="L53" s="6" t="str">
        <f t="shared" si="3"/>
        <v>DS</v>
      </c>
    </row>
    <row r="54" ht="14.25" customHeight="1">
      <c r="A54" s="14" t="str">
        <f>Base_report!A54</f>
        <v>AGNEBY-TIASSA</v>
      </c>
      <c r="B54" s="14" t="str">
        <f>Base_report!B54</f>
        <v>DECEMBRE 2023</v>
      </c>
      <c r="C54" s="15" t="str">
        <f>Base_report!C54</f>
        <v>C1125</v>
      </c>
      <c r="D54" s="14" t="str">
        <f>TRIM(IF(ISNUMBER(FIND("PNSME",Base_report!D54,1)),SUBSTITUTE(Base_report!D54,"PNSME",""),IF(ISNUMBER(FIND("PHG",Base_report!D54,1)),SUBSTITUTE(Base_report!D54,"PHG",""),IF(ISNUMBER(FIND("PCS",Base_report!D54,1)),SUBSTITUTE(Base_report!D54,"PCS",""),IF(ISNUMBER(FIND("CMU",Base_report!D54,1)),SUBSTITUTE(Base_report!D54,"CMU",""),Base_report!D54)))))</f>
        <v>DISTRICT SANITAIRE TIASSALE</v>
      </c>
      <c r="E54" s="14" t="str">
        <f>SUBSTITUTE(Base_report!E54,"-","/")</f>
        <v>PNLS/ANTIRETROVIRAUX ET IO</v>
      </c>
      <c r="F54" s="14" t="s">
        <v>788</v>
      </c>
      <c r="G54" s="16">
        <f>DATE(YEAR(SUBSTITUTE(LEFT(Base_report!F54,10),"-","/")),MONTH(SUBSTITUTE(LEFT(Base_report!F54,10),"-","/")),DAY(SUBSTITUTE(LEFT(Base_report!F54,10),"-","/")))</f>
        <v>45300</v>
      </c>
      <c r="H54" s="16">
        <f>DATE(YEAR(SUBSTITUTE(LEFT(Base_report!G54,10),"-","/")),MONTH(SUBSTITUTE(LEFT(Base_report!G54,10),"-","/")),DAY(SUBSTITUTE(LEFT(Base_report!G54,10),"-","/")))</f>
        <v>45300</v>
      </c>
      <c r="I54" s="17" t="str">
        <f t="shared" si="1"/>
        <v>OUI</v>
      </c>
      <c r="J54" s="18">
        <f>IF(L54="DS",DATE(RIGHT(B54,4),VLOOKUP(LEFT(B54,LEN(B54)-5),Feuil1!$E$3:$F$19,2,FALSE)+1,10),DATE(RIGHT(B54,4),VLOOKUP(LEFT(B54,LEN(B54)-5),Feuil1!$E$3:$F$19,2,FALSE)+1,7))</f>
        <v>45301</v>
      </c>
      <c r="K54" s="19">
        <f t="shared" si="2"/>
        <v>1</v>
      </c>
      <c r="L54" s="6" t="str">
        <f t="shared" si="3"/>
        <v>DS</v>
      </c>
    </row>
    <row r="55" ht="14.25" customHeight="1">
      <c r="A55" s="14" t="str">
        <f>Base_report!A55</f>
        <v>TONKPI</v>
      </c>
      <c r="B55" s="14" t="str">
        <f>Base_report!B55</f>
        <v>DECEMBRE 2023</v>
      </c>
      <c r="C55" s="15" t="str">
        <f>Base_report!C55</f>
        <v>C5008</v>
      </c>
      <c r="D55" s="14" t="str">
        <f>TRIM(IF(ISNUMBER(FIND("PNSME",Base_report!D55,1)),SUBSTITUTE(Base_report!D55,"PNSME",""),IF(ISNUMBER(FIND("PHG",Base_report!D55,1)),SUBSTITUTE(Base_report!D55,"PHG",""),IF(ISNUMBER(FIND("PCS",Base_report!D55,1)),SUBSTITUTE(Base_report!D55,"PCS",""),IF(ISNUMBER(FIND("CMU",Base_report!D55,1)),SUBSTITUTE(Base_report!D55,"CMU",""),Base_report!D55)))))</f>
        <v>DISTRICT SANITAIRE BIANKOUMA</v>
      </c>
      <c r="E55" s="14" t="str">
        <f>SUBSTITUTE(Base_report!E55,"-","/")</f>
        <v>PNLS/TESTS RAPIDES ET CONSOMMABLES</v>
      </c>
      <c r="F55" s="14" t="s">
        <v>788</v>
      </c>
      <c r="G55" s="16">
        <f>DATE(YEAR(SUBSTITUTE(LEFT(Base_report!F55,10),"-","/")),MONTH(SUBSTITUTE(LEFT(Base_report!F55,10),"-","/")),DAY(SUBSTITUTE(LEFT(Base_report!F55,10),"-","/")))</f>
        <v>45300</v>
      </c>
      <c r="H55" s="16">
        <f>DATE(YEAR(SUBSTITUTE(LEFT(Base_report!G55,10),"-","/")),MONTH(SUBSTITUTE(LEFT(Base_report!G55,10),"-","/")),DAY(SUBSTITUTE(LEFT(Base_report!G55,10),"-","/")))</f>
        <v>45300</v>
      </c>
      <c r="I55" s="17" t="str">
        <f t="shared" si="1"/>
        <v>OUI</v>
      </c>
      <c r="J55" s="18">
        <f>IF(L55="DS",DATE(RIGHT(B55,4),VLOOKUP(LEFT(B55,LEN(B55)-5),Feuil1!$E$3:$F$19,2,FALSE)+1,10),DATE(RIGHT(B55,4),VLOOKUP(LEFT(B55,LEN(B55)-5),Feuil1!$E$3:$F$19,2,FALSE)+1,7))</f>
        <v>45301</v>
      </c>
      <c r="K55" s="19">
        <f t="shared" si="2"/>
        <v>1</v>
      </c>
      <c r="L55" s="6" t="str">
        <f t="shared" si="3"/>
        <v>DS</v>
      </c>
    </row>
    <row r="56" ht="14.25" customHeight="1">
      <c r="A56" s="14" t="str">
        <f>Base_report!A56</f>
        <v>AGNEBY-TIASSA</v>
      </c>
      <c r="B56" s="14" t="str">
        <f>Base_report!B56</f>
        <v>DECEMBRE 2023</v>
      </c>
      <c r="C56" s="15" t="str">
        <f>Base_report!C56</f>
        <v>C1125</v>
      </c>
      <c r="D56" s="14" t="str">
        <f>TRIM(IF(ISNUMBER(FIND("PNSME",Base_report!D56,1)),SUBSTITUTE(Base_report!D56,"PNSME",""),IF(ISNUMBER(FIND("PHG",Base_report!D56,1)),SUBSTITUTE(Base_report!D56,"PHG",""),IF(ISNUMBER(FIND("PCS",Base_report!D56,1)),SUBSTITUTE(Base_report!D56,"PCS",""),IF(ISNUMBER(FIND("CMU",Base_report!D56,1)),SUBSTITUTE(Base_report!D56,"CMU",""),Base_report!D56)))))</f>
        <v>DISTRICT SANITAIRE TIASSALE</v>
      </c>
      <c r="E56" s="14" t="str">
        <f>SUBSTITUTE(Base_report!E56,"-","/")</f>
        <v>PNLS/TESTS RAPIDES ET CONSOMMABLES</v>
      </c>
      <c r="F56" s="14" t="s">
        <v>788</v>
      </c>
      <c r="G56" s="16">
        <f>DATE(YEAR(SUBSTITUTE(LEFT(Base_report!F56,10),"-","/")),MONTH(SUBSTITUTE(LEFT(Base_report!F56,10),"-","/")),DAY(SUBSTITUTE(LEFT(Base_report!F56,10),"-","/")))</f>
        <v>45300</v>
      </c>
      <c r="H56" s="16">
        <f>DATE(YEAR(SUBSTITUTE(LEFT(Base_report!G56,10),"-","/")),MONTH(SUBSTITUTE(LEFT(Base_report!G56,10),"-","/")),DAY(SUBSTITUTE(LEFT(Base_report!G56,10),"-","/")))</f>
        <v>45300</v>
      </c>
      <c r="I56" s="17" t="str">
        <f t="shared" si="1"/>
        <v>OUI</v>
      </c>
      <c r="J56" s="18">
        <f>IF(L56="DS",DATE(RIGHT(B56,4),VLOOKUP(LEFT(B56,LEN(B56)-5),Feuil1!$E$3:$F$19,2,FALSE)+1,10),DATE(RIGHT(B56,4),VLOOKUP(LEFT(B56,LEN(B56)-5),Feuil1!$E$3:$F$19,2,FALSE)+1,7))</f>
        <v>45301</v>
      </c>
      <c r="K56" s="19">
        <f t="shared" si="2"/>
        <v>1</v>
      </c>
      <c r="L56" s="6" t="str">
        <f t="shared" si="3"/>
        <v>DS</v>
      </c>
    </row>
    <row r="57" ht="14.25" customHeight="1">
      <c r="A57" s="14" t="str">
        <f>Base_report!A57</f>
        <v>HAUT-SASSANDRA</v>
      </c>
      <c r="B57" s="14" t="str">
        <f>Base_report!B57</f>
        <v>DECEMBRE 2023</v>
      </c>
      <c r="C57" s="15" t="str">
        <f>Base_report!C57</f>
        <v>C2031</v>
      </c>
      <c r="D57" s="14" t="str">
        <f>TRIM(IF(ISNUMBER(FIND("PNSME",Base_report!D57,1)),SUBSTITUTE(Base_report!D57,"PNSME",""),IF(ISNUMBER(FIND("PHG",Base_report!D57,1)),SUBSTITUTE(Base_report!D57,"PHG",""),IF(ISNUMBER(FIND("PCS",Base_report!D57,1)),SUBSTITUTE(Base_report!D57,"PCS",""),IF(ISNUMBER(FIND("CMU",Base_report!D57,1)),SUBSTITUTE(Base_report!D57,"CMU",""),Base_report!D57)))))</f>
        <v>DISTRICT SANITAIRE ISSIA</v>
      </c>
      <c r="E57" s="14" t="str">
        <f>SUBSTITUTE(Base_report!E57,"-","/")</f>
        <v>PNN/MEDICAMENTS ET INTRANTS</v>
      </c>
      <c r="F57" s="14" t="s">
        <v>788</v>
      </c>
      <c r="G57" s="16">
        <f>DATE(YEAR(SUBSTITUTE(LEFT(Base_report!F57,10),"-","/")),MONTH(SUBSTITUTE(LEFT(Base_report!F57,10),"-","/")),DAY(SUBSTITUTE(LEFT(Base_report!F57,10),"-","/")))</f>
        <v>45301</v>
      </c>
      <c r="H57" s="16">
        <f>DATE(YEAR(SUBSTITUTE(LEFT(Base_report!G57,10),"-","/")),MONTH(SUBSTITUTE(LEFT(Base_report!G57,10),"-","/")),DAY(SUBSTITUTE(LEFT(Base_report!G57,10),"-","/")))</f>
        <v>45301</v>
      </c>
      <c r="I57" s="17" t="str">
        <f t="shared" si="1"/>
        <v>OUI</v>
      </c>
      <c r="J57" s="18">
        <f>IF(L57="DS",DATE(RIGHT(B57,4),VLOOKUP(LEFT(B57,LEN(B57)-5),Feuil1!$E$3:$F$19,2,FALSE)+1,10),DATE(RIGHT(B57,4),VLOOKUP(LEFT(B57,LEN(B57)-5),Feuil1!$E$3:$F$19,2,FALSE)+1,7))</f>
        <v>45301</v>
      </c>
      <c r="K57" s="19">
        <f t="shared" si="2"/>
        <v>1</v>
      </c>
      <c r="L57" s="6" t="str">
        <f t="shared" si="3"/>
        <v>DS</v>
      </c>
    </row>
    <row r="58" ht="14.25" customHeight="1">
      <c r="A58" s="14" t="str">
        <f>Base_report!A58</f>
        <v>CAVALLY</v>
      </c>
      <c r="B58" s="14" t="str">
        <f>Base_report!B58</f>
        <v>DECEMBRE 2023</v>
      </c>
      <c r="C58" s="15" t="str">
        <f>Base_report!C58</f>
        <v>C5014</v>
      </c>
      <c r="D58" s="14" t="str">
        <f>TRIM(IF(ISNUMBER(FIND("PNSME",Base_report!D58,1)),SUBSTITUTE(Base_report!D58,"PNSME",""),IF(ISNUMBER(FIND("PHG",Base_report!D58,1)),SUBSTITUTE(Base_report!D58,"PHG",""),IF(ISNUMBER(FIND("PCS",Base_report!D58,1)),SUBSTITUTE(Base_report!D58,"PCS",""),IF(ISNUMBER(FIND("CMU",Base_report!D58,1)),SUBSTITUTE(Base_report!D58,"CMU",""),Base_report!D58)))))</f>
        <v>DISTRICT SANITAIRE TOULEPLEU</v>
      </c>
      <c r="E58" s="14" t="str">
        <f>SUBSTITUTE(Base_report!E58,"-","/")</f>
        <v>PNSME/MEDICAMENTS ET INTRANTS</v>
      </c>
      <c r="F58" s="14" t="s">
        <v>788</v>
      </c>
      <c r="G58" s="16">
        <f>DATE(YEAR(SUBSTITUTE(LEFT(Base_report!F58,10),"-","/")),MONTH(SUBSTITUTE(LEFT(Base_report!F58,10),"-","/")),DAY(SUBSTITUTE(LEFT(Base_report!F58,10),"-","/")))</f>
        <v>45300</v>
      </c>
      <c r="H58" s="16">
        <f>DATE(YEAR(SUBSTITUTE(LEFT(Base_report!G58,10),"-","/")),MONTH(SUBSTITUTE(LEFT(Base_report!G58,10),"-","/")),DAY(SUBSTITUTE(LEFT(Base_report!G58,10),"-","/")))</f>
        <v>45300</v>
      </c>
      <c r="I58" s="17" t="str">
        <f t="shared" si="1"/>
        <v>OUI</v>
      </c>
      <c r="J58" s="18">
        <f>IF(L58="DS",DATE(RIGHT(B58,4),VLOOKUP(LEFT(B58,LEN(B58)-5),Feuil1!$E$3:$F$19,2,FALSE)+1,10),DATE(RIGHT(B58,4),VLOOKUP(LEFT(B58,LEN(B58)-5),Feuil1!$E$3:$F$19,2,FALSE)+1,7))</f>
        <v>45301</v>
      </c>
      <c r="K58" s="19">
        <f t="shared" si="2"/>
        <v>1</v>
      </c>
      <c r="L58" s="6" t="str">
        <f t="shared" si="3"/>
        <v>DS</v>
      </c>
    </row>
    <row r="59" ht="14.25" customHeight="1">
      <c r="A59" s="14" t="str">
        <f>Base_report!A59</f>
        <v>ABIDJAN 1</v>
      </c>
      <c r="B59" s="14" t="str">
        <f>Base_report!B59</f>
        <v>DECEMBRE 2023</v>
      </c>
      <c r="C59" s="15" t="str">
        <f>Base_report!C59</f>
        <v>C1007</v>
      </c>
      <c r="D59" s="14" t="str">
        <f>TRIM(IF(ISNUMBER(FIND("PNSME",Base_report!D59,1)),SUBSTITUTE(Base_report!D59,"PNSME",""),IF(ISNUMBER(FIND("PHG",Base_report!D59,1)),SUBSTITUTE(Base_report!D59,"PHG",""),IF(ISNUMBER(FIND("PCS",Base_report!D59,1)),SUBSTITUTE(Base_report!D59,"PCS",""),IF(ISNUMBER(FIND("CMU",Base_report!D59,1)),SUBSTITUTE(Base_report!D59,"CMU",""),Base_report!D59)))))</f>
        <v>CHU YOPOUGON</v>
      </c>
      <c r="E59" s="14" t="str">
        <f>SUBSTITUTE(Base_report!E59,"-","/")</f>
        <v>PNLS/TESTS RAPIDES ET CONSOMMABLES</v>
      </c>
      <c r="F59" s="14" t="s">
        <v>788</v>
      </c>
      <c r="G59" s="16">
        <f>DATE(YEAR(SUBSTITUTE(LEFT(Base_report!F59,10),"-","/")),MONTH(SUBSTITUTE(LEFT(Base_report!F59,10),"-","/")),DAY(SUBSTITUTE(LEFT(Base_report!F59,10),"-","/")))</f>
        <v>45300</v>
      </c>
      <c r="H59" s="16">
        <f>DATE(YEAR(SUBSTITUTE(LEFT(Base_report!G59,10),"-","/")),MONTH(SUBSTITUTE(LEFT(Base_report!G59,10),"-","/")),DAY(SUBSTITUTE(LEFT(Base_report!G59,10),"-","/")))</f>
        <v>45301</v>
      </c>
      <c r="I59" s="17" t="str">
        <f t="shared" si="1"/>
        <v>OUI</v>
      </c>
      <c r="J59" s="18">
        <f>IF(L59="DS",DATE(RIGHT(B59,4),VLOOKUP(LEFT(B59,LEN(B59)-5),Feuil1!$E$3:$F$19,2,FALSE)+1,10),DATE(RIGHT(B59,4),VLOOKUP(LEFT(B59,LEN(B59)-5),Feuil1!$E$3:$F$19,2,FALSE)+1,7))</f>
        <v>45298</v>
      </c>
      <c r="K59" s="19">
        <f t="shared" si="2"/>
        <v>0</v>
      </c>
      <c r="L59" s="6" t="str">
        <f t="shared" si="3"/>
        <v>FS</v>
      </c>
    </row>
    <row r="60" ht="14.25" customHeight="1">
      <c r="A60" s="14" t="str">
        <f>Base_report!A60</f>
        <v>MARAHOUE</v>
      </c>
      <c r="B60" s="14" t="str">
        <f>Base_report!B60</f>
        <v>DECEMBRE 2023</v>
      </c>
      <c r="C60" s="15" t="str">
        <f>Base_report!C60</f>
        <v>C2037</v>
      </c>
      <c r="D60" s="14" t="str">
        <f>TRIM(IF(ISNUMBER(FIND("PNSME",Base_report!D60,1)),SUBSTITUTE(Base_report!D60,"PNSME",""),IF(ISNUMBER(FIND("PHG",Base_report!D60,1)),SUBSTITUTE(Base_report!D60,"PHG",""),IF(ISNUMBER(FIND("PCS",Base_report!D60,1)),SUBSTITUTE(Base_report!D60,"PCS",""),IF(ISNUMBER(FIND("CMU",Base_report!D60,1)),SUBSTITUTE(Base_report!D60,"CMU",""),Base_report!D60)))))</f>
        <v>DISTRICT SANITAIRE SINFRA</v>
      </c>
      <c r="E60" s="14" t="str">
        <f>SUBSTITUTE(Base_report!E60,"-","/")</f>
        <v>PNLS/TESTS RAPIDES ET CONSOMMABLES</v>
      </c>
      <c r="F60" s="14" t="s">
        <v>788</v>
      </c>
      <c r="G60" s="16">
        <f>DATE(YEAR(SUBSTITUTE(LEFT(Base_report!F60,10),"-","/")),MONTH(SUBSTITUTE(LEFT(Base_report!F60,10),"-","/")),DAY(SUBSTITUTE(LEFT(Base_report!F60,10),"-","/")))</f>
        <v>45301</v>
      </c>
      <c r="H60" s="16">
        <f>DATE(YEAR(SUBSTITUTE(LEFT(Base_report!G60,10),"-","/")),MONTH(SUBSTITUTE(LEFT(Base_report!G60,10),"-","/")),DAY(SUBSTITUTE(LEFT(Base_report!G60,10),"-","/")))</f>
        <v>45301</v>
      </c>
      <c r="I60" s="17" t="str">
        <f t="shared" si="1"/>
        <v>OUI</v>
      </c>
      <c r="J60" s="18">
        <f>IF(L60="DS",DATE(RIGHT(B60,4),VLOOKUP(LEFT(B60,LEN(B60)-5),Feuil1!$E$3:$F$19,2,FALSE)+1,10),DATE(RIGHT(B60,4),VLOOKUP(LEFT(B60,LEN(B60)-5),Feuil1!$E$3:$F$19,2,FALSE)+1,7))</f>
        <v>45301</v>
      </c>
      <c r="K60" s="19">
        <f t="shared" si="2"/>
        <v>1</v>
      </c>
      <c r="L60" s="6" t="str">
        <f t="shared" si="3"/>
        <v>DS</v>
      </c>
    </row>
    <row r="61" ht="14.25" customHeight="1">
      <c r="A61" s="14" t="str">
        <f>Base_report!A61</f>
        <v>TONKPI</v>
      </c>
      <c r="B61" s="14" t="str">
        <f>Base_report!B61</f>
        <v>DECEMBRE 2023</v>
      </c>
      <c r="C61" s="15" t="str">
        <f>Base_report!C61</f>
        <v>C5008</v>
      </c>
      <c r="D61" s="14" t="str">
        <f>TRIM(IF(ISNUMBER(FIND("PNSME",Base_report!D61,1)),SUBSTITUTE(Base_report!D61,"PNSME",""),IF(ISNUMBER(FIND("PHG",Base_report!D61,1)),SUBSTITUTE(Base_report!D61,"PHG",""),IF(ISNUMBER(FIND("PCS",Base_report!D61,1)),SUBSTITUTE(Base_report!D61,"PCS",""),IF(ISNUMBER(FIND("CMU",Base_report!D61,1)),SUBSTITUTE(Base_report!D61,"CMU",""),Base_report!D61)))))</f>
        <v>DISTRICT SANITAIRE BIANKOUMA</v>
      </c>
      <c r="E61" s="14" t="str">
        <f>SUBSTITUTE(Base_report!E61,"-","/")</f>
        <v>PNLS/PRODUITS DE LABORATOIRE</v>
      </c>
      <c r="F61" s="14" t="s">
        <v>788</v>
      </c>
      <c r="G61" s="16">
        <f>DATE(YEAR(SUBSTITUTE(LEFT(Base_report!F61,10),"-","/")),MONTH(SUBSTITUTE(LEFT(Base_report!F61,10),"-","/")),DAY(SUBSTITUTE(LEFT(Base_report!F61,10),"-","/")))</f>
        <v>45300</v>
      </c>
      <c r="H61" s="16">
        <f>DATE(YEAR(SUBSTITUTE(LEFT(Base_report!G61,10),"-","/")),MONTH(SUBSTITUTE(LEFT(Base_report!G61,10),"-","/")),DAY(SUBSTITUTE(LEFT(Base_report!G61,10),"-","/")))</f>
        <v>45300</v>
      </c>
      <c r="I61" s="17" t="str">
        <f t="shared" si="1"/>
        <v>OUI</v>
      </c>
      <c r="J61" s="18">
        <f>IF(L61="DS",DATE(RIGHT(B61,4),VLOOKUP(LEFT(B61,LEN(B61)-5),Feuil1!$E$3:$F$19,2,FALSE)+1,10),DATE(RIGHT(B61,4),VLOOKUP(LEFT(B61,LEN(B61)-5),Feuil1!$E$3:$F$19,2,FALSE)+1,7))</f>
        <v>45301</v>
      </c>
      <c r="K61" s="19">
        <f t="shared" si="2"/>
        <v>1</v>
      </c>
      <c r="L61" s="6" t="str">
        <f t="shared" si="3"/>
        <v>DS</v>
      </c>
    </row>
    <row r="62" ht="14.25" customHeight="1">
      <c r="A62" s="14" t="str">
        <f>Base_report!A62</f>
        <v>NAWA</v>
      </c>
      <c r="B62" s="14" t="str">
        <f>Base_report!B62</f>
        <v>DECEMBRE 2023</v>
      </c>
      <c r="C62" s="15" t="str">
        <f>Base_report!C62</f>
        <v>C2167</v>
      </c>
      <c r="D62" s="14" t="str">
        <f>TRIM(IF(ISNUMBER(FIND("PNSME",Base_report!D62,1)),SUBSTITUTE(Base_report!D62,"PNSME",""),IF(ISNUMBER(FIND("PHG",Base_report!D62,1)),SUBSTITUTE(Base_report!D62,"PHG",""),IF(ISNUMBER(FIND("PCS",Base_report!D62,1)),SUBSTITUTE(Base_report!D62,"PCS",""),IF(ISNUMBER(FIND("CMU",Base_report!D62,1)),SUBSTITUTE(Base_report!D62,"CMU",""),Base_report!D62)))))</f>
        <v>DISTRICT SANITAIRE GUEYO</v>
      </c>
      <c r="E62" s="14" t="str">
        <f>SUBSTITUTE(Base_report!E62,"-","/")</f>
        <v>PNLP/MEDICAMENTS ET INTRANTS</v>
      </c>
      <c r="F62" s="14" t="s">
        <v>788</v>
      </c>
      <c r="G62" s="16">
        <f>DATE(YEAR(SUBSTITUTE(LEFT(Base_report!F62,10),"-","/")),MONTH(SUBSTITUTE(LEFT(Base_report!F62,10),"-","/")),DAY(SUBSTITUTE(LEFT(Base_report!F62,10),"-","/")))</f>
        <v>45300</v>
      </c>
      <c r="H62" s="16">
        <f>DATE(YEAR(SUBSTITUTE(LEFT(Base_report!G62,10),"-","/")),MONTH(SUBSTITUTE(LEFT(Base_report!G62,10),"-","/")),DAY(SUBSTITUTE(LEFT(Base_report!G62,10),"-","/")))</f>
        <v>45300</v>
      </c>
      <c r="I62" s="17" t="str">
        <f t="shared" si="1"/>
        <v>OUI</v>
      </c>
      <c r="J62" s="18">
        <f>IF(L62="DS",DATE(RIGHT(B62,4),VLOOKUP(LEFT(B62,LEN(B62)-5),Feuil1!$E$3:$F$19,2,FALSE)+1,10),DATE(RIGHT(B62,4),VLOOKUP(LEFT(B62,LEN(B62)-5),Feuil1!$E$3:$F$19,2,FALSE)+1,7))</f>
        <v>45301</v>
      </c>
      <c r="K62" s="19">
        <f t="shared" si="2"/>
        <v>1</v>
      </c>
      <c r="L62" s="6" t="str">
        <f t="shared" si="3"/>
        <v>DS</v>
      </c>
    </row>
    <row r="63" ht="14.25" customHeight="1">
      <c r="A63" s="14" t="str">
        <f>Base_report!A63</f>
        <v>MORONOU</v>
      </c>
      <c r="B63" s="14" t="str">
        <f>Base_report!B63</f>
        <v>DECEMBRE 2023</v>
      </c>
      <c r="C63" s="15" t="str">
        <f>Base_report!C63</f>
        <v>C4071</v>
      </c>
      <c r="D63" s="14" t="str">
        <f>TRIM(IF(ISNUMBER(FIND("PNSME",Base_report!D63,1)),SUBSTITUTE(Base_report!D63,"PNSME",""),IF(ISNUMBER(FIND("PHG",Base_report!D63,1)),SUBSTITUTE(Base_report!D63,"PHG",""),IF(ISNUMBER(FIND("PCS",Base_report!D63,1)),SUBSTITUTE(Base_report!D63,"PCS",""),IF(ISNUMBER(FIND("CMU",Base_report!D63,1)),SUBSTITUTE(Base_report!D63,"CMU",""),Base_report!D63)))))</f>
        <v>DISTRICT SANITAIRE MBATTO</v>
      </c>
      <c r="E63" s="14" t="str">
        <f>SUBSTITUTE(Base_report!E63,"-","/")</f>
        <v>PNSME/MEDICAMENTS ET INTRANTS</v>
      </c>
      <c r="F63" s="14" t="s">
        <v>788</v>
      </c>
      <c r="G63" s="16">
        <f>DATE(YEAR(SUBSTITUTE(LEFT(Base_report!F63,10),"-","/")),MONTH(SUBSTITUTE(LEFT(Base_report!F63,10),"-","/")),DAY(SUBSTITUTE(LEFT(Base_report!F63,10),"-","/")))</f>
        <v>45300</v>
      </c>
      <c r="H63" s="16">
        <f>DATE(YEAR(SUBSTITUTE(LEFT(Base_report!G63,10),"-","/")),MONTH(SUBSTITUTE(LEFT(Base_report!G63,10),"-","/")),DAY(SUBSTITUTE(LEFT(Base_report!G63,10),"-","/")))</f>
        <v>45301</v>
      </c>
      <c r="I63" s="17" t="str">
        <f t="shared" si="1"/>
        <v>OUI</v>
      </c>
      <c r="J63" s="18">
        <f>IF(L63="DS",DATE(RIGHT(B63,4),VLOOKUP(LEFT(B63,LEN(B63)-5),Feuil1!$E$3:$F$19,2,FALSE)+1,10),DATE(RIGHT(B63,4),VLOOKUP(LEFT(B63,LEN(B63)-5),Feuil1!$E$3:$F$19,2,FALSE)+1,7))</f>
        <v>45301</v>
      </c>
      <c r="K63" s="19">
        <f t="shared" si="2"/>
        <v>1</v>
      </c>
      <c r="L63" s="6" t="str">
        <f t="shared" si="3"/>
        <v>DS</v>
      </c>
    </row>
    <row r="64" ht="14.25" customHeight="1">
      <c r="A64" s="14" t="str">
        <f>Base_report!A64</f>
        <v>PORO</v>
      </c>
      <c r="B64" s="14" t="str">
        <f>Base_report!B64</f>
        <v>DECEMBRE 2023</v>
      </c>
      <c r="C64" s="15" t="str">
        <f>Base_report!C64</f>
        <v>C3006</v>
      </c>
      <c r="D64" s="14" t="str">
        <f>TRIM(IF(ISNUMBER(FIND("PNSME",Base_report!D64,1)),SUBSTITUTE(Base_report!D64,"PNSME",""),IF(ISNUMBER(FIND("PHG",Base_report!D64,1)),SUBSTITUTE(Base_report!D64,"PHG",""),IF(ISNUMBER(FIND("PCS",Base_report!D64,1)),SUBSTITUTE(Base_report!D64,"PCS",""),IF(ISNUMBER(FIND("CMU",Base_report!D64,1)),SUBSTITUTE(Base_report!D64,"CMU",""),Base_report!D64)))))</f>
        <v>DISTRICT SANITAIRE KORHOGO 1</v>
      </c>
      <c r="E64" s="14" t="str">
        <f>SUBSTITUTE(Base_report!E64,"-","/")</f>
        <v>PNLS/ANTIRETROVIRAUX ET IO</v>
      </c>
      <c r="F64" s="14" t="s">
        <v>788</v>
      </c>
      <c r="G64" s="16">
        <f>DATE(YEAR(SUBSTITUTE(LEFT(Base_report!F64,10),"-","/")),MONTH(SUBSTITUTE(LEFT(Base_report!F64,10),"-","/")),DAY(SUBSTITUTE(LEFT(Base_report!F64,10),"-","/")))</f>
        <v>45301</v>
      </c>
      <c r="H64" s="16">
        <f>DATE(YEAR(SUBSTITUTE(LEFT(Base_report!G64,10),"-","/")),MONTH(SUBSTITUTE(LEFT(Base_report!G64,10),"-","/")),DAY(SUBSTITUTE(LEFT(Base_report!G64,10),"-","/")))</f>
        <v>45301</v>
      </c>
      <c r="I64" s="17" t="str">
        <f t="shared" si="1"/>
        <v>OUI</v>
      </c>
      <c r="J64" s="18">
        <f>IF(L64="DS",DATE(RIGHT(B64,4),VLOOKUP(LEFT(B64,LEN(B64)-5),Feuil1!$E$3:$F$19,2,FALSE)+1,10),DATE(RIGHT(B64,4),VLOOKUP(LEFT(B64,LEN(B64)-5),Feuil1!$E$3:$F$19,2,FALSE)+1,7))</f>
        <v>45301</v>
      </c>
      <c r="K64" s="19">
        <f t="shared" si="2"/>
        <v>1</v>
      </c>
      <c r="L64" s="6" t="str">
        <f t="shared" si="3"/>
        <v>DS</v>
      </c>
    </row>
    <row r="65" ht="14.25" customHeight="1">
      <c r="A65" s="14" t="str">
        <f>Base_report!A65</f>
        <v>BERE</v>
      </c>
      <c r="B65" s="14" t="str">
        <f>Base_report!B65</f>
        <v>DECEMBRE 2023</v>
      </c>
      <c r="C65" s="15" t="str">
        <f>Base_report!C65</f>
        <v>C3007</v>
      </c>
      <c r="D65" s="14" t="str">
        <f>TRIM(IF(ISNUMBER(FIND("PNSME",Base_report!D65,1)),SUBSTITUTE(Base_report!D65,"PNSME",""),IF(ISNUMBER(FIND("PHG",Base_report!D65,1)),SUBSTITUTE(Base_report!D65,"PHG",""),IF(ISNUMBER(FIND("PCS",Base_report!D65,1)),SUBSTITUTE(Base_report!D65,"PCS",""),IF(ISNUMBER(FIND("CMU",Base_report!D65,1)),SUBSTITUTE(Base_report!D65,"CMU",""),Base_report!D65)))))</f>
        <v>DISTRICT SANITAIRE MANKONO</v>
      </c>
      <c r="E65" s="14" t="str">
        <f>SUBSTITUTE(Base_report!E65,"-","/")</f>
        <v>PNLP/MEDICAMENTS ET INTRANTS</v>
      </c>
      <c r="F65" s="14" t="s">
        <v>788</v>
      </c>
      <c r="G65" s="16">
        <f>DATE(YEAR(SUBSTITUTE(LEFT(Base_report!F65,10),"-","/")),MONTH(SUBSTITUTE(LEFT(Base_report!F65,10),"-","/")),DAY(SUBSTITUTE(LEFT(Base_report!F65,10),"-","/")))</f>
        <v>45300</v>
      </c>
      <c r="H65" s="16">
        <f>DATE(YEAR(SUBSTITUTE(LEFT(Base_report!G65,10),"-","/")),MONTH(SUBSTITUTE(LEFT(Base_report!G65,10),"-","/")),DAY(SUBSTITUTE(LEFT(Base_report!G65,10),"-","/")))</f>
        <v>45300</v>
      </c>
      <c r="I65" s="17" t="str">
        <f t="shared" si="1"/>
        <v>OUI</v>
      </c>
      <c r="J65" s="18">
        <f>IF(L65="DS",DATE(RIGHT(B65,4),VLOOKUP(LEFT(B65,LEN(B65)-5),Feuil1!$E$3:$F$19,2,FALSE)+1,10),DATE(RIGHT(B65,4),VLOOKUP(LEFT(B65,LEN(B65)-5),Feuil1!$E$3:$F$19,2,FALSE)+1,7))</f>
        <v>45301</v>
      </c>
      <c r="K65" s="19">
        <f t="shared" si="2"/>
        <v>1</v>
      </c>
      <c r="L65" s="6" t="str">
        <f t="shared" si="3"/>
        <v>DS</v>
      </c>
    </row>
    <row r="66" ht="14.25" customHeight="1">
      <c r="A66" s="14" t="str">
        <f>Base_report!A66</f>
        <v>GOH</v>
      </c>
      <c r="B66" s="14" t="str">
        <f>Base_report!B66</f>
        <v>DECEMBRE 2023</v>
      </c>
      <c r="C66" s="15" t="str">
        <f>Base_report!C66</f>
        <v>C2029</v>
      </c>
      <c r="D66" s="14" t="str">
        <f>TRIM(IF(ISNUMBER(FIND("PNSME",Base_report!D66,1)),SUBSTITUTE(Base_report!D66,"PNSME",""),IF(ISNUMBER(FIND("PHG",Base_report!D66,1)),SUBSTITUTE(Base_report!D66,"PHG",""),IF(ISNUMBER(FIND("PCS",Base_report!D66,1)),SUBSTITUTE(Base_report!D66,"PCS",""),IF(ISNUMBER(FIND("CMU",Base_report!D66,1)),SUBSTITUTE(Base_report!D66,"CMU",""),Base_report!D66)))))</f>
        <v>DISTRICT SANITAIRE GAGNOA</v>
      </c>
      <c r="E66" s="14" t="str">
        <f>SUBSTITUTE(Base_report!E66,"-","/")</f>
        <v>PNLP/MEDICAMENTS ET INTRANTS</v>
      </c>
      <c r="F66" s="14" t="s">
        <v>788</v>
      </c>
      <c r="G66" s="16">
        <f>DATE(YEAR(SUBSTITUTE(LEFT(Base_report!F66,10),"-","/")),MONTH(SUBSTITUTE(LEFT(Base_report!F66,10),"-","/")),DAY(SUBSTITUTE(LEFT(Base_report!F66,10),"-","/")))</f>
        <v>45301</v>
      </c>
      <c r="H66" s="16">
        <f>DATE(YEAR(SUBSTITUTE(LEFT(Base_report!G66,10),"-","/")),MONTH(SUBSTITUTE(LEFT(Base_report!G66,10),"-","/")),DAY(SUBSTITUTE(LEFT(Base_report!G66,10),"-","/")))</f>
        <v>45301</v>
      </c>
      <c r="I66" s="17" t="str">
        <f t="shared" si="1"/>
        <v>OUI</v>
      </c>
      <c r="J66" s="18">
        <f>IF(L66="DS",DATE(RIGHT(B66,4),VLOOKUP(LEFT(B66,LEN(B66)-5),Feuil1!$E$3:$F$19,2,FALSE)+1,10),DATE(RIGHT(B66,4),VLOOKUP(LEFT(B66,LEN(B66)-5),Feuil1!$E$3:$F$19,2,FALSE)+1,7))</f>
        <v>45301</v>
      </c>
      <c r="K66" s="19">
        <f t="shared" si="2"/>
        <v>1</v>
      </c>
      <c r="L66" s="6" t="str">
        <f t="shared" si="3"/>
        <v>DS</v>
      </c>
    </row>
    <row r="67" ht="14.25" customHeight="1">
      <c r="A67" s="14" t="str">
        <f>Base_report!A67</f>
        <v>PORO</v>
      </c>
      <c r="B67" s="14" t="str">
        <f>Base_report!B67</f>
        <v>DECEMBRE 2023</v>
      </c>
      <c r="C67" s="15" t="str">
        <f>Base_report!C67</f>
        <v>C3006</v>
      </c>
      <c r="D67" s="14" t="str">
        <f>TRIM(IF(ISNUMBER(FIND("PNSME",Base_report!D67,1)),SUBSTITUTE(Base_report!D67,"PNSME",""),IF(ISNUMBER(FIND("PHG",Base_report!D67,1)),SUBSTITUTE(Base_report!D67,"PHG",""),IF(ISNUMBER(FIND("PCS",Base_report!D67,1)),SUBSTITUTE(Base_report!D67,"PCS",""),IF(ISNUMBER(FIND("CMU",Base_report!D67,1)),SUBSTITUTE(Base_report!D67,"CMU",""),Base_report!D67)))))</f>
        <v>DISTRICT SANITAIRE KORHOGO 1</v>
      </c>
      <c r="E67" s="14" t="str">
        <f>SUBSTITUTE(Base_report!E67,"-","/")</f>
        <v>PNLP/MEDICAMENTS ET INTRANTS</v>
      </c>
      <c r="F67" s="14" t="s">
        <v>788</v>
      </c>
      <c r="G67" s="16">
        <f>DATE(YEAR(SUBSTITUTE(LEFT(Base_report!F67,10),"-","/")),MONTH(SUBSTITUTE(LEFT(Base_report!F67,10),"-","/")),DAY(SUBSTITUTE(LEFT(Base_report!F67,10),"-","/")))</f>
        <v>45301</v>
      </c>
      <c r="H67" s="16">
        <f>DATE(YEAR(SUBSTITUTE(LEFT(Base_report!G67,10),"-","/")),MONTH(SUBSTITUTE(LEFT(Base_report!G67,10),"-","/")),DAY(SUBSTITUTE(LEFT(Base_report!G67,10),"-","/")))</f>
        <v>45301</v>
      </c>
      <c r="I67" s="17" t="str">
        <f t="shared" si="1"/>
        <v>OUI</v>
      </c>
      <c r="J67" s="18">
        <f>IF(L67="DS",DATE(RIGHT(B67,4),VLOOKUP(LEFT(B67,LEN(B67)-5),Feuil1!$E$3:$F$19,2,FALSE)+1,10),DATE(RIGHT(B67,4),VLOOKUP(LEFT(B67,LEN(B67)-5),Feuil1!$E$3:$F$19,2,FALSE)+1,7))</f>
        <v>45301</v>
      </c>
      <c r="K67" s="19">
        <f t="shared" si="2"/>
        <v>1</v>
      </c>
      <c r="L67" s="6" t="str">
        <f t="shared" si="3"/>
        <v>DS</v>
      </c>
    </row>
    <row r="68" ht="14.25" customHeight="1">
      <c r="A68" s="14" t="str">
        <f>Base_report!A68</f>
        <v>AGNEBY-TIASSA</v>
      </c>
      <c r="B68" s="14" t="str">
        <f>Base_report!B68</f>
        <v>DECEMBRE 2023</v>
      </c>
      <c r="C68" s="15" t="str">
        <f>Base_report!C68</f>
        <v>C1045</v>
      </c>
      <c r="D68" s="14" t="str">
        <f>TRIM(IF(ISNUMBER(FIND("PNSME",Base_report!D68,1)),SUBSTITUTE(Base_report!D68,"PNSME",""),IF(ISNUMBER(FIND("PHG",Base_report!D68,1)),SUBSTITUTE(Base_report!D68,"PHG",""),IF(ISNUMBER(FIND("PCS",Base_report!D68,1)),SUBSTITUTE(Base_report!D68,"PCS",""),IF(ISNUMBER(FIND("CMU",Base_report!D68,1)),SUBSTITUTE(Base_report!D68,"CMU",""),Base_report!D68)))))</f>
        <v>DISTRICT SANITAIRE AGBOVILLE</v>
      </c>
      <c r="E68" s="14" t="str">
        <f>SUBSTITUTE(Base_report!E68,"-","/")</f>
        <v>PNSME_GRATUITE:MEDICAMENTS ET INTRANTS</v>
      </c>
      <c r="F68" s="14" t="s">
        <v>788</v>
      </c>
      <c r="G68" s="16">
        <f>DATE(YEAR(SUBSTITUTE(LEFT(Base_report!F68,10),"-","/")),MONTH(SUBSTITUTE(LEFT(Base_report!F68,10),"-","/")),DAY(SUBSTITUTE(LEFT(Base_report!F68,10),"-","/")))</f>
        <v>45301</v>
      </c>
      <c r="H68" s="16">
        <f>DATE(YEAR(SUBSTITUTE(LEFT(Base_report!G68,10),"-","/")),MONTH(SUBSTITUTE(LEFT(Base_report!G68,10),"-","/")),DAY(SUBSTITUTE(LEFT(Base_report!G68,10),"-","/")))</f>
        <v>45301</v>
      </c>
      <c r="I68" s="17" t="str">
        <f t="shared" si="1"/>
        <v>OUI</v>
      </c>
      <c r="J68" s="18">
        <f>IF(L68="DS",DATE(RIGHT(B68,4),VLOOKUP(LEFT(B68,LEN(B68)-5),Feuil1!$E$3:$F$19,2,FALSE)+1,10),DATE(RIGHT(B68,4),VLOOKUP(LEFT(B68,LEN(B68)-5),Feuil1!$E$3:$F$19,2,FALSE)+1,7))</f>
        <v>45301</v>
      </c>
      <c r="K68" s="19">
        <f t="shared" si="2"/>
        <v>1</v>
      </c>
      <c r="L68" s="6" t="str">
        <f t="shared" si="3"/>
        <v>DS</v>
      </c>
    </row>
    <row r="69" ht="14.25" customHeight="1">
      <c r="A69" s="14" t="str">
        <f>Base_report!A69</f>
        <v>N'ZI</v>
      </c>
      <c r="B69" s="14" t="str">
        <f>Base_report!B69</f>
        <v>DECEMBRE 2023</v>
      </c>
      <c r="C69" s="15" t="str">
        <f>Base_report!C69</f>
        <v>C4083</v>
      </c>
      <c r="D69" s="14" t="str">
        <f>TRIM(IF(ISNUMBER(FIND("PNSME",Base_report!D69,1)),SUBSTITUTE(Base_report!D69,"PNSME",""),IF(ISNUMBER(FIND("PHG",Base_report!D69,1)),SUBSTITUTE(Base_report!D69,"PHG",""),IF(ISNUMBER(FIND("PCS",Base_report!D69,1)),SUBSTITUTE(Base_report!D69,"PCS",""),IF(ISNUMBER(FIND("CMU",Base_report!D69,1)),SUBSTITUTE(Base_report!D69,"CMU",""),Base_report!D69)))))</f>
        <v>DISTRICT SANITAIRE KOUASSI KOUASSIKRO</v>
      </c>
      <c r="E69" s="14" t="str">
        <f>SUBSTITUTE(Base_report!E69,"-","/")</f>
        <v>PNLS/ANTIRETROVIRAUX ET IO</v>
      </c>
      <c r="F69" s="14" t="s">
        <v>788</v>
      </c>
      <c r="G69" s="16">
        <f>DATE(YEAR(SUBSTITUTE(LEFT(Base_report!F69,10),"-","/")),MONTH(SUBSTITUTE(LEFT(Base_report!F69,10),"-","/")),DAY(SUBSTITUTE(LEFT(Base_report!F69,10),"-","/")))</f>
        <v>45300</v>
      </c>
      <c r="H69" s="16">
        <f>DATE(YEAR(SUBSTITUTE(LEFT(Base_report!G69,10),"-","/")),MONTH(SUBSTITUTE(LEFT(Base_report!G69,10),"-","/")),DAY(SUBSTITUTE(LEFT(Base_report!G69,10),"-","/")))</f>
        <v>45301</v>
      </c>
      <c r="I69" s="17" t="str">
        <f t="shared" si="1"/>
        <v>OUI</v>
      </c>
      <c r="J69" s="18">
        <f>IF(L69="DS",DATE(RIGHT(B69,4),VLOOKUP(LEFT(B69,LEN(B69)-5),Feuil1!$E$3:$F$19,2,FALSE)+1,10),DATE(RIGHT(B69,4),VLOOKUP(LEFT(B69,LEN(B69)-5),Feuil1!$E$3:$F$19,2,FALSE)+1,7))</f>
        <v>45301</v>
      </c>
      <c r="K69" s="19">
        <f t="shared" si="2"/>
        <v>1</v>
      </c>
      <c r="L69" s="6" t="str">
        <f t="shared" si="3"/>
        <v>DS</v>
      </c>
    </row>
    <row r="70" ht="14.25" customHeight="1">
      <c r="A70" s="14" t="str">
        <f>Base_report!A70</f>
        <v>AGNEBY-TIASSA</v>
      </c>
      <c r="B70" s="14" t="str">
        <f>Base_report!B70</f>
        <v>DECEMBRE 2023</v>
      </c>
      <c r="C70" s="15" t="str">
        <f>Base_report!C70</f>
        <v>C1045</v>
      </c>
      <c r="D70" s="14" t="str">
        <f>TRIM(IF(ISNUMBER(FIND("PNSME",Base_report!D70,1)),SUBSTITUTE(Base_report!D70,"PNSME",""),IF(ISNUMBER(FIND("PHG",Base_report!D70,1)),SUBSTITUTE(Base_report!D70,"PHG",""),IF(ISNUMBER(FIND("PCS",Base_report!D70,1)),SUBSTITUTE(Base_report!D70,"PCS",""),IF(ISNUMBER(FIND("CMU",Base_report!D70,1)),SUBSTITUTE(Base_report!D70,"CMU",""),Base_report!D70)))))</f>
        <v>DISTRICT SANITAIRE AGBOVILLE</v>
      </c>
      <c r="E70" s="14" t="str">
        <f>SUBSTITUTE(Base_report!E70,"-","/")</f>
        <v>PNSME/MEDICAMENTS ET INTRANTS</v>
      </c>
      <c r="F70" s="14" t="s">
        <v>788</v>
      </c>
      <c r="G70" s="16">
        <f>DATE(YEAR(SUBSTITUTE(LEFT(Base_report!F70,10),"-","/")),MONTH(SUBSTITUTE(LEFT(Base_report!F70,10),"-","/")),DAY(SUBSTITUTE(LEFT(Base_report!F70,10),"-","/")))</f>
        <v>45301</v>
      </c>
      <c r="H70" s="16">
        <f>DATE(YEAR(SUBSTITUTE(LEFT(Base_report!G70,10),"-","/")),MONTH(SUBSTITUTE(LEFT(Base_report!G70,10),"-","/")),DAY(SUBSTITUTE(LEFT(Base_report!G70,10),"-","/")))</f>
        <v>45301</v>
      </c>
      <c r="I70" s="17" t="str">
        <f t="shared" si="1"/>
        <v>OUI</v>
      </c>
      <c r="J70" s="18">
        <f>IF(L70="DS",DATE(RIGHT(B70,4),VLOOKUP(LEFT(B70,LEN(B70)-5),Feuil1!$E$3:$F$19,2,FALSE)+1,10),DATE(RIGHT(B70,4),VLOOKUP(LEFT(B70,LEN(B70)-5),Feuil1!$E$3:$F$19,2,FALSE)+1,7))</f>
        <v>45301</v>
      </c>
      <c r="K70" s="19">
        <f t="shared" si="2"/>
        <v>1</v>
      </c>
      <c r="L70" s="6" t="str">
        <f t="shared" si="3"/>
        <v>DS</v>
      </c>
    </row>
    <row r="71" ht="14.25" customHeight="1">
      <c r="A71" s="14" t="str">
        <f>Base_report!A71</f>
        <v>MARAHOUE</v>
      </c>
      <c r="B71" s="14" t="str">
        <f>Base_report!B71</f>
        <v>DECEMBRE 2023</v>
      </c>
      <c r="C71" s="15" t="str">
        <f>Base_report!C71</f>
        <v>C2046</v>
      </c>
      <c r="D71" s="14" t="str">
        <f>TRIM(IF(ISNUMBER(FIND("PNSME",Base_report!D71,1)),SUBSTITUTE(Base_report!D71,"PNSME",""),IF(ISNUMBER(FIND("PHG",Base_report!D71,1)),SUBSTITUTE(Base_report!D71,"PHG",""),IF(ISNUMBER(FIND("PCS",Base_report!D71,1)),SUBSTITUTE(Base_report!D71,"PCS",""),IF(ISNUMBER(FIND("CMU",Base_report!D71,1)),SUBSTITUTE(Base_report!D71,"CMU",""),Base_report!D71)))))</f>
        <v>DISTRICT SANITAIRE ZUENOULA</v>
      </c>
      <c r="E71" s="14" t="str">
        <f>SUBSTITUTE(Base_report!E71,"-","/")</f>
        <v>PNLS/ANTIRETROVIRAUX ET IO</v>
      </c>
      <c r="F71" s="14" t="s">
        <v>788</v>
      </c>
      <c r="G71" s="16">
        <f>DATE(YEAR(SUBSTITUTE(LEFT(Base_report!F71,10),"-","/")),MONTH(SUBSTITUTE(LEFT(Base_report!F71,10),"-","/")),DAY(SUBSTITUTE(LEFT(Base_report!F71,10),"-","/")))</f>
        <v>45301</v>
      </c>
      <c r="H71" s="16">
        <f>DATE(YEAR(SUBSTITUTE(LEFT(Base_report!G71,10),"-","/")),MONTH(SUBSTITUTE(LEFT(Base_report!G71,10),"-","/")),DAY(SUBSTITUTE(LEFT(Base_report!G71,10),"-","/")))</f>
        <v>45301</v>
      </c>
      <c r="I71" s="17" t="str">
        <f t="shared" si="1"/>
        <v>OUI</v>
      </c>
      <c r="J71" s="18">
        <f>IF(L71="DS",DATE(RIGHT(B71,4),VLOOKUP(LEFT(B71,LEN(B71)-5),Feuil1!$E$3:$F$19,2,FALSE)+1,10),DATE(RIGHT(B71,4),VLOOKUP(LEFT(B71,LEN(B71)-5),Feuil1!$E$3:$F$19,2,FALSE)+1,7))</f>
        <v>45301</v>
      </c>
      <c r="K71" s="19">
        <f t="shared" si="2"/>
        <v>1</v>
      </c>
      <c r="L71" s="6" t="str">
        <f t="shared" si="3"/>
        <v>DS</v>
      </c>
    </row>
    <row r="72" ht="14.25" customHeight="1">
      <c r="A72" s="14" t="str">
        <f>Base_report!A72</f>
        <v>PORO</v>
      </c>
      <c r="B72" s="14" t="str">
        <f>Base_report!B72</f>
        <v>DECEMBRE 2023</v>
      </c>
      <c r="C72" s="15" t="str">
        <f>Base_report!C72</f>
        <v>C3006</v>
      </c>
      <c r="D72" s="14" t="str">
        <f>TRIM(IF(ISNUMBER(FIND("PNSME",Base_report!D72,1)),SUBSTITUTE(Base_report!D72,"PNSME",""),IF(ISNUMBER(FIND("PHG",Base_report!D72,1)),SUBSTITUTE(Base_report!D72,"PHG",""),IF(ISNUMBER(FIND("PCS",Base_report!D72,1)),SUBSTITUTE(Base_report!D72,"PCS",""),IF(ISNUMBER(FIND("CMU",Base_report!D72,1)),SUBSTITUTE(Base_report!D72,"CMU",""),Base_report!D72)))))</f>
        <v>DISTRICT SANITAIRE KORHOGO 1</v>
      </c>
      <c r="E72" s="14" t="str">
        <f>SUBSTITUTE(Base_report!E72,"-","/")</f>
        <v>PNN/MEDICAMENTS ET INTRANTS</v>
      </c>
      <c r="F72" s="14" t="s">
        <v>788</v>
      </c>
      <c r="G72" s="16">
        <f>DATE(YEAR(SUBSTITUTE(LEFT(Base_report!F72,10),"-","/")),MONTH(SUBSTITUTE(LEFT(Base_report!F72,10),"-","/")),DAY(SUBSTITUTE(LEFT(Base_report!F72,10),"-","/")))</f>
        <v>45301</v>
      </c>
      <c r="H72" s="16">
        <f>DATE(YEAR(SUBSTITUTE(LEFT(Base_report!G72,10),"-","/")),MONTH(SUBSTITUTE(LEFT(Base_report!G72,10),"-","/")),DAY(SUBSTITUTE(LEFT(Base_report!G72,10),"-","/")))</f>
        <v>45301</v>
      </c>
      <c r="I72" s="17" t="str">
        <f t="shared" si="1"/>
        <v>OUI</v>
      </c>
      <c r="J72" s="18">
        <f>IF(L72="DS",DATE(RIGHT(B72,4),VLOOKUP(LEFT(B72,LEN(B72)-5),Feuil1!$E$3:$F$19,2,FALSE)+1,10),DATE(RIGHT(B72,4),VLOOKUP(LEFT(B72,LEN(B72)-5),Feuil1!$E$3:$F$19,2,FALSE)+1,7))</f>
        <v>45301</v>
      </c>
      <c r="K72" s="19">
        <f t="shared" si="2"/>
        <v>1</v>
      </c>
      <c r="L72" s="6" t="str">
        <f t="shared" si="3"/>
        <v>DS</v>
      </c>
    </row>
    <row r="73" ht="14.25" customHeight="1">
      <c r="A73" s="14" t="str">
        <f>Base_report!A73</f>
        <v>HAUT-SASSANDRA</v>
      </c>
      <c r="B73" s="14" t="str">
        <f>Base_report!B73</f>
        <v>DECEMBRE 2023</v>
      </c>
      <c r="C73" s="15" t="str">
        <f>Base_report!C73</f>
        <v>C2025</v>
      </c>
      <c r="D73" s="14" t="str">
        <f>TRIM(IF(ISNUMBER(FIND("PNSME",Base_report!D73,1)),SUBSTITUTE(Base_report!D73,"PNSME",""),IF(ISNUMBER(FIND("PHG",Base_report!D73,1)),SUBSTITUTE(Base_report!D73,"PHG",""),IF(ISNUMBER(FIND("PCS",Base_report!D73,1)),SUBSTITUTE(Base_report!D73,"PCS",""),IF(ISNUMBER(FIND("CMU",Base_report!D73,1)),SUBSTITUTE(Base_report!D73,"CMU",""),Base_report!D73)))))</f>
        <v>DISTRICT SANITAIRE DALOA</v>
      </c>
      <c r="E73" s="14" t="str">
        <f>SUBSTITUTE(Base_report!E73,"-","/")</f>
        <v>PNLS/TESTS RAPIDES ET CONSOMMABLES</v>
      </c>
      <c r="F73" s="14" t="s">
        <v>788</v>
      </c>
      <c r="G73" s="16">
        <f>DATE(YEAR(SUBSTITUTE(LEFT(Base_report!F73,10),"-","/")),MONTH(SUBSTITUTE(LEFT(Base_report!F73,10),"-","/")),DAY(SUBSTITUTE(LEFT(Base_report!F73,10),"-","/")))</f>
        <v>45301</v>
      </c>
      <c r="H73" s="16">
        <f>DATE(YEAR(SUBSTITUTE(LEFT(Base_report!G73,10),"-","/")),MONTH(SUBSTITUTE(LEFT(Base_report!G73,10),"-","/")),DAY(SUBSTITUTE(LEFT(Base_report!G73,10),"-","/")))</f>
        <v>45301</v>
      </c>
      <c r="I73" s="17" t="str">
        <f t="shared" si="1"/>
        <v>OUI</v>
      </c>
      <c r="J73" s="18">
        <f>IF(L73="DS",DATE(RIGHT(B73,4),VLOOKUP(LEFT(B73,LEN(B73)-5),Feuil1!$E$3:$F$19,2,FALSE)+1,10),DATE(RIGHT(B73,4),VLOOKUP(LEFT(B73,LEN(B73)-5),Feuil1!$E$3:$F$19,2,FALSE)+1,7))</f>
        <v>45301</v>
      </c>
      <c r="K73" s="19">
        <f t="shared" si="2"/>
        <v>1</v>
      </c>
      <c r="L73" s="6" t="str">
        <f t="shared" si="3"/>
        <v>DS</v>
      </c>
    </row>
    <row r="74" ht="14.25" customHeight="1">
      <c r="A74" s="14" t="str">
        <f>Base_report!A74</f>
        <v>GBEKE</v>
      </c>
      <c r="B74" s="14" t="str">
        <f>Base_report!B74</f>
        <v>DECEMBRE 2023</v>
      </c>
      <c r="C74" s="15" t="str">
        <f>Base_report!C74</f>
        <v>C2022</v>
      </c>
      <c r="D74" s="14" t="str">
        <f>TRIM(IF(ISNUMBER(FIND("PNSME",Base_report!D74,1)),SUBSTITUTE(Base_report!D74,"PNSME",""),IF(ISNUMBER(FIND("PHG",Base_report!D74,1)),SUBSTITUTE(Base_report!D74,"PHG",""),IF(ISNUMBER(FIND("PCS",Base_report!D74,1)),SUBSTITUTE(Base_report!D74,"PCS",""),IF(ISNUMBER(FIND("CMU",Base_report!D74,1)),SUBSTITUTE(Base_report!D74,"CMU",""),Base_report!D74)))))</f>
        <v>DISTRICT SANITAIRE BOUAKE EST</v>
      </c>
      <c r="E74" s="14" t="str">
        <f>SUBSTITUTE(Base_report!E74,"-","/")</f>
        <v>PNN/MEDICAMENTS ET INTRANTS</v>
      </c>
      <c r="F74" s="14" t="s">
        <v>788</v>
      </c>
      <c r="G74" s="16">
        <f>DATE(YEAR(SUBSTITUTE(LEFT(Base_report!F74,10),"-","/")),MONTH(SUBSTITUTE(LEFT(Base_report!F74,10),"-","/")),DAY(SUBSTITUTE(LEFT(Base_report!F74,10),"-","/")))</f>
        <v>45300</v>
      </c>
      <c r="H74" s="16">
        <f>DATE(YEAR(SUBSTITUTE(LEFT(Base_report!G74,10),"-","/")),MONTH(SUBSTITUTE(LEFT(Base_report!G74,10),"-","/")),DAY(SUBSTITUTE(LEFT(Base_report!G74,10),"-","/")))</f>
        <v>45300</v>
      </c>
      <c r="I74" s="17" t="str">
        <f t="shared" si="1"/>
        <v>OUI</v>
      </c>
      <c r="J74" s="18">
        <f>IF(L74="DS",DATE(RIGHT(B74,4),VLOOKUP(LEFT(B74,LEN(B74)-5),Feuil1!$E$3:$F$19,2,FALSE)+1,10),DATE(RIGHT(B74,4),VLOOKUP(LEFT(B74,LEN(B74)-5),Feuil1!$E$3:$F$19,2,FALSE)+1,7))</f>
        <v>45301</v>
      </c>
      <c r="K74" s="19">
        <f t="shared" si="2"/>
        <v>1</v>
      </c>
      <c r="L74" s="6" t="str">
        <f t="shared" si="3"/>
        <v>DS</v>
      </c>
    </row>
    <row r="75" ht="14.25" customHeight="1">
      <c r="A75" s="14" t="str">
        <f>Base_report!A75</f>
        <v>CAVALLY</v>
      </c>
      <c r="B75" s="14" t="str">
        <f>Base_report!B75</f>
        <v>DECEMBRE 2023</v>
      </c>
      <c r="C75" s="15" t="str">
        <f>Base_report!C75</f>
        <v>C5014</v>
      </c>
      <c r="D75" s="14" t="str">
        <f>TRIM(IF(ISNUMBER(FIND("PNSME",Base_report!D75,1)),SUBSTITUTE(Base_report!D75,"PNSME",""),IF(ISNUMBER(FIND("PHG",Base_report!D75,1)),SUBSTITUTE(Base_report!D75,"PHG",""),IF(ISNUMBER(FIND("PCS",Base_report!D75,1)),SUBSTITUTE(Base_report!D75,"PCS",""),IF(ISNUMBER(FIND("CMU",Base_report!D75,1)),SUBSTITUTE(Base_report!D75,"CMU",""),Base_report!D75)))))</f>
        <v>DISTRICT SANITAIRE TOULEPLEU</v>
      </c>
      <c r="E75" s="14" t="str">
        <f>SUBSTITUTE(Base_report!E75,"-","/")</f>
        <v>PNLP/MEDICAMENTS ET INTRANTS</v>
      </c>
      <c r="F75" s="14" t="s">
        <v>788</v>
      </c>
      <c r="G75" s="16">
        <f>DATE(YEAR(SUBSTITUTE(LEFT(Base_report!F75,10),"-","/")),MONTH(SUBSTITUTE(LEFT(Base_report!F75,10),"-","/")),DAY(SUBSTITUTE(LEFT(Base_report!F75,10),"-","/")))</f>
        <v>45300</v>
      </c>
      <c r="H75" s="16">
        <f>DATE(YEAR(SUBSTITUTE(LEFT(Base_report!G75,10),"-","/")),MONTH(SUBSTITUTE(LEFT(Base_report!G75,10),"-","/")),DAY(SUBSTITUTE(LEFT(Base_report!G75,10),"-","/")))</f>
        <v>45300</v>
      </c>
      <c r="I75" s="17" t="str">
        <f t="shared" si="1"/>
        <v>OUI</v>
      </c>
      <c r="J75" s="18">
        <f>IF(L75="DS",DATE(RIGHT(B75,4),VLOOKUP(LEFT(B75,LEN(B75)-5),Feuil1!$E$3:$F$19,2,FALSE)+1,10),DATE(RIGHT(B75,4),VLOOKUP(LEFT(B75,LEN(B75)-5),Feuil1!$E$3:$F$19,2,FALSE)+1,7))</f>
        <v>45301</v>
      </c>
      <c r="K75" s="19">
        <f t="shared" si="2"/>
        <v>1</v>
      </c>
      <c r="L75" s="6" t="str">
        <f t="shared" si="3"/>
        <v>DS</v>
      </c>
    </row>
    <row r="76" ht="14.25" customHeight="1">
      <c r="A76" s="14" t="str">
        <f>Base_report!A76</f>
        <v>HAUT-SASSANDRA</v>
      </c>
      <c r="B76" s="14" t="str">
        <f>Base_report!B76</f>
        <v>DECEMBRE 2023</v>
      </c>
      <c r="C76" s="15" t="str">
        <f>Base_report!C76</f>
        <v>C2025</v>
      </c>
      <c r="D76" s="14" t="str">
        <f>TRIM(IF(ISNUMBER(FIND("PNSME",Base_report!D76,1)),SUBSTITUTE(Base_report!D76,"PNSME",""),IF(ISNUMBER(FIND("PHG",Base_report!D76,1)),SUBSTITUTE(Base_report!D76,"PHG",""),IF(ISNUMBER(FIND("PCS",Base_report!D76,1)),SUBSTITUTE(Base_report!D76,"PCS",""),IF(ISNUMBER(FIND("CMU",Base_report!D76,1)),SUBSTITUTE(Base_report!D76,"CMU",""),Base_report!D76)))))</f>
        <v>DISTRICT SANITAIRE DALOA</v>
      </c>
      <c r="E76" s="14" t="str">
        <f>SUBSTITUTE(Base_report!E76,"-","/")</f>
        <v>PNLP/MEDICAMENTS ET INTRANTS</v>
      </c>
      <c r="F76" s="14" t="s">
        <v>788</v>
      </c>
      <c r="G76" s="16">
        <f>DATE(YEAR(SUBSTITUTE(LEFT(Base_report!F76,10),"-","/")),MONTH(SUBSTITUTE(LEFT(Base_report!F76,10),"-","/")),DAY(SUBSTITUTE(LEFT(Base_report!F76,10),"-","/")))</f>
        <v>45302</v>
      </c>
      <c r="H76" s="16">
        <f>DATE(YEAR(SUBSTITUTE(LEFT(Base_report!G76,10),"-","/")),MONTH(SUBSTITUTE(LEFT(Base_report!G76,10),"-","/")),DAY(SUBSTITUTE(LEFT(Base_report!G76,10),"-","/")))</f>
        <v>45302</v>
      </c>
      <c r="I76" s="17" t="str">
        <f t="shared" si="1"/>
        <v>OUI</v>
      </c>
      <c r="J76" s="18">
        <f>IF(L76="DS",DATE(RIGHT(B76,4),VLOOKUP(LEFT(B76,LEN(B76)-5),Feuil1!$E$3:$F$19,2,FALSE)+1,10),DATE(RIGHT(B76,4),VLOOKUP(LEFT(B76,LEN(B76)-5),Feuil1!$E$3:$F$19,2,FALSE)+1,7))</f>
        <v>45301</v>
      </c>
      <c r="K76" s="19">
        <f t="shared" si="2"/>
        <v>0</v>
      </c>
      <c r="L76" s="6" t="str">
        <f t="shared" si="3"/>
        <v>DS</v>
      </c>
    </row>
    <row r="77" ht="14.25" customHeight="1">
      <c r="A77" s="14" t="str">
        <f>Base_report!A77</f>
        <v>NAWA</v>
      </c>
      <c r="B77" s="14" t="str">
        <f>Base_report!B77</f>
        <v>DECEMBRE 2023</v>
      </c>
      <c r="C77" s="15" t="str">
        <f>Base_report!C77</f>
        <v>C2167</v>
      </c>
      <c r="D77" s="14" t="str">
        <f>TRIM(IF(ISNUMBER(FIND("PNSME",Base_report!D77,1)),SUBSTITUTE(Base_report!D77,"PNSME",""),IF(ISNUMBER(FIND("PHG",Base_report!D77,1)),SUBSTITUTE(Base_report!D77,"PHG",""),IF(ISNUMBER(FIND("PCS",Base_report!D77,1)),SUBSTITUTE(Base_report!D77,"PCS",""),IF(ISNUMBER(FIND("CMU",Base_report!D77,1)),SUBSTITUTE(Base_report!D77,"CMU",""),Base_report!D77)))))</f>
        <v>DISTRICT SANITAIRE GUEYO</v>
      </c>
      <c r="E77" s="14" t="str">
        <f>SUBSTITUTE(Base_report!E77,"-","/")</f>
        <v>PNN/MEDICAMENTS ET INTRANTS</v>
      </c>
      <c r="F77" s="14" t="s">
        <v>788</v>
      </c>
      <c r="G77" s="16">
        <f>DATE(YEAR(SUBSTITUTE(LEFT(Base_report!F77,10),"-","/")),MONTH(SUBSTITUTE(LEFT(Base_report!F77,10),"-","/")),DAY(SUBSTITUTE(LEFT(Base_report!F77,10),"-","/")))</f>
        <v>45300</v>
      </c>
      <c r="H77" s="16">
        <f>DATE(YEAR(SUBSTITUTE(LEFT(Base_report!G77,10),"-","/")),MONTH(SUBSTITUTE(LEFT(Base_report!G77,10),"-","/")),DAY(SUBSTITUTE(LEFT(Base_report!G77,10),"-","/")))</f>
        <v>45300</v>
      </c>
      <c r="I77" s="17" t="str">
        <f t="shared" si="1"/>
        <v>OUI</v>
      </c>
      <c r="J77" s="18">
        <f>IF(L77="DS",DATE(RIGHT(B77,4),VLOOKUP(LEFT(B77,LEN(B77)-5),Feuil1!$E$3:$F$19,2,FALSE)+1,10),DATE(RIGHT(B77,4),VLOOKUP(LEFT(B77,LEN(B77)-5),Feuil1!$E$3:$F$19,2,FALSE)+1,7))</f>
        <v>45301</v>
      </c>
      <c r="K77" s="19">
        <f t="shared" si="2"/>
        <v>1</v>
      </c>
      <c r="L77" s="6" t="str">
        <f t="shared" si="3"/>
        <v>DS</v>
      </c>
    </row>
    <row r="78" ht="14.25" customHeight="1">
      <c r="A78" s="14" t="str">
        <f>Base_report!A78</f>
        <v>LOH-DJIBOUA</v>
      </c>
      <c r="B78" s="14" t="str">
        <f>Base_report!B78</f>
        <v>DECEMBRE 2023</v>
      </c>
      <c r="C78" s="15" t="str">
        <f>Base_report!C78</f>
        <v>C2028</v>
      </c>
      <c r="D78" s="14" t="str">
        <f>TRIM(IF(ISNUMBER(FIND("PNSME",Base_report!D78,1)),SUBSTITUTE(Base_report!D78,"PNSME",""),IF(ISNUMBER(FIND("PHG",Base_report!D78,1)),SUBSTITUTE(Base_report!D78,"PHG",""),IF(ISNUMBER(FIND("PCS",Base_report!D78,1)),SUBSTITUTE(Base_report!D78,"PCS",""),IF(ISNUMBER(FIND("CMU",Base_report!D78,1)),SUBSTITUTE(Base_report!D78,"CMU",""),Base_report!D78)))))</f>
        <v>DISTRICT SANITAIRE DIVO</v>
      </c>
      <c r="E78" s="14" t="str">
        <f>SUBSTITUTE(Base_report!E78,"-","/")</f>
        <v>PNLS/ANTIRETROVIRAUX ET IO</v>
      </c>
      <c r="F78" s="14" t="s">
        <v>788</v>
      </c>
      <c r="G78" s="16">
        <f>DATE(YEAR(SUBSTITUTE(LEFT(Base_report!F78,10),"-","/")),MONTH(SUBSTITUTE(LEFT(Base_report!F78,10),"-","/")),DAY(SUBSTITUTE(LEFT(Base_report!F78,10),"-","/")))</f>
        <v>45301</v>
      </c>
      <c r="H78" s="16">
        <f>DATE(YEAR(SUBSTITUTE(LEFT(Base_report!G78,10),"-","/")),MONTH(SUBSTITUTE(LEFT(Base_report!G78,10),"-","/")),DAY(SUBSTITUTE(LEFT(Base_report!G78,10),"-","/")))</f>
        <v>45301</v>
      </c>
      <c r="I78" s="17" t="str">
        <f t="shared" si="1"/>
        <v>OUI</v>
      </c>
      <c r="J78" s="18">
        <f>IF(L78="DS",DATE(RIGHT(B78,4),VLOOKUP(LEFT(B78,LEN(B78)-5),Feuil1!$E$3:$F$19,2,FALSE)+1,10),DATE(RIGHT(B78,4),VLOOKUP(LEFT(B78,LEN(B78)-5),Feuil1!$E$3:$F$19,2,FALSE)+1,7))</f>
        <v>45301</v>
      </c>
      <c r="K78" s="19">
        <f t="shared" si="2"/>
        <v>1</v>
      </c>
      <c r="L78" s="6" t="str">
        <f t="shared" si="3"/>
        <v>DS</v>
      </c>
    </row>
    <row r="79" ht="14.25" customHeight="1">
      <c r="A79" s="14" t="str">
        <f>Base_report!A79</f>
        <v>IFFOU</v>
      </c>
      <c r="B79" s="14" t="str">
        <f>Base_report!B79</f>
        <v>DECEMBRE 2023</v>
      </c>
      <c r="C79" s="15" t="str">
        <f>Base_report!C79</f>
        <v>C4051</v>
      </c>
      <c r="D79" s="14" t="str">
        <f>TRIM(IF(ISNUMBER(FIND("PNSME",Base_report!D79,1)),SUBSTITUTE(Base_report!D79,"PNSME",""),IF(ISNUMBER(FIND("PHG",Base_report!D79,1)),SUBSTITUTE(Base_report!D79,"PHG",""),IF(ISNUMBER(FIND("PCS",Base_report!D79,1)),SUBSTITUTE(Base_report!D79,"PCS",""),IF(ISNUMBER(FIND("CMU",Base_report!D79,1)),SUBSTITUTE(Base_report!D79,"CMU",""),Base_report!D79)))))</f>
        <v>DISTRICT SANITAIRE PRIKRO</v>
      </c>
      <c r="E79" s="14" t="str">
        <f>SUBSTITUTE(Base_report!E79,"-","/")</f>
        <v>PNN/MEDICAMENTS ET INTRANTS</v>
      </c>
      <c r="F79" s="14" t="s">
        <v>788</v>
      </c>
      <c r="G79" s="16">
        <f>DATE(YEAR(SUBSTITUTE(LEFT(Base_report!F79,10),"-","/")),MONTH(SUBSTITUTE(LEFT(Base_report!F79,10),"-","/")),DAY(SUBSTITUTE(LEFT(Base_report!F79,10),"-","/")))</f>
        <v>45301</v>
      </c>
      <c r="H79" s="16">
        <f>DATE(YEAR(SUBSTITUTE(LEFT(Base_report!G79,10),"-","/")),MONTH(SUBSTITUTE(LEFT(Base_report!G79,10),"-","/")),DAY(SUBSTITUTE(LEFT(Base_report!G79,10),"-","/")))</f>
        <v>45301</v>
      </c>
      <c r="I79" s="17" t="str">
        <f t="shared" si="1"/>
        <v>OUI</v>
      </c>
      <c r="J79" s="18">
        <f>IF(L79="DS",DATE(RIGHT(B79,4),VLOOKUP(LEFT(B79,LEN(B79)-5),Feuil1!$E$3:$F$19,2,FALSE)+1,10),DATE(RIGHT(B79,4),VLOOKUP(LEFT(B79,LEN(B79)-5),Feuil1!$E$3:$F$19,2,FALSE)+1,7))</f>
        <v>45301</v>
      </c>
      <c r="K79" s="19">
        <f t="shared" si="2"/>
        <v>1</v>
      </c>
      <c r="L79" s="6" t="str">
        <f t="shared" si="3"/>
        <v>DS</v>
      </c>
    </row>
    <row r="80" ht="14.25" customHeight="1">
      <c r="A80" s="14" t="str">
        <f>Base_report!A80</f>
        <v>ABIDJAN 1</v>
      </c>
      <c r="B80" s="14" t="str">
        <f>Base_report!B80</f>
        <v>DECEMBRE 2023</v>
      </c>
      <c r="C80" s="15" t="str">
        <f>Base_report!C80</f>
        <v>C1398</v>
      </c>
      <c r="D80" s="14" t="str">
        <f>TRIM(IF(ISNUMBER(FIND("PNSME",Base_report!D80,1)),SUBSTITUTE(Base_report!D80,"PNSME",""),IF(ISNUMBER(FIND("PHG",Base_report!D80,1)),SUBSTITUTE(Base_report!D80,"PHG",""),IF(ISNUMBER(FIND("PCS",Base_report!D80,1)),SUBSTITUTE(Base_report!D80,"PCS",""),IF(ISNUMBER(FIND("CMU",Base_report!D80,1)),SUBSTITUTE(Base_report!D80,"CMU",""),Base_report!D80)))))</f>
        <v>DISTRICT SANITAIRE ABOBO EST</v>
      </c>
      <c r="E80" s="14" t="str">
        <f>SUBSTITUTE(Base_report!E80,"-","/")</f>
        <v>PNLS/TESTS RAPIDES ET CONSOMMABLES</v>
      </c>
      <c r="F80" s="14" t="s">
        <v>788</v>
      </c>
      <c r="G80" s="16">
        <f>DATE(YEAR(SUBSTITUTE(LEFT(Base_report!F80,10),"-","/")),MONTH(SUBSTITUTE(LEFT(Base_report!F80,10),"-","/")),DAY(SUBSTITUTE(LEFT(Base_report!F80,10),"-","/")))</f>
        <v>45301</v>
      </c>
      <c r="H80" s="16">
        <f>DATE(YEAR(SUBSTITUTE(LEFT(Base_report!G80,10),"-","/")),MONTH(SUBSTITUTE(LEFT(Base_report!G80,10),"-","/")),DAY(SUBSTITUTE(LEFT(Base_report!G80,10),"-","/")))</f>
        <v>45301</v>
      </c>
      <c r="I80" s="17" t="str">
        <f t="shared" si="1"/>
        <v>OUI</v>
      </c>
      <c r="J80" s="18">
        <f>IF(L80="DS",DATE(RIGHT(B80,4),VLOOKUP(LEFT(B80,LEN(B80)-5),Feuil1!$E$3:$F$19,2,FALSE)+1,10),DATE(RIGHT(B80,4),VLOOKUP(LEFT(B80,LEN(B80)-5),Feuil1!$E$3:$F$19,2,FALSE)+1,7))</f>
        <v>45301</v>
      </c>
      <c r="K80" s="19">
        <f t="shared" si="2"/>
        <v>1</v>
      </c>
      <c r="L80" s="6" t="str">
        <f t="shared" si="3"/>
        <v>DS</v>
      </c>
    </row>
    <row r="81" ht="14.25" customHeight="1">
      <c r="A81" s="14" t="str">
        <f>Base_report!A81</f>
        <v>HAMBOL</v>
      </c>
      <c r="B81" s="14" t="str">
        <f>Base_report!B81</f>
        <v>DECEMBRE 2023</v>
      </c>
      <c r="C81" s="15" t="str">
        <f>Base_report!C81</f>
        <v>C3045</v>
      </c>
      <c r="D81" s="14" t="str">
        <f>TRIM(IF(ISNUMBER(FIND("PNSME",Base_report!D81,1)),SUBSTITUTE(Base_report!D81,"PNSME",""),IF(ISNUMBER(FIND("PHG",Base_report!D81,1)),SUBSTITUTE(Base_report!D81,"PHG",""),IF(ISNUMBER(FIND("PCS",Base_report!D81,1)),SUBSTITUTE(Base_report!D81,"PCS",""),IF(ISNUMBER(FIND("CMU",Base_report!D81,1)),SUBSTITUTE(Base_report!D81,"CMU",""),Base_report!D81)))))</f>
        <v>DISTRICT SANITAIRE NIAKARA</v>
      </c>
      <c r="E81" s="14" t="str">
        <f>SUBSTITUTE(Base_report!E81,"-","/")</f>
        <v>PNN/MEDICAMENTS ET INTRANTS</v>
      </c>
      <c r="F81" s="14" t="s">
        <v>788</v>
      </c>
      <c r="G81" s="16">
        <f>DATE(YEAR(SUBSTITUTE(LEFT(Base_report!F81,10),"-","/")),MONTH(SUBSTITUTE(LEFT(Base_report!F81,10),"-","/")),DAY(SUBSTITUTE(LEFT(Base_report!F81,10),"-","/")))</f>
        <v>45300</v>
      </c>
      <c r="H81" s="16">
        <f>DATE(YEAR(SUBSTITUTE(LEFT(Base_report!G81,10),"-","/")),MONTH(SUBSTITUTE(LEFT(Base_report!G81,10),"-","/")),DAY(SUBSTITUTE(LEFT(Base_report!G81,10),"-","/")))</f>
        <v>45301</v>
      </c>
      <c r="I81" s="17" t="str">
        <f t="shared" si="1"/>
        <v>OUI</v>
      </c>
      <c r="J81" s="18">
        <f>IF(L81="DS",DATE(RIGHT(B81,4),VLOOKUP(LEFT(B81,LEN(B81)-5),Feuil1!$E$3:$F$19,2,FALSE)+1,10),DATE(RIGHT(B81,4),VLOOKUP(LEFT(B81,LEN(B81)-5),Feuil1!$E$3:$F$19,2,FALSE)+1,7))</f>
        <v>45301</v>
      </c>
      <c r="K81" s="19">
        <f t="shared" si="2"/>
        <v>1</v>
      </c>
      <c r="L81" s="6" t="str">
        <f t="shared" si="3"/>
        <v>DS</v>
      </c>
    </row>
    <row r="82" ht="14.25" customHeight="1">
      <c r="A82" s="14" t="str">
        <f>Base_report!A82</f>
        <v>SUD-COMOE</v>
      </c>
      <c r="B82" s="14" t="str">
        <f>Base_report!B82</f>
        <v>DECEMBRE 2023</v>
      </c>
      <c r="C82" s="15" t="str">
        <f>Base_report!C82</f>
        <v>C1048</v>
      </c>
      <c r="D82" s="14" t="str">
        <f>TRIM(IF(ISNUMBER(FIND("PNSME",Base_report!D82,1)),SUBSTITUTE(Base_report!D82,"PNSME",""),IF(ISNUMBER(FIND("PHG",Base_report!D82,1)),SUBSTITUTE(Base_report!D82,"PHG",""),IF(ISNUMBER(FIND("PCS",Base_report!D82,1)),SUBSTITUTE(Base_report!D82,"PCS",""),IF(ISNUMBER(FIND("CMU",Base_report!D82,1)),SUBSTITUTE(Base_report!D82,"CMU",""),Base_report!D82)))))</f>
        <v>DISTRICT SANITAIRE GRAND-BASSAM</v>
      </c>
      <c r="E82" s="14" t="str">
        <f>SUBSTITUTE(Base_report!E82,"-","/")</f>
        <v>PNN/MEDICAMENTS ET INTRANTS</v>
      </c>
      <c r="F82" s="14" t="s">
        <v>788</v>
      </c>
      <c r="G82" s="16">
        <f>DATE(YEAR(SUBSTITUTE(LEFT(Base_report!F82,10),"-","/")),MONTH(SUBSTITUTE(LEFT(Base_report!F82,10),"-","/")),DAY(SUBSTITUTE(LEFT(Base_report!F82,10),"-","/")))</f>
        <v>45300</v>
      </c>
      <c r="H82" s="16">
        <f>DATE(YEAR(SUBSTITUTE(LEFT(Base_report!G82,10),"-","/")),MONTH(SUBSTITUTE(LEFT(Base_report!G82,10),"-","/")),DAY(SUBSTITUTE(LEFT(Base_report!G82,10),"-","/")))</f>
        <v>45300</v>
      </c>
      <c r="I82" s="17" t="str">
        <f t="shared" si="1"/>
        <v>OUI</v>
      </c>
      <c r="J82" s="18">
        <f>IF(L82="DS",DATE(RIGHT(B82,4),VLOOKUP(LEFT(B82,LEN(B82)-5),Feuil1!$E$3:$F$19,2,FALSE)+1,10),DATE(RIGHT(B82,4),VLOOKUP(LEFT(B82,LEN(B82)-5),Feuil1!$E$3:$F$19,2,FALSE)+1,7))</f>
        <v>45301</v>
      </c>
      <c r="K82" s="19">
        <f t="shared" si="2"/>
        <v>1</v>
      </c>
      <c r="L82" s="6" t="str">
        <f t="shared" si="3"/>
        <v>DS</v>
      </c>
    </row>
    <row r="83" ht="14.25" customHeight="1">
      <c r="A83" s="14" t="str">
        <f>Base_report!A83</f>
        <v>BOUNKANI</v>
      </c>
      <c r="B83" s="14" t="str">
        <f>Base_report!B83</f>
        <v>DECEMBRE 2023</v>
      </c>
      <c r="C83" s="15" t="str">
        <f>Base_report!C83</f>
        <v>C4069</v>
      </c>
      <c r="D83" s="14" t="str">
        <f>TRIM(IF(ISNUMBER(FIND("PNSME",Base_report!D83,1)),SUBSTITUTE(Base_report!D83,"PNSME",""),IF(ISNUMBER(FIND("PHG",Base_report!D83,1)),SUBSTITUTE(Base_report!D83,"PHG",""),IF(ISNUMBER(FIND("PCS",Base_report!D83,1)),SUBSTITUTE(Base_report!D83,"PCS",""),IF(ISNUMBER(FIND("CMU",Base_report!D83,1)),SUBSTITUTE(Base_report!D83,"CMU",""),Base_report!D83)))))</f>
        <v>DISTRICT SANITAIRE TRANSUA</v>
      </c>
      <c r="E83" s="14" t="str">
        <f>SUBSTITUTE(Base_report!E83,"-","/")</f>
        <v>PNLS/PRODUITS DE LABORATOIRE</v>
      </c>
      <c r="F83" s="14" t="s">
        <v>788</v>
      </c>
      <c r="G83" s="16">
        <f>DATE(YEAR(SUBSTITUTE(LEFT(Base_report!F83,10),"-","/")),MONTH(SUBSTITUTE(LEFT(Base_report!F83,10),"-","/")),DAY(SUBSTITUTE(LEFT(Base_report!F83,10),"-","/")))</f>
        <v>45301</v>
      </c>
      <c r="H83" s="16">
        <f>DATE(YEAR(SUBSTITUTE(LEFT(Base_report!G83,10),"-","/")),MONTH(SUBSTITUTE(LEFT(Base_report!G83,10),"-","/")),DAY(SUBSTITUTE(LEFT(Base_report!G83,10),"-","/")))</f>
        <v>45301</v>
      </c>
      <c r="I83" s="17" t="str">
        <f t="shared" si="1"/>
        <v>OUI</v>
      </c>
      <c r="J83" s="18">
        <f>IF(L83="DS",DATE(RIGHT(B83,4),VLOOKUP(LEFT(B83,LEN(B83)-5),Feuil1!$E$3:$F$19,2,FALSE)+1,10),DATE(RIGHT(B83,4),VLOOKUP(LEFT(B83,LEN(B83)-5),Feuil1!$E$3:$F$19,2,FALSE)+1,7))</f>
        <v>45301</v>
      </c>
      <c r="K83" s="19">
        <f t="shared" si="2"/>
        <v>1</v>
      </c>
      <c r="L83" s="6" t="str">
        <f t="shared" si="3"/>
        <v>DS</v>
      </c>
    </row>
    <row r="84" ht="14.25" customHeight="1">
      <c r="A84" s="14" t="str">
        <f>Base_report!A84</f>
        <v>MORONOU</v>
      </c>
      <c r="B84" s="14" t="str">
        <f>Base_report!B84</f>
        <v>DECEMBRE 2023</v>
      </c>
      <c r="C84" s="15" t="str">
        <f>Base_report!C84</f>
        <v>C4071</v>
      </c>
      <c r="D84" s="14" t="str">
        <f>TRIM(IF(ISNUMBER(FIND("PNSME",Base_report!D84,1)),SUBSTITUTE(Base_report!D84,"PNSME",""),IF(ISNUMBER(FIND("PHG",Base_report!D84,1)),SUBSTITUTE(Base_report!D84,"PHG",""),IF(ISNUMBER(FIND("PCS",Base_report!D84,1)),SUBSTITUTE(Base_report!D84,"PCS",""),IF(ISNUMBER(FIND("CMU",Base_report!D84,1)),SUBSTITUTE(Base_report!D84,"CMU",""),Base_report!D84)))))</f>
        <v>DISTRICT SANITAIRE MBATTO</v>
      </c>
      <c r="E84" s="14" t="str">
        <f>SUBSTITUTE(Base_report!E84,"-","/")</f>
        <v>PNLS/TESTS RAPIDES ET CONSOMMABLES</v>
      </c>
      <c r="F84" s="14" t="s">
        <v>788</v>
      </c>
      <c r="G84" s="16">
        <f>DATE(YEAR(SUBSTITUTE(LEFT(Base_report!F84,10),"-","/")),MONTH(SUBSTITUTE(LEFT(Base_report!F84,10),"-","/")),DAY(SUBSTITUTE(LEFT(Base_report!F84,10),"-","/")))</f>
        <v>45300</v>
      </c>
      <c r="H84" s="16">
        <f>DATE(YEAR(SUBSTITUTE(LEFT(Base_report!G84,10),"-","/")),MONTH(SUBSTITUTE(LEFT(Base_report!G84,10),"-","/")),DAY(SUBSTITUTE(LEFT(Base_report!G84,10),"-","/")))</f>
        <v>45301</v>
      </c>
      <c r="I84" s="17" t="str">
        <f t="shared" si="1"/>
        <v>OUI</v>
      </c>
      <c r="J84" s="18">
        <f>IF(L84="DS",DATE(RIGHT(B84,4),VLOOKUP(LEFT(B84,LEN(B84)-5),Feuil1!$E$3:$F$19,2,FALSE)+1,10),DATE(RIGHT(B84,4),VLOOKUP(LEFT(B84,LEN(B84)-5),Feuil1!$E$3:$F$19,2,FALSE)+1,7))</f>
        <v>45301</v>
      </c>
      <c r="K84" s="19">
        <f t="shared" si="2"/>
        <v>1</v>
      </c>
      <c r="L84" s="6" t="str">
        <f t="shared" si="3"/>
        <v>DS</v>
      </c>
    </row>
    <row r="85" ht="14.25" customHeight="1">
      <c r="A85" s="14" t="str">
        <f>Base_report!A85</f>
        <v>SUD-COMOE</v>
      </c>
      <c r="B85" s="14" t="str">
        <f>Base_report!B85</f>
        <v>DECEMBRE 2023</v>
      </c>
      <c r="C85" s="15" t="str">
        <f>Base_report!C85</f>
        <v>C1048</v>
      </c>
      <c r="D85" s="14" t="str">
        <f>TRIM(IF(ISNUMBER(FIND("PNSME",Base_report!D85,1)),SUBSTITUTE(Base_report!D85,"PNSME",""),IF(ISNUMBER(FIND("PHG",Base_report!D85,1)),SUBSTITUTE(Base_report!D85,"PHG",""),IF(ISNUMBER(FIND("PCS",Base_report!D85,1)),SUBSTITUTE(Base_report!D85,"PCS",""),IF(ISNUMBER(FIND("CMU",Base_report!D85,1)),SUBSTITUTE(Base_report!D85,"CMU",""),Base_report!D85)))))</f>
        <v>DISTRICT SANITAIRE GRAND-BASSAM</v>
      </c>
      <c r="E85" s="14" t="str">
        <f>SUBSTITUTE(Base_report!E85,"-","/")</f>
        <v>PNSME/MEDICAMENTS ET INTRANTS</v>
      </c>
      <c r="F85" s="14" t="s">
        <v>788</v>
      </c>
      <c r="G85" s="16">
        <f>DATE(YEAR(SUBSTITUTE(LEFT(Base_report!F85,10),"-","/")),MONTH(SUBSTITUTE(LEFT(Base_report!F85,10),"-","/")),DAY(SUBSTITUTE(LEFT(Base_report!F85,10),"-","/")))</f>
        <v>45300</v>
      </c>
      <c r="H85" s="16">
        <f>DATE(YEAR(SUBSTITUTE(LEFT(Base_report!G85,10),"-","/")),MONTH(SUBSTITUTE(LEFT(Base_report!G85,10),"-","/")),DAY(SUBSTITUTE(LEFT(Base_report!G85,10),"-","/")))</f>
        <v>45300</v>
      </c>
      <c r="I85" s="17" t="str">
        <f t="shared" si="1"/>
        <v>OUI</v>
      </c>
      <c r="J85" s="18">
        <f>IF(L85="DS",DATE(RIGHT(B85,4),VLOOKUP(LEFT(B85,LEN(B85)-5),Feuil1!$E$3:$F$19,2,FALSE)+1,10),DATE(RIGHT(B85,4),VLOOKUP(LEFT(B85,LEN(B85)-5),Feuil1!$E$3:$F$19,2,FALSE)+1,7))</f>
        <v>45301</v>
      </c>
      <c r="K85" s="19">
        <f t="shared" si="2"/>
        <v>1</v>
      </c>
      <c r="L85" s="6" t="str">
        <f t="shared" si="3"/>
        <v>DS</v>
      </c>
    </row>
    <row r="86" ht="14.25" customHeight="1">
      <c r="A86" s="14" t="str">
        <f>Base_report!A86</f>
        <v>SAN PEDRO</v>
      </c>
      <c r="B86" s="14" t="str">
        <f>Base_report!B86</f>
        <v>DECEMBRE 2023</v>
      </c>
      <c r="C86" s="15" t="str">
        <f>Base_report!C86</f>
        <v>C2035</v>
      </c>
      <c r="D86" s="14" t="str">
        <f>TRIM(IF(ISNUMBER(FIND("PNSME",Base_report!D86,1)),SUBSTITUTE(Base_report!D86,"PNSME",""),IF(ISNUMBER(FIND("PHG",Base_report!D86,1)),SUBSTITUTE(Base_report!D86,"PHG",""),IF(ISNUMBER(FIND("PCS",Base_report!D86,1)),SUBSTITUTE(Base_report!D86,"PCS",""),IF(ISNUMBER(FIND("CMU",Base_report!D86,1)),SUBSTITUTE(Base_report!D86,"CMU",""),Base_report!D86)))))</f>
        <v>DISTRICT SANITAIRE SAN-PEDRO</v>
      </c>
      <c r="E86" s="14" t="str">
        <f>SUBSTITUTE(Base_report!E86,"-","/")</f>
        <v>PNLS/TESTS RAPIDES ET CONSOMMABLES</v>
      </c>
      <c r="F86" s="14" t="s">
        <v>788</v>
      </c>
      <c r="G86" s="16">
        <f>DATE(YEAR(SUBSTITUTE(LEFT(Base_report!F86,10),"-","/")),MONTH(SUBSTITUTE(LEFT(Base_report!F86,10),"-","/")),DAY(SUBSTITUTE(LEFT(Base_report!F86,10),"-","/")))</f>
        <v>45301</v>
      </c>
      <c r="H86" s="16">
        <f>DATE(YEAR(SUBSTITUTE(LEFT(Base_report!G86,10),"-","/")),MONTH(SUBSTITUTE(LEFT(Base_report!G86,10),"-","/")),DAY(SUBSTITUTE(LEFT(Base_report!G86,10),"-","/")))</f>
        <v>45301</v>
      </c>
      <c r="I86" s="17" t="str">
        <f t="shared" si="1"/>
        <v>OUI</v>
      </c>
      <c r="J86" s="18">
        <f>IF(L86="DS",DATE(RIGHT(B86,4),VLOOKUP(LEFT(B86,LEN(B86)-5),Feuil1!$E$3:$F$19,2,FALSE)+1,10),DATE(RIGHT(B86,4),VLOOKUP(LEFT(B86,LEN(B86)-5),Feuil1!$E$3:$F$19,2,FALSE)+1,7))</f>
        <v>45301</v>
      </c>
      <c r="K86" s="19">
        <f t="shared" si="2"/>
        <v>1</v>
      </c>
      <c r="L86" s="6" t="str">
        <f t="shared" si="3"/>
        <v>DS</v>
      </c>
    </row>
    <row r="87" ht="14.25" customHeight="1">
      <c r="A87" s="14" t="str">
        <f>Base_report!A87</f>
        <v>AGNEBY-TIASSA</v>
      </c>
      <c r="B87" s="14" t="str">
        <f>Base_report!B87</f>
        <v>DECEMBRE 2023</v>
      </c>
      <c r="C87" s="15" t="str">
        <f>Base_report!C87</f>
        <v>C1125</v>
      </c>
      <c r="D87" s="14" t="str">
        <f>TRIM(IF(ISNUMBER(FIND("PNSME",Base_report!D87,1)),SUBSTITUTE(Base_report!D87,"PNSME",""),IF(ISNUMBER(FIND("PHG",Base_report!D87,1)),SUBSTITUTE(Base_report!D87,"PHG",""),IF(ISNUMBER(FIND("PCS",Base_report!D87,1)),SUBSTITUTE(Base_report!D87,"PCS",""),IF(ISNUMBER(FIND("CMU",Base_report!D87,1)),SUBSTITUTE(Base_report!D87,"CMU",""),Base_report!D87)))))</f>
        <v>DISTRICT SANITAIRE TIASSALE</v>
      </c>
      <c r="E87" s="14" t="str">
        <f>SUBSTITUTE(Base_report!E87,"-","/")</f>
        <v>PNN/MEDICAMENTS ET INTRANTS</v>
      </c>
      <c r="F87" s="14" t="s">
        <v>788</v>
      </c>
      <c r="G87" s="16">
        <f>DATE(YEAR(SUBSTITUTE(LEFT(Base_report!F87,10),"-","/")),MONTH(SUBSTITUTE(LEFT(Base_report!F87,10),"-","/")),DAY(SUBSTITUTE(LEFT(Base_report!F87,10),"-","/")))</f>
        <v>45300</v>
      </c>
      <c r="H87" s="16">
        <f>DATE(YEAR(SUBSTITUTE(LEFT(Base_report!G87,10),"-","/")),MONTH(SUBSTITUTE(LEFT(Base_report!G87,10),"-","/")),DAY(SUBSTITUTE(LEFT(Base_report!G87,10),"-","/")))</f>
        <v>45300</v>
      </c>
      <c r="I87" s="17" t="str">
        <f t="shared" si="1"/>
        <v>OUI</v>
      </c>
      <c r="J87" s="18">
        <f>IF(L87="DS",DATE(RIGHT(B87,4),VLOOKUP(LEFT(B87,LEN(B87)-5),Feuil1!$E$3:$F$19,2,FALSE)+1,10),DATE(RIGHT(B87,4),VLOOKUP(LEFT(B87,LEN(B87)-5),Feuil1!$E$3:$F$19,2,FALSE)+1,7))</f>
        <v>45301</v>
      </c>
      <c r="K87" s="19">
        <f t="shared" si="2"/>
        <v>1</v>
      </c>
      <c r="L87" s="6" t="str">
        <f t="shared" si="3"/>
        <v>DS</v>
      </c>
    </row>
    <row r="88" ht="14.25" customHeight="1">
      <c r="A88" s="14" t="str">
        <f>Base_report!A88</f>
        <v>AGNEBY-TIASSA</v>
      </c>
      <c r="B88" s="14" t="str">
        <f>Base_report!B88</f>
        <v>DECEMBRE 2023</v>
      </c>
      <c r="C88" s="15" t="str">
        <f>Base_report!C88</f>
        <v>C1125</v>
      </c>
      <c r="D88" s="14" t="str">
        <f>TRIM(IF(ISNUMBER(FIND("PNSME",Base_report!D88,1)),SUBSTITUTE(Base_report!D88,"PNSME",""),IF(ISNUMBER(FIND("PHG",Base_report!D88,1)),SUBSTITUTE(Base_report!D88,"PHG",""),IF(ISNUMBER(FIND("PCS",Base_report!D88,1)),SUBSTITUTE(Base_report!D88,"PCS",""),IF(ISNUMBER(FIND("CMU",Base_report!D88,1)),SUBSTITUTE(Base_report!D88,"CMU",""),Base_report!D88)))))</f>
        <v>DISTRICT SANITAIRE TIASSALE</v>
      </c>
      <c r="E88" s="14" t="str">
        <f>SUBSTITUTE(Base_report!E88,"-","/")</f>
        <v>PNLP/MEDICAMENTS ET INTRANTS</v>
      </c>
      <c r="F88" s="14" t="s">
        <v>788</v>
      </c>
      <c r="G88" s="16">
        <f>DATE(YEAR(SUBSTITUTE(LEFT(Base_report!F88,10),"-","/")),MONTH(SUBSTITUTE(LEFT(Base_report!F88,10),"-","/")),DAY(SUBSTITUTE(LEFT(Base_report!F88,10),"-","/")))</f>
        <v>45300</v>
      </c>
      <c r="H88" s="16">
        <f>DATE(YEAR(SUBSTITUTE(LEFT(Base_report!G88,10),"-","/")),MONTH(SUBSTITUTE(LEFT(Base_report!G88,10),"-","/")),DAY(SUBSTITUTE(LEFT(Base_report!G88,10),"-","/")))</f>
        <v>45300</v>
      </c>
      <c r="I88" s="17" t="str">
        <f t="shared" si="1"/>
        <v>OUI</v>
      </c>
      <c r="J88" s="18">
        <f>IF(L88="DS",DATE(RIGHT(B88,4),VLOOKUP(LEFT(B88,LEN(B88)-5),Feuil1!$E$3:$F$19,2,FALSE)+1,10),DATE(RIGHT(B88,4),VLOOKUP(LEFT(B88,LEN(B88)-5),Feuil1!$E$3:$F$19,2,FALSE)+1,7))</f>
        <v>45301</v>
      </c>
      <c r="K88" s="19">
        <f t="shared" si="2"/>
        <v>1</v>
      </c>
      <c r="L88" s="6" t="str">
        <f t="shared" si="3"/>
        <v>DS</v>
      </c>
    </row>
    <row r="89" ht="14.25" customHeight="1">
      <c r="A89" s="14" t="str">
        <f>Base_report!A89</f>
        <v>IFFOU</v>
      </c>
      <c r="B89" s="14" t="str">
        <f>Base_report!B89</f>
        <v>DECEMBRE 2023</v>
      </c>
      <c r="C89" s="15" t="str">
        <f>Base_report!C89</f>
        <v>C4051</v>
      </c>
      <c r="D89" s="14" t="str">
        <f>TRIM(IF(ISNUMBER(FIND("PNSME",Base_report!D89,1)),SUBSTITUTE(Base_report!D89,"PNSME",""),IF(ISNUMBER(FIND("PHG",Base_report!D89,1)),SUBSTITUTE(Base_report!D89,"PHG",""),IF(ISNUMBER(FIND("PCS",Base_report!D89,1)),SUBSTITUTE(Base_report!D89,"PCS",""),IF(ISNUMBER(FIND("CMU",Base_report!D89,1)),SUBSTITUTE(Base_report!D89,"CMU",""),Base_report!D89)))))</f>
        <v>DISTRICT SANITAIRE PRIKRO</v>
      </c>
      <c r="E89" s="14" t="str">
        <f>SUBSTITUTE(Base_report!E89,"-","/")</f>
        <v>PNSME/MEDICAMENTS ET INTRANTS</v>
      </c>
      <c r="F89" s="14" t="s">
        <v>788</v>
      </c>
      <c r="G89" s="16">
        <f>DATE(YEAR(SUBSTITUTE(LEFT(Base_report!F89,10),"-","/")),MONTH(SUBSTITUTE(LEFT(Base_report!F89,10),"-","/")),DAY(SUBSTITUTE(LEFT(Base_report!F89,10),"-","/")))</f>
        <v>45301</v>
      </c>
      <c r="H89" s="16">
        <f>DATE(YEAR(SUBSTITUTE(LEFT(Base_report!G89,10),"-","/")),MONTH(SUBSTITUTE(LEFT(Base_report!G89,10),"-","/")),DAY(SUBSTITUTE(LEFT(Base_report!G89,10),"-","/")))</f>
        <v>45301</v>
      </c>
      <c r="I89" s="17" t="str">
        <f t="shared" si="1"/>
        <v>OUI</v>
      </c>
      <c r="J89" s="18">
        <f>IF(L89="DS",DATE(RIGHT(B89,4),VLOOKUP(LEFT(B89,LEN(B89)-5),Feuil1!$E$3:$F$19,2,FALSE)+1,10),DATE(RIGHT(B89,4),VLOOKUP(LEFT(B89,LEN(B89)-5),Feuil1!$E$3:$F$19,2,FALSE)+1,7))</f>
        <v>45301</v>
      </c>
      <c r="K89" s="19">
        <f t="shared" si="2"/>
        <v>1</v>
      </c>
      <c r="L89" s="6" t="str">
        <f t="shared" si="3"/>
        <v>DS</v>
      </c>
    </row>
    <row r="90" ht="14.25" customHeight="1">
      <c r="A90" s="14" t="str">
        <f>Base_report!A90</f>
        <v>HAMBOL</v>
      </c>
      <c r="B90" s="14" t="str">
        <f>Base_report!B90</f>
        <v>DECEMBRE 2023</v>
      </c>
      <c r="C90" s="15" t="str">
        <f>Base_report!C90</f>
        <v>C3045</v>
      </c>
      <c r="D90" s="14" t="str">
        <f>TRIM(IF(ISNUMBER(FIND("PNSME",Base_report!D90,1)),SUBSTITUTE(Base_report!D90,"PNSME",""),IF(ISNUMBER(FIND("PHG",Base_report!D90,1)),SUBSTITUTE(Base_report!D90,"PHG",""),IF(ISNUMBER(FIND("PCS",Base_report!D90,1)),SUBSTITUTE(Base_report!D90,"PCS",""),IF(ISNUMBER(FIND("CMU",Base_report!D90,1)),SUBSTITUTE(Base_report!D90,"CMU",""),Base_report!D90)))))</f>
        <v>DISTRICT SANITAIRE NIAKARA</v>
      </c>
      <c r="E90" s="14" t="str">
        <f>SUBSTITUTE(Base_report!E90,"-","/")</f>
        <v>PNLS/ANTIRETROVIRAUX ET IO</v>
      </c>
      <c r="F90" s="14" t="s">
        <v>788</v>
      </c>
      <c r="G90" s="16">
        <f>DATE(YEAR(SUBSTITUTE(LEFT(Base_report!F90,10),"-","/")),MONTH(SUBSTITUTE(LEFT(Base_report!F90,10),"-","/")),DAY(SUBSTITUTE(LEFT(Base_report!F90,10),"-","/")))</f>
        <v>45300</v>
      </c>
      <c r="H90" s="16">
        <f>DATE(YEAR(SUBSTITUTE(LEFT(Base_report!G90,10),"-","/")),MONTH(SUBSTITUTE(LEFT(Base_report!G90,10),"-","/")),DAY(SUBSTITUTE(LEFT(Base_report!G90,10),"-","/")))</f>
        <v>45301</v>
      </c>
      <c r="I90" s="17" t="str">
        <f t="shared" si="1"/>
        <v>OUI</v>
      </c>
      <c r="J90" s="18">
        <f>IF(L90="DS",DATE(RIGHT(B90,4),VLOOKUP(LEFT(B90,LEN(B90)-5),Feuil1!$E$3:$F$19,2,FALSE)+1,10),DATE(RIGHT(B90,4),VLOOKUP(LEFT(B90,LEN(B90)-5),Feuil1!$E$3:$F$19,2,FALSE)+1,7))</f>
        <v>45301</v>
      </c>
      <c r="K90" s="19">
        <f t="shared" si="2"/>
        <v>1</v>
      </c>
      <c r="L90" s="6" t="str">
        <f t="shared" si="3"/>
        <v>DS</v>
      </c>
    </row>
    <row r="91" ht="14.25" customHeight="1">
      <c r="A91" s="14" t="str">
        <f>Base_report!A91</f>
        <v>BOUNKANI</v>
      </c>
      <c r="B91" s="14" t="str">
        <f>Base_report!B91</f>
        <v>DECEMBRE 2023</v>
      </c>
      <c r="C91" s="15" t="str">
        <f>Base_report!C91</f>
        <v>C4069</v>
      </c>
      <c r="D91" s="14" t="str">
        <f>TRIM(IF(ISNUMBER(FIND("PNSME",Base_report!D91,1)),SUBSTITUTE(Base_report!D91,"PNSME",""),IF(ISNUMBER(FIND("PHG",Base_report!D91,1)),SUBSTITUTE(Base_report!D91,"PHG",""),IF(ISNUMBER(FIND("PCS",Base_report!D91,1)),SUBSTITUTE(Base_report!D91,"PCS",""),IF(ISNUMBER(FIND("CMU",Base_report!D91,1)),SUBSTITUTE(Base_report!D91,"CMU",""),Base_report!D91)))))</f>
        <v>DISTRICT SANITAIRE TRANSUA</v>
      </c>
      <c r="E91" s="14" t="str">
        <f>SUBSTITUTE(Base_report!E91,"-","/")</f>
        <v>PNSME/MEDICAMENTS ET INTRANTS</v>
      </c>
      <c r="F91" s="14" t="s">
        <v>788</v>
      </c>
      <c r="G91" s="16">
        <f>DATE(YEAR(SUBSTITUTE(LEFT(Base_report!F91,10),"-","/")),MONTH(SUBSTITUTE(LEFT(Base_report!F91,10),"-","/")),DAY(SUBSTITUTE(LEFT(Base_report!F91,10),"-","/")))</f>
        <v>45301</v>
      </c>
      <c r="H91" s="16">
        <f>DATE(YEAR(SUBSTITUTE(LEFT(Base_report!G91,10),"-","/")),MONTH(SUBSTITUTE(LEFT(Base_report!G91,10),"-","/")),DAY(SUBSTITUTE(LEFT(Base_report!G91,10),"-","/")))</f>
        <v>45301</v>
      </c>
      <c r="I91" s="17" t="str">
        <f t="shared" si="1"/>
        <v>OUI</v>
      </c>
      <c r="J91" s="18">
        <f>IF(L91="DS",DATE(RIGHT(B91,4),VLOOKUP(LEFT(B91,LEN(B91)-5),Feuil1!$E$3:$F$19,2,FALSE)+1,10),DATE(RIGHT(B91,4),VLOOKUP(LEFT(B91,LEN(B91)-5),Feuil1!$E$3:$F$19,2,FALSE)+1,7))</f>
        <v>45301</v>
      </c>
      <c r="K91" s="19">
        <f t="shared" si="2"/>
        <v>1</v>
      </c>
      <c r="L91" s="6" t="str">
        <f t="shared" si="3"/>
        <v>DS</v>
      </c>
    </row>
    <row r="92" ht="14.25" customHeight="1">
      <c r="A92" s="14" t="str">
        <f>Base_report!A92</f>
        <v>N'ZI</v>
      </c>
      <c r="B92" s="14" t="str">
        <f>Base_report!B92</f>
        <v>DECEMBRE 2023</v>
      </c>
      <c r="C92" s="15" t="str">
        <f>Base_report!C92</f>
        <v>C4083</v>
      </c>
      <c r="D92" s="14" t="str">
        <f>TRIM(IF(ISNUMBER(FIND("PNSME",Base_report!D92,1)),SUBSTITUTE(Base_report!D92,"PNSME",""),IF(ISNUMBER(FIND("PHG",Base_report!D92,1)),SUBSTITUTE(Base_report!D92,"PHG",""),IF(ISNUMBER(FIND("PCS",Base_report!D92,1)),SUBSTITUTE(Base_report!D92,"PCS",""),IF(ISNUMBER(FIND("CMU",Base_report!D92,1)),SUBSTITUTE(Base_report!D92,"CMU",""),Base_report!D92)))))</f>
        <v>DISTRICT SANITAIRE KOUASSI KOUASSIKRO</v>
      </c>
      <c r="E92" s="14" t="str">
        <f>SUBSTITUTE(Base_report!E92,"-","/")</f>
        <v>PNLS/TESTS RAPIDES ET CONSOMMABLES</v>
      </c>
      <c r="F92" s="14" t="s">
        <v>788</v>
      </c>
      <c r="G92" s="16">
        <f>DATE(YEAR(SUBSTITUTE(LEFT(Base_report!F92,10),"-","/")),MONTH(SUBSTITUTE(LEFT(Base_report!F92,10),"-","/")),DAY(SUBSTITUTE(LEFT(Base_report!F92,10),"-","/")))</f>
        <v>45300</v>
      </c>
      <c r="H92" s="16">
        <f>DATE(YEAR(SUBSTITUTE(LEFT(Base_report!G92,10),"-","/")),MONTH(SUBSTITUTE(LEFT(Base_report!G92,10),"-","/")),DAY(SUBSTITUTE(LEFT(Base_report!G92,10),"-","/")))</f>
        <v>45301</v>
      </c>
      <c r="I92" s="17" t="str">
        <f t="shared" si="1"/>
        <v>OUI</v>
      </c>
      <c r="J92" s="18">
        <f>IF(L92="DS",DATE(RIGHT(B92,4),VLOOKUP(LEFT(B92,LEN(B92)-5),Feuil1!$E$3:$F$19,2,FALSE)+1,10),DATE(RIGHT(B92,4),VLOOKUP(LEFT(B92,LEN(B92)-5),Feuil1!$E$3:$F$19,2,FALSE)+1,7))</f>
        <v>45301</v>
      </c>
      <c r="K92" s="19">
        <f t="shared" si="2"/>
        <v>1</v>
      </c>
      <c r="L92" s="6" t="str">
        <f t="shared" si="3"/>
        <v>DS</v>
      </c>
    </row>
    <row r="93" ht="14.25" customHeight="1">
      <c r="A93" s="14" t="str">
        <f>Base_report!A93</f>
        <v>AGNEBY-TIASSA</v>
      </c>
      <c r="B93" s="14" t="str">
        <f>Base_report!B93</f>
        <v>DECEMBRE 2023</v>
      </c>
      <c r="C93" s="15" t="str">
        <f>Base_report!C93</f>
        <v>C1125</v>
      </c>
      <c r="D93" s="14" t="str">
        <f>TRIM(IF(ISNUMBER(FIND("PNSME",Base_report!D93,1)),SUBSTITUTE(Base_report!D93,"PNSME",""),IF(ISNUMBER(FIND("PHG",Base_report!D93,1)),SUBSTITUTE(Base_report!D93,"PHG",""),IF(ISNUMBER(FIND("PCS",Base_report!D93,1)),SUBSTITUTE(Base_report!D93,"PCS",""),IF(ISNUMBER(FIND("CMU",Base_report!D93,1)),SUBSTITUTE(Base_report!D93,"CMU",""),Base_report!D93)))))</f>
        <v>DISTRICT SANITAIRE TIASSALE</v>
      </c>
      <c r="E93" s="14" t="str">
        <f>SUBSTITUTE(Base_report!E93,"-","/")</f>
        <v>PNSME_GRATUITE:MEDICAMENTS ET INTRANTS</v>
      </c>
      <c r="F93" s="14" t="s">
        <v>788</v>
      </c>
      <c r="G93" s="16">
        <f>DATE(YEAR(SUBSTITUTE(LEFT(Base_report!F93,10),"-","/")),MONTH(SUBSTITUTE(LEFT(Base_report!F93,10),"-","/")),DAY(SUBSTITUTE(LEFT(Base_report!F93,10),"-","/")))</f>
        <v>45300</v>
      </c>
      <c r="H93" s="16">
        <f>DATE(YEAR(SUBSTITUTE(LEFT(Base_report!G93,10),"-","/")),MONTH(SUBSTITUTE(LEFT(Base_report!G93,10),"-","/")),DAY(SUBSTITUTE(LEFT(Base_report!G93,10),"-","/")))</f>
        <v>45300</v>
      </c>
      <c r="I93" s="17" t="str">
        <f t="shared" si="1"/>
        <v>OUI</v>
      </c>
      <c r="J93" s="18">
        <f>IF(L93="DS",DATE(RIGHT(B93,4),VLOOKUP(LEFT(B93,LEN(B93)-5),Feuil1!$E$3:$F$19,2,FALSE)+1,10),DATE(RIGHT(B93,4),VLOOKUP(LEFT(B93,LEN(B93)-5),Feuil1!$E$3:$F$19,2,FALSE)+1,7))</f>
        <v>45301</v>
      </c>
      <c r="K93" s="19">
        <f t="shared" si="2"/>
        <v>1</v>
      </c>
      <c r="L93" s="6" t="str">
        <f t="shared" si="3"/>
        <v>DS</v>
      </c>
    </row>
    <row r="94" ht="14.25" customHeight="1">
      <c r="A94" s="14" t="str">
        <f>Base_report!A94</f>
        <v>NAWA</v>
      </c>
      <c r="B94" s="14" t="str">
        <f>Base_report!B94</f>
        <v>DECEMBRE 2023</v>
      </c>
      <c r="C94" s="15" t="str">
        <f>Base_report!C94</f>
        <v>C2213</v>
      </c>
      <c r="D94" s="14" t="str">
        <f>TRIM(IF(ISNUMBER(FIND("PNSME",Base_report!D94,1)),SUBSTITUTE(Base_report!D94,"PNSME",""),IF(ISNUMBER(FIND("PHG",Base_report!D94,1)),SUBSTITUTE(Base_report!D94,"PHG",""),IF(ISNUMBER(FIND("PCS",Base_report!D94,1)),SUBSTITUTE(Base_report!D94,"PCS",""),IF(ISNUMBER(FIND("CMU",Base_report!D94,1)),SUBSTITUTE(Base_report!D94,"CMU",""),Base_report!D94)))))</f>
        <v>DISTRICT SANITAIRE BUYO</v>
      </c>
      <c r="E94" s="14" t="str">
        <f>SUBSTITUTE(Base_report!E94,"-","/")</f>
        <v>PNLP/MEDICAMENTS ET INTRANTS</v>
      </c>
      <c r="F94" s="14" t="s">
        <v>788</v>
      </c>
      <c r="G94" s="16">
        <f>DATE(YEAR(SUBSTITUTE(LEFT(Base_report!F94,10),"-","/")),MONTH(SUBSTITUTE(LEFT(Base_report!F94,10),"-","/")),DAY(SUBSTITUTE(LEFT(Base_report!F94,10),"-","/")))</f>
        <v>45300</v>
      </c>
      <c r="H94" s="16">
        <f>DATE(YEAR(SUBSTITUTE(LEFT(Base_report!G94,10),"-","/")),MONTH(SUBSTITUTE(LEFT(Base_report!G94,10),"-","/")),DAY(SUBSTITUTE(LEFT(Base_report!G94,10),"-","/")))</f>
        <v>45300</v>
      </c>
      <c r="I94" s="17" t="str">
        <f t="shared" si="1"/>
        <v>OUI</v>
      </c>
      <c r="J94" s="18">
        <f>IF(L94="DS",DATE(RIGHT(B94,4),VLOOKUP(LEFT(B94,LEN(B94)-5),Feuil1!$E$3:$F$19,2,FALSE)+1,10),DATE(RIGHT(B94,4),VLOOKUP(LEFT(B94,LEN(B94)-5),Feuil1!$E$3:$F$19,2,FALSE)+1,7))</f>
        <v>45301</v>
      </c>
      <c r="K94" s="19">
        <f t="shared" si="2"/>
        <v>1</v>
      </c>
      <c r="L94" s="6" t="str">
        <f t="shared" si="3"/>
        <v>DS</v>
      </c>
    </row>
    <row r="95" ht="14.25" customHeight="1">
      <c r="A95" s="14" t="str">
        <f>Base_report!A95</f>
        <v>HAUT-SASSANDRA</v>
      </c>
      <c r="B95" s="14" t="str">
        <f>Base_report!B95</f>
        <v>DECEMBRE 2023</v>
      </c>
      <c r="C95" s="15" t="str">
        <f>Base_report!C95</f>
        <v>C2031</v>
      </c>
      <c r="D95" s="14" t="str">
        <f>TRIM(IF(ISNUMBER(FIND("PNSME",Base_report!D95,1)),SUBSTITUTE(Base_report!D95,"PNSME",""),IF(ISNUMBER(FIND("PHG",Base_report!D95,1)),SUBSTITUTE(Base_report!D95,"PHG",""),IF(ISNUMBER(FIND("PCS",Base_report!D95,1)),SUBSTITUTE(Base_report!D95,"PCS",""),IF(ISNUMBER(FIND("CMU",Base_report!D95,1)),SUBSTITUTE(Base_report!D95,"CMU",""),Base_report!D95)))))</f>
        <v>DISTRICT SANITAIRE ISSIA</v>
      </c>
      <c r="E95" s="14" t="str">
        <f>SUBSTITUTE(Base_report!E95,"-","/")</f>
        <v>PNLS/TESTS RAPIDES ET CONSOMMABLES</v>
      </c>
      <c r="F95" s="14" t="s">
        <v>788</v>
      </c>
      <c r="G95" s="16">
        <f>DATE(YEAR(SUBSTITUTE(LEFT(Base_report!F95,10),"-","/")),MONTH(SUBSTITUTE(LEFT(Base_report!F95,10),"-","/")),DAY(SUBSTITUTE(LEFT(Base_report!F95,10),"-","/")))</f>
        <v>45301</v>
      </c>
      <c r="H95" s="16">
        <f>DATE(YEAR(SUBSTITUTE(LEFT(Base_report!G95,10),"-","/")),MONTH(SUBSTITUTE(LEFT(Base_report!G95,10),"-","/")),DAY(SUBSTITUTE(LEFT(Base_report!G95,10),"-","/")))</f>
        <v>45301</v>
      </c>
      <c r="I95" s="17" t="str">
        <f t="shared" si="1"/>
        <v>OUI</v>
      </c>
      <c r="J95" s="18">
        <f>IF(L95="DS",DATE(RIGHT(B95,4),VLOOKUP(LEFT(B95,LEN(B95)-5),Feuil1!$E$3:$F$19,2,FALSE)+1,10),DATE(RIGHT(B95,4),VLOOKUP(LEFT(B95,LEN(B95)-5),Feuil1!$E$3:$F$19,2,FALSE)+1,7))</f>
        <v>45301</v>
      </c>
      <c r="K95" s="19">
        <f t="shared" si="2"/>
        <v>1</v>
      </c>
      <c r="L95" s="6" t="str">
        <f t="shared" si="3"/>
        <v>DS</v>
      </c>
    </row>
    <row r="96" ht="14.25" customHeight="1">
      <c r="A96" s="14" t="str">
        <f>Base_report!A96</f>
        <v>CAVALLY</v>
      </c>
      <c r="B96" s="14" t="str">
        <f>Base_report!B96</f>
        <v>DECEMBRE 2023</v>
      </c>
      <c r="C96" s="15" t="str">
        <f>Base_report!C96</f>
        <v>C5014</v>
      </c>
      <c r="D96" s="14" t="str">
        <f>TRIM(IF(ISNUMBER(FIND("PNSME",Base_report!D96,1)),SUBSTITUTE(Base_report!D96,"PNSME",""),IF(ISNUMBER(FIND("PHG",Base_report!D96,1)),SUBSTITUTE(Base_report!D96,"PHG",""),IF(ISNUMBER(FIND("PCS",Base_report!D96,1)),SUBSTITUTE(Base_report!D96,"PCS",""),IF(ISNUMBER(FIND("CMU",Base_report!D96,1)),SUBSTITUTE(Base_report!D96,"CMU",""),Base_report!D96)))))</f>
        <v>DISTRICT SANITAIRE TOULEPLEU</v>
      </c>
      <c r="E96" s="14" t="str">
        <f>SUBSTITUTE(Base_report!E96,"-","/")</f>
        <v>PNLS/ANTIRETROVIRAUX ET IO</v>
      </c>
      <c r="F96" s="14" t="s">
        <v>788</v>
      </c>
      <c r="G96" s="16">
        <f>DATE(YEAR(SUBSTITUTE(LEFT(Base_report!F96,10),"-","/")),MONTH(SUBSTITUTE(LEFT(Base_report!F96,10),"-","/")),DAY(SUBSTITUTE(LEFT(Base_report!F96,10),"-","/")))</f>
        <v>45300</v>
      </c>
      <c r="H96" s="16">
        <f>DATE(YEAR(SUBSTITUTE(LEFT(Base_report!G96,10),"-","/")),MONTH(SUBSTITUTE(LEFT(Base_report!G96,10),"-","/")),DAY(SUBSTITUTE(LEFT(Base_report!G96,10),"-","/")))</f>
        <v>45300</v>
      </c>
      <c r="I96" s="17" t="str">
        <f t="shared" si="1"/>
        <v>OUI</v>
      </c>
      <c r="J96" s="18">
        <f>IF(L96="DS",DATE(RIGHT(B96,4),VLOOKUP(LEFT(B96,LEN(B96)-5),Feuil1!$E$3:$F$19,2,FALSE)+1,10),DATE(RIGHT(B96,4),VLOOKUP(LEFT(B96,LEN(B96)-5),Feuil1!$E$3:$F$19,2,FALSE)+1,7))</f>
        <v>45301</v>
      </c>
      <c r="K96" s="19">
        <f t="shared" si="2"/>
        <v>1</v>
      </c>
      <c r="L96" s="6" t="str">
        <f t="shared" si="3"/>
        <v>DS</v>
      </c>
    </row>
    <row r="97" ht="14.25" customHeight="1">
      <c r="A97" s="14" t="str">
        <f>Base_report!A97</f>
        <v>ABIDJAN 1</v>
      </c>
      <c r="B97" s="14" t="str">
        <f>Base_report!B97</f>
        <v>DECEMBRE 2023</v>
      </c>
      <c r="C97" s="15" t="str">
        <f>Base_report!C97</f>
        <v>C1007</v>
      </c>
      <c r="D97" s="14" t="str">
        <f>TRIM(IF(ISNUMBER(FIND("PNSME",Base_report!D97,1)),SUBSTITUTE(Base_report!D97,"PNSME",""),IF(ISNUMBER(FIND("PHG",Base_report!D97,1)),SUBSTITUTE(Base_report!D97,"PHG",""),IF(ISNUMBER(FIND("PCS",Base_report!D97,1)),SUBSTITUTE(Base_report!D97,"PCS",""),IF(ISNUMBER(FIND("CMU",Base_report!D97,1)),SUBSTITUTE(Base_report!D97,"CMU",""),Base_report!D97)))))</f>
        <v>CHU YOPOUGON</v>
      </c>
      <c r="E97" s="14" t="str">
        <f>SUBSTITUTE(Base_report!E97,"-","/")</f>
        <v>PNLS/PRODUITS DE LABORATOIRE</v>
      </c>
      <c r="F97" s="14" t="s">
        <v>788</v>
      </c>
      <c r="G97" s="16">
        <f>DATE(YEAR(SUBSTITUTE(LEFT(Base_report!F97,10),"-","/")),MONTH(SUBSTITUTE(LEFT(Base_report!F97,10),"-","/")),DAY(SUBSTITUTE(LEFT(Base_report!F97,10),"-","/")))</f>
        <v>45301</v>
      </c>
      <c r="H97" s="16">
        <f>DATE(YEAR(SUBSTITUTE(LEFT(Base_report!G97,10),"-","/")),MONTH(SUBSTITUTE(LEFT(Base_report!G97,10),"-","/")),DAY(SUBSTITUTE(LEFT(Base_report!G97,10),"-","/")))</f>
        <v>45301</v>
      </c>
      <c r="I97" s="17" t="str">
        <f t="shared" si="1"/>
        <v>OUI</v>
      </c>
      <c r="J97" s="18">
        <f>IF(L97="DS",DATE(RIGHT(B97,4),VLOOKUP(LEFT(B97,LEN(B97)-5),Feuil1!$E$3:$F$19,2,FALSE)+1,10),DATE(RIGHT(B97,4),VLOOKUP(LEFT(B97,LEN(B97)-5),Feuil1!$E$3:$F$19,2,FALSE)+1,7))</f>
        <v>45298</v>
      </c>
      <c r="K97" s="19">
        <f t="shared" si="2"/>
        <v>0</v>
      </c>
      <c r="L97" s="6" t="str">
        <f t="shared" si="3"/>
        <v>FS</v>
      </c>
    </row>
    <row r="98" ht="14.25" customHeight="1">
      <c r="A98" s="14" t="str">
        <f>Base_report!A98</f>
        <v>MARAHOUE</v>
      </c>
      <c r="B98" s="14" t="str">
        <f>Base_report!B98</f>
        <v>DECEMBRE 2023</v>
      </c>
      <c r="C98" s="15" t="str">
        <f>Base_report!C98</f>
        <v>C2037</v>
      </c>
      <c r="D98" s="14" t="str">
        <f>TRIM(IF(ISNUMBER(FIND("PNSME",Base_report!D98,1)),SUBSTITUTE(Base_report!D98,"PNSME",""),IF(ISNUMBER(FIND("PHG",Base_report!D98,1)),SUBSTITUTE(Base_report!D98,"PHG",""),IF(ISNUMBER(FIND("PCS",Base_report!D98,1)),SUBSTITUTE(Base_report!D98,"PCS",""),IF(ISNUMBER(FIND("CMU",Base_report!D98,1)),SUBSTITUTE(Base_report!D98,"CMU",""),Base_report!D98)))))</f>
        <v>DISTRICT SANITAIRE SINFRA</v>
      </c>
      <c r="E98" s="14" t="str">
        <f>SUBSTITUTE(Base_report!E98,"-","/")</f>
        <v>PNLS/PRODUITS DE LABORATOIRE</v>
      </c>
      <c r="F98" s="14" t="s">
        <v>788</v>
      </c>
      <c r="G98" s="16">
        <f>DATE(YEAR(SUBSTITUTE(LEFT(Base_report!F98,10),"-","/")),MONTH(SUBSTITUTE(LEFT(Base_report!F98,10),"-","/")),DAY(SUBSTITUTE(LEFT(Base_report!F98,10),"-","/")))</f>
        <v>45301</v>
      </c>
      <c r="H98" s="16">
        <f>DATE(YEAR(SUBSTITUTE(LEFT(Base_report!G98,10),"-","/")),MONTH(SUBSTITUTE(LEFT(Base_report!G98,10),"-","/")),DAY(SUBSTITUTE(LEFT(Base_report!G98,10),"-","/")))</f>
        <v>45301</v>
      </c>
      <c r="I98" s="17" t="str">
        <f t="shared" si="1"/>
        <v>OUI</v>
      </c>
      <c r="J98" s="18">
        <f>IF(L98="DS",DATE(RIGHT(B98,4),VLOOKUP(LEFT(B98,LEN(B98)-5),Feuil1!$E$3:$F$19,2,FALSE)+1,10),DATE(RIGHT(B98,4),VLOOKUP(LEFT(B98,LEN(B98)-5),Feuil1!$E$3:$F$19,2,FALSE)+1,7))</f>
        <v>45301</v>
      </c>
      <c r="K98" s="19">
        <f t="shared" si="2"/>
        <v>1</v>
      </c>
      <c r="L98" s="6" t="str">
        <f t="shared" si="3"/>
        <v>DS</v>
      </c>
    </row>
    <row r="99" ht="14.25" customHeight="1">
      <c r="A99" s="14" t="str">
        <f>Base_report!A99</f>
        <v>BELIER</v>
      </c>
      <c r="B99" s="14" t="str">
        <f>Base_report!B99</f>
        <v>DECEMBRE 2023</v>
      </c>
      <c r="C99" s="15" t="str">
        <f>Base_report!C99</f>
        <v>C2045</v>
      </c>
      <c r="D99" s="14" t="str">
        <f>TRIM(IF(ISNUMBER(FIND("PNSME",Base_report!D99,1)),SUBSTITUTE(Base_report!D99,"PNSME",""),IF(ISNUMBER(FIND("PHG",Base_report!D99,1)),SUBSTITUTE(Base_report!D99,"PHG",""),IF(ISNUMBER(FIND("PCS",Base_report!D99,1)),SUBSTITUTE(Base_report!D99,"PCS",""),IF(ISNUMBER(FIND("CMU",Base_report!D99,1)),SUBSTITUTE(Base_report!D99,"CMU",""),Base_report!D99)))))</f>
        <v>DISTRICT SANITAIRE YAMOUSSOUKRO</v>
      </c>
      <c r="E99" s="14" t="str">
        <f>SUBSTITUTE(Base_report!E99,"-","/")</f>
        <v>PNLS/CHARGES VIRALES</v>
      </c>
      <c r="F99" s="14" t="s">
        <v>788</v>
      </c>
      <c r="G99" s="16">
        <f>DATE(YEAR(SUBSTITUTE(LEFT(Base_report!F99,10),"-","/")),MONTH(SUBSTITUTE(LEFT(Base_report!F99,10),"-","/")),DAY(SUBSTITUTE(LEFT(Base_report!F99,10),"-","/")))</f>
        <v>45300</v>
      </c>
      <c r="H99" s="16">
        <f>DATE(YEAR(SUBSTITUTE(LEFT(Base_report!G99,10),"-","/")),MONTH(SUBSTITUTE(LEFT(Base_report!G99,10),"-","/")),DAY(SUBSTITUTE(LEFT(Base_report!G99,10),"-","/")))</f>
        <v>45300</v>
      </c>
      <c r="I99" s="17" t="str">
        <f t="shared" si="1"/>
        <v>OUI</v>
      </c>
      <c r="J99" s="18">
        <f>IF(L99="DS",DATE(RIGHT(B99,4),VLOOKUP(LEFT(B99,LEN(B99)-5),Feuil1!$E$3:$F$19,2,FALSE)+1,10),DATE(RIGHT(B99,4),VLOOKUP(LEFT(B99,LEN(B99)-5),Feuil1!$E$3:$F$19,2,FALSE)+1,7))</f>
        <v>45301</v>
      </c>
      <c r="K99" s="19">
        <f t="shared" si="2"/>
        <v>1</v>
      </c>
      <c r="L99" s="6" t="str">
        <f t="shared" si="3"/>
        <v>DS</v>
      </c>
    </row>
    <row r="100" ht="14.25" customHeight="1">
      <c r="A100" s="14" t="str">
        <f>Base_report!A100</f>
        <v>SUD-COMOE</v>
      </c>
      <c r="B100" s="14" t="str">
        <f>Base_report!B100</f>
        <v>DECEMBRE 2023</v>
      </c>
      <c r="C100" s="15" t="str">
        <f>Base_report!C100</f>
        <v>C1048</v>
      </c>
      <c r="D100" s="14" t="str">
        <f>TRIM(IF(ISNUMBER(FIND("PNSME",Base_report!D100,1)),SUBSTITUTE(Base_report!D100,"PNSME",""),IF(ISNUMBER(FIND("PHG",Base_report!D100,1)),SUBSTITUTE(Base_report!D100,"PHG",""),IF(ISNUMBER(FIND("PCS",Base_report!D100,1)),SUBSTITUTE(Base_report!D100,"PCS",""),IF(ISNUMBER(FIND("CMU",Base_report!D100,1)),SUBSTITUTE(Base_report!D100,"CMU",""),Base_report!D100)))))</f>
        <v>DISTRICT SANITAIRE GRAND-BASSAM</v>
      </c>
      <c r="E100" s="14" t="str">
        <f>SUBSTITUTE(Base_report!E100,"-","/")</f>
        <v>PNLS/PRODUITS DE LABORATOIRE</v>
      </c>
      <c r="F100" s="14" t="s">
        <v>788</v>
      </c>
      <c r="G100" s="16">
        <f>DATE(YEAR(SUBSTITUTE(LEFT(Base_report!F100,10),"-","/")),MONTH(SUBSTITUTE(LEFT(Base_report!F100,10),"-","/")),DAY(SUBSTITUTE(LEFT(Base_report!F100,10),"-","/")))</f>
        <v>45300</v>
      </c>
      <c r="H100" s="16">
        <f>DATE(YEAR(SUBSTITUTE(LEFT(Base_report!G100,10),"-","/")),MONTH(SUBSTITUTE(LEFT(Base_report!G100,10),"-","/")),DAY(SUBSTITUTE(LEFT(Base_report!G100,10),"-","/")))</f>
        <v>45300</v>
      </c>
      <c r="I100" s="17" t="str">
        <f t="shared" si="1"/>
        <v>OUI</v>
      </c>
      <c r="J100" s="18">
        <f>IF(L100="DS",DATE(RIGHT(B100,4),VLOOKUP(LEFT(B100,LEN(B100)-5),Feuil1!$E$3:$F$19,2,FALSE)+1,10),DATE(RIGHT(B100,4),VLOOKUP(LEFT(B100,LEN(B100)-5),Feuil1!$E$3:$F$19,2,FALSE)+1,7))</f>
        <v>45301</v>
      </c>
      <c r="K100" s="19">
        <f t="shared" si="2"/>
        <v>1</v>
      </c>
      <c r="L100" s="6" t="str">
        <f t="shared" si="3"/>
        <v>DS</v>
      </c>
    </row>
    <row r="101" ht="14.25" customHeight="1">
      <c r="A101" s="14" t="str">
        <f>Base_report!A101</f>
        <v>BOUNKANI</v>
      </c>
      <c r="B101" s="14" t="str">
        <f>Base_report!B101</f>
        <v>DECEMBRE 2023</v>
      </c>
      <c r="C101" s="15" t="str">
        <f>Base_report!C101</f>
        <v>C4069</v>
      </c>
      <c r="D101" s="14" t="str">
        <f>TRIM(IF(ISNUMBER(FIND("PNSME",Base_report!D101,1)),SUBSTITUTE(Base_report!D101,"PNSME",""),IF(ISNUMBER(FIND("PHG",Base_report!D101,1)),SUBSTITUTE(Base_report!D101,"PHG",""),IF(ISNUMBER(FIND("PCS",Base_report!D101,1)),SUBSTITUTE(Base_report!D101,"PCS",""),IF(ISNUMBER(FIND("CMU",Base_report!D101,1)),SUBSTITUTE(Base_report!D101,"CMU",""),Base_report!D101)))))</f>
        <v>DISTRICT SANITAIRE TRANSUA</v>
      </c>
      <c r="E101" s="14" t="str">
        <f>SUBSTITUTE(Base_report!E101,"-","/")</f>
        <v>PNN/MEDICAMENTS ET INTRANTS</v>
      </c>
      <c r="F101" s="14" t="s">
        <v>788</v>
      </c>
      <c r="G101" s="16">
        <f>DATE(YEAR(SUBSTITUTE(LEFT(Base_report!F101,10),"-","/")),MONTH(SUBSTITUTE(LEFT(Base_report!F101,10),"-","/")),DAY(SUBSTITUTE(LEFT(Base_report!F101,10),"-","/")))</f>
        <v>45301</v>
      </c>
      <c r="H101" s="16">
        <f>DATE(YEAR(SUBSTITUTE(LEFT(Base_report!G101,10),"-","/")),MONTH(SUBSTITUTE(LEFT(Base_report!G101,10),"-","/")),DAY(SUBSTITUTE(LEFT(Base_report!G101,10),"-","/")))</f>
        <v>45301</v>
      </c>
      <c r="I101" s="17" t="str">
        <f t="shared" si="1"/>
        <v>OUI</v>
      </c>
      <c r="J101" s="18">
        <f>IF(L101="DS",DATE(RIGHT(B101,4),VLOOKUP(LEFT(B101,LEN(B101)-5),Feuil1!$E$3:$F$19,2,FALSE)+1,10),DATE(RIGHT(B101,4),VLOOKUP(LEFT(B101,LEN(B101)-5),Feuil1!$E$3:$F$19,2,FALSE)+1,7))</f>
        <v>45301</v>
      </c>
      <c r="K101" s="19">
        <f t="shared" si="2"/>
        <v>1</v>
      </c>
      <c r="L101" s="6" t="str">
        <f t="shared" si="3"/>
        <v>DS</v>
      </c>
    </row>
    <row r="102" ht="14.25" customHeight="1">
      <c r="A102" s="14" t="str">
        <f>Base_report!A102</f>
        <v>BERE</v>
      </c>
      <c r="B102" s="14" t="str">
        <f>Base_report!B102</f>
        <v>DECEMBRE 2023</v>
      </c>
      <c r="C102" s="15" t="str">
        <f>Base_report!C102</f>
        <v>C5083</v>
      </c>
      <c r="D102" s="14" t="str">
        <f>TRIM(IF(ISNUMBER(FIND("PNSME",Base_report!D102,1)),SUBSTITUTE(Base_report!D102,"PNSME",""),IF(ISNUMBER(FIND("PHG",Base_report!D102,1)),SUBSTITUTE(Base_report!D102,"PHG",""),IF(ISNUMBER(FIND("PCS",Base_report!D102,1)),SUBSTITUTE(Base_report!D102,"PCS",""),IF(ISNUMBER(FIND("CMU",Base_report!D102,1)),SUBSTITUTE(Base_report!D102,"CMU",""),Base_report!D102)))))</f>
        <v>DISTRICT SANITAIRE DIANRA</v>
      </c>
      <c r="E102" s="14" t="str">
        <f>SUBSTITUTE(Base_report!E102,"-","/")</f>
        <v>PNSME/MEDICAMENTS ET INTRANTS</v>
      </c>
      <c r="F102" s="14" t="s">
        <v>788</v>
      </c>
      <c r="G102" s="16">
        <f>DATE(YEAR(SUBSTITUTE(LEFT(Base_report!F102,10),"-","/")),MONTH(SUBSTITUTE(LEFT(Base_report!F102,10),"-","/")),DAY(SUBSTITUTE(LEFT(Base_report!F102,10),"-","/")))</f>
        <v>45301</v>
      </c>
      <c r="H102" s="16">
        <f>DATE(YEAR(SUBSTITUTE(LEFT(Base_report!G102,10),"-","/")),MONTH(SUBSTITUTE(LEFT(Base_report!G102,10),"-","/")),DAY(SUBSTITUTE(LEFT(Base_report!G102,10),"-","/")))</f>
        <v>45301</v>
      </c>
      <c r="I102" s="17" t="str">
        <f t="shared" si="1"/>
        <v>OUI</v>
      </c>
      <c r="J102" s="18">
        <f>IF(L102="DS",DATE(RIGHT(B102,4),VLOOKUP(LEFT(B102,LEN(B102)-5),Feuil1!$E$3:$F$19,2,FALSE)+1,10),DATE(RIGHT(B102,4),VLOOKUP(LEFT(B102,LEN(B102)-5),Feuil1!$E$3:$F$19,2,FALSE)+1,7))</f>
        <v>45301</v>
      </c>
      <c r="K102" s="19">
        <f t="shared" si="2"/>
        <v>1</v>
      </c>
      <c r="L102" s="6" t="str">
        <f t="shared" si="3"/>
        <v>DS</v>
      </c>
    </row>
    <row r="103" ht="14.25" customHeight="1">
      <c r="A103" s="14" t="str">
        <f>Base_report!A103</f>
        <v>MARAHOUE</v>
      </c>
      <c r="B103" s="14" t="str">
        <f>Base_report!B103</f>
        <v>DECEMBRE 2023</v>
      </c>
      <c r="C103" s="15" t="str">
        <f>Base_report!C103</f>
        <v>C2046</v>
      </c>
      <c r="D103" s="14" t="str">
        <f>TRIM(IF(ISNUMBER(FIND("PNSME",Base_report!D103,1)),SUBSTITUTE(Base_report!D103,"PNSME",""),IF(ISNUMBER(FIND("PHG",Base_report!D103,1)),SUBSTITUTE(Base_report!D103,"PHG",""),IF(ISNUMBER(FIND("PCS",Base_report!D103,1)),SUBSTITUTE(Base_report!D103,"PCS",""),IF(ISNUMBER(FIND("CMU",Base_report!D103,1)),SUBSTITUTE(Base_report!D103,"CMU",""),Base_report!D103)))))</f>
        <v>DISTRICT SANITAIRE ZUENOULA</v>
      </c>
      <c r="E103" s="14" t="str">
        <f>SUBSTITUTE(Base_report!E103,"-","/")</f>
        <v>PNLS/TESTS RAPIDES ET CONSOMMABLES</v>
      </c>
      <c r="F103" s="14" t="s">
        <v>788</v>
      </c>
      <c r="G103" s="16">
        <f>DATE(YEAR(SUBSTITUTE(LEFT(Base_report!F103,10),"-","/")),MONTH(SUBSTITUTE(LEFT(Base_report!F103,10),"-","/")),DAY(SUBSTITUTE(LEFT(Base_report!F103,10),"-","/")))</f>
        <v>45301</v>
      </c>
      <c r="H103" s="16">
        <f>DATE(YEAR(SUBSTITUTE(LEFT(Base_report!G103,10),"-","/")),MONTH(SUBSTITUTE(LEFT(Base_report!G103,10),"-","/")),DAY(SUBSTITUTE(LEFT(Base_report!G103,10),"-","/")))</f>
        <v>45301</v>
      </c>
      <c r="I103" s="17" t="str">
        <f t="shared" si="1"/>
        <v>OUI</v>
      </c>
      <c r="J103" s="18">
        <f>IF(L103="DS",DATE(RIGHT(B103,4),VLOOKUP(LEFT(B103,LEN(B103)-5),Feuil1!$E$3:$F$19,2,FALSE)+1,10),DATE(RIGHT(B103,4),VLOOKUP(LEFT(B103,LEN(B103)-5),Feuil1!$E$3:$F$19,2,FALSE)+1,7))</f>
        <v>45301</v>
      </c>
      <c r="K103" s="19">
        <f t="shared" si="2"/>
        <v>1</v>
      </c>
      <c r="L103" s="6" t="str">
        <f t="shared" si="3"/>
        <v>DS</v>
      </c>
    </row>
    <row r="104" ht="14.25" customHeight="1">
      <c r="A104" s="14" t="str">
        <f>Base_report!A104</f>
        <v>AGNEBY-TIASSA</v>
      </c>
      <c r="B104" s="14" t="str">
        <f>Base_report!B104</f>
        <v>DECEMBRE 2023</v>
      </c>
      <c r="C104" s="15" t="str">
        <f>Base_report!C104</f>
        <v>C1125</v>
      </c>
      <c r="D104" s="14" t="str">
        <f>TRIM(IF(ISNUMBER(FIND("PNSME",Base_report!D104,1)),SUBSTITUTE(Base_report!D104,"PNSME",""),IF(ISNUMBER(FIND("PHG",Base_report!D104,1)),SUBSTITUTE(Base_report!D104,"PHG",""),IF(ISNUMBER(FIND("PCS",Base_report!D104,1)),SUBSTITUTE(Base_report!D104,"PCS",""),IF(ISNUMBER(FIND("CMU",Base_report!D104,1)),SUBSTITUTE(Base_report!D104,"CMU",""),Base_report!D104)))))</f>
        <v>DISTRICT SANITAIRE TIASSALE</v>
      </c>
      <c r="E104" s="14" t="str">
        <f>SUBSTITUTE(Base_report!E104,"-","/")</f>
        <v>PNLS/PRODUITS DE LABORATOIRE</v>
      </c>
      <c r="F104" s="14" t="s">
        <v>788</v>
      </c>
      <c r="G104" s="16">
        <f>DATE(YEAR(SUBSTITUTE(LEFT(Base_report!F104,10),"-","/")),MONTH(SUBSTITUTE(LEFT(Base_report!F104,10),"-","/")),DAY(SUBSTITUTE(LEFT(Base_report!F104,10),"-","/")))</f>
        <v>45300</v>
      </c>
      <c r="H104" s="16">
        <f>DATE(YEAR(SUBSTITUTE(LEFT(Base_report!G104,10),"-","/")),MONTH(SUBSTITUTE(LEFT(Base_report!G104,10),"-","/")),DAY(SUBSTITUTE(LEFT(Base_report!G104,10),"-","/")))</f>
        <v>45300</v>
      </c>
      <c r="I104" s="17" t="str">
        <f t="shared" si="1"/>
        <v>OUI</v>
      </c>
      <c r="J104" s="18">
        <f>IF(L104="DS",DATE(RIGHT(B104,4),VLOOKUP(LEFT(B104,LEN(B104)-5),Feuil1!$E$3:$F$19,2,FALSE)+1,10),DATE(RIGHT(B104,4),VLOOKUP(LEFT(B104,LEN(B104)-5),Feuil1!$E$3:$F$19,2,FALSE)+1,7))</f>
        <v>45301</v>
      </c>
      <c r="K104" s="19">
        <f t="shared" si="2"/>
        <v>1</v>
      </c>
      <c r="L104" s="6" t="str">
        <f t="shared" si="3"/>
        <v>DS</v>
      </c>
    </row>
    <row r="105" ht="14.25" customHeight="1">
      <c r="A105" s="14" t="str">
        <f>Base_report!A105</f>
        <v>N'ZI</v>
      </c>
      <c r="B105" s="14" t="str">
        <f>Base_report!B105</f>
        <v>DECEMBRE 2023</v>
      </c>
      <c r="C105" s="15" t="str">
        <f>Base_report!C105</f>
        <v>C4083</v>
      </c>
      <c r="D105" s="14" t="str">
        <f>TRIM(IF(ISNUMBER(FIND("PNSME",Base_report!D105,1)),SUBSTITUTE(Base_report!D105,"PNSME",""),IF(ISNUMBER(FIND("PHG",Base_report!D105,1)),SUBSTITUTE(Base_report!D105,"PHG",""),IF(ISNUMBER(FIND("PCS",Base_report!D105,1)),SUBSTITUTE(Base_report!D105,"PCS",""),IF(ISNUMBER(FIND("CMU",Base_report!D105,1)),SUBSTITUTE(Base_report!D105,"CMU",""),Base_report!D105)))))</f>
        <v>DISTRICT SANITAIRE KOUASSI KOUASSIKRO</v>
      </c>
      <c r="E105" s="14" t="str">
        <f>SUBSTITUTE(Base_report!E105,"-","/")</f>
        <v>PNLP/MEDICAMENTS ET INTRANTS</v>
      </c>
      <c r="F105" s="14" t="s">
        <v>788</v>
      </c>
      <c r="G105" s="16">
        <f>DATE(YEAR(SUBSTITUTE(LEFT(Base_report!F105,10),"-","/")),MONTH(SUBSTITUTE(LEFT(Base_report!F105,10),"-","/")),DAY(SUBSTITUTE(LEFT(Base_report!F105,10),"-","/")))</f>
        <v>45301</v>
      </c>
      <c r="H105" s="16">
        <f>DATE(YEAR(SUBSTITUTE(LEFT(Base_report!G105,10),"-","/")),MONTH(SUBSTITUTE(LEFT(Base_report!G105,10),"-","/")),DAY(SUBSTITUTE(LEFT(Base_report!G105,10),"-","/")))</f>
        <v>45301</v>
      </c>
      <c r="I105" s="17" t="str">
        <f t="shared" si="1"/>
        <v>OUI</v>
      </c>
      <c r="J105" s="18">
        <f>IF(L105="DS",DATE(RIGHT(B105,4),VLOOKUP(LEFT(B105,LEN(B105)-5),Feuil1!$E$3:$F$19,2,FALSE)+1,10),DATE(RIGHT(B105,4),VLOOKUP(LEFT(B105,LEN(B105)-5),Feuil1!$E$3:$F$19,2,FALSE)+1,7))</f>
        <v>45301</v>
      </c>
      <c r="K105" s="19">
        <f t="shared" si="2"/>
        <v>1</v>
      </c>
      <c r="L105" s="6" t="str">
        <f t="shared" si="3"/>
        <v>DS</v>
      </c>
    </row>
    <row r="106" ht="14.25" customHeight="1">
      <c r="A106" s="14" t="str">
        <f>Base_report!A106</f>
        <v>SAN PEDRO</v>
      </c>
      <c r="B106" s="14" t="str">
        <f>Base_report!B106</f>
        <v>DECEMBRE 2023</v>
      </c>
      <c r="C106" s="15" t="str">
        <f>Base_report!C106</f>
        <v>C2040</v>
      </c>
      <c r="D106" s="14" t="str">
        <f>TRIM(IF(ISNUMBER(FIND("PNSME",Base_report!D106,1)),SUBSTITUTE(Base_report!D106,"PNSME",""),IF(ISNUMBER(FIND("PHG",Base_report!D106,1)),SUBSTITUTE(Base_report!D106,"PHG",""),IF(ISNUMBER(FIND("PCS",Base_report!D106,1)),SUBSTITUTE(Base_report!D106,"PCS",""),IF(ISNUMBER(FIND("CMU",Base_report!D106,1)),SUBSTITUTE(Base_report!D106,"CMU",""),Base_report!D106)))))</f>
        <v>DISTRICT SANITAIRE TABOU</v>
      </c>
      <c r="E106" s="14" t="str">
        <f>SUBSTITUTE(Base_report!E106,"-","/")</f>
        <v>PNLS/PRODUITS DE LABORATOIRE</v>
      </c>
      <c r="F106" s="14" t="s">
        <v>788</v>
      </c>
      <c r="G106" s="16">
        <f>DATE(YEAR(SUBSTITUTE(LEFT(Base_report!F106,10),"-","/")),MONTH(SUBSTITUTE(LEFT(Base_report!F106,10),"-","/")),DAY(SUBSTITUTE(LEFT(Base_report!F106,10),"-","/")))</f>
        <v>45300</v>
      </c>
      <c r="H106" s="16">
        <f>DATE(YEAR(SUBSTITUTE(LEFT(Base_report!G106,10),"-","/")),MONTH(SUBSTITUTE(LEFT(Base_report!G106,10),"-","/")),DAY(SUBSTITUTE(LEFT(Base_report!G106,10),"-","/")))</f>
        <v>45301</v>
      </c>
      <c r="I106" s="17" t="str">
        <f t="shared" si="1"/>
        <v>OUI</v>
      </c>
      <c r="J106" s="18">
        <f>IF(L106="DS",DATE(RIGHT(B106,4),VLOOKUP(LEFT(B106,LEN(B106)-5),Feuil1!$E$3:$F$19,2,FALSE)+1,10),DATE(RIGHT(B106,4),VLOOKUP(LEFT(B106,LEN(B106)-5),Feuil1!$E$3:$F$19,2,FALSE)+1,7))</f>
        <v>45301</v>
      </c>
      <c r="K106" s="19">
        <f t="shared" si="2"/>
        <v>1</v>
      </c>
      <c r="L106" s="6" t="str">
        <f t="shared" si="3"/>
        <v>DS</v>
      </c>
    </row>
    <row r="107" ht="14.25" customHeight="1">
      <c r="A107" s="14" t="str">
        <f>Base_report!A107</f>
        <v>BELIER</v>
      </c>
      <c r="B107" s="14" t="str">
        <f>Base_report!B107</f>
        <v>DECEMBRE 2023</v>
      </c>
      <c r="C107" s="15" t="str">
        <f>Base_report!C107</f>
        <v>C2026</v>
      </c>
      <c r="D107" s="14" t="str">
        <f>TRIM(IF(ISNUMBER(FIND("PNSME",Base_report!D107,1)),SUBSTITUTE(Base_report!D107,"PNSME",""),IF(ISNUMBER(FIND("PHG",Base_report!D107,1)),SUBSTITUTE(Base_report!D107,"PHG",""),IF(ISNUMBER(FIND("PCS",Base_report!D107,1)),SUBSTITUTE(Base_report!D107,"PCS",""),IF(ISNUMBER(FIND("CMU",Base_report!D107,1)),SUBSTITUTE(Base_report!D107,"CMU",""),Base_report!D107)))))</f>
        <v>DISTRICT SANITAIRE DIDIEVI</v>
      </c>
      <c r="E107" s="14" t="str">
        <f>SUBSTITUTE(Base_report!E107,"-","/")</f>
        <v>PNN/MEDICAMENTS ET INTRANTS</v>
      </c>
      <c r="F107" s="14" t="s">
        <v>788</v>
      </c>
      <c r="G107" s="16">
        <f>DATE(YEAR(SUBSTITUTE(LEFT(Base_report!F107,10),"-","/")),MONTH(SUBSTITUTE(LEFT(Base_report!F107,10),"-","/")),DAY(SUBSTITUTE(LEFT(Base_report!F107,10),"-","/")))</f>
        <v>45300</v>
      </c>
      <c r="H107" s="16">
        <f>DATE(YEAR(SUBSTITUTE(LEFT(Base_report!G107,10),"-","/")),MONTH(SUBSTITUTE(LEFT(Base_report!G107,10),"-","/")),DAY(SUBSTITUTE(LEFT(Base_report!G107,10),"-","/")))</f>
        <v>45301</v>
      </c>
      <c r="I107" s="17" t="str">
        <f t="shared" si="1"/>
        <v>OUI</v>
      </c>
      <c r="J107" s="18">
        <f>IF(L107="DS",DATE(RIGHT(B107,4),VLOOKUP(LEFT(B107,LEN(B107)-5),Feuil1!$E$3:$F$19,2,FALSE)+1,10),DATE(RIGHT(B107,4),VLOOKUP(LEFT(B107,LEN(B107)-5),Feuil1!$E$3:$F$19,2,FALSE)+1,7))</f>
        <v>45301</v>
      </c>
      <c r="K107" s="19">
        <f t="shared" si="2"/>
        <v>1</v>
      </c>
      <c r="L107" s="6" t="str">
        <f t="shared" si="3"/>
        <v>DS</v>
      </c>
    </row>
    <row r="108" ht="14.25" customHeight="1">
      <c r="A108" s="14" t="str">
        <f>Base_report!A108</f>
        <v>AGNEBY-TIASSA</v>
      </c>
      <c r="B108" s="14" t="str">
        <f>Base_report!B108</f>
        <v>DECEMBRE 2023</v>
      </c>
      <c r="C108" s="15" t="str">
        <f>Base_report!C108</f>
        <v>C1125</v>
      </c>
      <c r="D108" s="14" t="str">
        <f>TRIM(IF(ISNUMBER(FIND("PNSME",Base_report!D108,1)),SUBSTITUTE(Base_report!D108,"PNSME",""),IF(ISNUMBER(FIND("PHG",Base_report!D108,1)),SUBSTITUTE(Base_report!D108,"PHG",""),IF(ISNUMBER(FIND("PCS",Base_report!D108,1)),SUBSTITUTE(Base_report!D108,"PCS",""),IF(ISNUMBER(FIND("CMU",Base_report!D108,1)),SUBSTITUTE(Base_report!D108,"CMU",""),Base_report!D108)))))</f>
        <v>DISTRICT SANITAIRE TIASSALE</v>
      </c>
      <c r="E108" s="14" t="str">
        <f>SUBSTITUTE(Base_report!E108,"-","/")</f>
        <v>PNSME/MEDICAMENTS ET INTRANTS</v>
      </c>
      <c r="F108" s="14" t="s">
        <v>788</v>
      </c>
      <c r="G108" s="16">
        <f>DATE(YEAR(SUBSTITUTE(LEFT(Base_report!F108,10),"-","/")),MONTH(SUBSTITUTE(LEFT(Base_report!F108,10),"-","/")),DAY(SUBSTITUTE(LEFT(Base_report!F108,10),"-","/")))</f>
        <v>45300</v>
      </c>
      <c r="H108" s="16">
        <f>DATE(YEAR(SUBSTITUTE(LEFT(Base_report!G108,10),"-","/")),MONTH(SUBSTITUTE(LEFT(Base_report!G108,10),"-","/")),DAY(SUBSTITUTE(LEFT(Base_report!G108,10),"-","/")))</f>
        <v>45300</v>
      </c>
      <c r="I108" s="17" t="str">
        <f t="shared" si="1"/>
        <v>OUI</v>
      </c>
      <c r="J108" s="18">
        <f>IF(L108="DS",DATE(RIGHT(B108,4),VLOOKUP(LEFT(B108,LEN(B108)-5),Feuil1!$E$3:$F$19,2,FALSE)+1,10),DATE(RIGHT(B108,4),VLOOKUP(LEFT(B108,LEN(B108)-5),Feuil1!$E$3:$F$19,2,FALSE)+1,7))</f>
        <v>45301</v>
      </c>
      <c r="K108" s="19">
        <f t="shared" si="2"/>
        <v>1</v>
      </c>
      <c r="L108" s="6" t="str">
        <f t="shared" si="3"/>
        <v>DS</v>
      </c>
    </row>
    <row r="109" ht="14.25" customHeight="1">
      <c r="A109" s="14" t="str">
        <f>Base_report!A109</f>
        <v>BERE</v>
      </c>
      <c r="B109" s="14" t="str">
        <f>Base_report!B109</f>
        <v>DECEMBRE 2023</v>
      </c>
      <c r="C109" s="15" t="str">
        <f>Base_report!C109</f>
        <v>C5083</v>
      </c>
      <c r="D109" s="14" t="str">
        <f>TRIM(IF(ISNUMBER(FIND("PNSME",Base_report!D109,1)),SUBSTITUTE(Base_report!D109,"PNSME",""),IF(ISNUMBER(FIND("PHG",Base_report!D109,1)),SUBSTITUTE(Base_report!D109,"PHG",""),IF(ISNUMBER(FIND("PCS",Base_report!D109,1)),SUBSTITUTE(Base_report!D109,"PCS",""),IF(ISNUMBER(FIND("CMU",Base_report!D109,1)),SUBSTITUTE(Base_report!D109,"CMU",""),Base_report!D109)))))</f>
        <v>DISTRICT SANITAIRE DIANRA</v>
      </c>
      <c r="E109" s="14" t="str">
        <f>SUBSTITUTE(Base_report!E109,"-","/")</f>
        <v>PNN/MEDICAMENTS ET INTRANTS</v>
      </c>
      <c r="F109" s="14" t="s">
        <v>788</v>
      </c>
      <c r="G109" s="16">
        <f>DATE(YEAR(SUBSTITUTE(LEFT(Base_report!F109,10),"-","/")),MONTH(SUBSTITUTE(LEFT(Base_report!F109,10),"-","/")),DAY(SUBSTITUTE(LEFT(Base_report!F109,10),"-","/")))</f>
        <v>45301</v>
      </c>
      <c r="H109" s="16">
        <f>DATE(YEAR(SUBSTITUTE(LEFT(Base_report!G109,10),"-","/")),MONTH(SUBSTITUTE(LEFT(Base_report!G109,10),"-","/")),DAY(SUBSTITUTE(LEFT(Base_report!G109,10),"-","/")))</f>
        <v>45301</v>
      </c>
      <c r="I109" s="17" t="str">
        <f t="shared" si="1"/>
        <v>OUI</v>
      </c>
      <c r="J109" s="18">
        <f>IF(L109="DS",DATE(RIGHT(B109,4),VLOOKUP(LEFT(B109,LEN(B109)-5),Feuil1!$E$3:$F$19,2,FALSE)+1,10),DATE(RIGHT(B109,4),VLOOKUP(LEFT(B109,LEN(B109)-5),Feuil1!$E$3:$F$19,2,FALSE)+1,7))</f>
        <v>45301</v>
      </c>
      <c r="K109" s="19">
        <f t="shared" si="2"/>
        <v>1</v>
      </c>
      <c r="L109" s="6" t="str">
        <f t="shared" si="3"/>
        <v>DS</v>
      </c>
    </row>
    <row r="110" ht="14.25" customHeight="1">
      <c r="A110" s="14" t="str">
        <f>Base_report!A110</f>
        <v>GBEKE</v>
      </c>
      <c r="B110" s="14" t="str">
        <f>Base_report!B110</f>
        <v>DECEMBRE 2023</v>
      </c>
      <c r="C110" s="15" t="str">
        <f>Base_report!C110</f>
        <v>C2034</v>
      </c>
      <c r="D110" s="14" t="str">
        <f>TRIM(IF(ISNUMBER(FIND("PNSME",Base_report!D110,1)),SUBSTITUTE(Base_report!D110,"PNSME",""),IF(ISNUMBER(FIND("PHG",Base_report!D110,1)),SUBSTITUTE(Base_report!D110,"PHG",""),IF(ISNUMBER(FIND("PCS",Base_report!D110,1)),SUBSTITUTE(Base_report!D110,"PCS",""),IF(ISNUMBER(FIND("CMU",Base_report!D110,1)),SUBSTITUTE(Base_report!D110,"CMU",""),Base_report!D110)))))</f>
        <v>DISTRICT SANITAIRE SAKASSOU</v>
      </c>
      <c r="E110" s="14" t="str">
        <f>SUBSTITUTE(Base_report!E110,"-","/")</f>
        <v>PNLS/ANTIRETROVIRAUX ET IO</v>
      </c>
      <c r="F110" s="14" t="s">
        <v>788</v>
      </c>
      <c r="G110" s="16">
        <f>DATE(YEAR(SUBSTITUTE(LEFT(Base_report!F110,10),"-","/")),MONTH(SUBSTITUTE(LEFT(Base_report!F110,10),"-","/")),DAY(SUBSTITUTE(LEFT(Base_report!F110,10),"-","/")))</f>
        <v>45300</v>
      </c>
      <c r="H110" s="16">
        <f>DATE(YEAR(SUBSTITUTE(LEFT(Base_report!G110,10),"-","/")),MONTH(SUBSTITUTE(LEFT(Base_report!G110,10),"-","/")),DAY(SUBSTITUTE(LEFT(Base_report!G110,10),"-","/")))</f>
        <v>45300</v>
      </c>
      <c r="I110" s="17" t="str">
        <f t="shared" si="1"/>
        <v>OUI</v>
      </c>
      <c r="J110" s="18">
        <f>IF(L110="DS",DATE(RIGHT(B110,4),VLOOKUP(LEFT(B110,LEN(B110)-5),Feuil1!$E$3:$F$19,2,FALSE)+1,10),DATE(RIGHT(B110,4),VLOOKUP(LEFT(B110,LEN(B110)-5),Feuil1!$E$3:$F$19,2,FALSE)+1,7))</f>
        <v>45301</v>
      </c>
      <c r="K110" s="19">
        <f t="shared" si="2"/>
        <v>1</v>
      </c>
      <c r="L110" s="6" t="str">
        <f t="shared" si="3"/>
        <v>DS</v>
      </c>
    </row>
    <row r="111" ht="14.25" customHeight="1">
      <c r="A111" s="14" t="str">
        <f>Base_report!A111</f>
        <v>PORO</v>
      </c>
      <c r="B111" s="14" t="str">
        <f>Base_report!B111</f>
        <v>DECEMBRE 2023</v>
      </c>
      <c r="C111" s="15" t="str">
        <f>Base_report!C111</f>
        <v>C3058</v>
      </c>
      <c r="D111" s="14" t="str">
        <f>TRIM(IF(ISNUMBER(FIND("PNSME",Base_report!D111,1)),SUBSTITUTE(Base_report!D111,"PNSME",""),IF(ISNUMBER(FIND("PHG",Base_report!D111,1)),SUBSTITUTE(Base_report!D111,"PHG",""),IF(ISNUMBER(FIND("PCS",Base_report!D111,1)),SUBSTITUTE(Base_report!D111,"PCS",""),IF(ISNUMBER(FIND("CMU",Base_report!D111,1)),SUBSTITUTE(Base_report!D111,"CMU",""),Base_report!D111)))))</f>
        <v>DISTRICT SANITAIRE DIKODOUGOU</v>
      </c>
      <c r="E111" s="14" t="str">
        <f>SUBSTITUTE(Base_report!E111,"-","/")</f>
        <v>PNLS/TESTS RAPIDES ET CONSOMMABLES</v>
      </c>
      <c r="F111" s="14" t="s">
        <v>788</v>
      </c>
      <c r="G111" s="16">
        <f>DATE(YEAR(SUBSTITUTE(LEFT(Base_report!F111,10),"-","/")),MONTH(SUBSTITUTE(LEFT(Base_report!F111,10),"-","/")),DAY(SUBSTITUTE(LEFT(Base_report!F111,10),"-","/")))</f>
        <v>45301</v>
      </c>
      <c r="H111" s="16">
        <f>DATE(YEAR(SUBSTITUTE(LEFT(Base_report!G111,10),"-","/")),MONTH(SUBSTITUTE(LEFT(Base_report!G111,10),"-","/")),DAY(SUBSTITUTE(LEFT(Base_report!G111,10),"-","/")))</f>
        <v>45302</v>
      </c>
      <c r="I111" s="17" t="str">
        <f t="shared" si="1"/>
        <v>OUI</v>
      </c>
      <c r="J111" s="18">
        <f>IF(L111="DS",DATE(RIGHT(B111,4),VLOOKUP(LEFT(B111,LEN(B111)-5),Feuil1!$E$3:$F$19,2,FALSE)+1,10),DATE(RIGHT(B111,4),VLOOKUP(LEFT(B111,LEN(B111)-5),Feuil1!$E$3:$F$19,2,FALSE)+1,7))</f>
        <v>45301</v>
      </c>
      <c r="K111" s="19">
        <f t="shared" si="2"/>
        <v>0</v>
      </c>
      <c r="L111" s="6" t="str">
        <f t="shared" si="3"/>
        <v>DS</v>
      </c>
    </row>
    <row r="112" ht="14.25" customHeight="1">
      <c r="A112" s="14" t="str">
        <f>Base_report!A112</f>
        <v>HAUT-SASSANDRA</v>
      </c>
      <c r="B112" s="14" t="str">
        <f>Base_report!B112</f>
        <v>DECEMBRE 2023</v>
      </c>
      <c r="C112" s="15" t="str">
        <f>Base_report!C112</f>
        <v>C2031</v>
      </c>
      <c r="D112" s="14" t="str">
        <f>TRIM(IF(ISNUMBER(FIND("PNSME",Base_report!D112,1)),SUBSTITUTE(Base_report!D112,"PNSME",""),IF(ISNUMBER(FIND("PHG",Base_report!D112,1)),SUBSTITUTE(Base_report!D112,"PHG",""),IF(ISNUMBER(FIND("PCS",Base_report!D112,1)),SUBSTITUTE(Base_report!D112,"PCS",""),IF(ISNUMBER(FIND("CMU",Base_report!D112,1)),SUBSTITUTE(Base_report!D112,"CMU",""),Base_report!D112)))))</f>
        <v>DISTRICT SANITAIRE ISSIA</v>
      </c>
      <c r="E112" s="14" t="str">
        <f>SUBSTITUTE(Base_report!E112,"-","/")</f>
        <v>PNLS/PRODUITS DE LABORATOIRE</v>
      </c>
      <c r="F112" s="14" t="s">
        <v>788</v>
      </c>
      <c r="G112" s="16">
        <f>DATE(YEAR(SUBSTITUTE(LEFT(Base_report!F112,10),"-","/")),MONTH(SUBSTITUTE(LEFT(Base_report!F112,10),"-","/")),DAY(SUBSTITUTE(LEFT(Base_report!F112,10),"-","/")))</f>
        <v>45301</v>
      </c>
      <c r="H112" s="16">
        <f>DATE(YEAR(SUBSTITUTE(LEFT(Base_report!G112,10),"-","/")),MONTH(SUBSTITUTE(LEFT(Base_report!G112,10),"-","/")),DAY(SUBSTITUTE(LEFT(Base_report!G112,10),"-","/")))</f>
        <v>45301</v>
      </c>
      <c r="I112" s="17" t="str">
        <f t="shared" si="1"/>
        <v>OUI</v>
      </c>
      <c r="J112" s="18">
        <f>IF(L112="DS",DATE(RIGHT(B112,4),VLOOKUP(LEFT(B112,LEN(B112)-5),Feuil1!$E$3:$F$19,2,FALSE)+1,10),DATE(RIGHT(B112,4),VLOOKUP(LEFT(B112,LEN(B112)-5),Feuil1!$E$3:$F$19,2,FALSE)+1,7))</f>
        <v>45301</v>
      </c>
      <c r="K112" s="19">
        <f t="shared" si="2"/>
        <v>1</v>
      </c>
      <c r="L112" s="6" t="str">
        <f t="shared" si="3"/>
        <v>DS</v>
      </c>
    </row>
    <row r="113" ht="14.25" customHeight="1">
      <c r="A113" s="14" t="str">
        <f>Base_report!A113</f>
        <v>GONTOUGO</v>
      </c>
      <c r="B113" s="14" t="str">
        <f>Base_report!B113</f>
        <v>DECEMBRE 2023</v>
      </c>
      <c r="C113" s="15" t="str">
        <f>Base_report!C113</f>
        <v>C4013</v>
      </c>
      <c r="D113" s="14" t="str">
        <f>TRIM(IF(ISNUMBER(FIND("PNSME",Base_report!D113,1)),SUBSTITUTE(Base_report!D113,"PNSME",""),IF(ISNUMBER(FIND("PHG",Base_report!D113,1)),SUBSTITUTE(Base_report!D113,"PHG",""),IF(ISNUMBER(FIND("PCS",Base_report!D113,1)),SUBSTITUTE(Base_report!D113,"PCS",""),IF(ISNUMBER(FIND("CMU",Base_report!D113,1)),SUBSTITUTE(Base_report!D113,"CMU",""),Base_report!D113)))))</f>
        <v>DISTRICT SANITAIRE TANDA</v>
      </c>
      <c r="E113" s="14" t="str">
        <f>SUBSTITUTE(Base_report!E113,"-","/")</f>
        <v>PNLS/ANTIRETROVIRAUX ET IO</v>
      </c>
      <c r="F113" s="14" t="s">
        <v>788</v>
      </c>
      <c r="G113" s="16">
        <f>DATE(YEAR(SUBSTITUTE(LEFT(Base_report!F113,10),"-","/")),MONTH(SUBSTITUTE(LEFT(Base_report!F113,10),"-","/")),DAY(SUBSTITUTE(LEFT(Base_report!F113,10),"-","/")))</f>
        <v>45300</v>
      </c>
      <c r="H113" s="16">
        <f>DATE(YEAR(SUBSTITUTE(LEFT(Base_report!G113,10),"-","/")),MONTH(SUBSTITUTE(LEFT(Base_report!G113,10),"-","/")),DAY(SUBSTITUTE(LEFT(Base_report!G113,10),"-","/")))</f>
        <v>45301</v>
      </c>
      <c r="I113" s="17" t="str">
        <f t="shared" si="1"/>
        <v>OUI</v>
      </c>
      <c r="J113" s="18">
        <f>IF(L113="DS",DATE(RIGHT(B113,4),VLOOKUP(LEFT(B113,LEN(B113)-5),Feuil1!$E$3:$F$19,2,FALSE)+1,10),DATE(RIGHT(B113,4),VLOOKUP(LEFT(B113,LEN(B113)-5),Feuil1!$E$3:$F$19,2,FALSE)+1,7))</f>
        <v>45301</v>
      </c>
      <c r="K113" s="19">
        <f t="shared" si="2"/>
        <v>1</v>
      </c>
      <c r="L113" s="6" t="str">
        <f t="shared" si="3"/>
        <v>DS</v>
      </c>
    </row>
    <row r="114" ht="14.25" customHeight="1">
      <c r="A114" s="14" t="str">
        <f>Base_report!A114</f>
        <v>MARAHOUE</v>
      </c>
      <c r="B114" s="14" t="str">
        <f>Base_report!B114</f>
        <v>DECEMBRE 2023</v>
      </c>
      <c r="C114" s="15" t="str">
        <f>Base_report!C114</f>
        <v>C2046</v>
      </c>
      <c r="D114" s="14" t="str">
        <f>TRIM(IF(ISNUMBER(FIND("PNSME",Base_report!D114,1)),SUBSTITUTE(Base_report!D114,"PNSME",""),IF(ISNUMBER(FIND("PHG",Base_report!D114,1)),SUBSTITUTE(Base_report!D114,"PHG",""),IF(ISNUMBER(FIND("PCS",Base_report!D114,1)),SUBSTITUTE(Base_report!D114,"PCS",""),IF(ISNUMBER(FIND("CMU",Base_report!D114,1)),SUBSTITUTE(Base_report!D114,"CMU",""),Base_report!D114)))))</f>
        <v>DISTRICT SANITAIRE ZUENOULA</v>
      </c>
      <c r="E114" s="14" t="str">
        <f>SUBSTITUTE(Base_report!E114,"-","/")</f>
        <v>PNLS/PRODUITS DE LABORATOIRE</v>
      </c>
      <c r="F114" s="14" t="s">
        <v>788</v>
      </c>
      <c r="G114" s="16">
        <f>DATE(YEAR(SUBSTITUTE(LEFT(Base_report!F114,10),"-","/")),MONTH(SUBSTITUTE(LEFT(Base_report!F114,10),"-","/")),DAY(SUBSTITUTE(LEFT(Base_report!F114,10),"-","/")))</f>
        <v>45301</v>
      </c>
      <c r="H114" s="16">
        <f>DATE(YEAR(SUBSTITUTE(LEFT(Base_report!G114,10),"-","/")),MONTH(SUBSTITUTE(LEFT(Base_report!G114,10),"-","/")),DAY(SUBSTITUTE(LEFT(Base_report!G114,10),"-","/")))</f>
        <v>45301</v>
      </c>
      <c r="I114" s="17" t="str">
        <f t="shared" si="1"/>
        <v>OUI</v>
      </c>
      <c r="J114" s="18">
        <f>IF(L114="DS",DATE(RIGHT(B114,4),VLOOKUP(LEFT(B114,LEN(B114)-5),Feuil1!$E$3:$F$19,2,FALSE)+1,10),DATE(RIGHT(B114,4),VLOOKUP(LEFT(B114,LEN(B114)-5),Feuil1!$E$3:$F$19,2,FALSE)+1,7))</f>
        <v>45301</v>
      </c>
      <c r="K114" s="19">
        <f t="shared" si="2"/>
        <v>1</v>
      </c>
      <c r="L114" s="6" t="str">
        <f t="shared" si="3"/>
        <v>DS</v>
      </c>
    </row>
    <row r="115" ht="14.25" customHeight="1">
      <c r="A115" s="14" t="str">
        <f>Base_report!A115</f>
        <v>LOH-DJIBOUA</v>
      </c>
      <c r="B115" s="14" t="str">
        <f>Base_report!B115</f>
        <v>DECEMBRE 2023</v>
      </c>
      <c r="C115" s="15" t="str">
        <f>Base_report!C115</f>
        <v>C2028</v>
      </c>
      <c r="D115" s="14" t="str">
        <f>TRIM(IF(ISNUMBER(FIND("PNSME",Base_report!D115,1)),SUBSTITUTE(Base_report!D115,"PNSME",""),IF(ISNUMBER(FIND("PHG",Base_report!D115,1)),SUBSTITUTE(Base_report!D115,"PHG",""),IF(ISNUMBER(FIND("PCS",Base_report!D115,1)),SUBSTITUTE(Base_report!D115,"PCS",""),IF(ISNUMBER(FIND("CMU",Base_report!D115,1)),SUBSTITUTE(Base_report!D115,"CMU",""),Base_report!D115)))))</f>
        <v>DISTRICT SANITAIRE DIVO</v>
      </c>
      <c r="E115" s="14" t="str">
        <f>SUBSTITUTE(Base_report!E115,"-","/")</f>
        <v>PNLS/TESTS RAPIDES ET CONSOMMABLES</v>
      </c>
      <c r="F115" s="14" t="s">
        <v>788</v>
      </c>
      <c r="G115" s="16">
        <f>DATE(YEAR(SUBSTITUTE(LEFT(Base_report!F115,10),"-","/")),MONTH(SUBSTITUTE(LEFT(Base_report!F115,10),"-","/")),DAY(SUBSTITUTE(LEFT(Base_report!F115,10),"-","/")))</f>
        <v>45301</v>
      </c>
      <c r="H115" s="16">
        <f>DATE(YEAR(SUBSTITUTE(LEFT(Base_report!G115,10),"-","/")),MONTH(SUBSTITUTE(LEFT(Base_report!G115,10),"-","/")),DAY(SUBSTITUTE(LEFT(Base_report!G115,10),"-","/")))</f>
        <v>45301</v>
      </c>
      <c r="I115" s="17" t="str">
        <f t="shared" si="1"/>
        <v>OUI</v>
      </c>
      <c r="J115" s="18">
        <f>IF(L115="DS",DATE(RIGHT(B115,4),VLOOKUP(LEFT(B115,LEN(B115)-5),Feuil1!$E$3:$F$19,2,FALSE)+1,10),DATE(RIGHT(B115,4),VLOOKUP(LEFT(B115,LEN(B115)-5),Feuil1!$E$3:$F$19,2,FALSE)+1,7))</f>
        <v>45301</v>
      </c>
      <c r="K115" s="19">
        <f t="shared" si="2"/>
        <v>1</v>
      </c>
      <c r="L115" s="6" t="str">
        <f t="shared" si="3"/>
        <v>DS</v>
      </c>
    </row>
    <row r="116" ht="14.25" customHeight="1">
      <c r="A116" s="14" t="str">
        <f>Base_report!A116</f>
        <v>SAN PEDRO</v>
      </c>
      <c r="B116" s="14" t="str">
        <f>Base_report!B116</f>
        <v>DECEMBRE 2023</v>
      </c>
      <c r="C116" s="15" t="str">
        <f>Base_report!C116</f>
        <v>C2040</v>
      </c>
      <c r="D116" s="14" t="str">
        <f>TRIM(IF(ISNUMBER(FIND("PNSME",Base_report!D116,1)),SUBSTITUTE(Base_report!D116,"PNSME",""),IF(ISNUMBER(FIND("PHG",Base_report!D116,1)),SUBSTITUTE(Base_report!D116,"PHG",""),IF(ISNUMBER(FIND("PCS",Base_report!D116,1)),SUBSTITUTE(Base_report!D116,"PCS",""),IF(ISNUMBER(FIND("CMU",Base_report!D116,1)),SUBSTITUTE(Base_report!D116,"CMU",""),Base_report!D116)))))</f>
        <v>DISTRICT SANITAIRE TABOU</v>
      </c>
      <c r="E116" s="14" t="str">
        <f>SUBSTITUTE(Base_report!E116,"-","/")</f>
        <v>PNSME/MEDICAMENTS ET INTRANTS</v>
      </c>
      <c r="F116" s="14" t="s">
        <v>788</v>
      </c>
      <c r="G116" s="16">
        <f>DATE(YEAR(SUBSTITUTE(LEFT(Base_report!F116,10),"-","/")),MONTH(SUBSTITUTE(LEFT(Base_report!F116,10),"-","/")),DAY(SUBSTITUTE(LEFT(Base_report!F116,10),"-","/")))</f>
        <v>45300</v>
      </c>
      <c r="H116" s="16">
        <f>DATE(YEAR(SUBSTITUTE(LEFT(Base_report!G116,10),"-","/")),MONTH(SUBSTITUTE(LEFT(Base_report!G116,10),"-","/")),DAY(SUBSTITUTE(LEFT(Base_report!G116,10),"-","/")))</f>
        <v>45301</v>
      </c>
      <c r="I116" s="17" t="str">
        <f t="shared" si="1"/>
        <v>OUI</v>
      </c>
      <c r="J116" s="18">
        <f>IF(L116="DS",DATE(RIGHT(B116,4),VLOOKUP(LEFT(B116,LEN(B116)-5),Feuil1!$E$3:$F$19,2,FALSE)+1,10),DATE(RIGHT(B116,4),VLOOKUP(LEFT(B116,LEN(B116)-5),Feuil1!$E$3:$F$19,2,FALSE)+1,7))</f>
        <v>45301</v>
      </c>
      <c r="K116" s="19">
        <f t="shared" si="2"/>
        <v>1</v>
      </c>
      <c r="L116" s="6" t="str">
        <f t="shared" si="3"/>
        <v>DS</v>
      </c>
    </row>
    <row r="117" ht="14.25" customHeight="1">
      <c r="A117" s="14" t="str">
        <f>Base_report!A117</f>
        <v>GUEMON</v>
      </c>
      <c r="B117" s="14" t="str">
        <f>Base_report!B117</f>
        <v>DECEMBRE 2023</v>
      </c>
      <c r="C117" s="15" t="str">
        <f>Base_report!C117</f>
        <v>C5035</v>
      </c>
      <c r="D117" s="14" t="str">
        <f>TRIM(IF(ISNUMBER(FIND("PNSME",Base_report!D117,1)),SUBSTITUTE(Base_report!D117,"PNSME",""),IF(ISNUMBER(FIND("PHG",Base_report!D117,1)),SUBSTITUTE(Base_report!D117,"PHG",""),IF(ISNUMBER(FIND("PCS",Base_report!D117,1)),SUBSTITUTE(Base_report!D117,"PCS",""),IF(ISNUMBER(FIND("CMU",Base_report!D117,1)),SUBSTITUTE(Base_report!D117,"CMU",""),Base_report!D117)))))</f>
        <v>DISTRICT SANITAIRE KOUIBLY</v>
      </c>
      <c r="E117" s="14" t="str">
        <f>SUBSTITUTE(Base_report!E117,"-","/")</f>
        <v>PNSME/MEDICAMENTS ET INTRANTS</v>
      </c>
      <c r="F117" s="14" t="s">
        <v>788</v>
      </c>
      <c r="G117" s="16">
        <f>DATE(YEAR(SUBSTITUTE(LEFT(Base_report!F117,10),"-","/")),MONTH(SUBSTITUTE(LEFT(Base_report!F117,10),"-","/")),DAY(SUBSTITUTE(LEFT(Base_report!F117,10),"-","/")))</f>
        <v>45300</v>
      </c>
      <c r="H117" s="16">
        <f>DATE(YEAR(SUBSTITUTE(LEFT(Base_report!G117,10),"-","/")),MONTH(SUBSTITUTE(LEFT(Base_report!G117,10),"-","/")),DAY(SUBSTITUTE(LEFT(Base_report!G117,10),"-","/")))</f>
        <v>45301</v>
      </c>
      <c r="I117" s="17" t="str">
        <f t="shared" si="1"/>
        <v>OUI</v>
      </c>
      <c r="J117" s="18">
        <f>IF(L117="DS",DATE(RIGHT(B117,4),VLOOKUP(LEFT(B117,LEN(B117)-5),Feuil1!$E$3:$F$19,2,FALSE)+1,10),DATE(RIGHT(B117,4),VLOOKUP(LEFT(B117,LEN(B117)-5),Feuil1!$E$3:$F$19,2,FALSE)+1,7))</f>
        <v>45301</v>
      </c>
      <c r="K117" s="19">
        <f t="shared" si="2"/>
        <v>1</v>
      </c>
      <c r="L117" s="6" t="str">
        <f t="shared" si="3"/>
        <v>DS</v>
      </c>
    </row>
    <row r="118" ht="14.25" customHeight="1">
      <c r="A118" s="14" t="str">
        <f>Base_report!A118</f>
        <v>GUEMON</v>
      </c>
      <c r="B118" s="14" t="str">
        <f>Base_report!B118</f>
        <v>DECEMBRE 2023</v>
      </c>
      <c r="C118" s="15" t="str">
        <f>Base_report!C118</f>
        <v>C5035</v>
      </c>
      <c r="D118" s="14" t="str">
        <f>TRIM(IF(ISNUMBER(FIND("PNSME",Base_report!D118,1)),SUBSTITUTE(Base_report!D118,"PNSME",""),IF(ISNUMBER(FIND("PHG",Base_report!D118,1)),SUBSTITUTE(Base_report!D118,"PHG",""),IF(ISNUMBER(FIND("PCS",Base_report!D118,1)),SUBSTITUTE(Base_report!D118,"PCS",""),IF(ISNUMBER(FIND("CMU",Base_report!D118,1)),SUBSTITUTE(Base_report!D118,"CMU",""),Base_report!D118)))))</f>
        <v>DISTRICT SANITAIRE KOUIBLY</v>
      </c>
      <c r="E118" s="14" t="str">
        <f>SUBSTITUTE(Base_report!E118,"-","/")</f>
        <v>PNN/MEDICAMENTS ET INTRANTS</v>
      </c>
      <c r="F118" s="14" t="s">
        <v>788</v>
      </c>
      <c r="G118" s="16">
        <f>DATE(YEAR(SUBSTITUTE(LEFT(Base_report!F118,10),"-","/")),MONTH(SUBSTITUTE(LEFT(Base_report!F118,10),"-","/")),DAY(SUBSTITUTE(LEFT(Base_report!F118,10),"-","/")))</f>
        <v>45300</v>
      </c>
      <c r="H118" s="16">
        <f>DATE(YEAR(SUBSTITUTE(LEFT(Base_report!G118,10),"-","/")),MONTH(SUBSTITUTE(LEFT(Base_report!G118,10),"-","/")),DAY(SUBSTITUTE(LEFT(Base_report!G118,10),"-","/")))</f>
        <v>45301</v>
      </c>
      <c r="I118" s="17" t="str">
        <f t="shared" si="1"/>
        <v>OUI</v>
      </c>
      <c r="J118" s="18">
        <f>IF(L118="DS",DATE(RIGHT(B118,4),VLOOKUP(LEFT(B118,LEN(B118)-5),Feuil1!$E$3:$F$19,2,FALSE)+1,10),DATE(RIGHT(B118,4),VLOOKUP(LEFT(B118,LEN(B118)-5),Feuil1!$E$3:$F$19,2,FALSE)+1,7))</f>
        <v>45301</v>
      </c>
      <c r="K118" s="19">
        <f t="shared" si="2"/>
        <v>1</v>
      </c>
      <c r="L118" s="6" t="str">
        <f t="shared" si="3"/>
        <v>DS</v>
      </c>
    </row>
    <row r="119" ht="14.25" customHeight="1">
      <c r="A119" s="14" t="str">
        <f>Base_report!A119</f>
        <v>BOUNKANI</v>
      </c>
      <c r="B119" s="14" t="str">
        <f>Base_report!B119</f>
        <v>DECEMBRE 2023</v>
      </c>
      <c r="C119" s="15" t="str">
        <f>Base_report!C119</f>
        <v>C4010</v>
      </c>
      <c r="D119" s="14" t="str">
        <f>TRIM(IF(ISNUMBER(FIND("PNSME",Base_report!D119,1)),SUBSTITUTE(Base_report!D119,"PNSME",""),IF(ISNUMBER(FIND("PHG",Base_report!D119,1)),SUBSTITUTE(Base_report!D119,"PHG",""),IF(ISNUMBER(FIND("PCS",Base_report!D119,1)),SUBSTITUTE(Base_report!D119,"PCS",""),IF(ISNUMBER(FIND("CMU",Base_report!D119,1)),SUBSTITUTE(Base_report!D119,"CMU",""),Base_report!D119)))))</f>
        <v>DISTRICT SANITAIRE BOUNA</v>
      </c>
      <c r="E119" s="14" t="str">
        <f>SUBSTITUTE(Base_report!E119,"-","/")</f>
        <v>PNLS/ANTIRETROVIRAUX ET IO</v>
      </c>
      <c r="F119" s="14" t="s">
        <v>788</v>
      </c>
      <c r="G119" s="16">
        <f>DATE(YEAR(SUBSTITUTE(LEFT(Base_report!F119,10),"-","/")),MONTH(SUBSTITUTE(LEFT(Base_report!F119,10),"-","/")),DAY(SUBSTITUTE(LEFT(Base_report!F119,10),"-","/")))</f>
        <v>45301</v>
      </c>
      <c r="H119" s="16">
        <f>DATE(YEAR(SUBSTITUTE(LEFT(Base_report!G119,10),"-","/")),MONTH(SUBSTITUTE(LEFT(Base_report!G119,10),"-","/")),DAY(SUBSTITUTE(LEFT(Base_report!G119,10),"-","/")))</f>
        <v>45301</v>
      </c>
      <c r="I119" s="17" t="str">
        <f t="shared" si="1"/>
        <v>OUI</v>
      </c>
      <c r="J119" s="18">
        <f>IF(L119="DS",DATE(RIGHT(B119,4),VLOOKUP(LEFT(B119,LEN(B119)-5),Feuil1!$E$3:$F$19,2,FALSE)+1,10),DATE(RIGHT(B119,4),VLOOKUP(LEFT(B119,LEN(B119)-5),Feuil1!$E$3:$F$19,2,FALSE)+1,7))</f>
        <v>45301</v>
      </c>
      <c r="K119" s="19">
        <f t="shared" si="2"/>
        <v>1</v>
      </c>
      <c r="L119" s="6" t="str">
        <f t="shared" si="3"/>
        <v>DS</v>
      </c>
    </row>
    <row r="120" ht="14.25" customHeight="1">
      <c r="A120" s="14" t="str">
        <f>Base_report!A120</f>
        <v>LOH-DJIBOUA</v>
      </c>
      <c r="B120" s="14" t="str">
        <f>Base_report!B120</f>
        <v>DECEMBRE 2023</v>
      </c>
      <c r="C120" s="15" t="str">
        <f>Base_report!C120</f>
        <v>C2028</v>
      </c>
      <c r="D120" s="14" t="str">
        <f>TRIM(IF(ISNUMBER(FIND("PNSME",Base_report!D120,1)),SUBSTITUTE(Base_report!D120,"PNSME",""),IF(ISNUMBER(FIND("PHG",Base_report!D120,1)),SUBSTITUTE(Base_report!D120,"PHG",""),IF(ISNUMBER(FIND("PCS",Base_report!D120,1)),SUBSTITUTE(Base_report!D120,"PCS",""),IF(ISNUMBER(FIND("CMU",Base_report!D120,1)),SUBSTITUTE(Base_report!D120,"CMU",""),Base_report!D120)))))</f>
        <v>DISTRICT SANITAIRE DIVO</v>
      </c>
      <c r="E120" s="14" t="str">
        <f>SUBSTITUTE(Base_report!E120,"-","/")</f>
        <v>PNLS/PRODUITS DE LABORATOIRE</v>
      </c>
      <c r="F120" s="14" t="s">
        <v>788</v>
      </c>
      <c r="G120" s="16">
        <f>DATE(YEAR(SUBSTITUTE(LEFT(Base_report!F120,10),"-","/")),MONTH(SUBSTITUTE(LEFT(Base_report!F120,10),"-","/")),DAY(SUBSTITUTE(LEFT(Base_report!F120,10),"-","/")))</f>
        <v>45301</v>
      </c>
      <c r="H120" s="16">
        <f>DATE(YEAR(SUBSTITUTE(LEFT(Base_report!G120,10),"-","/")),MONTH(SUBSTITUTE(LEFT(Base_report!G120,10),"-","/")),DAY(SUBSTITUTE(LEFT(Base_report!G120,10),"-","/")))</f>
        <v>45301</v>
      </c>
      <c r="I120" s="17" t="str">
        <f t="shared" si="1"/>
        <v>OUI</v>
      </c>
      <c r="J120" s="18">
        <f>IF(L120="DS",DATE(RIGHT(B120,4),VLOOKUP(LEFT(B120,LEN(B120)-5),Feuil1!$E$3:$F$19,2,FALSE)+1,10),DATE(RIGHT(B120,4),VLOOKUP(LEFT(B120,LEN(B120)-5),Feuil1!$E$3:$F$19,2,FALSE)+1,7))</f>
        <v>45301</v>
      </c>
      <c r="K120" s="19">
        <f t="shared" si="2"/>
        <v>1</v>
      </c>
      <c r="L120" s="6" t="str">
        <f t="shared" si="3"/>
        <v>DS</v>
      </c>
    </row>
    <row r="121" ht="14.25" customHeight="1">
      <c r="A121" s="14" t="str">
        <f>Base_report!A121</f>
        <v>GONTOUGO</v>
      </c>
      <c r="B121" s="14" t="str">
        <f>Base_report!B121</f>
        <v>DECEMBRE 2023</v>
      </c>
      <c r="C121" s="15" t="str">
        <f>Base_report!C121</f>
        <v>C4013</v>
      </c>
      <c r="D121" s="14" t="str">
        <f>TRIM(IF(ISNUMBER(FIND("PNSME",Base_report!D121,1)),SUBSTITUTE(Base_report!D121,"PNSME",""),IF(ISNUMBER(FIND("PHG",Base_report!D121,1)),SUBSTITUTE(Base_report!D121,"PHG",""),IF(ISNUMBER(FIND("PCS",Base_report!D121,1)),SUBSTITUTE(Base_report!D121,"PCS",""),IF(ISNUMBER(FIND("CMU",Base_report!D121,1)),SUBSTITUTE(Base_report!D121,"CMU",""),Base_report!D121)))))</f>
        <v>DISTRICT SANITAIRE TANDA</v>
      </c>
      <c r="E121" s="14" t="str">
        <f>SUBSTITUTE(Base_report!E121,"-","/")</f>
        <v>PNLS/TESTS RAPIDES ET CONSOMMABLES</v>
      </c>
      <c r="F121" s="14" t="s">
        <v>788</v>
      </c>
      <c r="G121" s="16">
        <f>DATE(YEAR(SUBSTITUTE(LEFT(Base_report!F121,10),"-","/")),MONTH(SUBSTITUTE(LEFT(Base_report!F121,10),"-","/")),DAY(SUBSTITUTE(LEFT(Base_report!F121,10),"-","/")))</f>
        <v>45300</v>
      </c>
      <c r="H121" s="16">
        <f>DATE(YEAR(SUBSTITUTE(LEFT(Base_report!G121,10),"-","/")),MONTH(SUBSTITUTE(LEFT(Base_report!G121,10),"-","/")),DAY(SUBSTITUTE(LEFT(Base_report!G121,10),"-","/")))</f>
        <v>45301</v>
      </c>
      <c r="I121" s="17" t="str">
        <f t="shared" si="1"/>
        <v>OUI</v>
      </c>
      <c r="J121" s="18">
        <f>IF(L121="DS",DATE(RIGHT(B121,4),VLOOKUP(LEFT(B121,LEN(B121)-5),Feuil1!$E$3:$F$19,2,FALSE)+1,10),DATE(RIGHT(B121,4),VLOOKUP(LEFT(B121,LEN(B121)-5),Feuil1!$E$3:$F$19,2,FALSE)+1,7))</f>
        <v>45301</v>
      </c>
      <c r="K121" s="19">
        <f t="shared" si="2"/>
        <v>1</v>
      </c>
      <c r="L121" s="6" t="str">
        <f t="shared" si="3"/>
        <v>DS</v>
      </c>
    </row>
    <row r="122" ht="14.25" customHeight="1">
      <c r="A122" s="14" t="str">
        <f>Base_report!A122</f>
        <v>GUEMON</v>
      </c>
      <c r="B122" s="14" t="str">
        <f>Base_report!B122</f>
        <v>DECEMBRE 2023</v>
      </c>
      <c r="C122" s="15" t="str">
        <f>Base_report!C122</f>
        <v>C5035</v>
      </c>
      <c r="D122" s="14" t="str">
        <f>TRIM(IF(ISNUMBER(FIND("PNSME",Base_report!D122,1)),SUBSTITUTE(Base_report!D122,"PNSME",""),IF(ISNUMBER(FIND("PHG",Base_report!D122,1)),SUBSTITUTE(Base_report!D122,"PHG",""),IF(ISNUMBER(FIND("PCS",Base_report!D122,1)),SUBSTITUTE(Base_report!D122,"PCS",""),IF(ISNUMBER(FIND("CMU",Base_report!D122,1)),SUBSTITUTE(Base_report!D122,"CMU",""),Base_report!D122)))))</f>
        <v>DISTRICT SANITAIRE KOUIBLY</v>
      </c>
      <c r="E122" s="14" t="str">
        <f>SUBSTITUTE(Base_report!E122,"-","/")</f>
        <v>PNLP/MEDICAMENTS ET INTRANTS</v>
      </c>
      <c r="F122" s="14" t="s">
        <v>788</v>
      </c>
      <c r="G122" s="16">
        <f>DATE(YEAR(SUBSTITUTE(LEFT(Base_report!F122,10),"-","/")),MONTH(SUBSTITUTE(LEFT(Base_report!F122,10),"-","/")),DAY(SUBSTITUTE(LEFT(Base_report!F122,10),"-","/")))</f>
        <v>45300</v>
      </c>
      <c r="H122" s="16">
        <f>DATE(YEAR(SUBSTITUTE(LEFT(Base_report!G122,10),"-","/")),MONTH(SUBSTITUTE(LEFT(Base_report!G122,10),"-","/")),DAY(SUBSTITUTE(LEFT(Base_report!G122,10),"-","/")))</f>
        <v>45301</v>
      </c>
      <c r="I122" s="17" t="str">
        <f t="shared" si="1"/>
        <v>OUI</v>
      </c>
      <c r="J122" s="18">
        <f>IF(L122="DS",DATE(RIGHT(B122,4),VLOOKUP(LEFT(B122,LEN(B122)-5),Feuil1!$E$3:$F$19,2,FALSE)+1,10),DATE(RIGHT(B122,4),VLOOKUP(LEFT(B122,LEN(B122)-5),Feuil1!$E$3:$F$19,2,FALSE)+1,7))</f>
        <v>45301</v>
      </c>
      <c r="K122" s="19">
        <f t="shared" si="2"/>
        <v>1</v>
      </c>
      <c r="L122" s="6" t="str">
        <f t="shared" si="3"/>
        <v>DS</v>
      </c>
    </row>
    <row r="123" ht="14.25" customHeight="1">
      <c r="A123" s="14" t="str">
        <f>Base_report!A123</f>
        <v>MARAHOUE</v>
      </c>
      <c r="B123" s="14" t="str">
        <f>Base_report!B123</f>
        <v>DECEMBRE 2023</v>
      </c>
      <c r="C123" s="15" t="str">
        <f>Base_report!C123</f>
        <v>C2046</v>
      </c>
      <c r="D123" s="14" t="str">
        <f>TRIM(IF(ISNUMBER(FIND("PNSME",Base_report!D123,1)),SUBSTITUTE(Base_report!D123,"PNSME",""),IF(ISNUMBER(FIND("PHG",Base_report!D123,1)),SUBSTITUTE(Base_report!D123,"PHG",""),IF(ISNUMBER(FIND("PCS",Base_report!D123,1)),SUBSTITUTE(Base_report!D123,"PCS",""),IF(ISNUMBER(FIND("CMU",Base_report!D123,1)),SUBSTITUTE(Base_report!D123,"CMU",""),Base_report!D123)))))</f>
        <v>DISTRICT SANITAIRE ZUENOULA</v>
      </c>
      <c r="E123" s="14" t="str">
        <f>SUBSTITUTE(Base_report!E123,"-","/")</f>
        <v>PNN/MEDICAMENTS ET INTRANTS</v>
      </c>
      <c r="F123" s="14" t="s">
        <v>788</v>
      </c>
      <c r="G123" s="16">
        <f>DATE(YEAR(SUBSTITUTE(LEFT(Base_report!F123,10),"-","/")),MONTH(SUBSTITUTE(LEFT(Base_report!F123,10),"-","/")),DAY(SUBSTITUTE(LEFT(Base_report!F123,10),"-","/")))</f>
        <v>45301</v>
      </c>
      <c r="H123" s="16">
        <f>DATE(YEAR(SUBSTITUTE(LEFT(Base_report!G123,10),"-","/")),MONTH(SUBSTITUTE(LEFT(Base_report!G123,10),"-","/")),DAY(SUBSTITUTE(LEFT(Base_report!G123,10),"-","/")))</f>
        <v>45301</v>
      </c>
      <c r="I123" s="17" t="str">
        <f t="shared" si="1"/>
        <v>OUI</v>
      </c>
      <c r="J123" s="18">
        <f>IF(L123="DS",DATE(RIGHT(B123,4),VLOOKUP(LEFT(B123,LEN(B123)-5),Feuil1!$E$3:$F$19,2,FALSE)+1,10),DATE(RIGHT(B123,4),VLOOKUP(LEFT(B123,LEN(B123)-5),Feuil1!$E$3:$F$19,2,FALSE)+1,7))</f>
        <v>45301</v>
      </c>
      <c r="K123" s="19">
        <f t="shared" si="2"/>
        <v>1</v>
      </c>
      <c r="L123" s="6" t="str">
        <f t="shared" si="3"/>
        <v>DS</v>
      </c>
    </row>
    <row r="124" ht="14.25" customHeight="1">
      <c r="A124" s="14" t="str">
        <f>Base_report!A124</f>
        <v>AGNEBY-TIASSA</v>
      </c>
      <c r="B124" s="14" t="str">
        <f>Base_report!B124</f>
        <v>DECEMBRE 2023</v>
      </c>
      <c r="C124" s="15" t="str">
        <f>Base_report!C124</f>
        <v>C1045</v>
      </c>
      <c r="D124" s="14" t="str">
        <f>TRIM(IF(ISNUMBER(FIND("PNSME",Base_report!D124,1)),SUBSTITUTE(Base_report!D124,"PNSME",""),IF(ISNUMBER(FIND("PHG",Base_report!D124,1)),SUBSTITUTE(Base_report!D124,"PHG",""),IF(ISNUMBER(FIND("PCS",Base_report!D124,1)),SUBSTITUTE(Base_report!D124,"PCS",""),IF(ISNUMBER(FIND("CMU",Base_report!D124,1)),SUBSTITUTE(Base_report!D124,"CMU",""),Base_report!D124)))))</f>
        <v>DISTRICT SANITAIRE AGBOVILLE</v>
      </c>
      <c r="E124" s="14" t="str">
        <f>SUBSTITUTE(Base_report!E124,"-","/")</f>
        <v>PNLP/MEDICAMENTS ET INTRANTS</v>
      </c>
      <c r="F124" s="14" t="s">
        <v>788</v>
      </c>
      <c r="G124" s="16">
        <f>DATE(YEAR(SUBSTITUTE(LEFT(Base_report!F124,10),"-","/")),MONTH(SUBSTITUTE(LEFT(Base_report!F124,10),"-","/")),DAY(SUBSTITUTE(LEFT(Base_report!F124,10),"-","/")))</f>
        <v>45301</v>
      </c>
      <c r="H124" s="16">
        <f>DATE(YEAR(SUBSTITUTE(LEFT(Base_report!G124,10),"-","/")),MONTH(SUBSTITUTE(LEFT(Base_report!G124,10),"-","/")),DAY(SUBSTITUTE(LEFT(Base_report!G124,10),"-","/")))</f>
        <v>45301</v>
      </c>
      <c r="I124" s="17" t="str">
        <f t="shared" si="1"/>
        <v>OUI</v>
      </c>
      <c r="J124" s="18">
        <f>IF(L124="DS",DATE(RIGHT(B124,4),VLOOKUP(LEFT(B124,LEN(B124)-5),Feuil1!$E$3:$F$19,2,FALSE)+1,10),DATE(RIGHT(B124,4),VLOOKUP(LEFT(B124,LEN(B124)-5),Feuil1!$E$3:$F$19,2,FALSE)+1,7))</f>
        <v>45301</v>
      </c>
      <c r="K124" s="19">
        <f t="shared" si="2"/>
        <v>1</v>
      </c>
      <c r="L124" s="6" t="str">
        <f t="shared" si="3"/>
        <v>DS</v>
      </c>
    </row>
    <row r="125" ht="14.25" customHeight="1">
      <c r="A125" s="14" t="str">
        <f>Base_report!A125</f>
        <v>GONTOUGO</v>
      </c>
      <c r="B125" s="14" t="str">
        <f>Base_report!B125</f>
        <v>DECEMBRE 2023</v>
      </c>
      <c r="C125" s="15" t="str">
        <f>Base_report!C125</f>
        <v>C4013</v>
      </c>
      <c r="D125" s="14" t="str">
        <f>TRIM(IF(ISNUMBER(FIND("PNSME",Base_report!D125,1)),SUBSTITUTE(Base_report!D125,"PNSME",""),IF(ISNUMBER(FIND("PHG",Base_report!D125,1)),SUBSTITUTE(Base_report!D125,"PHG",""),IF(ISNUMBER(FIND("PCS",Base_report!D125,1)),SUBSTITUTE(Base_report!D125,"PCS",""),IF(ISNUMBER(FIND("CMU",Base_report!D125,1)),SUBSTITUTE(Base_report!D125,"CMU",""),Base_report!D125)))))</f>
        <v>DISTRICT SANITAIRE TANDA</v>
      </c>
      <c r="E125" s="14" t="str">
        <f>SUBSTITUTE(Base_report!E125,"-","/")</f>
        <v>PNSME/MEDICAMENTS ET INTRANTS</v>
      </c>
      <c r="F125" s="14" t="s">
        <v>788</v>
      </c>
      <c r="G125" s="16">
        <f>DATE(YEAR(SUBSTITUTE(LEFT(Base_report!F125,10),"-","/")),MONTH(SUBSTITUTE(LEFT(Base_report!F125,10),"-","/")),DAY(SUBSTITUTE(LEFT(Base_report!F125,10),"-","/")))</f>
        <v>45300</v>
      </c>
      <c r="H125" s="16">
        <f>DATE(YEAR(SUBSTITUTE(LEFT(Base_report!G125,10),"-","/")),MONTH(SUBSTITUTE(LEFT(Base_report!G125,10),"-","/")),DAY(SUBSTITUTE(LEFT(Base_report!G125,10),"-","/")))</f>
        <v>45301</v>
      </c>
      <c r="I125" s="17" t="str">
        <f t="shared" si="1"/>
        <v>OUI</v>
      </c>
      <c r="J125" s="18">
        <f>IF(L125="DS",DATE(RIGHT(B125,4),VLOOKUP(LEFT(B125,LEN(B125)-5),Feuil1!$E$3:$F$19,2,FALSE)+1,10),DATE(RIGHT(B125,4),VLOOKUP(LEFT(B125,LEN(B125)-5),Feuil1!$E$3:$F$19,2,FALSE)+1,7))</f>
        <v>45301</v>
      </c>
      <c r="K125" s="19">
        <f t="shared" si="2"/>
        <v>1</v>
      </c>
      <c r="L125" s="6" t="str">
        <f t="shared" si="3"/>
        <v>DS</v>
      </c>
    </row>
    <row r="126" ht="14.25" customHeight="1">
      <c r="A126" s="14" t="str">
        <f>Base_report!A126</f>
        <v>CAVALLY</v>
      </c>
      <c r="B126" s="14" t="str">
        <f>Base_report!B126</f>
        <v>DECEMBRE 2023</v>
      </c>
      <c r="C126" s="15" t="str">
        <f>Base_report!C126</f>
        <v>C5014</v>
      </c>
      <c r="D126" s="14" t="str">
        <f>TRIM(IF(ISNUMBER(FIND("PNSME",Base_report!D126,1)),SUBSTITUTE(Base_report!D126,"PNSME",""),IF(ISNUMBER(FIND("PHG",Base_report!D126,1)),SUBSTITUTE(Base_report!D126,"PHG",""),IF(ISNUMBER(FIND("PCS",Base_report!D126,1)),SUBSTITUTE(Base_report!D126,"PCS",""),IF(ISNUMBER(FIND("CMU",Base_report!D126,1)),SUBSTITUTE(Base_report!D126,"CMU",""),Base_report!D126)))))</f>
        <v>DISTRICT SANITAIRE TOULEPLEU</v>
      </c>
      <c r="E126" s="14" t="str">
        <f>SUBSTITUTE(Base_report!E126,"-","/")</f>
        <v>PNLS/TESTS RAPIDES ET CONSOMMABLES</v>
      </c>
      <c r="F126" s="14" t="s">
        <v>788</v>
      </c>
      <c r="G126" s="16">
        <f>DATE(YEAR(SUBSTITUTE(LEFT(Base_report!F126,10),"-","/")),MONTH(SUBSTITUTE(LEFT(Base_report!F126,10),"-","/")),DAY(SUBSTITUTE(LEFT(Base_report!F126,10),"-","/")))</f>
        <v>45300</v>
      </c>
      <c r="H126" s="16">
        <f>DATE(YEAR(SUBSTITUTE(LEFT(Base_report!G126,10),"-","/")),MONTH(SUBSTITUTE(LEFT(Base_report!G126,10),"-","/")),DAY(SUBSTITUTE(LEFT(Base_report!G126,10),"-","/")))</f>
        <v>45300</v>
      </c>
      <c r="I126" s="17" t="str">
        <f t="shared" si="1"/>
        <v>OUI</v>
      </c>
      <c r="J126" s="18">
        <f>IF(L126="DS",DATE(RIGHT(B126,4),VLOOKUP(LEFT(B126,LEN(B126)-5),Feuil1!$E$3:$F$19,2,FALSE)+1,10),DATE(RIGHT(B126,4),VLOOKUP(LEFT(B126,LEN(B126)-5),Feuil1!$E$3:$F$19,2,FALSE)+1,7))</f>
        <v>45301</v>
      </c>
      <c r="K126" s="19">
        <f t="shared" si="2"/>
        <v>1</v>
      </c>
      <c r="L126" s="6" t="str">
        <f t="shared" si="3"/>
        <v>DS</v>
      </c>
    </row>
    <row r="127" ht="14.25" customHeight="1">
      <c r="A127" s="14" t="str">
        <f>Base_report!#REF!</f>
        <v>#ERROR!</v>
      </c>
      <c r="B127" s="14" t="str">
        <f>Base_report!#REF!</f>
        <v>#ERROR!</v>
      </c>
      <c r="C127" s="15" t="str">
        <f>Base_report!#REF!</f>
        <v>#ERROR!</v>
      </c>
      <c r="D127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27" s="14" t="str">
        <f>SUBSTITUTE(Base_report!#REF!,"-","/")</f>
        <v>#ERROR!</v>
      </c>
      <c r="F127" s="14" t="s">
        <v>788</v>
      </c>
      <c r="G127" s="16" t="str">
        <f>DATE(YEAR(SUBSTITUTE(LEFT(Base_report!#REF!,10),"-","/")),MONTH(SUBSTITUTE(LEFT(Base_report!#REF!,10),"-","/")),DAY(SUBSTITUTE(LEFT(Base_report!#REF!,10),"-","/")))</f>
        <v>#ERROR!</v>
      </c>
      <c r="H127" s="16" t="str">
        <f>DATE(YEAR(SUBSTITUTE(LEFT(Base_report!#REF!,10),"-","/")),MONTH(SUBSTITUTE(LEFT(Base_report!#REF!,10),"-","/")),DAY(SUBSTITUTE(LEFT(Base_report!#REF!,10),"-","/")))</f>
        <v>#ERROR!</v>
      </c>
      <c r="I127" s="17" t="str">
        <f t="shared" si="1"/>
        <v>OUI</v>
      </c>
      <c r="J127" s="18" t="str">
        <f>IF(L127="DS",DATE(RIGHT(B127,4),VLOOKUP(LEFT(B127,LEN(B127)-5),Feuil1!$E$3:$F$19,2,FALSE)+1,10),DATE(RIGHT(B127,4),VLOOKUP(LEFT(B127,LEN(B127)-5),Feuil1!$E$3:$F$19,2,FALSE)+1,7))</f>
        <v>#ERROR!</v>
      </c>
      <c r="K127" s="19" t="str">
        <f t="shared" si="2"/>
        <v>#ERROR!</v>
      </c>
      <c r="L127" s="6" t="str">
        <f t="shared" si="3"/>
        <v>FS</v>
      </c>
    </row>
    <row r="128" ht="14.25" customHeight="1">
      <c r="A128" s="14" t="str">
        <f>Base_report!A127</f>
        <v>BERE</v>
      </c>
      <c r="B128" s="14" t="str">
        <f>Base_report!B127</f>
        <v>DECEMBRE 2023</v>
      </c>
      <c r="C128" s="15" t="str">
        <f>Base_report!C127</f>
        <v>C3007</v>
      </c>
      <c r="D128" s="14" t="str">
        <f>TRIM(IF(ISNUMBER(FIND("PNSME",Base_report!D127,1)),SUBSTITUTE(Base_report!D127,"PNSME",""),IF(ISNUMBER(FIND("PHG",Base_report!D127,1)),SUBSTITUTE(Base_report!D127,"PHG",""),IF(ISNUMBER(FIND("PCS",Base_report!D127,1)),SUBSTITUTE(Base_report!D127,"PCS",""),IF(ISNUMBER(FIND("CMU",Base_report!D127,1)),SUBSTITUTE(Base_report!D127,"CMU",""),Base_report!D127)))))</f>
        <v>DISTRICT SANITAIRE MANKONO</v>
      </c>
      <c r="E128" s="14" t="str">
        <f>SUBSTITUTE(Base_report!E127,"-","/")</f>
        <v>PNSME/MEDICAMENTS ET INTRANTS</v>
      </c>
      <c r="F128" s="14" t="s">
        <v>788</v>
      </c>
      <c r="G128" s="16">
        <f>DATE(YEAR(SUBSTITUTE(LEFT(Base_report!F127,10),"-","/")),MONTH(SUBSTITUTE(LEFT(Base_report!F127,10),"-","/")),DAY(SUBSTITUTE(LEFT(Base_report!F127,10),"-","/")))</f>
        <v>45300</v>
      </c>
      <c r="H128" s="16">
        <f>DATE(YEAR(SUBSTITUTE(LEFT(Base_report!G127,10),"-","/")),MONTH(SUBSTITUTE(LEFT(Base_report!G127,10),"-","/")),DAY(SUBSTITUTE(LEFT(Base_report!G127,10),"-","/")))</f>
        <v>45300</v>
      </c>
      <c r="I128" s="17" t="str">
        <f t="shared" si="1"/>
        <v>OUI</v>
      </c>
      <c r="J128" s="18">
        <f>IF(L128="DS",DATE(RIGHT(B128,4),VLOOKUP(LEFT(B128,LEN(B128)-5),Feuil1!$E$3:$F$19,2,FALSE)+1,10),DATE(RIGHT(B128,4),VLOOKUP(LEFT(B128,LEN(B128)-5),Feuil1!$E$3:$F$19,2,FALSE)+1,7))</f>
        <v>45301</v>
      </c>
      <c r="K128" s="19">
        <f t="shared" si="2"/>
        <v>1</v>
      </c>
      <c r="L128" s="6" t="str">
        <f t="shared" si="3"/>
        <v>DS</v>
      </c>
    </row>
    <row r="129" ht="14.25" customHeight="1">
      <c r="A129" s="14" t="str">
        <f>Base_report!A128</f>
        <v>SAN PEDRO</v>
      </c>
      <c r="B129" s="14" t="str">
        <f>Base_report!B128</f>
        <v>DECEMBRE 2023</v>
      </c>
      <c r="C129" s="15" t="str">
        <f>Base_report!C128</f>
        <v>C2040</v>
      </c>
      <c r="D129" s="14" t="str">
        <f>TRIM(IF(ISNUMBER(FIND("PNSME",Base_report!D128,1)),SUBSTITUTE(Base_report!D128,"PNSME",""),IF(ISNUMBER(FIND("PHG",Base_report!D128,1)),SUBSTITUTE(Base_report!D128,"PHG",""),IF(ISNUMBER(FIND("PCS",Base_report!D128,1)),SUBSTITUTE(Base_report!D128,"PCS",""),IF(ISNUMBER(FIND("CMU",Base_report!D128,1)),SUBSTITUTE(Base_report!D128,"CMU",""),Base_report!D128)))))</f>
        <v>DISTRICT SANITAIRE TABOU</v>
      </c>
      <c r="E129" s="14" t="str">
        <f>SUBSTITUTE(Base_report!E128,"-","/")</f>
        <v>PNLS/ANTIRETROVIRAUX ET IO</v>
      </c>
      <c r="F129" s="14" t="s">
        <v>788</v>
      </c>
      <c r="G129" s="16">
        <f>DATE(YEAR(SUBSTITUTE(LEFT(Base_report!F128,10),"-","/")),MONTH(SUBSTITUTE(LEFT(Base_report!F128,10),"-","/")),DAY(SUBSTITUTE(LEFT(Base_report!F128,10),"-","/")))</f>
        <v>45300</v>
      </c>
      <c r="H129" s="16">
        <f>DATE(YEAR(SUBSTITUTE(LEFT(Base_report!G128,10),"-","/")),MONTH(SUBSTITUTE(LEFT(Base_report!G128,10),"-","/")),DAY(SUBSTITUTE(LEFT(Base_report!G128,10),"-","/")))</f>
        <v>45301</v>
      </c>
      <c r="I129" s="17" t="str">
        <f t="shared" si="1"/>
        <v>OUI</v>
      </c>
      <c r="J129" s="18">
        <f>IF(L129="DS",DATE(RIGHT(B129,4),VLOOKUP(LEFT(B129,LEN(B129)-5),Feuil1!$E$3:$F$19,2,FALSE)+1,10),DATE(RIGHT(B129,4),VLOOKUP(LEFT(B129,LEN(B129)-5),Feuil1!$E$3:$F$19,2,FALSE)+1,7))</f>
        <v>45301</v>
      </c>
      <c r="K129" s="19">
        <f t="shared" si="2"/>
        <v>1</v>
      </c>
      <c r="L129" s="6" t="str">
        <f t="shared" si="3"/>
        <v>DS</v>
      </c>
    </row>
    <row r="130" ht="14.25" customHeight="1">
      <c r="A130" s="14" t="str">
        <f>Base_report!A129</f>
        <v>AGNEBY-TIASSA</v>
      </c>
      <c r="B130" s="14" t="str">
        <f>Base_report!B129</f>
        <v>DECEMBRE 2023</v>
      </c>
      <c r="C130" s="15" t="str">
        <f>Base_report!C129</f>
        <v>C1045</v>
      </c>
      <c r="D130" s="14" t="str">
        <f>TRIM(IF(ISNUMBER(FIND("PNSME",Base_report!D129,1)),SUBSTITUTE(Base_report!D129,"PNSME",""),IF(ISNUMBER(FIND("PHG",Base_report!D129,1)),SUBSTITUTE(Base_report!D129,"PHG",""),IF(ISNUMBER(FIND("PCS",Base_report!D129,1)),SUBSTITUTE(Base_report!D129,"PCS",""),IF(ISNUMBER(FIND("CMU",Base_report!D129,1)),SUBSTITUTE(Base_report!D129,"CMU",""),Base_report!D129)))))</f>
        <v>DISTRICT SANITAIRE AGBOVILLE</v>
      </c>
      <c r="E130" s="14" t="str">
        <f>SUBSTITUTE(Base_report!E129,"-","/")</f>
        <v>PNLS/PRODUITS DE LABORATOIRE</v>
      </c>
      <c r="F130" s="14" t="s">
        <v>788</v>
      </c>
      <c r="G130" s="16">
        <f>DATE(YEAR(SUBSTITUTE(LEFT(Base_report!F129,10),"-","/")),MONTH(SUBSTITUTE(LEFT(Base_report!F129,10),"-","/")),DAY(SUBSTITUTE(LEFT(Base_report!F129,10),"-","/")))</f>
        <v>45300</v>
      </c>
      <c r="H130" s="16">
        <f>DATE(YEAR(SUBSTITUTE(LEFT(Base_report!G129,10),"-","/")),MONTH(SUBSTITUTE(LEFT(Base_report!G129,10),"-","/")),DAY(SUBSTITUTE(LEFT(Base_report!G129,10),"-","/")))</f>
        <v>45301</v>
      </c>
      <c r="I130" s="17" t="str">
        <f t="shared" si="1"/>
        <v>OUI</v>
      </c>
      <c r="J130" s="18">
        <f>IF(L130="DS",DATE(RIGHT(B130,4),VLOOKUP(LEFT(B130,LEN(B130)-5),Feuil1!$E$3:$F$19,2,FALSE)+1,10),DATE(RIGHT(B130,4),VLOOKUP(LEFT(B130,LEN(B130)-5),Feuil1!$E$3:$F$19,2,FALSE)+1,7))</f>
        <v>45301</v>
      </c>
      <c r="K130" s="19">
        <f t="shared" si="2"/>
        <v>1</v>
      </c>
      <c r="L130" s="6" t="str">
        <f t="shared" si="3"/>
        <v>DS</v>
      </c>
    </row>
    <row r="131" ht="14.25" customHeight="1">
      <c r="A131" s="14" t="str">
        <f>Base_report!A130</f>
        <v>ABIDJAN 1</v>
      </c>
      <c r="B131" s="14" t="str">
        <f>Base_report!B130</f>
        <v>DECEMBRE 2023</v>
      </c>
      <c r="C131" s="15" t="str">
        <f>Base_report!C130</f>
        <v>C1415</v>
      </c>
      <c r="D131" s="14" t="str">
        <f>TRIM(IF(ISNUMBER(FIND("PNSME",Base_report!D130,1)),SUBSTITUTE(Base_report!D130,"PNSME",""),IF(ISNUMBER(FIND("PHG",Base_report!D130,1)),SUBSTITUTE(Base_report!D130,"PHG",""),IF(ISNUMBER(FIND("PCS",Base_report!D130,1)),SUBSTITUTE(Base_report!D130,"PCS",""),IF(ISNUMBER(FIND("CMU",Base_report!D130,1)),SUBSTITUTE(Base_report!D130,"CMU",""),Base_report!D130)))))</f>
        <v>DISTRICT SANITAIRE YOPOUGON EST</v>
      </c>
      <c r="E131" s="14" t="str">
        <f>SUBSTITUTE(Base_report!E130,"-","/")</f>
        <v>PNN/MEDICAMENTS ET INTRANTS</v>
      </c>
      <c r="F131" s="14" t="s">
        <v>788</v>
      </c>
      <c r="G131" s="16">
        <f>DATE(YEAR(SUBSTITUTE(LEFT(Base_report!F130,10),"-","/")),MONTH(SUBSTITUTE(LEFT(Base_report!F130,10),"-","/")),DAY(SUBSTITUTE(LEFT(Base_report!F130,10),"-","/")))</f>
        <v>45301</v>
      </c>
      <c r="H131" s="16">
        <f>DATE(YEAR(SUBSTITUTE(LEFT(Base_report!G130,10),"-","/")),MONTH(SUBSTITUTE(LEFT(Base_report!G130,10),"-","/")),DAY(SUBSTITUTE(LEFT(Base_report!G130,10),"-","/")))</f>
        <v>45301</v>
      </c>
      <c r="I131" s="17" t="str">
        <f t="shared" si="1"/>
        <v>OUI</v>
      </c>
      <c r="J131" s="18">
        <f>IF(L131="DS",DATE(RIGHT(B131,4),VLOOKUP(LEFT(B131,LEN(B131)-5),Feuil1!$E$3:$F$19,2,FALSE)+1,10),DATE(RIGHT(B131,4),VLOOKUP(LEFT(B131,LEN(B131)-5),Feuil1!$E$3:$F$19,2,FALSE)+1,7))</f>
        <v>45301</v>
      </c>
      <c r="K131" s="19">
        <f t="shared" si="2"/>
        <v>1</v>
      </c>
      <c r="L131" s="6" t="str">
        <f t="shared" si="3"/>
        <v>DS</v>
      </c>
    </row>
    <row r="132" ht="14.25" customHeight="1">
      <c r="A132" s="14" t="str">
        <f>Base_report!A131</f>
        <v>MORONOU</v>
      </c>
      <c r="B132" s="14" t="str">
        <f>Base_report!B131</f>
        <v>DECEMBRE 2023</v>
      </c>
      <c r="C132" s="15" t="str">
        <f>Base_report!C131</f>
        <v>C4071</v>
      </c>
      <c r="D132" s="14" t="str">
        <f>TRIM(IF(ISNUMBER(FIND("PNSME",Base_report!D131,1)),SUBSTITUTE(Base_report!D131,"PNSME",""),IF(ISNUMBER(FIND("PHG",Base_report!D131,1)),SUBSTITUTE(Base_report!D131,"PHG",""),IF(ISNUMBER(FIND("PCS",Base_report!D131,1)),SUBSTITUTE(Base_report!D131,"PCS",""),IF(ISNUMBER(FIND("CMU",Base_report!D131,1)),SUBSTITUTE(Base_report!D131,"CMU",""),Base_report!D131)))))</f>
        <v>DISTRICT SANITAIRE MBATTO</v>
      </c>
      <c r="E132" s="14" t="str">
        <f>SUBSTITUTE(Base_report!E131,"-","/")</f>
        <v>PNLS/ANTIRETROVIRAUX ET IO</v>
      </c>
      <c r="F132" s="14" t="s">
        <v>788</v>
      </c>
      <c r="G132" s="16">
        <f>DATE(YEAR(SUBSTITUTE(LEFT(Base_report!F131,10),"-","/")),MONTH(SUBSTITUTE(LEFT(Base_report!F131,10),"-","/")),DAY(SUBSTITUTE(LEFT(Base_report!F131,10),"-","/")))</f>
        <v>45300</v>
      </c>
      <c r="H132" s="16">
        <f>DATE(YEAR(SUBSTITUTE(LEFT(Base_report!G131,10),"-","/")),MONTH(SUBSTITUTE(LEFT(Base_report!G131,10),"-","/")),DAY(SUBSTITUTE(LEFT(Base_report!G131,10),"-","/")))</f>
        <v>45301</v>
      </c>
      <c r="I132" s="17" t="str">
        <f t="shared" si="1"/>
        <v>OUI</v>
      </c>
      <c r="J132" s="18">
        <f>IF(L132="DS",DATE(RIGHT(B132,4),VLOOKUP(LEFT(B132,LEN(B132)-5),Feuil1!$E$3:$F$19,2,FALSE)+1,10),DATE(RIGHT(B132,4),VLOOKUP(LEFT(B132,LEN(B132)-5),Feuil1!$E$3:$F$19,2,FALSE)+1,7))</f>
        <v>45301</v>
      </c>
      <c r="K132" s="19">
        <f t="shared" si="2"/>
        <v>1</v>
      </c>
      <c r="L132" s="6" t="str">
        <f t="shared" si="3"/>
        <v>DS</v>
      </c>
    </row>
    <row r="133" ht="14.25" customHeight="1">
      <c r="A133" s="14" t="str">
        <f>Base_report!A132</f>
        <v>SAN PEDRO</v>
      </c>
      <c r="B133" s="14" t="str">
        <f>Base_report!B132</f>
        <v>DECEMBRE 2023</v>
      </c>
      <c r="C133" s="15" t="str">
        <f>Base_report!C132</f>
        <v>C2040</v>
      </c>
      <c r="D133" s="14" t="str">
        <f>TRIM(IF(ISNUMBER(FIND("PNSME",Base_report!D132,1)),SUBSTITUTE(Base_report!D132,"PNSME",""),IF(ISNUMBER(FIND("PHG",Base_report!D132,1)),SUBSTITUTE(Base_report!D132,"PHG",""),IF(ISNUMBER(FIND("PCS",Base_report!D132,1)),SUBSTITUTE(Base_report!D132,"PCS",""),IF(ISNUMBER(FIND("CMU",Base_report!D132,1)),SUBSTITUTE(Base_report!D132,"CMU",""),Base_report!D132)))))</f>
        <v>DISTRICT SANITAIRE TABOU</v>
      </c>
      <c r="E133" s="14" t="str">
        <f>SUBSTITUTE(Base_report!E132,"-","/")</f>
        <v>PNLS/TESTS RAPIDES ET CONSOMMABLES</v>
      </c>
      <c r="F133" s="14" t="s">
        <v>788</v>
      </c>
      <c r="G133" s="16">
        <f>DATE(YEAR(SUBSTITUTE(LEFT(Base_report!F132,10),"-","/")),MONTH(SUBSTITUTE(LEFT(Base_report!F132,10),"-","/")),DAY(SUBSTITUTE(LEFT(Base_report!F132,10),"-","/")))</f>
        <v>45300</v>
      </c>
      <c r="H133" s="16">
        <f>DATE(YEAR(SUBSTITUTE(LEFT(Base_report!G132,10),"-","/")),MONTH(SUBSTITUTE(LEFT(Base_report!G132,10),"-","/")),DAY(SUBSTITUTE(LEFT(Base_report!G132,10),"-","/")))</f>
        <v>45301</v>
      </c>
      <c r="I133" s="17" t="str">
        <f t="shared" si="1"/>
        <v>OUI</v>
      </c>
      <c r="J133" s="18">
        <f>IF(L133="DS",DATE(RIGHT(B133,4),VLOOKUP(LEFT(B133,LEN(B133)-5),Feuil1!$E$3:$F$19,2,FALSE)+1,10),DATE(RIGHT(B133,4),VLOOKUP(LEFT(B133,LEN(B133)-5),Feuil1!$E$3:$F$19,2,FALSE)+1,7))</f>
        <v>45301</v>
      </c>
      <c r="K133" s="19">
        <f t="shared" si="2"/>
        <v>1</v>
      </c>
      <c r="L133" s="6" t="str">
        <f t="shared" si="3"/>
        <v>DS</v>
      </c>
    </row>
    <row r="134" ht="14.25" customHeight="1">
      <c r="A134" s="14" t="str">
        <f>Base_report!A133</f>
        <v>IFFOU</v>
      </c>
      <c r="B134" s="14" t="str">
        <f>Base_report!B133</f>
        <v>DECEMBRE 2023</v>
      </c>
      <c r="C134" s="15" t="str">
        <f>Base_report!C133</f>
        <v>C4011</v>
      </c>
      <c r="D134" s="14" t="str">
        <f>TRIM(IF(ISNUMBER(FIND("PNSME",Base_report!D133,1)),SUBSTITUTE(Base_report!D133,"PNSME",""),IF(ISNUMBER(FIND("PHG",Base_report!D133,1)),SUBSTITUTE(Base_report!D133,"PHG",""),IF(ISNUMBER(FIND("PCS",Base_report!D133,1)),SUBSTITUTE(Base_report!D133,"PCS",""),IF(ISNUMBER(FIND("CMU",Base_report!D133,1)),SUBSTITUTE(Base_report!D133,"CMU",""),Base_report!D133)))))</f>
        <v>DISTRICT SANITAIRE DAOUKRO</v>
      </c>
      <c r="E134" s="14" t="str">
        <f>SUBSTITUTE(Base_report!E133,"-","/")</f>
        <v>PNLS/ANTIRETROVIRAUX ET IO</v>
      </c>
      <c r="F134" s="14" t="s">
        <v>788</v>
      </c>
      <c r="G134" s="16">
        <f>DATE(YEAR(SUBSTITUTE(LEFT(Base_report!F133,10),"-","/")),MONTH(SUBSTITUTE(LEFT(Base_report!F133,10),"-","/")),DAY(SUBSTITUTE(LEFT(Base_report!F133,10),"-","/")))</f>
        <v>45301</v>
      </c>
      <c r="H134" s="16">
        <f>DATE(YEAR(SUBSTITUTE(LEFT(Base_report!G133,10),"-","/")),MONTH(SUBSTITUTE(LEFT(Base_report!G133,10),"-","/")),DAY(SUBSTITUTE(LEFT(Base_report!G133,10),"-","/")))</f>
        <v>45301</v>
      </c>
      <c r="I134" s="17" t="str">
        <f t="shared" si="1"/>
        <v>OUI</v>
      </c>
      <c r="J134" s="18">
        <f>IF(L134="DS",DATE(RIGHT(B134,4),VLOOKUP(LEFT(B134,LEN(B134)-5),Feuil1!$E$3:$F$19,2,FALSE)+1,10),DATE(RIGHT(B134,4),VLOOKUP(LEFT(B134,LEN(B134)-5),Feuil1!$E$3:$F$19,2,FALSE)+1,7))</f>
        <v>45301</v>
      </c>
      <c r="K134" s="19">
        <f t="shared" si="2"/>
        <v>1</v>
      </c>
      <c r="L134" s="6" t="str">
        <f t="shared" si="3"/>
        <v>DS</v>
      </c>
    </row>
    <row r="135" ht="14.25" customHeight="1">
      <c r="A135" s="14" t="str">
        <f>Base_report!A134</f>
        <v>BERE</v>
      </c>
      <c r="B135" s="14" t="str">
        <f>Base_report!B134</f>
        <v>DECEMBRE 2023</v>
      </c>
      <c r="C135" s="15" t="str">
        <f>Base_report!C134</f>
        <v>C5083</v>
      </c>
      <c r="D135" s="14" t="str">
        <f>TRIM(IF(ISNUMBER(FIND("PNSME",Base_report!D134,1)),SUBSTITUTE(Base_report!D134,"PNSME",""),IF(ISNUMBER(FIND("PHG",Base_report!D134,1)),SUBSTITUTE(Base_report!D134,"PHG",""),IF(ISNUMBER(FIND("PCS",Base_report!D134,1)),SUBSTITUTE(Base_report!D134,"PCS",""),IF(ISNUMBER(FIND("CMU",Base_report!D134,1)),SUBSTITUTE(Base_report!D134,"CMU",""),Base_report!D134)))))</f>
        <v>DISTRICT SANITAIRE DIANRA</v>
      </c>
      <c r="E135" s="14" t="str">
        <f>SUBSTITUTE(Base_report!E134,"-","/")</f>
        <v>PNLS/TESTS RAPIDES ET CONSOMMABLES</v>
      </c>
      <c r="F135" s="14" t="s">
        <v>788</v>
      </c>
      <c r="G135" s="16">
        <f>DATE(YEAR(SUBSTITUTE(LEFT(Base_report!F134,10),"-","/")),MONTH(SUBSTITUTE(LEFT(Base_report!F134,10),"-","/")),DAY(SUBSTITUTE(LEFT(Base_report!F134,10),"-","/")))</f>
        <v>45301</v>
      </c>
      <c r="H135" s="16">
        <f>DATE(YEAR(SUBSTITUTE(LEFT(Base_report!G134,10),"-","/")),MONTH(SUBSTITUTE(LEFT(Base_report!G134,10),"-","/")),DAY(SUBSTITUTE(LEFT(Base_report!G134,10),"-","/")))</f>
        <v>45301</v>
      </c>
      <c r="I135" s="17" t="str">
        <f t="shared" si="1"/>
        <v>OUI</v>
      </c>
      <c r="J135" s="18">
        <f>IF(L135="DS",DATE(RIGHT(B135,4),VLOOKUP(LEFT(B135,LEN(B135)-5),Feuil1!$E$3:$F$19,2,FALSE)+1,10),DATE(RIGHT(B135,4),VLOOKUP(LEFT(B135,LEN(B135)-5),Feuil1!$E$3:$F$19,2,FALSE)+1,7))</f>
        <v>45301</v>
      </c>
      <c r="K135" s="19">
        <f t="shared" si="2"/>
        <v>1</v>
      </c>
      <c r="L135" s="6" t="str">
        <f t="shared" si="3"/>
        <v>DS</v>
      </c>
    </row>
    <row r="136" ht="14.25" customHeight="1">
      <c r="A136" s="14" t="str">
        <f>Base_report!A135</f>
        <v>BERE</v>
      </c>
      <c r="B136" s="14" t="str">
        <f>Base_report!B135</f>
        <v>DECEMBRE 2023</v>
      </c>
      <c r="C136" s="15" t="str">
        <f>Base_report!C135</f>
        <v>C5083</v>
      </c>
      <c r="D136" s="14" t="str">
        <f>TRIM(IF(ISNUMBER(FIND("PNSME",Base_report!D135,1)),SUBSTITUTE(Base_report!D135,"PNSME",""),IF(ISNUMBER(FIND("PHG",Base_report!D135,1)),SUBSTITUTE(Base_report!D135,"PHG",""),IF(ISNUMBER(FIND("PCS",Base_report!D135,1)),SUBSTITUTE(Base_report!D135,"PCS",""),IF(ISNUMBER(FIND("CMU",Base_report!D135,1)),SUBSTITUTE(Base_report!D135,"CMU",""),Base_report!D135)))))</f>
        <v>DISTRICT SANITAIRE DIANRA</v>
      </c>
      <c r="E136" s="14" t="str">
        <f>SUBSTITUTE(Base_report!E135,"-","/")</f>
        <v>PNLS/ANTIRETROVIRAUX ET IO</v>
      </c>
      <c r="F136" s="14" t="s">
        <v>788</v>
      </c>
      <c r="G136" s="16">
        <f>DATE(YEAR(SUBSTITUTE(LEFT(Base_report!F135,10),"-","/")),MONTH(SUBSTITUTE(LEFT(Base_report!F135,10),"-","/")),DAY(SUBSTITUTE(LEFT(Base_report!F135,10),"-","/")))</f>
        <v>45301</v>
      </c>
      <c r="H136" s="16">
        <f>DATE(YEAR(SUBSTITUTE(LEFT(Base_report!G135,10),"-","/")),MONTH(SUBSTITUTE(LEFT(Base_report!G135,10),"-","/")),DAY(SUBSTITUTE(LEFT(Base_report!G135,10),"-","/")))</f>
        <v>45301</v>
      </c>
      <c r="I136" s="17" t="str">
        <f t="shared" si="1"/>
        <v>OUI</v>
      </c>
      <c r="J136" s="18">
        <f>IF(L136="DS",DATE(RIGHT(B136,4),VLOOKUP(LEFT(B136,LEN(B136)-5),Feuil1!$E$3:$F$19,2,FALSE)+1,10),DATE(RIGHT(B136,4),VLOOKUP(LEFT(B136,LEN(B136)-5),Feuil1!$E$3:$F$19,2,FALSE)+1,7))</f>
        <v>45301</v>
      </c>
      <c r="K136" s="19">
        <f t="shared" si="2"/>
        <v>1</v>
      </c>
      <c r="L136" s="6" t="str">
        <f t="shared" si="3"/>
        <v>DS</v>
      </c>
    </row>
    <row r="137" ht="14.25" customHeight="1">
      <c r="A137" s="14" t="str">
        <f>Base_report!A136</f>
        <v>ABIDJAN 2</v>
      </c>
      <c r="B137" s="14" t="str">
        <f>Base_report!B136</f>
        <v>DECEMBRE 2023</v>
      </c>
      <c r="C137" s="15" t="str">
        <f>Base_report!C136</f>
        <v>C1676</v>
      </c>
      <c r="D137" s="14" t="str">
        <f>TRIM(IF(ISNUMBER(FIND("PNSME",Base_report!D136,1)),SUBSTITUTE(Base_report!D136,"PNSME",""),IF(ISNUMBER(FIND("PHG",Base_report!D136,1)),SUBSTITUTE(Base_report!D136,"PHG",""),IF(ISNUMBER(FIND("PCS",Base_report!D136,1)),SUBSTITUTE(Base_report!D136,"PCS",""),IF(ISNUMBER(FIND("CMU",Base_report!D136,1)),SUBSTITUTE(Base_report!D136,"CMU",""),Base_report!D136)))))</f>
        <v>DISTRICT SANITAIRE TREICHVILLE MARCORY</v>
      </c>
      <c r="E137" s="14" t="str">
        <f>SUBSTITUTE(Base_report!E136,"-","/")</f>
        <v>PNSME/MEDICAMENTS ET INTRANTS</v>
      </c>
      <c r="F137" s="14" t="s">
        <v>788</v>
      </c>
      <c r="G137" s="16">
        <f>DATE(YEAR(SUBSTITUTE(LEFT(Base_report!F136,10),"-","/")),MONTH(SUBSTITUTE(LEFT(Base_report!F136,10),"-","/")),DAY(SUBSTITUTE(LEFT(Base_report!F136,10),"-","/")))</f>
        <v>45301</v>
      </c>
      <c r="H137" s="16">
        <f>DATE(YEAR(SUBSTITUTE(LEFT(Base_report!G136,10),"-","/")),MONTH(SUBSTITUTE(LEFT(Base_report!G136,10),"-","/")),DAY(SUBSTITUTE(LEFT(Base_report!G136,10),"-","/")))</f>
        <v>45301</v>
      </c>
      <c r="I137" s="17" t="str">
        <f t="shared" si="1"/>
        <v>OUI</v>
      </c>
      <c r="J137" s="18">
        <f>IF(L137="DS",DATE(RIGHT(B137,4),VLOOKUP(LEFT(B137,LEN(B137)-5),Feuil1!$E$3:$F$19,2,FALSE)+1,10),DATE(RIGHT(B137,4),VLOOKUP(LEFT(B137,LEN(B137)-5),Feuil1!$E$3:$F$19,2,FALSE)+1,7))</f>
        <v>45301</v>
      </c>
      <c r="K137" s="19">
        <f t="shared" si="2"/>
        <v>1</v>
      </c>
      <c r="L137" s="6" t="str">
        <f t="shared" si="3"/>
        <v>DS</v>
      </c>
    </row>
    <row r="138" ht="14.25" customHeight="1">
      <c r="A138" s="14" t="str">
        <f>Base_report!A137</f>
        <v>HAUT-SASSANDRA</v>
      </c>
      <c r="B138" s="14" t="str">
        <f>Base_report!B137</f>
        <v>DECEMBRE 2023</v>
      </c>
      <c r="C138" s="15" t="str">
        <f>Base_report!C137</f>
        <v>C2044</v>
      </c>
      <c r="D138" s="14" t="str">
        <f>TRIM(IF(ISNUMBER(FIND("PNSME",Base_report!D137,1)),SUBSTITUTE(Base_report!D137,"PNSME",""),IF(ISNUMBER(FIND("PHG",Base_report!D137,1)),SUBSTITUTE(Base_report!D137,"PHG",""),IF(ISNUMBER(FIND("PCS",Base_report!D137,1)),SUBSTITUTE(Base_report!D137,"PCS",""),IF(ISNUMBER(FIND("CMU",Base_report!D137,1)),SUBSTITUTE(Base_report!D137,"CMU",""),Base_report!D137)))))</f>
        <v>DISTRICT SANITAIRE VAVOUA</v>
      </c>
      <c r="E138" s="14" t="str">
        <f>SUBSTITUTE(Base_report!E137,"-","/")</f>
        <v>PNLS/ANTIRETROVIRAUX ET IO</v>
      </c>
      <c r="F138" s="14" t="s">
        <v>788</v>
      </c>
      <c r="G138" s="16">
        <f>DATE(YEAR(SUBSTITUTE(LEFT(Base_report!F137,10),"-","/")),MONTH(SUBSTITUTE(LEFT(Base_report!F137,10),"-","/")),DAY(SUBSTITUTE(LEFT(Base_report!F137,10),"-","/")))</f>
        <v>45301</v>
      </c>
      <c r="H138" s="16">
        <f>DATE(YEAR(SUBSTITUTE(LEFT(Base_report!G137,10),"-","/")),MONTH(SUBSTITUTE(LEFT(Base_report!G137,10),"-","/")),DAY(SUBSTITUTE(LEFT(Base_report!G137,10),"-","/")))</f>
        <v>45301</v>
      </c>
      <c r="I138" s="17" t="str">
        <f t="shared" si="1"/>
        <v>OUI</v>
      </c>
      <c r="J138" s="18">
        <f>IF(L138="DS",DATE(RIGHT(B138,4),VLOOKUP(LEFT(B138,LEN(B138)-5),Feuil1!$E$3:$F$19,2,FALSE)+1,10),DATE(RIGHT(B138,4),VLOOKUP(LEFT(B138,LEN(B138)-5),Feuil1!$E$3:$F$19,2,FALSE)+1,7))</f>
        <v>45301</v>
      </c>
      <c r="K138" s="19">
        <f t="shared" si="2"/>
        <v>1</v>
      </c>
      <c r="L138" s="6" t="str">
        <f t="shared" si="3"/>
        <v>DS</v>
      </c>
    </row>
    <row r="139" ht="14.25" customHeight="1">
      <c r="A139" s="14" t="str">
        <f>Base_report!A138</f>
        <v>ABIDJAN 2</v>
      </c>
      <c r="B139" s="14" t="str">
        <f>Base_report!B138</f>
        <v>DECEMBRE 2023</v>
      </c>
      <c r="C139" s="15" t="str">
        <f>Base_report!C138</f>
        <v>C1676</v>
      </c>
      <c r="D139" s="14" t="str">
        <f>TRIM(IF(ISNUMBER(FIND("PNSME",Base_report!D138,1)),SUBSTITUTE(Base_report!D138,"PNSME",""),IF(ISNUMBER(FIND("PHG",Base_report!D138,1)),SUBSTITUTE(Base_report!D138,"PHG",""),IF(ISNUMBER(FIND("PCS",Base_report!D138,1)),SUBSTITUTE(Base_report!D138,"PCS",""),IF(ISNUMBER(FIND("CMU",Base_report!D138,1)),SUBSTITUTE(Base_report!D138,"CMU",""),Base_report!D138)))))</f>
        <v>DISTRICT SANITAIRE TREICHVILLE MARCORY</v>
      </c>
      <c r="E139" s="14" t="str">
        <f>SUBSTITUTE(Base_report!E138,"-","/")</f>
        <v>PNN/MEDICAMENTS ET INTRANTS</v>
      </c>
      <c r="F139" s="14" t="s">
        <v>788</v>
      </c>
      <c r="G139" s="16">
        <f>DATE(YEAR(SUBSTITUTE(LEFT(Base_report!F138,10),"-","/")),MONTH(SUBSTITUTE(LEFT(Base_report!F138,10),"-","/")),DAY(SUBSTITUTE(LEFT(Base_report!F138,10),"-","/")))</f>
        <v>45301</v>
      </c>
      <c r="H139" s="16">
        <f>DATE(YEAR(SUBSTITUTE(LEFT(Base_report!G138,10),"-","/")),MONTH(SUBSTITUTE(LEFT(Base_report!G138,10),"-","/")),DAY(SUBSTITUTE(LEFT(Base_report!G138,10),"-","/")))</f>
        <v>45301</v>
      </c>
      <c r="I139" s="17" t="str">
        <f t="shared" si="1"/>
        <v>OUI</v>
      </c>
      <c r="J139" s="18">
        <f>IF(L139="DS",DATE(RIGHT(B139,4),VLOOKUP(LEFT(B139,LEN(B139)-5),Feuil1!$E$3:$F$19,2,FALSE)+1,10),DATE(RIGHT(B139,4),VLOOKUP(LEFT(B139,LEN(B139)-5),Feuil1!$E$3:$F$19,2,FALSE)+1,7))</f>
        <v>45301</v>
      </c>
      <c r="K139" s="19">
        <f t="shared" si="2"/>
        <v>1</v>
      </c>
      <c r="L139" s="6" t="str">
        <f t="shared" si="3"/>
        <v>DS</v>
      </c>
    </row>
    <row r="140" ht="14.25" customHeight="1">
      <c r="A140" s="14" t="str">
        <f>Base_report!A139</f>
        <v>N'ZI</v>
      </c>
      <c r="B140" s="14" t="str">
        <f>Base_report!B139</f>
        <v>DECEMBRE 2023</v>
      </c>
      <c r="C140" s="15" t="str">
        <f>Base_report!C139</f>
        <v>C2027</v>
      </c>
      <c r="D140" s="14" t="str">
        <f>TRIM(IF(ISNUMBER(FIND("PNSME",Base_report!D139,1)),SUBSTITUTE(Base_report!D139,"PNSME",""),IF(ISNUMBER(FIND("PHG",Base_report!D139,1)),SUBSTITUTE(Base_report!D139,"PHG",""),IF(ISNUMBER(FIND("PCS",Base_report!D139,1)),SUBSTITUTE(Base_report!D139,"PCS",""),IF(ISNUMBER(FIND("CMU",Base_report!D139,1)),SUBSTITUTE(Base_report!D139,"CMU",""),Base_report!D139)))))</f>
        <v>DISTRICT SANITAIRE DIMBOKRO</v>
      </c>
      <c r="E140" s="14" t="str">
        <f>SUBSTITUTE(Base_report!E139,"-","/")</f>
        <v>PNLP/MEDICAMENTS ET INTRANTS</v>
      </c>
      <c r="F140" s="14" t="s">
        <v>788</v>
      </c>
      <c r="G140" s="16">
        <f>DATE(YEAR(SUBSTITUTE(LEFT(Base_report!F139,10),"-","/")),MONTH(SUBSTITUTE(LEFT(Base_report!F139,10),"-","/")),DAY(SUBSTITUTE(LEFT(Base_report!F139,10),"-","/")))</f>
        <v>45301</v>
      </c>
      <c r="H140" s="16">
        <f>DATE(YEAR(SUBSTITUTE(LEFT(Base_report!G139,10),"-","/")),MONTH(SUBSTITUTE(LEFT(Base_report!G139,10),"-","/")),DAY(SUBSTITUTE(LEFT(Base_report!G139,10),"-","/")))</f>
        <v>45302</v>
      </c>
      <c r="I140" s="17" t="str">
        <f t="shared" si="1"/>
        <v>OUI</v>
      </c>
      <c r="J140" s="18">
        <f>IF(L140="DS",DATE(RIGHT(B140,4),VLOOKUP(LEFT(B140,LEN(B140)-5),Feuil1!$E$3:$F$19,2,FALSE)+1,10),DATE(RIGHT(B140,4),VLOOKUP(LEFT(B140,LEN(B140)-5),Feuil1!$E$3:$F$19,2,FALSE)+1,7))</f>
        <v>45301</v>
      </c>
      <c r="K140" s="19">
        <f t="shared" si="2"/>
        <v>0</v>
      </c>
      <c r="L140" s="6" t="str">
        <f t="shared" si="3"/>
        <v>DS</v>
      </c>
    </row>
    <row r="141" ht="14.25" customHeight="1">
      <c r="A141" s="14" t="str">
        <f>Base_report!A140</f>
        <v>GONTOUGO</v>
      </c>
      <c r="B141" s="14" t="str">
        <f>Base_report!B140</f>
        <v>DECEMBRE 2023</v>
      </c>
      <c r="C141" s="15" t="str">
        <f>Base_report!C140</f>
        <v>C4070</v>
      </c>
      <c r="D141" s="14" t="str">
        <f>TRIM(IF(ISNUMBER(FIND("PNSME",Base_report!D140,1)),SUBSTITUTE(Base_report!D140,"PNSME",""),IF(ISNUMBER(FIND("PHG",Base_report!D140,1)),SUBSTITUTE(Base_report!D140,"PHG",""),IF(ISNUMBER(FIND("PCS",Base_report!D140,1)),SUBSTITUTE(Base_report!D140,"PCS",""),IF(ISNUMBER(FIND("CMU",Base_report!D140,1)),SUBSTITUTE(Base_report!D140,"CMU",""),Base_report!D140)))))</f>
        <v>DISTRICT SANITAIRE KOUN FAO</v>
      </c>
      <c r="E141" s="14" t="str">
        <f>SUBSTITUTE(Base_report!E140,"-","/")</f>
        <v>PNLS/PRODUITS DE LABORATOIRE</v>
      </c>
      <c r="F141" s="14" t="s">
        <v>788</v>
      </c>
      <c r="G141" s="16">
        <f>DATE(YEAR(SUBSTITUTE(LEFT(Base_report!F140,10),"-","/")),MONTH(SUBSTITUTE(LEFT(Base_report!F140,10),"-","/")),DAY(SUBSTITUTE(LEFT(Base_report!F140,10),"-","/")))</f>
        <v>45301</v>
      </c>
      <c r="H141" s="16">
        <f>DATE(YEAR(SUBSTITUTE(LEFT(Base_report!G140,10),"-","/")),MONTH(SUBSTITUTE(LEFT(Base_report!G140,10),"-","/")),DAY(SUBSTITUTE(LEFT(Base_report!G140,10),"-","/")))</f>
        <v>45301</v>
      </c>
      <c r="I141" s="17" t="str">
        <f t="shared" si="1"/>
        <v>OUI</v>
      </c>
      <c r="J141" s="18">
        <f>IF(L141="DS",DATE(RIGHT(B141,4),VLOOKUP(LEFT(B141,LEN(B141)-5),Feuil1!$E$3:$F$19,2,FALSE)+1,10),DATE(RIGHT(B141,4),VLOOKUP(LEFT(B141,LEN(B141)-5),Feuil1!$E$3:$F$19,2,FALSE)+1,7))</f>
        <v>45301</v>
      </c>
      <c r="K141" s="19">
        <f t="shared" si="2"/>
        <v>1</v>
      </c>
      <c r="L141" s="6" t="str">
        <f t="shared" si="3"/>
        <v>DS</v>
      </c>
    </row>
    <row r="142" ht="14.25" customHeight="1">
      <c r="A142" s="14" t="str">
        <f>Base_report!A141</f>
        <v>GONTOUGO</v>
      </c>
      <c r="B142" s="14" t="str">
        <f>Base_report!B141</f>
        <v>DECEMBRE 2023</v>
      </c>
      <c r="C142" s="15" t="str">
        <f>Base_report!C141</f>
        <v>C4070</v>
      </c>
      <c r="D142" s="14" t="str">
        <f>TRIM(IF(ISNUMBER(FIND("PNSME",Base_report!D141,1)),SUBSTITUTE(Base_report!D141,"PNSME",""),IF(ISNUMBER(FIND("PHG",Base_report!D141,1)),SUBSTITUTE(Base_report!D141,"PHG",""),IF(ISNUMBER(FIND("PCS",Base_report!D141,1)),SUBSTITUTE(Base_report!D141,"PCS",""),IF(ISNUMBER(FIND("CMU",Base_report!D141,1)),SUBSTITUTE(Base_report!D141,"CMU",""),Base_report!D141)))))</f>
        <v>DISTRICT SANITAIRE KOUN FAO</v>
      </c>
      <c r="E142" s="14" t="str">
        <f>SUBSTITUTE(Base_report!E141,"-","/")</f>
        <v>PNLS/TESTS RAPIDES ET CONSOMMABLES</v>
      </c>
      <c r="F142" s="14" t="s">
        <v>788</v>
      </c>
      <c r="G142" s="16">
        <f>DATE(YEAR(SUBSTITUTE(LEFT(Base_report!F141,10),"-","/")),MONTH(SUBSTITUTE(LEFT(Base_report!F141,10),"-","/")),DAY(SUBSTITUTE(LEFT(Base_report!F141,10),"-","/")))</f>
        <v>45301</v>
      </c>
      <c r="H142" s="16">
        <f>DATE(YEAR(SUBSTITUTE(LEFT(Base_report!G141,10),"-","/")),MONTH(SUBSTITUTE(LEFT(Base_report!G141,10),"-","/")),DAY(SUBSTITUTE(LEFT(Base_report!G141,10),"-","/")))</f>
        <v>45301</v>
      </c>
      <c r="I142" s="17" t="str">
        <f t="shared" si="1"/>
        <v>OUI</v>
      </c>
      <c r="J142" s="18">
        <f>IF(L142="DS",DATE(RIGHT(B142,4),VLOOKUP(LEFT(B142,LEN(B142)-5),Feuil1!$E$3:$F$19,2,FALSE)+1,10),DATE(RIGHT(B142,4),VLOOKUP(LEFT(B142,LEN(B142)-5),Feuil1!$E$3:$F$19,2,FALSE)+1,7))</f>
        <v>45301</v>
      </c>
      <c r="K142" s="19">
        <f t="shared" si="2"/>
        <v>1</v>
      </c>
      <c r="L142" s="6" t="str">
        <f t="shared" si="3"/>
        <v>DS</v>
      </c>
    </row>
    <row r="143" ht="14.25" customHeight="1">
      <c r="A143" s="14" t="str">
        <f>Base_report!A142</f>
        <v>BERE</v>
      </c>
      <c r="B143" s="14" t="str">
        <f>Base_report!B142</f>
        <v>DECEMBRE 2023</v>
      </c>
      <c r="C143" s="15" t="str">
        <f>Base_report!C142</f>
        <v>C5083</v>
      </c>
      <c r="D143" s="14" t="str">
        <f>TRIM(IF(ISNUMBER(FIND("PNSME",Base_report!D142,1)),SUBSTITUTE(Base_report!D142,"PNSME",""),IF(ISNUMBER(FIND("PHG",Base_report!D142,1)),SUBSTITUTE(Base_report!D142,"PHG",""),IF(ISNUMBER(FIND("PCS",Base_report!D142,1)),SUBSTITUTE(Base_report!D142,"PCS",""),IF(ISNUMBER(FIND("CMU",Base_report!D142,1)),SUBSTITUTE(Base_report!D142,"CMU",""),Base_report!D142)))))</f>
        <v>DISTRICT SANITAIRE DIANRA</v>
      </c>
      <c r="E143" s="14" t="str">
        <f>SUBSTITUTE(Base_report!E142,"-","/")</f>
        <v>PNLP/MEDICAMENTS ET INTRANTS</v>
      </c>
      <c r="F143" s="14" t="s">
        <v>788</v>
      </c>
      <c r="G143" s="16">
        <f>DATE(YEAR(SUBSTITUTE(LEFT(Base_report!F142,10),"-","/")),MONTH(SUBSTITUTE(LEFT(Base_report!F142,10),"-","/")),DAY(SUBSTITUTE(LEFT(Base_report!F142,10),"-","/")))</f>
        <v>45301</v>
      </c>
      <c r="H143" s="16">
        <f>DATE(YEAR(SUBSTITUTE(LEFT(Base_report!G142,10),"-","/")),MONTH(SUBSTITUTE(LEFT(Base_report!G142,10),"-","/")),DAY(SUBSTITUTE(LEFT(Base_report!G142,10),"-","/")))</f>
        <v>45301</v>
      </c>
      <c r="I143" s="17" t="str">
        <f t="shared" si="1"/>
        <v>OUI</v>
      </c>
      <c r="J143" s="18">
        <f>IF(L143="DS",DATE(RIGHT(B143,4),VLOOKUP(LEFT(B143,LEN(B143)-5),Feuil1!$E$3:$F$19,2,FALSE)+1,10),DATE(RIGHT(B143,4),VLOOKUP(LEFT(B143,LEN(B143)-5),Feuil1!$E$3:$F$19,2,FALSE)+1,7))</f>
        <v>45301</v>
      </c>
      <c r="K143" s="19">
        <f t="shared" si="2"/>
        <v>1</v>
      </c>
      <c r="L143" s="6" t="str">
        <f t="shared" si="3"/>
        <v>DS</v>
      </c>
    </row>
    <row r="144" ht="14.25" customHeight="1">
      <c r="A144" s="14" t="str">
        <f>Base_report!A143</f>
        <v>HAUT-SASSANDRA</v>
      </c>
      <c r="B144" s="14" t="str">
        <f>Base_report!B143</f>
        <v>DECEMBRE 2023</v>
      </c>
      <c r="C144" s="15" t="str">
        <f>Base_report!C143</f>
        <v>C2044</v>
      </c>
      <c r="D144" s="14" t="str">
        <f>TRIM(IF(ISNUMBER(FIND("PNSME",Base_report!D143,1)),SUBSTITUTE(Base_report!D143,"PNSME",""),IF(ISNUMBER(FIND("PHG",Base_report!D143,1)),SUBSTITUTE(Base_report!D143,"PHG",""),IF(ISNUMBER(FIND("PCS",Base_report!D143,1)),SUBSTITUTE(Base_report!D143,"PCS",""),IF(ISNUMBER(FIND("CMU",Base_report!D143,1)),SUBSTITUTE(Base_report!D143,"CMU",""),Base_report!D143)))))</f>
        <v>DISTRICT SANITAIRE VAVOUA</v>
      </c>
      <c r="E144" s="14" t="str">
        <f>SUBSTITUTE(Base_report!E143,"-","/")</f>
        <v>PNLS/TESTS RAPIDES ET CONSOMMABLES</v>
      </c>
      <c r="F144" s="14" t="s">
        <v>788</v>
      </c>
      <c r="G144" s="16">
        <f>DATE(YEAR(SUBSTITUTE(LEFT(Base_report!F143,10),"-","/")),MONTH(SUBSTITUTE(LEFT(Base_report!F143,10),"-","/")),DAY(SUBSTITUTE(LEFT(Base_report!F143,10),"-","/")))</f>
        <v>45301</v>
      </c>
      <c r="H144" s="16">
        <f>DATE(YEAR(SUBSTITUTE(LEFT(Base_report!G143,10),"-","/")),MONTH(SUBSTITUTE(LEFT(Base_report!G143,10),"-","/")),DAY(SUBSTITUTE(LEFT(Base_report!G143,10),"-","/")))</f>
        <v>45301</v>
      </c>
      <c r="I144" s="17" t="str">
        <f t="shared" si="1"/>
        <v>OUI</v>
      </c>
      <c r="J144" s="18">
        <f>IF(L144="DS",DATE(RIGHT(B144,4),VLOOKUP(LEFT(B144,LEN(B144)-5),Feuil1!$E$3:$F$19,2,FALSE)+1,10),DATE(RIGHT(B144,4),VLOOKUP(LEFT(B144,LEN(B144)-5),Feuil1!$E$3:$F$19,2,FALSE)+1,7))</f>
        <v>45301</v>
      </c>
      <c r="K144" s="19">
        <f t="shared" si="2"/>
        <v>1</v>
      </c>
      <c r="L144" s="6" t="str">
        <f t="shared" si="3"/>
        <v>DS</v>
      </c>
    </row>
    <row r="145" ht="14.25" customHeight="1">
      <c r="A145" s="14" t="str">
        <f>Base_report!A144</f>
        <v>ME</v>
      </c>
      <c r="B145" s="14" t="str">
        <f>Base_report!B144</f>
        <v>DECEMBRE 2023</v>
      </c>
      <c r="C145" s="15" t="str">
        <f>Base_report!C144</f>
        <v>C1046</v>
      </c>
      <c r="D145" s="14" t="str">
        <f>TRIM(IF(ISNUMBER(FIND("PNSME",Base_report!D144,1)),SUBSTITUTE(Base_report!D144,"PNSME",""),IF(ISNUMBER(FIND("PHG",Base_report!D144,1)),SUBSTITUTE(Base_report!D144,"PHG",""),IF(ISNUMBER(FIND("PCS",Base_report!D144,1)),SUBSTITUTE(Base_report!D144,"PCS",""),IF(ISNUMBER(FIND("CMU",Base_report!D144,1)),SUBSTITUTE(Base_report!D144,"CMU",""),Base_report!D144)))))</f>
        <v>DISTRICT SANITAIRE ALEPE</v>
      </c>
      <c r="E145" s="14" t="str">
        <f>SUBSTITUTE(Base_report!E144,"-","/")</f>
        <v>PNLS/PRODUITS DE LABORATOIRE</v>
      </c>
      <c r="F145" s="14" t="s">
        <v>788</v>
      </c>
      <c r="G145" s="16">
        <f>DATE(YEAR(SUBSTITUTE(LEFT(Base_report!F144,10),"-","/")),MONTH(SUBSTITUTE(LEFT(Base_report!F144,10),"-","/")),DAY(SUBSTITUTE(LEFT(Base_report!F144,10),"-","/")))</f>
        <v>45301</v>
      </c>
      <c r="H145" s="16">
        <f>DATE(YEAR(SUBSTITUTE(LEFT(Base_report!G144,10),"-","/")),MONTH(SUBSTITUTE(LEFT(Base_report!G144,10),"-","/")),DAY(SUBSTITUTE(LEFT(Base_report!G144,10),"-","/")))</f>
        <v>45301</v>
      </c>
      <c r="I145" s="17" t="str">
        <f t="shared" si="1"/>
        <v>OUI</v>
      </c>
      <c r="J145" s="18">
        <f>IF(L145="DS",DATE(RIGHT(B145,4),VLOOKUP(LEFT(B145,LEN(B145)-5),Feuil1!$E$3:$F$19,2,FALSE)+1,10),DATE(RIGHT(B145,4),VLOOKUP(LEFT(B145,LEN(B145)-5),Feuil1!$E$3:$F$19,2,FALSE)+1,7))</f>
        <v>45301</v>
      </c>
      <c r="K145" s="19">
        <f t="shared" si="2"/>
        <v>1</v>
      </c>
      <c r="L145" s="6" t="str">
        <f t="shared" si="3"/>
        <v>DS</v>
      </c>
    </row>
    <row r="146" ht="14.25" customHeight="1">
      <c r="A146" s="14" t="str">
        <f>Base_report!A145</f>
        <v>ME</v>
      </c>
      <c r="B146" s="14" t="str">
        <f>Base_report!B145</f>
        <v>DECEMBRE 2023</v>
      </c>
      <c r="C146" s="15" t="str">
        <f>Base_report!C145</f>
        <v>C4006</v>
      </c>
      <c r="D146" s="14" t="str">
        <f>TRIM(IF(ISNUMBER(FIND("PNSME",Base_report!D145,1)),SUBSTITUTE(Base_report!D145,"PNSME",""),IF(ISNUMBER(FIND("PHG",Base_report!D145,1)),SUBSTITUTE(Base_report!D145,"PHG",""),IF(ISNUMBER(FIND("PCS",Base_report!D145,1)),SUBSTITUTE(Base_report!D145,"PCS",""),IF(ISNUMBER(FIND("CMU",Base_report!D145,1)),SUBSTITUTE(Base_report!D145,"CMU",""),Base_report!D145)))))</f>
        <v>DISTRICT SANITAIRE AKOUPE</v>
      </c>
      <c r="E146" s="14" t="str">
        <f>SUBSTITUTE(Base_report!E145,"-","/")</f>
        <v>PNLS/TESTS RAPIDES ET CONSOMMABLES</v>
      </c>
      <c r="F146" s="14" t="s">
        <v>788</v>
      </c>
      <c r="G146" s="16">
        <f>DATE(YEAR(SUBSTITUTE(LEFT(Base_report!F145,10),"-","/")),MONTH(SUBSTITUTE(LEFT(Base_report!F145,10),"-","/")),DAY(SUBSTITUTE(LEFT(Base_report!F145,10),"-","/")))</f>
        <v>45301</v>
      </c>
      <c r="H146" s="16">
        <f>DATE(YEAR(SUBSTITUTE(LEFT(Base_report!G145,10),"-","/")),MONTH(SUBSTITUTE(LEFT(Base_report!G145,10),"-","/")),DAY(SUBSTITUTE(LEFT(Base_report!G145,10),"-","/")))</f>
        <v>45301</v>
      </c>
      <c r="I146" s="17" t="str">
        <f t="shared" si="1"/>
        <v>OUI</v>
      </c>
      <c r="J146" s="18">
        <f>IF(L146="DS",DATE(RIGHT(B146,4),VLOOKUP(LEFT(B146,LEN(B146)-5),Feuil1!$E$3:$F$19,2,FALSE)+1,10),DATE(RIGHT(B146,4),VLOOKUP(LEFT(B146,LEN(B146)-5),Feuil1!$E$3:$F$19,2,FALSE)+1,7))</f>
        <v>45301</v>
      </c>
      <c r="K146" s="19">
        <f t="shared" si="2"/>
        <v>1</v>
      </c>
      <c r="L146" s="6" t="str">
        <f t="shared" si="3"/>
        <v>DS</v>
      </c>
    </row>
    <row r="147" ht="14.25" customHeight="1">
      <c r="A147" s="14" t="str">
        <f>Base_report!A146</f>
        <v>ME</v>
      </c>
      <c r="B147" s="14" t="str">
        <f>Base_report!B146</f>
        <v>DECEMBRE 2023</v>
      </c>
      <c r="C147" s="15" t="str">
        <f>Base_report!C146</f>
        <v>C4006</v>
      </c>
      <c r="D147" s="14" t="str">
        <f>TRIM(IF(ISNUMBER(FIND("PNSME",Base_report!D146,1)),SUBSTITUTE(Base_report!D146,"PNSME",""),IF(ISNUMBER(FIND("PHG",Base_report!D146,1)),SUBSTITUTE(Base_report!D146,"PHG",""),IF(ISNUMBER(FIND("PCS",Base_report!D146,1)),SUBSTITUTE(Base_report!D146,"PCS",""),IF(ISNUMBER(FIND("CMU",Base_report!D146,1)),SUBSTITUTE(Base_report!D146,"CMU",""),Base_report!D146)))))</f>
        <v>DISTRICT SANITAIRE AKOUPE</v>
      </c>
      <c r="E147" s="14" t="str">
        <f>SUBSTITUTE(Base_report!E146,"-","/")</f>
        <v>PNLS/ANTIRETROVIRAUX ET IO</v>
      </c>
      <c r="F147" s="14" t="s">
        <v>788</v>
      </c>
      <c r="G147" s="16">
        <f>DATE(YEAR(SUBSTITUTE(LEFT(Base_report!F146,10),"-","/")),MONTH(SUBSTITUTE(LEFT(Base_report!F146,10),"-","/")),DAY(SUBSTITUTE(LEFT(Base_report!F146,10),"-","/")))</f>
        <v>45301</v>
      </c>
      <c r="H147" s="16">
        <f>DATE(YEAR(SUBSTITUTE(LEFT(Base_report!G146,10),"-","/")),MONTH(SUBSTITUTE(LEFT(Base_report!G146,10),"-","/")),DAY(SUBSTITUTE(LEFT(Base_report!G146,10),"-","/")))</f>
        <v>45301</v>
      </c>
      <c r="I147" s="17" t="str">
        <f t="shared" si="1"/>
        <v>OUI</v>
      </c>
      <c r="J147" s="18">
        <f>IF(L147="DS",DATE(RIGHT(B147,4),VLOOKUP(LEFT(B147,LEN(B147)-5),Feuil1!$E$3:$F$19,2,FALSE)+1,10),DATE(RIGHT(B147,4),VLOOKUP(LEFT(B147,LEN(B147)-5),Feuil1!$E$3:$F$19,2,FALSE)+1,7))</f>
        <v>45301</v>
      </c>
      <c r="K147" s="19">
        <f t="shared" si="2"/>
        <v>1</v>
      </c>
      <c r="L147" s="6" t="str">
        <f t="shared" si="3"/>
        <v>DS</v>
      </c>
    </row>
    <row r="148" ht="14.25" customHeight="1">
      <c r="A148" s="14" t="str">
        <f>Base_report!A147</f>
        <v>ME</v>
      </c>
      <c r="B148" s="14" t="str">
        <f>Base_report!B147</f>
        <v>DECEMBRE 2023</v>
      </c>
      <c r="C148" s="15" t="str">
        <f>Base_report!C147</f>
        <v>C4006</v>
      </c>
      <c r="D148" s="14" t="str">
        <f>TRIM(IF(ISNUMBER(FIND("PNSME",Base_report!D147,1)),SUBSTITUTE(Base_report!D147,"PNSME",""),IF(ISNUMBER(FIND("PHG",Base_report!D147,1)),SUBSTITUTE(Base_report!D147,"PHG",""),IF(ISNUMBER(FIND("PCS",Base_report!D147,1)),SUBSTITUTE(Base_report!D147,"PCS",""),IF(ISNUMBER(FIND("CMU",Base_report!D147,1)),SUBSTITUTE(Base_report!D147,"CMU",""),Base_report!D147)))))</f>
        <v>DISTRICT SANITAIRE AKOUPE</v>
      </c>
      <c r="E148" s="14" t="str">
        <f>SUBSTITUTE(Base_report!E147,"-","/")</f>
        <v>PNLP/MEDICAMENTS ET INTRANTS</v>
      </c>
      <c r="F148" s="14" t="s">
        <v>788</v>
      </c>
      <c r="G148" s="16">
        <f>DATE(YEAR(SUBSTITUTE(LEFT(Base_report!F147,10),"-","/")),MONTH(SUBSTITUTE(LEFT(Base_report!F147,10),"-","/")),DAY(SUBSTITUTE(LEFT(Base_report!F147,10),"-","/")))</f>
        <v>45301</v>
      </c>
      <c r="H148" s="16">
        <f>DATE(YEAR(SUBSTITUTE(LEFT(Base_report!G147,10),"-","/")),MONTH(SUBSTITUTE(LEFT(Base_report!G147,10),"-","/")),DAY(SUBSTITUTE(LEFT(Base_report!G147,10),"-","/")))</f>
        <v>45301</v>
      </c>
      <c r="I148" s="17" t="str">
        <f t="shared" si="1"/>
        <v>OUI</v>
      </c>
      <c r="J148" s="18">
        <f>IF(L148="DS",DATE(RIGHT(B148,4),VLOOKUP(LEFT(B148,LEN(B148)-5),Feuil1!$E$3:$F$19,2,FALSE)+1,10),DATE(RIGHT(B148,4),VLOOKUP(LEFT(B148,LEN(B148)-5),Feuil1!$E$3:$F$19,2,FALSE)+1,7))</f>
        <v>45301</v>
      </c>
      <c r="K148" s="19">
        <f t="shared" si="2"/>
        <v>1</v>
      </c>
      <c r="L148" s="6" t="str">
        <f t="shared" si="3"/>
        <v>DS</v>
      </c>
    </row>
    <row r="149" ht="14.25" customHeight="1">
      <c r="A149" s="14" t="str">
        <f>Base_report!A148</f>
        <v>BOUNKANI</v>
      </c>
      <c r="B149" s="14" t="str">
        <f>Base_report!B148</f>
        <v>DECEMBRE 2023</v>
      </c>
      <c r="C149" s="15" t="str">
        <f>Base_report!C148</f>
        <v>C4010</v>
      </c>
      <c r="D149" s="14" t="str">
        <f>TRIM(IF(ISNUMBER(FIND("PNSME",Base_report!D148,1)),SUBSTITUTE(Base_report!D148,"PNSME",""),IF(ISNUMBER(FIND("PHG",Base_report!D148,1)),SUBSTITUTE(Base_report!D148,"PHG",""),IF(ISNUMBER(FIND("PCS",Base_report!D148,1)),SUBSTITUTE(Base_report!D148,"PCS",""),IF(ISNUMBER(FIND("CMU",Base_report!D148,1)),SUBSTITUTE(Base_report!D148,"CMU",""),Base_report!D148)))))</f>
        <v>DISTRICT SANITAIRE BOUNA</v>
      </c>
      <c r="E149" s="14" t="str">
        <f>SUBSTITUTE(Base_report!E148,"-","/")</f>
        <v>PNLS/TESTS RAPIDES ET CONSOMMABLES</v>
      </c>
      <c r="F149" s="14" t="s">
        <v>788</v>
      </c>
      <c r="G149" s="16">
        <f>DATE(YEAR(SUBSTITUTE(LEFT(Base_report!F148,10),"-","/")),MONTH(SUBSTITUTE(LEFT(Base_report!F148,10),"-","/")),DAY(SUBSTITUTE(LEFT(Base_report!F148,10),"-","/")))</f>
        <v>45301</v>
      </c>
      <c r="H149" s="16">
        <f>DATE(YEAR(SUBSTITUTE(LEFT(Base_report!G148,10),"-","/")),MONTH(SUBSTITUTE(LEFT(Base_report!G148,10),"-","/")),DAY(SUBSTITUTE(LEFT(Base_report!G148,10),"-","/")))</f>
        <v>45301</v>
      </c>
      <c r="I149" s="17" t="str">
        <f t="shared" si="1"/>
        <v>OUI</v>
      </c>
      <c r="J149" s="18">
        <f>IF(L149="DS",DATE(RIGHT(B149,4),VLOOKUP(LEFT(B149,LEN(B149)-5),Feuil1!$E$3:$F$19,2,FALSE)+1,10),DATE(RIGHT(B149,4),VLOOKUP(LEFT(B149,LEN(B149)-5),Feuil1!$E$3:$F$19,2,FALSE)+1,7))</f>
        <v>45301</v>
      </c>
      <c r="K149" s="19">
        <f t="shared" si="2"/>
        <v>1</v>
      </c>
      <c r="L149" s="6" t="str">
        <f t="shared" si="3"/>
        <v>DS</v>
      </c>
    </row>
    <row r="150" ht="14.25" customHeight="1">
      <c r="A150" s="14" t="str">
        <f>Base_report!A149</f>
        <v>MARAHOUE</v>
      </c>
      <c r="B150" s="14" t="str">
        <f>Base_report!B149</f>
        <v>DECEMBRE 2023</v>
      </c>
      <c r="C150" s="15" t="str">
        <f>Base_report!C149</f>
        <v>C2037</v>
      </c>
      <c r="D150" s="14" t="str">
        <f>TRIM(IF(ISNUMBER(FIND("PNSME",Base_report!D149,1)),SUBSTITUTE(Base_report!D149,"PNSME",""),IF(ISNUMBER(FIND("PHG",Base_report!D149,1)),SUBSTITUTE(Base_report!D149,"PHG",""),IF(ISNUMBER(FIND("PCS",Base_report!D149,1)),SUBSTITUTE(Base_report!D149,"PCS",""),IF(ISNUMBER(FIND("CMU",Base_report!D149,1)),SUBSTITUTE(Base_report!D149,"CMU",""),Base_report!D149)))))</f>
        <v>DISTRICT SANITAIRE SINFRA</v>
      </c>
      <c r="E150" s="14" t="str">
        <f>SUBSTITUTE(Base_report!E149,"-","/")</f>
        <v>PNLP/MEDICAMENTS ET INTRANTS</v>
      </c>
      <c r="F150" s="14" t="s">
        <v>788</v>
      </c>
      <c r="G150" s="16">
        <f>DATE(YEAR(SUBSTITUTE(LEFT(Base_report!F149,10),"-","/")),MONTH(SUBSTITUTE(LEFT(Base_report!F149,10),"-","/")),DAY(SUBSTITUTE(LEFT(Base_report!F149,10),"-","/")))</f>
        <v>45301</v>
      </c>
      <c r="H150" s="16">
        <f>DATE(YEAR(SUBSTITUTE(LEFT(Base_report!G149,10),"-","/")),MONTH(SUBSTITUTE(LEFT(Base_report!G149,10),"-","/")),DAY(SUBSTITUTE(LEFT(Base_report!G149,10),"-","/")))</f>
        <v>45301</v>
      </c>
      <c r="I150" s="17" t="str">
        <f t="shared" si="1"/>
        <v>OUI</v>
      </c>
      <c r="J150" s="18">
        <f>IF(L150="DS",DATE(RIGHT(B150,4),VLOOKUP(LEFT(B150,LEN(B150)-5),Feuil1!$E$3:$F$19,2,FALSE)+1,10),DATE(RIGHT(B150,4),VLOOKUP(LEFT(B150,LEN(B150)-5),Feuil1!$E$3:$F$19,2,FALSE)+1,7))</f>
        <v>45301</v>
      </c>
      <c r="K150" s="19">
        <f t="shared" si="2"/>
        <v>1</v>
      </c>
      <c r="L150" s="6" t="str">
        <f t="shared" si="3"/>
        <v>DS</v>
      </c>
    </row>
    <row r="151" ht="14.25" customHeight="1">
      <c r="A151" s="14" t="str">
        <f>Base_report!A150</f>
        <v>NAWA</v>
      </c>
      <c r="B151" s="14" t="str">
        <f>Base_report!B150</f>
        <v>DECEMBRE 2023</v>
      </c>
      <c r="C151" s="15" t="str">
        <f>Base_report!C150</f>
        <v>C2213</v>
      </c>
      <c r="D151" s="14" t="str">
        <f>TRIM(IF(ISNUMBER(FIND("PNSME",Base_report!D150,1)),SUBSTITUTE(Base_report!D150,"PNSME",""),IF(ISNUMBER(FIND("PHG",Base_report!D150,1)),SUBSTITUTE(Base_report!D150,"PHG",""),IF(ISNUMBER(FIND("PCS",Base_report!D150,1)),SUBSTITUTE(Base_report!D150,"PCS",""),IF(ISNUMBER(FIND("CMU",Base_report!D150,1)),SUBSTITUTE(Base_report!D150,"CMU",""),Base_report!D150)))))</f>
        <v>DISTRICT SANITAIRE BUYO</v>
      </c>
      <c r="E151" s="14" t="str">
        <f>SUBSTITUTE(Base_report!E150,"-","/")</f>
        <v>PNLS/ANTIRETROVIRAUX ET IO</v>
      </c>
      <c r="F151" s="14" t="s">
        <v>788</v>
      </c>
      <c r="G151" s="16">
        <f>DATE(YEAR(SUBSTITUTE(LEFT(Base_report!F150,10),"-","/")),MONTH(SUBSTITUTE(LEFT(Base_report!F150,10),"-","/")),DAY(SUBSTITUTE(LEFT(Base_report!F150,10),"-","/")))</f>
        <v>45301</v>
      </c>
      <c r="H151" s="16">
        <f>DATE(YEAR(SUBSTITUTE(LEFT(Base_report!G150,10),"-","/")),MONTH(SUBSTITUTE(LEFT(Base_report!G150,10),"-","/")),DAY(SUBSTITUTE(LEFT(Base_report!G150,10),"-","/")))</f>
        <v>45301</v>
      </c>
      <c r="I151" s="17" t="str">
        <f t="shared" si="1"/>
        <v>OUI</v>
      </c>
      <c r="J151" s="18">
        <f>IF(L151="DS",DATE(RIGHT(B151,4),VLOOKUP(LEFT(B151,LEN(B151)-5),Feuil1!$E$3:$F$19,2,FALSE)+1,10),DATE(RIGHT(B151,4),VLOOKUP(LEFT(B151,LEN(B151)-5),Feuil1!$E$3:$F$19,2,FALSE)+1,7))</f>
        <v>45301</v>
      </c>
      <c r="K151" s="19">
        <f t="shared" si="2"/>
        <v>1</v>
      </c>
      <c r="L151" s="6" t="str">
        <f t="shared" si="3"/>
        <v>DS</v>
      </c>
    </row>
    <row r="152" ht="14.25" customHeight="1">
      <c r="A152" s="14" t="str">
        <f>Base_report!A151</f>
        <v>ME</v>
      </c>
      <c r="B152" s="14" t="str">
        <f>Base_report!B151</f>
        <v>DECEMBRE 2023</v>
      </c>
      <c r="C152" s="15" t="str">
        <f>Base_report!C151</f>
        <v>C4006</v>
      </c>
      <c r="D152" s="14" t="str">
        <f>TRIM(IF(ISNUMBER(FIND("PNSME",Base_report!D151,1)),SUBSTITUTE(Base_report!D151,"PNSME",""),IF(ISNUMBER(FIND("PHG",Base_report!D151,1)),SUBSTITUTE(Base_report!D151,"PHG",""),IF(ISNUMBER(FIND("PCS",Base_report!D151,1)),SUBSTITUTE(Base_report!D151,"PCS",""),IF(ISNUMBER(FIND("CMU",Base_report!D151,1)),SUBSTITUTE(Base_report!D151,"CMU",""),Base_report!D151)))))</f>
        <v>DISTRICT SANITAIRE AKOUPE</v>
      </c>
      <c r="E152" s="14" t="str">
        <f>SUBSTITUTE(Base_report!E151,"-","/")</f>
        <v>PNSME/MEDICAMENTS ET INTRANTS</v>
      </c>
      <c r="F152" s="14" t="s">
        <v>788</v>
      </c>
      <c r="G152" s="16">
        <f>DATE(YEAR(SUBSTITUTE(LEFT(Base_report!F151,10),"-","/")),MONTH(SUBSTITUTE(LEFT(Base_report!F151,10),"-","/")),DAY(SUBSTITUTE(LEFT(Base_report!F151,10),"-","/")))</f>
        <v>45301</v>
      </c>
      <c r="H152" s="16">
        <f>DATE(YEAR(SUBSTITUTE(LEFT(Base_report!G151,10),"-","/")),MONTH(SUBSTITUTE(LEFT(Base_report!G151,10),"-","/")),DAY(SUBSTITUTE(LEFT(Base_report!G151,10),"-","/")))</f>
        <v>45301</v>
      </c>
      <c r="I152" s="17" t="str">
        <f t="shared" si="1"/>
        <v>OUI</v>
      </c>
      <c r="J152" s="18">
        <f>IF(L152="DS",DATE(RIGHT(B152,4),VLOOKUP(LEFT(B152,LEN(B152)-5),Feuil1!$E$3:$F$19,2,FALSE)+1,10),DATE(RIGHT(B152,4),VLOOKUP(LEFT(B152,LEN(B152)-5),Feuil1!$E$3:$F$19,2,FALSE)+1,7))</f>
        <v>45301</v>
      </c>
      <c r="K152" s="19">
        <f t="shared" si="2"/>
        <v>1</v>
      </c>
      <c r="L152" s="6" t="str">
        <f t="shared" si="3"/>
        <v>DS</v>
      </c>
    </row>
    <row r="153" ht="14.25" customHeight="1">
      <c r="A153" s="14" t="str">
        <f>Base_report!A152</f>
        <v>ME</v>
      </c>
      <c r="B153" s="14" t="str">
        <f>Base_report!B152</f>
        <v>DECEMBRE 2023</v>
      </c>
      <c r="C153" s="15" t="str">
        <f>Base_report!C152</f>
        <v>C4006</v>
      </c>
      <c r="D153" s="14" t="str">
        <f>TRIM(IF(ISNUMBER(FIND("PNSME",Base_report!D152,1)),SUBSTITUTE(Base_report!D152,"PNSME",""),IF(ISNUMBER(FIND("PHG",Base_report!D152,1)),SUBSTITUTE(Base_report!D152,"PHG",""),IF(ISNUMBER(FIND("PCS",Base_report!D152,1)),SUBSTITUTE(Base_report!D152,"PCS",""),IF(ISNUMBER(FIND("CMU",Base_report!D152,1)),SUBSTITUTE(Base_report!D152,"CMU",""),Base_report!D152)))))</f>
        <v>DISTRICT SANITAIRE AKOUPE</v>
      </c>
      <c r="E153" s="14" t="str">
        <f>SUBSTITUTE(Base_report!E152,"-","/")</f>
        <v>PNLS/PRODUITS DE LABORATOIRE</v>
      </c>
      <c r="F153" s="14" t="s">
        <v>788</v>
      </c>
      <c r="G153" s="16">
        <f>DATE(YEAR(SUBSTITUTE(LEFT(Base_report!F152,10),"-","/")),MONTH(SUBSTITUTE(LEFT(Base_report!F152,10),"-","/")),DAY(SUBSTITUTE(LEFT(Base_report!F152,10),"-","/")))</f>
        <v>45301</v>
      </c>
      <c r="H153" s="16">
        <f>DATE(YEAR(SUBSTITUTE(LEFT(Base_report!G152,10),"-","/")),MONTH(SUBSTITUTE(LEFT(Base_report!G152,10),"-","/")),DAY(SUBSTITUTE(LEFT(Base_report!G152,10),"-","/")))</f>
        <v>45301</v>
      </c>
      <c r="I153" s="17" t="str">
        <f t="shared" si="1"/>
        <v>OUI</v>
      </c>
      <c r="J153" s="18">
        <f>IF(L153="DS",DATE(RIGHT(B153,4),VLOOKUP(LEFT(B153,LEN(B153)-5),Feuil1!$E$3:$F$19,2,FALSE)+1,10),DATE(RIGHT(B153,4),VLOOKUP(LEFT(B153,LEN(B153)-5),Feuil1!$E$3:$F$19,2,FALSE)+1,7))</f>
        <v>45301</v>
      </c>
      <c r="K153" s="19">
        <f t="shared" si="2"/>
        <v>1</v>
      </c>
      <c r="L153" s="6" t="str">
        <f t="shared" si="3"/>
        <v>DS</v>
      </c>
    </row>
    <row r="154" ht="14.25" customHeight="1">
      <c r="A154" s="14" t="str">
        <f>Base_report!A153</f>
        <v>ABIDJAN 2</v>
      </c>
      <c r="B154" s="14" t="str">
        <f>Base_report!B153</f>
        <v>DECEMBRE 2023</v>
      </c>
      <c r="C154" s="15" t="str">
        <f>Base_report!C153</f>
        <v>C1414</v>
      </c>
      <c r="D154" s="14" t="str">
        <f>TRIM(IF(ISNUMBER(FIND("PNSME",Base_report!D153,1)),SUBSTITUTE(Base_report!D153,"PNSME",""),IF(ISNUMBER(FIND("PHG",Base_report!D153,1)),SUBSTITUTE(Base_report!D153,"PHG",""),IF(ISNUMBER(FIND("PCS",Base_report!D153,1)),SUBSTITUTE(Base_report!D153,"PCS",""),IF(ISNUMBER(FIND("CMU",Base_report!D153,1)),SUBSTITUTE(Base_report!D153,"CMU",""),Base_report!D153)))))</f>
        <v>DISTRICT SANITAIRE ADJAME PLATEAU ATTECOUBE</v>
      </c>
      <c r="E154" s="14" t="str">
        <f>SUBSTITUTE(Base_report!E153,"-","/")</f>
        <v>PNLS/TESTS RAPIDES ET CONSOMMABLES</v>
      </c>
      <c r="F154" s="14" t="s">
        <v>788</v>
      </c>
      <c r="G154" s="16">
        <f>DATE(YEAR(SUBSTITUTE(LEFT(Base_report!F153,10),"-","/")),MONTH(SUBSTITUTE(LEFT(Base_report!F153,10),"-","/")),DAY(SUBSTITUTE(LEFT(Base_report!F153,10),"-","/")))</f>
        <v>45301</v>
      </c>
      <c r="H154" s="16">
        <f>DATE(YEAR(SUBSTITUTE(LEFT(Base_report!G153,10),"-","/")),MONTH(SUBSTITUTE(LEFT(Base_report!G153,10),"-","/")),DAY(SUBSTITUTE(LEFT(Base_report!G153,10),"-","/")))</f>
        <v>45301</v>
      </c>
      <c r="I154" s="17" t="str">
        <f t="shared" si="1"/>
        <v>OUI</v>
      </c>
      <c r="J154" s="18">
        <f>IF(L154="DS",DATE(RIGHT(B154,4),VLOOKUP(LEFT(B154,LEN(B154)-5),Feuil1!$E$3:$F$19,2,FALSE)+1,10),DATE(RIGHT(B154,4),VLOOKUP(LEFT(B154,LEN(B154)-5),Feuil1!$E$3:$F$19,2,FALSE)+1,7))</f>
        <v>45301</v>
      </c>
      <c r="K154" s="19">
        <f t="shared" si="2"/>
        <v>1</v>
      </c>
      <c r="L154" s="6" t="str">
        <f t="shared" si="3"/>
        <v>DS</v>
      </c>
    </row>
    <row r="155" ht="14.25" customHeight="1">
      <c r="A155" s="14" t="str">
        <f>Base_report!A154</f>
        <v>BELIER</v>
      </c>
      <c r="B155" s="14" t="str">
        <f>Base_report!B154</f>
        <v>DECEMBRE 2023</v>
      </c>
      <c r="C155" s="15" t="str">
        <f>Base_report!C154</f>
        <v>C2038</v>
      </c>
      <c r="D155" s="14" t="str">
        <f>TRIM(IF(ISNUMBER(FIND("PNSME",Base_report!D154,1)),SUBSTITUTE(Base_report!D154,"PNSME",""),IF(ISNUMBER(FIND("PHG",Base_report!D154,1)),SUBSTITUTE(Base_report!D154,"PHG",""),IF(ISNUMBER(FIND("PCS",Base_report!D154,1)),SUBSTITUTE(Base_report!D154,"PCS",""),IF(ISNUMBER(FIND("CMU",Base_report!D154,1)),SUBSTITUTE(Base_report!D154,"CMU",""),Base_report!D154)))))</f>
        <v>DISTRICT SANITAIRE TOUMODI</v>
      </c>
      <c r="E155" s="14" t="str">
        <f>SUBSTITUTE(Base_report!E154,"-","/")</f>
        <v>PNLS/PRODUITS DE LABORATOIRE</v>
      </c>
      <c r="F155" s="14" t="s">
        <v>788</v>
      </c>
      <c r="G155" s="16">
        <f>DATE(YEAR(SUBSTITUTE(LEFT(Base_report!F154,10),"-","/")),MONTH(SUBSTITUTE(LEFT(Base_report!F154,10),"-","/")),DAY(SUBSTITUTE(LEFT(Base_report!F154,10),"-","/")))</f>
        <v>45301</v>
      </c>
      <c r="H155" s="16">
        <f>DATE(YEAR(SUBSTITUTE(LEFT(Base_report!G154,10),"-","/")),MONTH(SUBSTITUTE(LEFT(Base_report!G154,10),"-","/")),DAY(SUBSTITUTE(LEFT(Base_report!G154,10),"-","/")))</f>
        <v>45301</v>
      </c>
      <c r="I155" s="17" t="str">
        <f t="shared" si="1"/>
        <v>OUI</v>
      </c>
      <c r="J155" s="18">
        <f>IF(L155="DS",DATE(RIGHT(B155,4),VLOOKUP(LEFT(B155,LEN(B155)-5),Feuil1!$E$3:$F$19,2,FALSE)+1,10),DATE(RIGHT(B155,4),VLOOKUP(LEFT(B155,LEN(B155)-5),Feuil1!$E$3:$F$19,2,FALSE)+1,7))</f>
        <v>45301</v>
      </c>
      <c r="K155" s="19">
        <f t="shared" si="2"/>
        <v>1</v>
      </c>
      <c r="L155" s="6" t="str">
        <f t="shared" si="3"/>
        <v>DS</v>
      </c>
    </row>
    <row r="156" ht="14.25" customHeight="1">
      <c r="A156" s="14" t="str">
        <f>Base_report!A155</f>
        <v>N'ZI</v>
      </c>
      <c r="B156" s="14" t="str">
        <f>Base_report!B155</f>
        <v>DECEMBRE 2023</v>
      </c>
      <c r="C156" s="15" t="str">
        <f>Base_report!C155</f>
        <v>C4083</v>
      </c>
      <c r="D156" s="14" t="str">
        <f>TRIM(IF(ISNUMBER(FIND("PNSME",Base_report!D155,1)),SUBSTITUTE(Base_report!D155,"PNSME",""),IF(ISNUMBER(FIND("PHG",Base_report!D155,1)),SUBSTITUTE(Base_report!D155,"PHG",""),IF(ISNUMBER(FIND("PCS",Base_report!D155,1)),SUBSTITUTE(Base_report!D155,"PCS",""),IF(ISNUMBER(FIND("CMU",Base_report!D155,1)),SUBSTITUTE(Base_report!D155,"CMU",""),Base_report!D155)))))</f>
        <v>DISTRICT SANITAIRE KOUASSI KOUASSIKRO</v>
      </c>
      <c r="E156" s="14" t="str">
        <f>SUBSTITUTE(Base_report!E155,"-","/")</f>
        <v>PNSME/MEDICAMENTS ET INTRANTS</v>
      </c>
      <c r="F156" s="14" t="s">
        <v>788</v>
      </c>
      <c r="G156" s="16">
        <f>DATE(YEAR(SUBSTITUTE(LEFT(Base_report!F155,10),"-","/")),MONTH(SUBSTITUTE(LEFT(Base_report!F155,10),"-","/")),DAY(SUBSTITUTE(LEFT(Base_report!F155,10),"-","/")))</f>
        <v>45301</v>
      </c>
      <c r="H156" s="16">
        <f>DATE(YEAR(SUBSTITUTE(LEFT(Base_report!G155,10),"-","/")),MONTH(SUBSTITUTE(LEFT(Base_report!G155,10),"-","/")),DAY(SUBSTITUTE(LEFT(Base_report!G155,10),"-","/")))</f>
        <v>45301</v>
      </c>
      <c r="I156" s="17" t="str">
        <f t="shared" si="1"/>
        <v>OUI</v>
      </c>
      <c r="J156" s="18">
        <f>IF(L156="DS",DATE(RIGHT(B156,4),VLOOKUP(LEFT(B156,LEN(B156)-5),Feuil1!$E$3:$F$19,2,FALSE)+1,10),DATE(RIGHT(B156,4),VLOOKUP(LEFT(B156,LEN(B156)-5),Feuil1!$E$3:$F$19,2,FALSE)+1,7))</f>
        <v>45301</v>
      </c>
      <c r="K156" s="19">
        <f t="shared" si="2"/>
        <v>1</v>
      </c>
      <c r="L156" s="6" t="str">
        <f t="shared" si="3"/>
        <v>DS</v>
      </c>
    </row>
    <row r="157" ht="14.25" customHeight="1">
      <c r="A157" s="14" t="str">
        <f>Base_report!A156</f>
        <v>SUD-COMOE</v>
      </c>
      <c r="B157" s="14" t="str">
        <f>Base_report!B156</f>
        <v>DECEMBRE 2023</v>
      </c>
      <c r="C157" s="15" t="str">
        <f>Base_report!C156</f>
        <v>C1048</v>
      </c>
      <c r="D157" s="14" t="str">
        <f>TRIM(IF(ISNUMBER(FIND("PNSME",Base_report!D156,1)),SUBSTITUTE(Base_report!D156,"PNSME",""),IF(ISNUMBER(FIND("PHG",Base_report!D156,1)),SUBSTITUTE(Base_report!D156,"PHG",""),IF(ISNUMBER(FIND("PCS",Base_report!D156,1)),SUBSTITUTE(Base_report!D156,"PCS",""),IF(ISNUMBER(FIND("CMU",Base_report!D156,1)),SUBSTITUTE(Base_report!D156,"CMU",""),Base_report!D156)))))</f>
        <v>DISTRICT SANITAIRE GRAND-BASSAM</v>
      </c>
      <c r="E157" s="14" t="str">
        <f>SUBSTITUTE(Base_report!E156,"-","/")</f>
        <v>PNLS/TESTS RAPIDES ET CONSOMMABLES</v>
      </c>
      <c r="F157" s="14" t="s">
        <v>788</v>
      </c>
      <c r="G157" s="16">
        <f>DATE(YEAR(SUBSTITUTE(LEFT(Base_report!F156,10),"-","/")),MONTH(SUBSTITUTE(LEFT(Base_report!F156,10),"-","/")),DAY(SUBSTITUTE(LEFT(Base_report!F156,10),"-","/")))</f>
        <v>45301</v>
      </c>
      <c r="H157" s="16">
        <f>DATE(YEAR(SUBSTITUTE(LEFT(Base_report!G156,10),"-","/")),MONTH(SUBSTITUTE(LEFT(Base_report!G156,10),"-","/")),DAY(SUBSTITUTE(LEFT(Base_report!G156,10),"-","/")))</f>
        <v>45301</v>
      </c>
      <c r="I157" s="17" t="str">
        <f t="shared" si="1"/>
        <v>OUI</v>
      </c>
      <c r="J157" s="18">
        <f>IF(L157="DS",DATE(RIGHT(B157,4),VLOOKUP(LEFT(B157,LEN(B157)-5),Feuil1!$E$3:$F$19,2,FALSE)+1,10),DATE(RIGHT(B157,4),VLOOKUP(LEFT(B157,LEN(B157)-5),Feuil1!$E$3:$F$19,2,FALSE)+1,7))</f>
        <v>45301</v>
      </c>
      <c r="K157" s="19">
        <f t="shared" si="2"/>
        <v>1</v>
      </c>
      <c r="L157" s="6" t="str">
        <f t="shared" si="3"/>
        <v>DS</v>
      </c>
    </row>
    <row r="158" ht="14.25" customHeight="1">
      <c r="A158" s="14" t="str">
        <f>Base_report!A157</f>
        <v>NAWA</v>
      </c>
      <c r="B158" s="14" t="str">
        <f>Base_report!B157</f>
        <v>DECEMBRE 2023</v>
      </c>
      <c r="C158" s="15" t="str">
        <f>Base_report!C157</f>
        <v>C2213</v>
      </c>
      <c r="D158" s="14" t="str">
        <f>TRIM(IF(ISNUMBER(FIND("PNSME",Base_report!D157,1)),SUBSTITUTE(Base_report!D157,"PNSME",""),IF(ISNUMBER(FIND("PHG",Base_report!D157,1)),SUBSTITUTE(Base_report!D157,"PHG",""),IF(ISNUMBER(FIND("PCS",Base_report!D157,1)),SUBSTITUTE(Base_report!D157,"PCS",""),IF(ISNUMBER(FIND("CMU",Base_report!D157,1)),SUBSTITUTE(Base_report!D157,"CMU",""),Base_report!D157)))))</f>
        <v>DISTRICT SANITAIRE BUYO</v>
      </c>
      <c r="E158" s="14" t="str">
        <f>SUBSTITUTE(Base_report!E157,"-","/")</f>
        <v>PNLS/TESTS RAPIDES ET CONSOMMABLES</v>
      </c>
      <c r="F158" s="14" t="s">
        <v>788</v>
      </c>
      <c r="G158" s="16">
        <f>DATE(YEAR(SUBSTITUTE(LEFT(Base_report!F157,10),"-","/")),MONTH(SUBSTITUTE(LEFT(Base_report!F157,10),"-","/")),DAY(SUBSTITUTE(LEFT(Base_report!F157,10),"-","/")))</f>
        <v>45301</v>
      </c>
      <c r="H158" s="16">
        <f>DATE(YEAR(SUBSTITUTE(LEFT(Base_report!G157,10),"-","/")),MONTH(SUBSTITUTE(LEFT(Base_report!G157,10),"-","/")),DAY(SUBSTITUTE(LEFT(Base_report!G157,10),"-","/")))</f>
        <v>45301</v>
      </c>
      <c r="I158" s="17" t="str">
        <f t="shared" si="1"/>
        <v>OUI</v>
      </c>
      <c r="J158" s="18">
        <f>IF(L158="DS",DATE(RIGHT(B158,4),VLOOKUP(LEFT(B158,LEN(B158)-5),Feuil1!$E$3:$F$19,2,FALSE)+1,10),DATE(RIGHT(B158,4),VLOOKUP(LEFT(B158,LEN(B158)-5),Feuil1!$E$3:$F$19,2,FALSE)+1,7))</f>
        <v>45301</v>
      </c>
      <c r="K158" s="19">
        <f t="shared" si="2"/>
        <v>1</v>
      </c>
      <c r="L158" s="6" t="str">
        <f t="shared" si="3"/>
        <v>DS</v>
      </c>
    </row>
    <row r="159" ht="14.25" customHeight="1">
      <c r="A159" s="14" t="str">
        <f>Base_report!A158</f>
        <v>PORO</v>
      </c>
      <c r="B159" s="14" t="str">
        <f>Base_report!B158</f>
        <v>DECEMBRE 2023</v>
      </c>
      <c r="C159" s="15" t="str">
        <f>Base_report!C158</f>
        <v>C3006</v>
      </c>
      <c r="D159" s="14" t="str">
        <f>TRIM(IF(ISNUMBER(FIND("PNSME",Base_report!D158,1)),SUBSTITUTE(Base_report!D158,"PNSME",""),IF(ISNUMBER(FIND("PHG",Base_report!D158,1)),SUBSTITUTE(Base_report!D158,"PHG",""),IF(ISNUMBER(FIND("PCS",Base_report!D158,1)),SUBSTITUTE(Base_report!D158,"PCS",""),IF(ISNUMBER(FIND("CMU",Base_report!D158,1)),SUBSTITUTE(Base_report!D158,"CMU",""),Base_report!D158)))))</f>
        <v>DISTRICT SANITAIRE KORHOGO 1</v>
      </c>
      <c r="E159" s="14" t="str">
        <f>SUBSTITUTE(Base_report!E158,"-","/")</f>
        <v>PNLS/TESTS RAPIDES ET CONSOMMABLES</v>
      </c>
      <c r="F159" s="14" t="s">
        <v>788</v>
      </c>
      <c r="G159" s="16">
        <f>DATE(YEAR(SUBSTITUTE(LEFT(Base_report!F158,10),"-","/")),MONTH(SUBSTITUTE(LEFT(Base_report!F158,10),"-","/")),DAY(SUBSTITUTE(LEFT(Base_report!F158,10),"-","/")))</f>
        <v>45301</v>
      </c>
      <c r="H159" s="16">
        <f>DATE(YEAR(SUBSTITUTE(LEFT(Base_report!G158,10),"-","/")),MONTH(SUBSTITUTE(LEFT(Base_report!G158,10),"-","/")),DAY(SUBSTITUTE(LEFT(Base_report!G158,10),"-","/")))</f>
        <v>45301</v>
      </c>
      <c r="I159" s="17" t="str">
        <f t="shared" si="1"/>
        <v>OUI</v>
      </c>
      <c r="J159" s="18">
        <f>IF(L159="DS",DATE(RIGHT(B159,4),VLOOKUP(LEFT(B159,LEN(B159)-5),Feuil1!$E$3:$F$19,2,FALSE)+1,10),DATE(RIGHT(B159,4),VLOOKUP(LEFT(B159,LEN(B159)-5),Feuil1!$E$3:$F$19,2,FALSE)+1,7))</f>
        <v>45301</v>
      </c>
      <c r="K159" s="19">
        <f t="shared" si="2"/>
        <v>1</v>
      </c>
      <c r="L159" s="6" t="str">
        <f t="shared" si="3"/>
        <v>DS</v>
      </c>
    </row>
    <row r="160" ht="14.25" customHeight="1">
      <c r="A160" s="14" t="str">
        <f>Base_report!A159</f>
        <v>GONTOUGO</v>
      </c>
      <c r="B160" s="14" t="str">
        <f>Base_report!B159</f>
        <v>DECEMBRE 2023</v>
      </c>
      <c r="C160" s="15" t="str">
        <f>Base_report!C159</f>
        <v>C4007</v>
      </c>
      <c r="D160" s="14" t="str">
        <f>TRIM(IF(ISNUMBER(FIND("PNSME",Base_report!D159,1)),SUBSTITUTE(Base_report!D159,"PNSME",""),IF(ISNUMBER(FIND("PHG",Base_report!D159,1)),SUBSTITUTE(Base_report!D159,"PHG",""),IF(ISNUMBER(FIND("PCS",Base_report!D159,1)),SUBSTITUTE(Base_report!D159,"PCS",""),IF(ISNUMBER(FIND("CMU",Base_report!D159,1)),SUBSTITUTE(Base_report!D159,"CMU",""),Base_report!D159)))))</f>
        <v>DISTRICT SANITAIRE BONDOUKOU</v>
      </c>
      <c r="E160" s="14" t="str">
        <f>SUBSTITUTE(Base_report!E159,"-","/")</f>
        <v>PNN/MEDICAMENTS ET INTRANTS</v>
      </c>
      <c r="F160" s="14" t="s">
        <v>788</v>
      </c>
      <c r="G160" s="16">
        <f>DATE(YEAR(SUBSTITUTE(LEFT(Base_report!F159,10),"-","/")),MONTH(SUBSTITUTE(LEFT(Base_report!F159,10),"-","/")),DAY(SUBSTITUTE(LEFT(Base_report!F159,10),"-","/")))</f>
        <v>45301</v>
      </c>
      <c r="H160" s="16">
        <f>DATE(YEAR(SUBSTITUTE(LEFT(Base_report!G159,10),"-","/")),MONTH(SUBSTITUTE(LEFT(Base_report!G159,10),"-","/")),DAY(SUBSTITUTE(LEFT(Base_report!G159,10),"-","/")))</f>
        <v>45301</v>
      </c>
      <c r="I160" s="17" t="str">
        <f t="shared" si="1"/>
        <v>OUI</v>
      </c>
      <c r="J160" s="18">
        <f>IF(L160="DS",DATE(RIGHT(B160,4),VLOOKUP(LEFT(B160,LEN(B160)-5),Feuil1!$E$3:$F$19,2,FALSE)+1,10),DATE(RIGHT(B160,4),VLOOKUP(LEFT(B160,LEN(B160)-5),Feuil1!$E$3:$F$19,2,FALSE)+1,7))</f>
        <v>45301</v>
      </c>
      <c r="K160" s="19">
        <f t="shared" si="2"/>
        <v>1</v>
      </c>
      <c r="L160" s="6" t="str">
        <f t="shared" si="3"/>
        <v>DS</v>
      </c>
    </row>
    <row r="161" ht="14.25" customHeight="1">
      <c r="A161" s="14" t="str">
        <f>Base_report!A160</f>
        <v>GONTOUGO</v>
      </c>
      <c r="B161" s="14" t="str">
        <f>Base_report!B160</f>
        <v>DECEMBRE 2023</v>
      </c>
      <c r="C161" s="15" t="str">
        <f>Base_report!C160</f>
        <v>C4007</v>
      </c>
      <c r="D161" s="14" t="str">
        <f>TRIM(IF(ISNUMBER(FIND("PNSME",Base_report!D160,1)),SUBSTITUTE(Base_report!D160,"PNSME",""),IF(ISNUMBER(FIND("PHG",Base_report!D160,1)),SUBSTITUTE(Base_report!D160,"PHG",""),IF(ISNUMBER(FIND("PCS",Base_report!D160,1)),SUBSTITUTE(Base_report!D160,"PCS",""),IF(ISNUMBER(FIND("CMU",Base_report!D160,1)),SUBSTITUTE(Base_report!D160,"CMU",""),Base_report!D160)))))</f>
        <v>DISTRICT SANITAIRE BONDOUKOU</v>
      </c>
      <c r="E161" s="14" t="str">
        <f>SUBSTITUTE(Base_report!E160,"-","/")</f>
        <v>PNSME/MEDICAMENTS ET INTRANTS</v>
      </c>
      <c r="F161" s="14" t="s">
        <v>788</v>
      </c>
      <c r="G161" s="16">
        <f>DATE(YEAR(SUBSTITUTE(LEFT(Base_report!F160,10),"-","/")),MONTH(SUBSTITUTE(LEFT(Base_report!F160,10),"-","/")),DAY(SUBSTITUTE(LEFT(Base_report!F160,10),"-","/")))</f>
        <v>45301</v>
      </c>
      <c r="H161" s="16">
        <f>DATE(YEAR(SUBSTITUTE(LEFT(Base_report!G160,10),"-","/")),MONTH(SUBSTITUTE(LEFT(Base_report!G160,10),"-","/")),DAY(SUBSTITUTE(LEFT(Base_report!G160,10),"-","/")))</f>
        <v>45301</v>
      </c>
      <c r="I161" s="17" t="str">
        <f t="shared" si="1"/>
        <v>OUI</v>
      </c>
      <c r="J161" s="18">
        <f>IF(L161="DS",DATE(RIGHT(B161,4),VLOOKUP(LEFT(B161,LEN(B161)-5),Feuil1!$E$3:$F$19,2,FALSE)+1,10),DATE(RIGHT(B161,4),VLOOKUP(LEFT(B161,LEN(B161)-5),Feuil1!$E$3:$F$19,2,FALSE)+1,7))</f>
        <v>45301</v>
      </c>
      <c r="K161" s="19">
        <f t="shared" si="2"/>
        <v>1</v>
      </c>
      <c r="L161" s="6" t="str">
        <f t="shared" si="3"/>
        <v>DS</v>
      </c>
    </row>
    <row r="162" ht="14.25" customHeight="1">
      <c r="A162" s="14" t="str">
        <f>Base_report!A161</f>
        <v>ABIDJAN 1</v>
      </c>
      <c r="B162" s="14" t="str">
        <f>Base_report!B161</f>
        <v>DECEMBRE 2023</v>
      </c>
      <c r="C162" s="15" t="str">
        <f>Base_report!C161</f>
        <v>C1412</v>
      </c>
      <c r="D162" s="14" t="str">
        <f>TRIM(IF(ISNUMBER(FIND("PNSME",Base_report!D161,1)),SUBSTITUTE(Base_report!D161,"PNSME",""),IF(ISNUMBER(FIND("PHG",Base_report!D161,1)),SUBSTITUTE(Base_report!D161,"PHG",""),IF(ISNUMBER(FIND("PCS",Base_report!D161,1)),SUBSTITUTE(Base_report!D161,"PCS",""),IF(ISNUMBER(FIND("CMU",Base_report!D161,1)),SUBSTITUTE(Base_report!D161,"CMU",""),Base_report!D161)))))</f>
        <v>DISTRICT SANITAIRE ANYAMA</v>
      </c>
      <c r="E162" s="14" t="str">
        <f>SUBSTITUTE(Base_report!E161,"-","/")</f>
        <v>PNLP/MEDICAMENTS ET INTRANTS</v>
      </c>
      <c r="F162" s="14" t="s">
        <v>788</v>
      </c>
      <c r="G162" s="16">
        <f>DATE(YEAR(SUBSTITUTE(LEFT(Base_report!F161,10),"-","/")),MONTH(SUBSTITUTE(LEFT(Base_report!F161,10),"-","/")),DAY(SUBSTITUTE(LEFT(Base_report!F161,10),"-","/")))</f>
        <v>45301</v>
      </c>
      <c r="H162" s="16">
        <f>DATE(YEAR(SUBSTITUTE(LEFT(Base_report!G161,10),"-","/")),MONTH(SUBSTITUTE(LEFT(Base_report!G161,10),"-","/")),DAY(SUBSTITUTE(LEFT(Base_report!G161,10),"-","/")))</f>
        <v>45301</v>
      </c>
      <c r="I162" s="17" t="str">
        <f t="shared" si="1"/>
        <v>OUI</v>
      </c>
      <c r="J162" s="18">
        <f>IF(L162="DS",DATE(RIGHT(B162,4),VLOOKUP(LEFT(B162,LEN(B162)-5),Feuil1!$E$3:$F$19,2,FALSE)+1,10),DATE(RIGHT(B162,4),VLOOKUP(LEFT(B162,LEN(B162)-5),Feuil1!$E$3:$F$19,2,FALSE)+1,7))</f>
        <v>45301</v>
      </c>
      <c r="K162" s="19">
        <f t="shared" si="2"/>
        <v>1</v>
      </c>
      <c r="L162" s="6" t="str">
        <f t="shared" si="3"/>
        <v>DS</v>
      </c>
    </row>
    <row r="163" ht="14.25" customHeight="1">
      <c r="A163" s="14" t="str">
        <f>Base_report!A162</f>
        <v>HAUT-SASSANDRA</v>
      </c>
      <c r="B163" s="14" t="str">
        <f>Base_report!B162</f>
        <v>DECEMBRE 2023</v>
      </c>
      <c r="C163" s="15" t="str">
        <f>Base_report!C162</f>
        <v>C2044</v>
      </c>
      <c r="D163" s="14" t="str">
        <f>TRIM(IF(ISNUMBER(FIND("PNSME",Base_report!D162,1)),SUBSTITUTE(Base_report!D162,"PNSME",""),IF(ISNUMBER(FIND("PHG",Base_report!D162,1)),SUBSTITUTE(Base_report!D162,"PHG",""),IF(ISNUMBER(FIND("PCS",Base_report!D162,1)),SUBSTITUTE(Base_report!D162,"PCS",""),IF(ISNUMBER(FIND("CMU",Base_report!D162,1)),SUBSTITUTE(Base_report!D162,"CMU",""),Base_report!D162)))))</f>
        <v>DISTRICT SANITAIRE VAVOUA</v>
      </c>
      <c r="E163" s="14" t="str">
        <f>SUBSTITUTE(Base_report!E162,"-","/")</f>
        <v>PNLP/MEDICAMENTS ET INTRANTS</v>
      </c>
      <c r="F163" s="14" t="s">
        <v>788</v>
      </c>
      <c r="G163" s="16">
        <f>DATE(YEAR(SUBSTITUTE(LEFT(Base_report!F162,10),"-","/")),MONTH(SUBSTITUTE(LEFT(Base_report!F162,10),"-","/")),DAY(SUBSTITUTE(LEFT(Base_report!F162,10),"-","/")))</f>
        <v>45301</v>
      </c>
      <c r="H163" s="16">
        <f>DATE(YEAR(SUBSTITUTE(LEFT(Base_report!G162,10),"-","/")),MONTH(SUBSTITUTE(LEFT(Base_report!G162,10),"-","/")),DAY(SUBSTITUTE(LEFT(Base_report!G162,10),"-","/")))</f>
        <v>45301</v>
      </c>
      <c r="I163" s="17" t="str">
        <f t="shared" si="1"/>
        <v>OUI</v>
      </c>
      <c r="J163" s="18">
        <f>IF(L163="DS",DATE(RIGHT(B163,4),VLOOKUP(LEFT(B163,LEN(B163)-5),Feuil1!$E$3:$F$19,2,FALSE)+1,10),DATE(RIGHT(B163,4),VLOOKUP(LEFT(B163,LEN(B163)-5),Feuil1!$E$3:$F$19,2,FALSE)+1,7))</f>
        <v>45301</v>
      </c>
      <c r="K163" s="19">
        <f t="shared" si="2"/>
        <v>1</v>
      </c>
      <c r="L163" s="6" t="str">
        <f t="shared" si="3"/>
        <v>DS</v>
      </c>
    </row>
    <row r="164" ht="14.25" customHeight="1">
      <c r="A164" s="14" t="str">
        <f>Base_report!A163</f>
        <v>INDENIE-DJUABLIN</v>
      </c>
      <c r="B164" s="14" t="str">
        <f>Base_report!B163</f>
        <v>DECEMBRE 2023</v>
      </c>
      <c r="C164" s="15" t="str">
        <f>Base_report!C163</f>
        <v>C4005</v>
      </c>
      <c r="D164" s="14" t="str">
        <f>TRIM(IF(ISNUMBER(FIND("PNSME",Base_report!D163,1)),SUBSTITUTE(Base_report!D163,"PNSME",""),IF(ISNUMBER(FIND("PHG",Base_report!D163,1)),SUBSTITUTE(Base_report!D163,"PHG",""),IF(ISNUMBER(FIND("PCS",Base_report!D163,1)),SUBSTITUTE(Base_report!D163,"PCS",""),IF(ISNUMBER(FIND("CMU",Base_report!D163,1)),SUBSTITUTE(Base_report!D163,"CMU",""),Base_report!D163)))))</f>
        <v>DISTRICT SANITAIRE AGNIBILEKROU</v>
      </c>
      <c r="E164" s="14" t="str">
        <f>SUBSTITUTE(Base_report!E163,"-","/")</f>
        <v>PNLS/ANTIRETROVIRAUX ET IO</v>
      </c>
      <c r="F164" s="14" t="s">
        <v>788</v>
      </c>
      <c r="G164" s="16">
        <f>DATE(YEAR(SUBSTITUTE(LEFT(Base_report!F163,10),"-","/")),MONTH(SUBSTITUTE(LEFT(Base_report!F163,10),"-","/")),DAY(SUBSTITUTE(LEFT(Base_report!F163,10),"-","/")))</f>
        <v>45301</v>
      </c>
      <c r="H164" s="16">
        <f>DATE(YEAR(SUBSTITUTE(LEFT(Base_report!G163,10),"-","/")),MONTH(SUBSTITUTE(LEFT(Base_report!G163,10),"-","/")),DAY(SUBSTITUTE(LEFT(Base_report!G163,10),"-","/")))</f>
        <v>45301</v>
      </c>
      <c r="I164" s="17" t="str">
        <f t="shared" si="1"/>
        <v>OUI</v>
      </c>
      <c r="J164" s="18">
        <f>IF(L164="DS",DATE(RIGHT(B164,4),VLOOKUP(LEFT(B164,LEN(B164)-5),Feuil1!$E$3:$F$19,2,FALSE)+1,10),DATE(RIGHT(B164,4),VLOOKUP(LEFT(B164,LEN(B164)-5),Feuil1!$E$3:$F$19,2,FALSE)+1,7))</f>
        <v>45301</v>
      </c>
      <c r="K164" s="19">
        <f t="shared" si="2"/>
        <v>1</v>
      </c>
      <c r="L164" s="6" t="str">
        <f t="shared" si="3"/>
        <v>DS</v>
      </c>
    </row>
    <row r="165" ht="14.25" customHeight="1">
      <c r="A165" s="14" t="str">
        <f>Base_report!A164</f>
        <v>GONTOUGO</v>
      </c>
      <c r="B165" s="14" t="str">
        <f>Base_report!B164</f>
        <v>DECEMBRE 2023</v>
      </c>
      <c r="C165" s="15" t="str">
        <f>Base_report!C164</f>
        <v>C4007</v>
      </c>
      <c r="D165" s="14" t="str">
        <f>TRIM(IF(ISNUMBER(FIND("PNSME",Base_report!D164,1)),SUBSTITUTE(Base_report!D164,"PNSME",""),IF(ISNUMBER(FIND("PHG",Base_report!D164,1)),SUBSTITUTE(Base_report!D164,"PHG",""),IF(ISNUMBER(FIND("PCS",Base_report!D164,1)),SUBSTITUTE(Base_report!D164,"PCS",""),IF(ISNUMBER(FIND("CMU",Base_report!D164,1)),SUBSTITUTE(Base_report!D164,"CMU",""),Base_report!D164)))))</f>
        <v>DISTRICT SANITAIRE BONDOUKOU</v>
      </c>
      <c r="E165" s="14" t="str">
        <f>SUBSTITUTE(Base_report!E164,"-","/")</f>
        <v>PNLS/CHARGES VIRALES</v>
      </c>
      <c r="F165" s="14" t="s">
        <v>788</v>
      </c>
      <c r="G165" s="16">
        <f>DATE(YEAR(SUBSTITUTE(LEFT(Base_report!F164,10),"-","/")),MONTH(SUBSTITUTE(LEFT(Base_report!F164,10),"-","/")),DAY(SUBSTITUTE(LEFT(Base_report!F164,10),"-","/")))</f>
        <v>45301</v>
      </c>
      <c r="H165" s="16">
        <f>DATE(YEAR(SUBSTITUTE(LEFT(Base_report!G164,10),"-","/")),MONTH(SUBSTITUTE(LEFT(Base_report!G164,10),"-","/")),DAY(SUBSTITUTE(LEFT(Base_report!G164,10),"-","/")))</f>
        <v>45301</v>
      </c>
      <c r="I165" s="17" t="str">
        <f t="shared" si="1"/>
        <v>OUI</v>
      </c>
      <c r="J165" s="18">
        <f>IF(L165="DS",DATE(RIGHT(B165,4),VLOOKUP(LEFT(B165,LEN(B165)-5),Feuil1!$E$3:$F$19,2,FALSE)+1,10),DATE(RIGHT(B165,4),VLOOKUP(LEFT(B165,LEN(B165)-5),Feuil1!$E$3:$F$19,2,FALSE)+1,7))</f>
        <v>45301</v>
      </c>
      <c r="K165" s="19">
        <f t="shared" si="2"/>
        <v>1</v>
      </c>
      <c r="L165" s="6" t="str">
        <f t="shared" si="3"/>
        <v>DS</v>
      </c>
    </row>
    <row r="166" ht="14.25" customHeight="1">
      <c r="A166" s="14" t="str">
        <f>Base_report!A165</f>
        <v>BELIER</v>
      </c>
      <c r="B166" s="14" t="str">
        <f>Base_report!B165</f>
        <v>DECEMBRE 2023</v>
      </c>
      <c r="C166" s="15" t="str">
        <f>Base_report!C165</f>
        <v>C2026</v>
      </c>
      <c r="D166" s="14" t="str">
        <f>TRIM(IF(ISNUMBER(FIND("PNSME",Base_report!D165,1)),SUBSTITUTE(Base_report!D165,"PNSME",""),IF(ISNUMBER(FIND("PHG",Base_report!D165,1)),SUBSTITUTE(Base_report!D165,"PHG",""),IF(ISNUMBER(FIND("PCS",Base_report!D165,1)),SUBSTITUTE(Base_report!D165,"PCS",""),IF(ISNUMBER(FIND("CMU",Base_report!D165,1)),SUBSTITUTE(Base_report!D165,"CMU",""),Base_report!D165)))))</f>
        <v>DISTRICT SANITAIRE DIDIEVI</v>
      </c>
      <c r="E166" s="14" t="str">
        <f>SUBSTITUTE(Base_report!E165,"-","/")</f>
        <v>PNLS/ANTIRETROVIRAUX ET IO</v>
      </c>
      <c r="F166" s="14" t="s">
        <v>788</v>
      </c>
      <c r="G166" s="16">
        <f>DATE(YEAR(SUBSTITUTE(LEFT(Base_report!F165,10),"-","/")),MONTH(SUBSTITUTE(LEFT(Base_report!F165,10),"-","/")),DAY(SUBSTITUTE(LEFT(Base_report!F165,10),"-","/")))</f>
        <v>45301</v>
      </c>
      <c r="H166" s="16">
        <f>DATE(YEAR(SUBSTITUTE(LEFT(Base_report!G165,10),"-","/")),MONTH(SUBSTITUTE(LEFT(Base_report!G165,10),"-","/")),DAY(SUBSTITUTE(LEFT(Base_report!G165,10),"-","/")))</f>
        <v>45301</v>
      </c>
      <c r="I166" s="17" t="str">
        <f t="shared" si="1"/>
        <v>OUI</v>
      </c>
      <c r="J166" s="18">
        <f>IF(L166="DS",DATE(RIGHT(B166,4),VLOOKUP(LEFT(B166,LEN(B166)-5),Feuil1!$E$3:$F$19,2,FALSE)+1,10),DATE(RIGHT(B166,4),VLOOKUP(LEFT(B166,LEN(B166)-5),Feuil1!$E$3:$F$19,2,FALSE)+1,7))</f>
        <v>45301</v>
      </c>
      <c r="K166" s="19">
        <f t="shared" si="2"/>
        <v>1</v>
      </c>
      <c r="L166" s="6" t="str">
        <f t="shared" si="3"/>
        <v>DS</v>
      </c>
    </row>
    <row r="167" ht="14.25" customHeight="1">
      <c r="A167" s="14" t="str">
        <f>Base_report!A166</f>
        <v>BOUNKANI</v>
      </c>
      <c r="B167" s="14" t="str">
        <f>Base_report!B166</f>
        <v>DECEMBRE 2023</v>
      </c>
      <c r="C167" s="15" t="str">
        <f>Base_report!C166</f>
        <v>C4050</v>
      </c>
      <c r="D167" s="14" t="str">
        <f>TRIM(IF(ISNUMBER(FIND("PNSME",Base_report!D166,1)),SUBSTITUTE(Base_report!D166,"PNSME",""),IF(ISNUMBER(FIND("PHG",Base_report!D166,1)),SUBSTITUTE(Base_report!D166,"PHG",""),IF(ISNUMBER(FIND("PCS",Base_report!D166,1)),SUBSTITUTE(Base_report!D166,"PCS",""),IF(ISNUMBER(FIND("CMU",Base_report!D166,1)),SUBSTITUTE(Base_report!D166,"CMU",""),Base_report!D166)))))</f>
        <v>DISTRICT SANITAIRE NASSIAN</v>
      </c>
      <c r="E167" s="14" t="str">
        <f>SUBSTITUTE(Base_report!E166,"-","/")</f>
        <v>PNLS/ANTIRETROVIRAUX ET IO</v>
      </c>
      <c r="F167" s="14" t="s">
        <v>788</v>
      </c>
      <c r="G167" s="16">
        <f>DATE(YEAR(SUBSTITUTE(LEFT(Base_report!F166,10),"-","/")),MONTH(SUBSTITUTE(LEFT(Base_report!F166,10),"-","/")),DAY(SUBSTITUTE(LEFT(Base_report!F166,10),"-","/")))</f>
        <v>45301</v>
      </c>
      <c r="H167" s="16">
        <f>DATE(YEAR(SUBSTITUTE(LEFT(Base_report!G166,10),"-","/")),MONTH(SUBSTITUTE(LEFT(Base_report!G166,10),"-","/")),DAY(SUBSTITUTE(LEFT(Base_report!G166,10),"-","/")))</f>
        <v>45301</v>
      </c>
      <c r="I167" s="17" t="str">
        <f t="shared" si="1"/>
        <v>OUI</v>
      </c>
      <c r="J167" s="18">
        <f>IF(L167="DS",DATE(RIGHT(B167,4),VLOOKUP(LEFT(B167,LEN(B167)-5),Feuil1!$E$3:$F$19,2,FALSE)+1,10),DATE(RIGHT(B167,4),VLOOKUP(LEFT(B167,LEN(B167)-5),Feuil1!$E$3:$F$19,2,FALSE)+1,7))</f>
        <v>45301</v>
      </c>
      <c r="K167" s="19">
        <f t="shared" si="2"/>
        <v>1</v>
      </c>
      <c r="L167" s="6" t="str">
        <f t="shared" si="3"/>
        <v>DS</v>
      </c>
    </row>
    <row r="168" ht="14.25" customHeight="1">
      <c r="A168" s="14" t="str">
        <f>Base_report!A167</f>
        <v>GBEKE</v>
      </c>
      <c r="B168" s="14" t="str">
        <f>Base_report!B167</f>
        <v>DECEMBRE 2023</v>
      </c>
      <c r="C168" s="15" t="str">
        <f>Base_report!C167</f>
        <v>C2024</v>
      </c>
      <c r="D168" s="14" t="str">
        <f>TRIM(IF(ISNUMBER(FIND("PNSME",Base_report!D167,1)),SUBSTITUTE(Base_report!D167,"PNSME",""),IF(ISNUMBER(FIND("PHG",Base_report!D167,1)),SUBSTITUTE(Base_report!D167,"PHG",""),IF(ISNUMBER(FIND("PCS",Base_report!D167,1)),SUBSTITUTE(Base_report!D167,"PCS",""),IF(ISNUMBER(FIND("CMU",Base_report!D167,1)),SUBSTITUTE(Base_report!D167,"CMU",""),Base_report!D167)))))</f>
        <v>DISTRICT SANITAIRE BOUAKE SUD</v>
      </c>
      <c r="E168" s="14" t="str">
        <f>SUBSTITUTE(Base_report!E167,"-","/")</f>
        <v>PNN/MEDICAMENTS ET INTRANTS</v>
      </c>
      <c r="F168" s="14" t="s">
        <v>788</v>
      </c>
      <c r="G168" s="16">
        <f>DATE(YEAR(SUBSTITUTE(LEFT(Base_report!F167,10),"-","/")),MONTH(SUBSTITUTE(LEFT(Base_report!F167,10),"-","/")),DAY(SUBSTITUTE(LEFT(Base_report!F167,10),"-","/")))</f>
        <v>45301</v>
      </c>
      <c r="H168" s="16">
        <f>DATE(YEAR(SUBSTITUTE(LEFT(Base_report!G167,10),"-","/")),MONTH(SUBSTITUTE(LEFT(Base_report!G167,10),"-","/")),DAY(SUBSTITUTE(LEFT(Base_report!G167,10),"-","/")))</f>
        <v>45301</v>
      </c>
      <c r="I168" s="17" t="str">
        <f t="shared" si="1"/>
        <v>OUI</v>
      </c>
      <c r="J168" s="18">
        <f>IF(L168="DS",DATE(RIGHT(B168,4),VLOOKUP(LEFT(B168,LEN(B168)-5),Feuil1!$E$3:$F$19,2,FALSE)+1,10),DATE(RIGHT(B168,4),VLOOKUP(LEFT(B168,LEN(B168)-5),Feuil1!$E$3:$F$19,2,FALSE)+1,7))</f>
        <v>45301</v>
      </c>
      <c r="K168" s="19">
        <f t="shared" si="2"/>
        <v>1</v>
      </c>
      <c r="L168" s="6" t="str">
        <f t="shared" si="3"/>
        <v>DS</v>
      </c>
    </row>
    <row r="169" ht="14.25" customHeight="1">
      <c r="A169" s="14" t="str">
        <f>Base_report!A168</f>
        <v>CAVALLY</v>
      </c>
      <c r="B169" s="14" t="str">
        <f>Base_report!B168</f>
        <v>DECEMBRE 2023</v>
      </c>
      <c r="C169" s="15" t="str">
        <f>Base_report!C168</f>
        <v>C5011</v>
      </c>
      <c r="D169" s="14" t="str">
        <f>TRIM(IF(ISNUMBER(FIND("PNSME",Base_report!D168,1)),SUBSTITUTE(Base_report!D168,"PNSME",""),IF(ISNUMBER(FIND("PHG",Base_report!D168,1)),SUBSTITUTE(Base_report!D168,"PHG",""),IF(ISNUMBER(FIND("PCS",Base_report!D168,1)),SUBSTITUTE(Base_report!D168,"PCS",""),IF(ISNUMBER(FIND("CMU",Base_report!D168,1)),SUBSTITUTE(Base_report!D168,"CMU",""),Base_report!D168)))))</f>
        <v>DISTRICT SANITAIRE GUIGLO</v>
      </c>
      <c r="E169" s="14" t="str">
        <f>SUBSTITUTE(Base_report!E168,"-","/")</f>
        <v>PNLS/ANTIRETROVIRAUX ET IO</v>
      </c>
      <c r="F169" s="14" t="s">
        <v>788</v>
      </c>
      <c r="G169" s="16">
        <f>DATE(YEAR(SUBSTITUTE(LEFT(Base_report!F168,10),"-","/")),MONTH(SUBSTITUTE(LEFT(Base_report!F168,10),"-","/")),DAY(SUBSTITUTE(LEFT(Base_report!F168,10),"-","/")))</f>
        <v>45301</v>
      </c>
      <c r="H169" s="16">
        <f>DATE(YEAR(SUBSTITUTE(LEFT(Base_report!G168,10),"-","/")),MONTH(SUBSTITUTE(LEFT(Base_report!G168,10),"-","/")),DAY(SUBSTITUTE(LEFT(Base_report!G168,10),"-","/")))</f>
        <v>45301</v>
      </c>
      <c r="I169" s="17" t="str">
        <f t="shared" si="1"/>
        <v>OUI</v>
      </c>
      <c r="J169" s="18">
        <f>IF(L169="DS",DATE(RIGHT(B169,4),VLOOKUP(LEFT(B169,LEN(B169)-5),Feuil1!$E$3:$F$19,2,FALSE)+1,10),DATE(RIGHT(B169,4),VLOOKUP(LEFT(B169,LEN(B169)-5),Feuil1!$E$3:$F$19,2,FALSE)+1,7))</f>
        <v>45301</v>
      </c>
      <c r="K169" s="19">
        <f t="shared" si="2"/>
        <v>1</v>
      </c>
      <c r="L169" s="6" t="str">
        <f t="shared" si="3"/>
        <v>DS</v>
      </c>
    </row>
    <row r="170" ht="14.25" customHeight="1">
      <c r="A170" s="14" t="str">
        <f>Base_report!A169</f>
        <v>LOH-DJIBOUA</v>
      </c>
      <c r="B170" s="14" t="str">
        <f>Base_report!B169</f>
        <v>DECEMBRE 2023</v>
      </c>
      <c r="C170" s="15" t="str">
        <f>Base_report!C169</f>
        <v>C2032</v>
      </c>
      <c r="D170" s="14" t="str">
        <f>TRIM(IF(ISNUMBER(FIND("PNSME",Base_report!D169,1)),SUBSTITUTE(Base_report!D169,"PNSME",""),IF(ISNUMBER(FIND("PHG",Base_report!D169,1)),SUBSTITUTE(Base_report!D169,"PHG",""),IF(ISNUMBER(FIND("PCS",Base_report!D169,1)),SUBSTITUTE(Base_report!D169,"PCS",""),IF(ISNUMBER(FIND("CMU",Base_report!D169,1)),SUBSTITUTE(Base_report!D169,"CMU",""),Base_report!D169)))))</f>
        <v>DISTRICT SANITAIRE LAKOTA</v>
      </c>
      <c r="E170" s="14" t="str">
        <f>SUBSTITUTE(Base_report!E169,"-","/")</f>
        <v>PNLS/ANTIRETROVIRAUX ET IO</v>
      </c>
      <c r="F170" s="14" t="s">
        <v>788</v>
      </c>
      <c r="G170" s="16">
        <f>DATE(YEAR(SUBSTITUTE(LEFT(Base_report!F169,10),"-","/")),MONTH(SUBSTITUTE(LEFT(Base_report!F169,10),"-","/")),DAY(SUBSTITUTE(LEFT(Base_report!F169,10),"-","/")))</f>
        <v>45301</v>
      </c>
      <c r="H170" s="16">
        <f>DATE(YEAR(SUBSTITUTE(LEFT(Base_report!G169,10),"-","/")),MONTH(SUBSTITUTE(LEFT(Base_report!G169,10),"-","/")),DAY(SUBSTITUTE(LEFT(Base_report!G169,10),"-","/")))</f>
        <v>45301</v>
      </c>
      <c r="I170" s="17" t="str">
        <f t="shared" si="1"/>
        <v>OUI</v>
      </c>
      <c r="J170" s="18">
        <f>IF(L170="DS",DATE(RIGHT(B170,4),VLOOKUP(LEFT(B170,LEN(B170)-5),Feuil1!$E$3:$F$19,2,FALSE)+1,10),DATE(RIGHT(B170,4),VLOOKUP(LEFT(B170,LEN(B170)-5),Feuil1!$E$3:$F$19,2,FALSE)+1,7))</f>
        <v>45301</v>
      </c>
      <c r="K170" s="19">
        <f t="shared" si="2"/>
        <v>1</v>
      </c>
      <c r="L170" s="6" t="str">
        <f t="shared" si="3"/>
        <v>DS</v>
      </c>
    </row>
    <row r="171" ht="14.25" customHeight="1">
      <c r="A171" s="14" t="str">
        <f>Base_report!A170</f>
        <v>ABIDJAN 1</v>
      </c>
      <c r="B171" s="14" t="str">
        <f>Base_report!B170</f>
        <v>DECEMBRE 2023</v>
      </c>
      <c r="C171" s="15" t="str">
        <f>Base_report!C170</f>
        <v>C1415</v>
      </c>
      <c r="D171" s="14" t="str">
        <f>TRIM(IF(ISNUMBER(FIND("PNSME",Base_report!D170,1)),SUBSTITUTE(Base_report!D170,"PNSME",""),IF(ISNUMBER(FIND("PHG",Base_report!D170,1)),SUBSTITUTE(Base_report!D170,"PHG",""),IF(ISNUMBER(FIND("PCS",Base_report!D170,1)),SUBSTITUTE(Base_report!D170,"PCS",""),IF(ISNUMBER(FIND("CMU",Base_report!D170,1)),SUBSTITUTE(Base_report!D170,"CMU",""),Base_report!D170)))))</f>
        <v>DISTRICT SANITAIRE YOPOUGON EST</v>
      </c>
      <c r="E171" s="14" t="str">
        <f>SUBSTITUTE(Base_report!E170,"-","/")</f>
        <v>PNLS/ANTIRETROVIRAUX ET IO</v>
      </c>
      <c r="F171" s="14" t="s">
        <v>788</v>
      </c>
      <c r="G171" s="16">
        <f>DATE(YEAR(SUBSTITUTE(LEFT(Base_report!F170,10),"-","/")),MONTH(SUBSTITUTE(LEFT(Base_report!F170,10),"-","/")),DAY(SUBSTITUTE(LEFT(Base_report!F170,10),"-","/")))</f>
        <v>45301</v>
      </c>
      <c r="H171" s="16">
        <f>DATE(YEAR(SUBSTITUTE(LEFT(Base_report!G170,10),"-","/")),MONTH(SUBSTITUTE(LEFT(Base_report!G170,10),"-","/")),DAY(SUBSTITUTE(LEFT(Base_report!G170,10),"-","/")))</f>
        <v>45301</v>
      </c>
      <c r="I171" s="17" t="str">
        <f t="shared" si="1"/>
        <v>OUI</v>
      </c>
      <c r="J171" s="18">
        <f>IF(L171="DS",DATE(RIGHT(B171,4),VLOOKUP(LEFT(B171,LEN(B171)-5),Feuil1!$E$3:$F$19,2,FALSE)+1,10),DATE(RIGHT(B171,4),VLOOKUP(LEFT(B171,LEN(B171)-5),Feuil1!$E$3:$F$19,2,FALSE)+1,7))</f>
        <v>45301</v>
      </c>
      <c r="K171" s="19">
        <f t="shared" si="2"/>
        <v>1</v>
      </c>
      <c r="L171" s="6" t="str">
        <f t="shared" si="3"/>
        <v>DS</v>
      </c>
    </row>
    <row r="172" ht="14.25" customHeight="1">
      <c r="A172" s="14" t="str">
        <f>Base_report!A171</f>
        <v>ABIDJAN 1</v>
      </c>
      <c r="B172" s="14" t="str">
        <f>Base_report!B171</f>
        <v>DECEMBRE 2023</v>
      </c>
      <c r="C172" s="15" t="str">
        <f>Base_report!C171</f>
        <v>C1398</v>
      </c>
      <c r="D172" s="14" t="str">
        <f>TRIM(IF(ISNUMBER(FIND("PNSME",Base_report!D171,1)),SUBSTITUTE(Base_report!D171,"PNSME",""),IF(ISNUMBER(FIND("PHG",Base_report!D171,1)),SUBSTITUTE(Base_report!D171,"PHG",""),IF(ISNUMBER(FIND("PCS",Base_report!D171,1)),SUBSTITUTE(Base_report!D171,"PCS",""),IF(ISNUMBER(FIND("CMU",Base_report!D171,1)),SUBSTITUTE(Base_report!D171,"CMU",""),Base_report!D171)))))</f>
        <v>DISTRICT SANITAIRE ABOBO EST</v>
      </c>
      <c r="E172" s="14" t="str">
        <f>SUBSTITUTE(Base_report!E171,"-","/")</f>
        <v>PNLS/CHARGES VIRALES</v>
      </c>
      <c r="F172" s="14" t="s">
        <v>788</v>
      </c>
      <c r="G172" s="16">
        <f>DATE(YEAR(SUBSTITUTE(LEFT(Base_report!F171,10),"-","/")),MONTH(SUBSTITUTE(LEFT(Base_report!F171,10),"-","/")),DAY(SUBSTITUTE(LEFT(Base_report!F171,10),"-","/")))</f>
        <v>45301</v>
      </c>
      <c r="H172" s="16">
        <f>DATE(YEAR(SUBSTITUTE(LEFT(Base_report!G171,10),"-","/")),MONTH(SUBSTITUTE(LEFT(Base_report!G171,10),"-","/")),DAY(SUBSTITUTE(LEFT(Base_report!G171,10),"-","/")))</f>
        <v>45301</v>
      </c>
      <c r="I172" s="17" t="str">
        <f t="shared" si="1"/>
        <v>OUI</v>
      </c>
      <c r="J172" s="18">
        <f>IF(L172="DS",DATE(RIGHT(B172,4),VLOOKUP(LEFT(B172,LEN(B172)-5),Feuil1!$E$3:$F$19,2,FALSE)+1,10),DATE(RIGHT(B172,4),VLOOKUP(LEFT(B172,LEN(B172)-5),Feuil1!$E$3:$F$19,2,FALSE)+1,7))</f>
        <v>45301</v>
      </c>
      <c r="K172" s="19">
        <f t="shared" si="2"/>
        <v>1</v>
      </c>
      <c r="L172" s="6" t="str">
        <f t="shared" si="3"/>
        <v>DS</v>
      </c>
    </row>
    <row r="173" ht="14.25" customHeight="1">
      <c r="A173" s="14" t="str">
        <f>Base_report!A172</f>
        <v>GRANDS PONTS</v>
      </c>
      <c r="B173" s="14" t="str">
        <f>Base_report!B172</f>
        <v>DECEMBRE 2023</v>
      </c>
      <c r="C173" s="15" t="str">
        <f>Base_report!C172</f>
        <v>C1049</v>
      </c>
      <c r="D173" s="14" t="str">
        <f>TRIM(IF(ISNUMBER(FIND("PNSME",Base_report!D172,1)),SUBSTITUTE(Base_report!D172,"PNSME",""),IF(ISNUMBER(FIND("PHG",Base_report!D172,1)),SUBSTITUTE(Base_report!D172,"PHG",""),IF(ISNUMBER(FIND("PCS",Base_report!D172,1)),SUBSTITUTE(Base_report!D172,"PCS",""),IF(ISNUMBER(FIND("CMU",Base_report!D172,1)),SUBSTITUTE(Base_report!D172,"CMU",""),Base_report!D172)))))</f>
        <v>DISTRICT SANITAIRE GRAND-LAHOU</v>
      </c>
      <c r="E173" s="14" t="str">
        <f>SUBSTITUTE(Base_report!E172,"-","/")</f>
        <v>PNSME/MEDICAMENTS ET INTRANTS</v>
      </c>
      <c r="F173" s="14" t="s">
        <v>788</v>
      </c>
      <c r="G173" s="16">
        <f>DATE(YEAR(SUBSTITUTE(LEFT(Base_report!F172,10),"-","/")),MONTH(SUBSTITUTE(LEFT(Base_report!F172,10),"-","/")),DAY(SUBSTITUTE(LEFT(Base_report!F172,10),"-","/")))</f>
        <v>45301</v>
      </c>
      <c r="H173" s="16">
        <f>DATE(YEAR(SUBSTITUTE(LEFT(Base_report!G172,10),"-","/")),MONTH(SUBSTITUTE(LEFT(Base_report!G172,10),"-","/")),DAY(SUBSTITUTE(LEFT(Base_report!G172,10),"-","/")))</f>
        <v>45301</v>
      </c>
      <c r="I173" s="17" t="str">
        <f t="shared" si="1"/>
        <v>OUI</v>
      </c>
      <c r="J173" s="18">
        <f>IF(L173="DS",DATE(RIGHT(B173,4),VLOOKUP(LEFT(B173,LEN(B173)-5),Feuil1!$E$3:$F$19,2,FALSE)+1,10),DATE(RIGHT(B173,4),VLOOKUP(LEFT(B173,LEN(B173)-5),Feuil1!$E$3:$F$19,2,FALSE)+1,7))</f>
        <v>45301</v>
      </c>
      <c r="K173" s="19">
        <f t="shared" si="2"/>
        <v>1</v>
      </c>
      <c r="L173" s="6" t="str">
        <f t="shared" si="3"/>
        <v>DS</v>
      </c>
    </row>
    <row r="174" ht="14.25" customHeight="1">
      <c r="A174" s="14" t="str">
        <f>Base_report!A173</f>
        <v>NAWA</v>
      </c>
      <c r="B174" s="14" t="str">
        <f>Base_report!B173</f>
        <v>DECEMBRE 2023</v>
      </c>
      <c r="C174" s="15" t="str">
        <f>Base_report!C173</f>
        <v>C2213</v>
      </c>
      <c r="D174" s="14" t="str">
        <f>TRIM(IF(ISNUMBER(FIND("PNSME",Base_report!D173,1)),SUBSTITUTE(Base_report!D173,"PNSME",""),IF(ISNUMBER(FIND("PHG",Base_report!D173,1)),SUBSTITUTE(Base_report!D173,"PHG",""),IF(ISNUMBER(FIND("PCS",Base_report!D173,1)),SUBSTITUTE(Base_report!D173,"PCS",""),IF(ISNUMBER(FIND("CMU",Base_report!D173,1)),SUBSTITUTE(Base_report!D173,"CMU",""),Base_report!D173)))))</f>
        <v>DISTRICT SANITAIRE BUYO</v>
      </c>
      <c r="E174" s="14" t="str">
        <f>SUBSTITUTE(Base_report!E173,"-","/")</f>
        <v>PNSME/MEDICAMENTS ET INTRANTS</v>
      </c>
      <c r="F174" s="14" t="s">
        <v>788</v>
      </c>
      <c r="G174" s="16">
        <f>DATE(YEAR(SUBSTITUTE(LEFT(Base_report!F173,10),"-","/")),MONTH(SUBSTITUTE(LEFT(Base_report!F173,10),"-","/")),DAY(SUBSTITUTE(LEFT(Base_report!F173,10),"-","/")))</f>
        <v>45301</v>
      </c>
      <c r="H174" s="16">
        <f>DATE(YEAR(SUBSTITUTE(LEFT(Base_report!G173,10),"-","/")),MONTH(SUBSTITUTE(LEFT(Base_report!G173,10),"-","/")),DAY(SUBSTITUTE(LEFT(Base_report!G173,10),"-","/")))</f>
        <v>45301</v>
      </c>
      <c r="I174" s="17" t="str">
        <f t="shared" si="1"/>
        <v>OUI</v>
      </c>
      <c r="J174" s="18">
        <f>IF(L174="DS",DATE(RIGHT(B174,4),VLOOKUP(LEFT(B174,LEN(B174)-5),Feuil1!$E$3:$F$19,2,FALSE)+1,10),DATE(RIGHT(B174,4),VLOOKUP(LEFT(B174,LEN(B174)-5),Feuil1!$E$3:$F$19,2,FALSE)+1,7))</f>
        <v>45301</v>
      </c>
      <c r="K174" s="19">
        <f t="shared" si="2"/>
        <v>1</v>
      </c>
      <c r="L174" s="6" t="str">
        <f t="shared" si="3"/>
        <v>DS</v>
      </c>
    </row>
    <row r="175" ht="14.25" customHeight="1">
      <c r="A175" s="14" t="str">
        <f>Base_report!A174</f>
        <v>NAWA</v>
      </c>
      <c r="B175" s="14" t="str">
        <f>Base_report!B174</f>
        <v>DECEMBRE 2023</v>
      </c>
      <c r="C175" s="15" t="str">
        <f>Base_report!C174</f>
        <v>C2213</v>
      </c>
      <c r="D175" s="14" t="str">
        <f>TRIM(IF(ISNUMBER(FIND("PNSME",Base_report!D174,1)),SUBSTITUTE(Base_report!D174,"PNSME",""),IF(ISNUMBER(FIND("PHG",Base_report!D174,1)),SUBSTITUTE(Base_report!D174,"PHG",""),IF(ISNUMBER(FIND("PCS",Base_report!D174,1)),SUBSTITUTE(Base_report!D174,"PCS",""),IF(ISNUMBER(FIND("CMU",Base_report!D174,1)),SUBSTITUTE(Base_report!D174,"CMU",""),Base_report!D174)))))</f>
        <v>DISTRICT SANITAIRE BUYO</v>
      </c>
      <c r="E175" s="14" t="str">
        <f>SUBSTITUTE(Base_report!E174,"-","/")</f>
        <v>PNN/MEDICAMENTS ET INTRANTS</v>
      </c>
      <c r="F175" s="14" t="s">
        <v>788</v>
      </c>
      <c r="G175" s="16">
        <f>DATE(YEAR(SUBSTITUTE(LEFT(Base_report!F174,10),"-","/")),MONTH(SUBSTITUTE(LEFT(Base_report!F174,10),"-","/")),DAY(SUBSTITUTE(LEFT(Base_report!F174,10),"-","/")))</f>
        <v>45301</v>
      </c>
      <c r="H175" s="16">
        <f>DATE(YEAR(SUBSTITUTE(LEFT(Base_report!G174,10),"-","/")),MONTH(SUBSTITUTE(LEFT(Base_report!G174,10),"-","/")),DAY(SUBSTITUTE(LEFT(Base_report!G174,10),"-","/")))</f>
        <v>45301</v>
      </c>
      <c r="I175" s="17" t="str">
        <f t="shared" si="1"/>
        <v>OUI</v>
      </c>
      <c r="J175" s="18">
        <f>IF(L175="DS",DATE(RIGHT(B175,4),VLOOKUP(LEFT(B175,LEN(B175)-5),Feuil1!$E$3:$F$19,2,FALSE)+1,10),DATE(RIGHT(B175,4),VLOOKUP(LEFT(B175,LEN(B175)-5),Feuil1!$E$3:$F$19,2,FALSE)+1,7))</f>
        <v>45301</v>
      </c>
      <c r="K175" s="19">
        <f t="shared" si="2"/>
        <v>1</v>
      </c>
      <c r="L175" s="6" t="str">
        <f t="shared" si="3"/>
        <v>DS</v>
      </c>
    </row>
    <row r="176" ht="14.25" customHeight="1">
      <c r="A176" s="14" t="str">
        <f>Base_report!A175</f>
        <v>IFFOU</v>
      </c>
      <c r="B176" s="14" t="str">
        <f>Base_report!B175</f>
        <v>DECEMBRE 2023</v>
      </c>
      <c r="C176" s="15" t="str">
        <f>Base_report!C175</f>
        <v>C4011</v>
      </c>
      <c r="D176" s="14" t="str">
        <f>TRIM(IF(ISNUMBER(FIND("PNSME",Base_report!D175,1)),SUBSTITUTE(Base_report!D175,"PNSME",""),IF(ISNUMBER(FIND("PHG",Base_report!D175,1)),SUBSTITUTE(Base_report!D175,"PHG",""),IF(ISNUMBER(FIND("PCS",Base_report!D175,1)),SUBSTITUTE(Base_report!D175,"PCS",""),IF(ISNUMBER(FIND("CMU",Base_report!D175,1)),SUBSTITUTE(Base_report!D175,"CMU",""),Base_report!D175)))))</f>
        <v>DISTRICT SANITAIRE DAOUKRO</v>
      </c>
      <c r="E176" s="14" t="str">
        <f>SUBSTITUTE(Base_report!E175,"-","/")</f>
        <v>PNLP/MEDICAMENTS ET INTRANTS</v>
      </c>
      <c r="F176" s="14" t="s">
        <v>788</v>
      </c>
      <c r="G176" s="16">
        <f>DATE(YEAR(SUBSTITUTE(LEFT(Base_report!F175,10),"-","/")),MONTH(SUBSTITUTE(LEFT(Base_report!F175,10),"-","/")),DAY(SUBSTITUTE(LEFT(Base_report!F175,10),"-","/")))</f>
        <v>45301</v>
      </c>
      <c r="H176" s="16">
        <f>DATE(YEAR(SUBSTITUTE(LEFT(Base_report!G175,10),"-","/")),MONTH(SUBSTITUTE(LEFT(Base_report!G175,10),"-","/")),DAY(SUBSTITUTE(LEFT(Base_report!G175,10),"-","/")))</f>
        <v>45301</v>
      </c>
      <c r="I176" s="17" t="str">
        <f t="shared" si="1"/>
        <v>OUI</v>
      </c>
      <c r="J176" s="18">
        <f>IF(L176="DS",DATE(RIGHT(B176,4),VLOOKUP(LEFT(B176,LEN(B176)-5),Feuil1!$E$3:$F$19,2,FALSE)+1,10),DATE(RIGHT(B176,4),VLOOKUP(LEFT(B176,LEN(B176)-5),Feuil1!$E$3:$F$19,2,FALSE)+1,7))</f>
        <v>45301</v>
      </c>
      <c r="K176" s="19">
        <f t="shared" si="2"/>
        <v>1</v>
      </c>
      <c r="L176" s="6" t="str">
        <f t="shared" si="3"/>
        <v>DS</v>
      </c>
    </row>
    <row r="177" ht="14.25" customHeight="1">
      <c r="A177" s="14" t="str">
        <f>Base_report!A176</f>
        <v>GRANDS PONTS</v>
      </c>
      <c r="B177" s="14" t="str">
        <f>Base_report!B176</f>
        <v>DECEMBRE 2023</v>
      </c>
      <c r="C177" s="15" t="str">
        <f>Base_report!C176</f>
        <v>C1049</v>
      </c>
      <c r="D177" s="14" t="str">
        <f>TRIM(IF(ISNUMBER(FIND("PNSME",Base_report!D176,1)),SUBSTITUTE(Base_report!D176,"PNSME",""),IF(ISNUMBER(FIND("PHG",Base_report!D176,1)),SUBSTITUTE(Base_report!D176,"PHG",""),IF(ISNUMBER(FIND("PCS",Base_report!D176,1)),SUBSTITUTE(Base_report!D176,"PCS",""),IF(ISNUMBER(FIND("CMU",Base_report!D176,1)),SUBSTITUTE(Base_report!D176,"CMU",""),Base_report!D176)))))</f>
        <v>DISTRICT SANITAIRE GRAND-LAHOU</v>
      </c>
      <c r="E177" s="14" t="str">
        <f>SUBSTITUTE(Base_report!E176,"-","/")</f>
        <v>PNLP/MEDICAMENTS ET INTRANTS</v>
      </c>
      <c r="F177" s="14" t="s">
        <v>788</v>
      </c>
      <c r="G177" s="16">
        <f>DATE(YEAR(SUBSTITUTE(LEFT(Base_report!F176,10),"-","/")),MONTH(SUBSTITUTE(LEFT(Base_report!F176,10),"-","/")),DAY(SUBSTITUTE(LEFT(Base_report!F176,10),"-","/")))</f>
        <v>45301</v>
      </c>
      <c r="H177" s="16">
        <f>DATE(YEAR(SUBSTITUTE(LEFT(Base_report!G176,10),"-","/")),MONTH(SUBSTITUTE(LEFT(Base_report!G176,10),"-","/")),DAY(SUBSTITUTE(LEFT(Base_report!G176,10),"-","/")))</f>
        <v>45301</v>
      </c>
      <c r="I177" s="17" t="str">
        <f t="shared" si="1"/>
        <v>OUI</v>
      </c>
      <c r="J177" s="18">
        <f>IF(L177="DS",DATE(RIGHT(B177,4),VLOOKUP(LEFT(B177,LEN(B177)-5),Feuil1!$E$3:$F$19,2,FALSE)+1,10),DATE(RIGHT(B177,4),VLOOKUP(LEFT(B177,LEN(B177)-5),Feuil1!$E$3:$F$19,2,FALSE)+1,7))</f>
        <v>45301</v>
      </c>
      <c r="K177" s="19">
        <f t="shared" si="2"/>
        <v>1</v>
      </c>
      <c r="L177" s="6" t="str">
        <f t="shared" si="3"/>
        <v>DS</v>
      </c>
    </row>
    <row r="178" ht="14.25" customHeight="1">
      <c r="A178" s="14" t="str">
        <f>Base_report!A177</f>
        <v>PORO</v>
      </c>
      <c r="B178" s="14" t="str">
        <f>Base_report!B177</f>
        <v>DECEMBRE 2023</v>
      </c>
      <c r="C178" s="15" t="str">
        <f>Base_report!C177</f>
        <v>C3058</v>
      </c>
      <c r="D178" s="14" t="str">
        <f>TRIM(IF(ISNUMBER(FIND("PNSME",Base_report!D177,1)),SUBSTITUTE(Base_report!D177,"PNSME",""),IF(ISNUMBER(FIND("PHG",Base_report!D177,1)),SUBSTITUTE(Base_report!D177,"PHG",""),IF(ISNUMBER(FIND("PCS",Base_report!D177,1)),SUBSTITUTE(Base_report!D177,"PCS",""),IF(ISNUMBER(FIND("CMU",Base_report!D177,1)),SUBSTITUTE(Base_report!D177,"CMU",""),Base_report!D177)))))</f>
        <v>DISTRICT SANITAIRE DIKODOUGOU</v>
      </c>
      <c r="E178" s="14" t="str">
        <f>SUBSTITUTE(Base_report!E177,"-","/")</f>
        <v>PNLS/ANTIRETROVIRAUX ET IO</v>
      </c>
      <c r="F178" s="14" t="s">
        <v>788</v>
      </c>
      <c r="G178" s="16">
        <f>DATE(YEAR(SUBSTITUTE(LEFT(Base_report!F177,10),"-","/")),MONTH(SUBSTITUTE(LEFT(Base_report!F177,10),"-","/")),DAY(SUBSTITUTE(LEFT(Base_report!F177,10),"-","/")))</f>
        <v>45301</v>
      </c>
      <c r="H178" s="16">
        <f>DATE(YEAR(SUBSTITUTE(LEFT(Base_report!G177,10),"-","/")),MONTH(SUBSTITUTE(LEFT(Base_report!G177,10),"-","/")),DAY(SUBSTITUTE(LEFT(Base_report!G177,10),"-","/")))</f>
        <v>45302</v>
      </c>
      <c r="I178" s="17" t="str">
        <f t="shared" si="1"/>
        <v>OUI</v>
      </c>
      <c r="J178" s="18">
        <f>IF(L178="DS",DATE(RIGHT(B178,4),VLOOKUP(LEFT(B178,LEN(B178)-5),Feuil1!$E$3:$F$19,2,FALSE)+1,10),DATE(RIGHT(B178,4),VLOOKUP(LEFT(B178,LEN(B178)-5),Feuil1!$E$3:$F$19,2,FALSE)+1,7))</f>
        <v>45301</v>
      </c>
      <c r="K178" s="19">
        <f t="shared" si="2"/>
        <v>0</v>
      </c>
      <c r="L178" s="6" t="str">
        <f t="shared" si="3"/>
        <v>DS</v>
      </c>
    </row>
    <row r="179" ht="14.25" customHeight="1">
      <c r="A179" s="14" t="str">
        <f>Base_report!A178</f>
        <v>INDENIE-DJUABLIN</v>
      </c>
      <c r="B179" s="14" t="str">
        <f>Base_report!B178</f>
        <v>DECEMBRE 2023</v>
      </c>
      <c r="C179" s="15" t="str">
        <f>Base_report!C178</f>
        <v>C4005</v>
      </c>
      <c r="D179" s="14" t="str">
        <f>TRIM(IF(ISNUMBER(FIND("PNSME",Base_report!D178,1)),SUBSTITUTE(Base_report!D178,"PNSME",""),IF(ISNUMBER(FIND("PHG",Base_report!D178,1)),SUBSTITUTE(Base_report!D178,"PHG",""),IF(ISNUMBER(FIND("PCS",Base_report!D178,1)),SUBSTITUTE(Base_report!D178,"PCS",""),IF(ISNUMBER(FIND("CMU",Base_report!D178,1)),SUBSTITUTE(Base_report!D178,"CMU",""),Base_report!D178)))))</f>
        <v>DISTRICT SANITAIRE AGNIBILEKROU</v>
      </c>
      <c r="E179" s="14" t="str">
        <f>SUBSTITUTE(Base_report!E178,"-","/")</f>
        <v>PNSME/MEDICAMENTS ET INTRANTS</v>
      </c>
      <c r="F179" s="14" t="s">
        <v>788</v>
      </c>
      <c r="G179" s="16">
        <f>DATE(YEAR(SUBSTITUTE(LEFT(Base_report!F178,10),"-","/")),MONTH(SUBSTITUTE(LEFT(Base_report!F178,10),"-","/")),DAY(SUBSTITUTE(LEFT(Base_report!F178,10),"-","/")))</f>
        <v>45301</v>
      </c>
      <c r="H179" s="16">
        <f>DATE(YEAR(SUBSTITUTE(LEFT(Base_report!G178,10),"-","/")),MONTH(SUBSTITUTE(LEFT(Base_report!G178,10),"-","/")),DAY(SUBSTITUTE(LEFT(Base_report!G178,10),"-","/")))</f>
        <v>45301</v>
      </c>
      <c r="I179" s="17" t="str">
        <f t="shared" si="1"/>
        <v>OUI</v>
      </c>
      <c r="J179" s="18">
        <f>IF(L179="DS",DATE(RIGHT(B179,4),VLOOKUP(LEFT(B179,LEN(B179)-5),Feuil1!$E$3:$F$19,2,FALSE)+1,10),DATE(RIGHT(B179,4),VLOOKUP(LEFT(B179,LEN(B179)-5),Feuil1!$E$3:$F$19,2,FALSE)+1,7))</f>
        <v>45301</v>
      </c>
      <c r="K179" s="19">
        <f t="shared" si="2"/>
        <v>1</v>
      </c>
      <c r="L179" s="6" t="str">
        <f t="shared" si="3"/>
        <v>DS</v>
      </c>
    </row>
    <row r="180" ht="14.25" customHeight="1">
      <c r="A180" s="14" t="str">
        <f>Base_report!A179</f>
        <v>BOUNKANI</v>
      </c>
      <c r="B180" s="14" t="str">
        <f>Base_report!B179</f>
        <v>DECEMBRE 2023</v>
      </c>
      <c r="C180" s="15" t="str">
        <f>Base_report!C179</f>
        <v>C4050</v>
      </c>
      <c r="D180" s="14" t="str">
        <f>TRIM(IF(ISNUMBER(FIND("PNSME",Base_report!D179,1)),SUBSTITUTE(Base_report!D179,"PNSME",""),IF(ISNUMBER(FIND("PHG",Base_report!D179,1)),SUBSTITUTE(Base_report!D179,"PHG",""),IF(ISNUMBER(FIND("PCS",Base_report!D179,1)),SUBSTITUTE(Base_report!D179,"PCS",""),IF(ISNUMBER(FIND("CMU",Base_report!D179,1)),SUBSTITUTE(Base_report!D179,"CMU",""),Base_report!D179)))))</f>
        <v>DISTRICT SANITAIRE NASSIAN</v>
      </c>
      <c r="E180" s="14" t="str">
        <f>SUBSTITUTE(Base_report!E179,"-","/")</f>
        <v>PNLS/TESTS RAPIDES ET CONSOMMABLES</v>
      </c>
      <c r="F180" s="14" t="s">
        <v>788</v>
      </c>
      <c r="G180" s="16">
        <f>DATE(YEAR(SUBSTITUTE(LEFT(Base_report!F179,10),"-","/")),MONTH(SUBSTITUTE(LEFT(Base_report!F179,10),"-","/")),DAY(SUBSTITUTE(LEFT(Base_report!F179,10),"-","/")))</f>
        <v>45301</v>
      </c>
      <c r="H180" s="16">
        <f>DATE(YEAR(SUBSTITUTE(LEFT(Base_report!G179,10),"-","/")),MONTH(SUBSTITUTE(LEFT(Base_report!G179,10),"-","/")),DAY(SUBSTITUTE(LEFT(Base_report!G179,10),"-","/")))</f>
        <v>45301</v>
      </c>
      <c r="I180" s="17" t="str">
        <f t="shared" si="1"/>
        <v>OUI</v>
      </c>
      <c r="J180" s="18">
        <f>IF(L180="DS",DATE(RIGHT(B180,4),VLOOKUP(LEFT(B180,LEN(B180)-5),Feuil1!$E$3:$F$19,2,FALSE)+1,10),DATE(RIGHT(B180,4),VLOOKUP(LEFT(B180,LEN(B180)-5),Feuil1!$E$3:$F$19,2,FALSE)+1,7))</f>
        <v>45301</v>
      </c>
      <c r="K180" s="19">
        <f t="shared" si="2"/>
        <v>1</v>
      </c>
      <c r="L180" s="6" t="str">
        <f t="shared" si="3"/>
        <v>DS</v>
      </c>
    </row>
    <row r="181" ht="14.25" customHeight="1">
      <c r="A181" s="14" t="str">
        <f>Base_report!A180</f>
        <v>HAMBOL</v>
      </c>
      <c r="B181" s="14" t="str">
        <f>Base_report!B180</f>
        <v>DECEMBRE 2023</v>
      </c>
      <c r="C181" s="15" t="str">
        <f>Base_report!C180</f>
        <v>C3045</v>
      </c>
      <c r="D181" s="14" t="str">
        <f>TRIM(IF(ISNUMBER(FIND("PNSME",Base_report!D180,1)),SUBSTITUTE(Base_report!D180,"PNSME",""),IF(ISNUMBER(FIND("PHG",Base_report!D180,1)),SUBSTITUTE(Base_report!D180,"PHG",""),IF(ISNUMBER(FIND("PCS",Base_report!D180,1)),SUBSTITUTE(Base_report!D180,"PCS",""),IF(ISNUMBER(FIND("CMU",Base_report!D180,1)),SUBSTITUTE(Base_report!D180,"CMU",""),Base_report!D180)))))</f>
        <v>DISTRICT SANITAIRE NIAKARA</v>
      </c>
      <c r="E181" s="14" t="str">
        <f>SUBSTITUTE(Base_report!E180,"-","/")</f>
        <v>PNLP/MEDICAMENTS ET INTRANTS</v>
      </c>
      <c r="F181" s="14" t="s">
        <v>788</v>
      </c>
      <c r="G181" s="16">
        <f>DATE(YEAR(SUBSTITUTE(LEFT(Base_report!F180,10),"-","/")),MONTH(SUBSTITUTE(LEFT(Base_report!F180,10),"-","/")),DAY(SUBSTITUTE(LEFT(Base_report!F180,10),"-","/")))</f>
        <v>45301</v>
      </c>
      <c r="H181" s="16">
        <f>DATE(YEAR(SUBSTITUTE(LEFT(Base_report!G180,10),"-","/")),MONTH(SUBSTITUTE(LEFT(Base_report!G180,10),"-","/")),DAY(SUBSTITUTE(LEFT(Base_report!G180,10),"-","/")))</f>
        <v>45301</v>
      </c>
      <c r="I181" s="17" t="str">
        <f t="shared" si="1"/>
        <v>OUI</v>
      </c>
      <c r="J181" s="18">
        <f>IF(L181="DS",DATE(RIGHT(B181,4),VLOOKUP(LEFT(B181,LEN(B181)-5),Feuil1!$E$3:$F$19,2,FALSE)+1,10),DATE(RIGHT(B181,4),VLOOKUP(LEFT(B181,LEN(B181)-5),Feuil1!$E$3:$F$19,2,FALSE)+1,7))</f>
        <v>45301</v>
      </c>
      <c r="K181" s="19">
        <f t="shared" si="2"/>
        <v>1</v>
      </c>
      <c r="L181" s="6" t="str">
        <f t="shared" si="3"/>
        <v>DS</v>
      </c>
    </row>
    <row r="182" ht="14.25" customHeight="1">
      <c r="A182" s="14" t="str">
        <f>Base_report!A181</f>
        <v>BOUNKANI</v>
      </c>
      <c r="B182" s="14" t="str">
        <f>Base_report!B181</f>
        <v>DECEMBRE 2023</v>
      </c>
      <c r="C182" s="15" t="str">
        <f>Base_report!C181</f>
        <v>C4010</v>
      </c>
      <c r="D182" s="14" t="str">
        <f>TRIM(IF(ISNUMBER(FIND("PNSME",Base_report!D181,1)),SUBSTITUTE(Base_report!D181,"PNSME",""),IF(ISNUMBER(FIND("PHG",Base_report!D181,1)),SUBSTITUTE(Base_report!D181,"PHG",""),IF(ISNUMBER(FIND("PCS",Base_report!D181,1)),SUBSTITUTE(Base_report!D181,"PCS",""),IF(ISNUMBER(FIND("CMU",Base_report!D181,1)),SUBSTITUTE(Base_report!D181,"CMU",""),Base_report!D181)))))</f>
        <v>DISTRICT SANITAIRE BOUNA</v>
      </c>
      <c r="E182" s="14" t="str">
        <f>SUBSTITUTE(Base_report!E181,"-","/")</f>
        <v>PNLS/PRODUITS DE LABORATOIRE</v>
      </c>
      <c r="F182" s="14" t="s">
        <v>788</v>
      </c>
      <c r="G182" s="16">
        <f>DATE(YEAR(SUBSTITUTE(LEFT(Base_report!F181,10),"-","/")),MONTH(SUBSTITUTE(LEFT(Base_report!F181,10),"-","/")),DAY(SUBSTITUTE(LEFT(Base_report!F181,10),"-","/")))</f>
        <v>45301</v>
      </c>
      <c r="H182" s="16">
        <f>DATE(YEAR(SUBSTITUTE(LEFT(Base_report!G181,10),"-","/")),MONTH(SUBSTITUTE(LEFT(Base_report!G181,10),"-","/")),DAY(SUBSTITUTE(LEFT(Base_report!G181,10),"-","/")))</f>
        <v>45301</v>
      </c>
      <c r="I182" s="17" t="str">
        <f t="shared" si="1"/>
        <v>OUI</v>
      </c>
      <c r="J182" s="18">
        <f>IF(L182="DS",DATE(RIGHT(B182,4),VLOOKUP(LEFT(B182,LEN(B182)-5),Feuil1!$E$3:$F$19,2,FALSE)+1,10),DATE(RIGHT(B182,4),VLOOKUP(LEFT(B182,LEN(B182)-5),Feuil1!$E$3:$F$19,2,FALSE)+1,7))</f>
        <v>45301</v>
      </c>
      <c r="K182" s="19">
        <f t="shared" si="2"/>
        <v>1</v>
      </c>
      <c r="L182" s="6" t="str">
        <f t="shared" si="3"/>
        <v>DS</v>
      </c>
    </row>
    <row r="183" ht="14.25" customHeight="1">
      <c r="A183" s="14" t="str">
        <f>Base_report!A182</f>
        <v>BOUNKANI</v>
      </c>
      <c r="B183" s="14" t="str">
        <f>Base_report!B182</f>
        <v>DECEMBRE 2023</v>
      </c>
      <c r="C183" s="15" t="str">
        <f>Base_report!C182</f>
        <v>C4010</v>
      </c>
      <c r="D183" s="14" t="str">
        <f>TRIM(IF(ISNUMBER(FIND("PNSME",Base_report!D182,1)),SUBSTITUTE(Base_report!D182,"PNSME",""),IF(ISNUMBER(FIND("PHG",Base_report!D182,1)),SUBSTITUTE(Base_report!D182,"PHG",""),IF(ISNUMBER(FIND("PCS",Base_report!D182,1)),SUBSTITUTE(Base_report!D182,"PCS",""),IF(ISNUMBER(FIND("CMU",Base_report!D182,1)),SUBSTITUTE(Base_report!D182,"CMU",""),Base_report!D182)))))</f>
        <v>DISTRICT SANITAIRE BOUNA</v>
      </c>
      <c r="E183" s="14" t="str">
        <f>SUBSTITUTE(Base_report!E182,"-","/")</f>
        <v>PNLP/MEDICAMENTS ET INTRANTS</v>
      </c>
      <c r="F183" s="14" t="s">
        <v>788</v>
      </c>
      <c r="G183" s="16">
        <f>DATE(YEAR(SUBSTITUTE(LEFT(Base_report!F182,10),"-","/")),MONTH(SUBSTITUTE(LEFT(Base_report!F182,10),"-","/")),DAY(SUBSTITUTE(LEFT(Base_report!F182,10),"-","/")))</f>
        <v>45301</v>
      </c>
      <c r="H183" s="16">
        <f>DATE(YEAR(SUBSTITUTE(LEFT(Base_report!G182,10),"-","/")),MONTH(SUBSTITUTE(LEFT(Base_report!G182,10),"-","/")),DAY(SUBSTITUTE(LEFT(Base_report!G182,10),"-","/")))</f>
        <v>45301</v>
      </c>
      <c r="I183" s="17" t="str">
        <f t="shared" si="1"/>
        <v>OUI</v>
      </c>
      <c r="J183" s="18">
        <f>IF(L183="DS",DATE(RIGHT(B183,4),VLOOKUP(LEFT(B183,LEN(B183)-5),Feuil1!$E$3:$F$19,2,FALSE)+1,10),DATE(RIGHT(B183,4),VLOOKUP(LEFT(B183,LEN(B183)-5),Feuil1!$E$3:$F$19,2,FALSE)+1,7))</f>
        <v>45301</v>
      </c>
      <c r="K183" s="19">
        <f t="shared" si="2"/>
        <v>1</v>
      </c>
      <c r="L183" s="6" t="str">
        <f t="shared" si="3"/>
        <v>DS</v>
      </c>
    </row>
    <row r="184" ht="14.25" customHeight="1">
      <c r="A184" s="14" t="str">
        <f>Base_report!A183</f>
        <v>INDENIE-DJUABLIN</v>
      </c>
      <c r="B184" s="14" t="str">
        <f>Base_report!B183</f>
        <v>DECEMBRE 2023</v>
      </c>
      <c r="C184" s="15" t="str">
        <f>Base_report!C183</f>
        <v>C4005</v>
      </c>
      <c r="D184" s="14" t="str">
        <f>TRIM(IF(ISNUMBER(FIND("PNSME",Base_report!D183,1)),SUBSTITUTE(Base_report!D183,"PNSME",""),IF(ISNUMBER(FIND("PHG",Base_report!D183,1)),SUBSTITUTE(Base_report!D183,"PHG",""),IF(ISNUMBER(FIND("PCS",Base_report!D183,1)),SUBSTITUTE(Base_report!D183,"PCS",""),IF(ISNUMBER(FIND("CMU",Base_report!D183,1)),SUBSTITUTE(Base_report!D183,"CMU",""),Base_report!D183)))))</f>
        <v>DISTRICT SANITAIRE AGNIBILEKROU</v>
      </c>
      <c r="E184" s="14" t="str">
        <f>SUBSTITUTE(Base_report!E183,"-","/")</f>
        <v>PNLS/TESTS RAPIDES ET CONSOMMABLES</v>
      </c>
      <c r="F184" s="14" t="s">
        <v>788</v>
      </c>
      <c r="G184" s="16">
        <f>DATE(YEAR(SUBSTITUTE(LEFT(Base_report!F183,10),"-","/")),MONTH(SUBSTITUTE(LEFT(Base_report!F183,10),"-","/")),DAY(SUBSTITUTE(LEFT(Base_report!F183,10),"-","/")))</f>
        <v>45301</v>
      </c>
      <c r="H184" s="16">
        <f>DATE(YEAR(SUBSTITUTE(LEFT(Base_report!G183,10),"-","/")),MONTH(SUBSTITUTE(LEFT(Base_report!G183,10),"-","/")),DAY(SUBSTITUTE(LEFT(Base_report!G183,10),"-","/")))</f>
        <v>45301</v>
      </c>
      <c r="I184" s="17" t="str">
        <f t="shared" si="1"/>
        <v>OUI</v>
      </c>
      <c r="J184" s="18">
        <f>IF(L184="DS",DATE(RIGHT(B184,4),VLOOKUP(LEFT(B184,LEN(B184)-5),Feuil1!$E$3:$F$19,2,FALSE)+1,10),DATE(RIGHT(B184,4),VLOOKUP(LEFT(B184,LEN(B184)-5),Feuil1!$E$3:$F$19,2,FALSE)+1,7))</f>
        <v>45301</v>
      </c>
      <c r="K184" s="19">
        <f t="shared" si="2"/>
        <v>1</v>
      </c>
      <c r="L184" s="6" t="str">
        <f t="shared" si="3"/>
        <v>DS</v>
      </c>
    </row>
    <row r="185" ht="14.25" customHeight="1">
      <c r="A185" s="14" t="str">
        <f>Base_report!A184</f>
        <v>GRANDS PONTS</v>
      </c>
      <c r="B185" s="14" t="str">
        <f>Base_report!B184</f>
        <v>DECEMBRE 2023</v>
      </c>
      <c r="C185" s="15" t="str">
        <f>Base_report!C184</f>
        <v>C1049</v>
      </c>
      <c r="D185" s="14" t="str">
        <f>TRIM(IF(ISNUMBER(FIND("PNSME",Base_report!D184,1)),SUBSTITUTE(Base_report!D184,"PNSME",""),IF(ISNUMBER(FIND("PHG",Base_report!D184,1)),SUBSTITUTE(Base_report!D184,"PHG",""),IF(ISNUMBER(FIND("PCS",Base_report!D184,1)),SUBSTITUTE(Base_report!D184,"PCS",""),IF(ISNUMBER(FIND("CMU",Base_report!D184,1)),SUBSTITUTE(Base_report!D184,"CMU",""),Base_report!D184)))))</f>
        <v>DISTRICT SANITAIRE GRAND-LAHOU</v>
      </c>
      <c r="E185" s="14" t="str">
        <f>SUBSTITUTE(Base_report!E184,"-","/")</f>
        <v>PNLS/ANTIRETROVIRAUX ET IO</v>
      </c>
      <c r="F185" s="14" t="s">
        <v>788</v>
      </c>
      <c r="G185" s="16">
        <f>DATE(YEAR(SUBSTITUTE(LEFT(Base_report!F184,10),"-","/")),MONTH(SUBSTITUTE(LEFT(Base_report!F184,10),"-","/")),DAY(SUBSTITUTE(LEFT(Base_report!F184,10),"-","/")))</f>
        <v>45301</v>
      </c>
      <c r="H185" s="16">
        <f>DATE(YEAR(SUBSTITUTE(LEFT(Base_report!G184,10),"-","/")),MONTH(SUBSTITUTE(LEFT(Base_report!G184,10),"-","/")),DAY(SUBSTITUTE(LEFT(Base_report!G184,10),"-","/")))</f>
        <v>45301</v>
      </c>
      <c r="I185" s="17" t="str">
        <f t="shared" si="1"/>
        <v>OUI</v>
      </c>
      <c r="J185" s="18">
        <f>IF(L185="DS",DATE(RIGHT(B185,4),VLOOKUP(LEFT(B185,LEN(B185)-5),Feuil1!$E$3:$F$19,2,FALSE)+1,10),DATE(RIGHT(B185,4),VLOOKUP(LEFT(B185,LEN(B185)-5),Feuil1!$E$3:$F$19,2,FALSE)+1,7))</f>
        <v>45301</v>
      </c>
      <c r="K185" s="19">
        <f t="shared" si="2"/>
        <v>1</v>
      </c>
      <c r="L185" s="6" t="str">
        <f t="shared" si="3"/>
        <v>DS</v>
      </c>
    </row>
    <row r="186" ht="14.25" customHeight="1">
      <c r="A186" s="14" t="str">
        <f>Base_report!A185</f>
        <v>GRANDS PONTS</v>
      </c>
      <c r="B186" s="14" t="str">
        <f>Base_report!B185</f>
        <v>DECEMBRE 2023</v>
      </c>
      <c r="C186" s="15" t="str">
        <f>Base_report!C185</f>
        <v>C1047</v>
      </c>
      <c r="D186" s="14" t="str">
        <f>TRIM(IF(ISNUMBER(FIND("PNSME",Base_report!D185,1)),SUBSTITUTE(Base_report!D185,"PNSME",""),IF(ISNUMBER(FIND("PHG",Base_report!D185,1)),SUBSTITUTE(Base_report!D185,"PHG",""),IF(ISNUMBER(FIND("PCS",Base_report!D185,1)),SUBSTITUTE(Base_report!D185,"PCS",""),IF(ISNUMBER(FIND("CMU",Base_report!D185,1)),SUBSTITUTE(Base_report!D185,"CMU",""),Base_report!D185)))))</f>
        <v>DISTRICT SANITAIRE DABOU</v>
      </c>
      <c r="E186" s="14" t="str">
        <f>SUBSTITUTE(Base_report!E185,"-","/")</f>
        <v>PNLS/TESTS RAPIDES ET CONSOMMABLES</v>
      </c>
      <c r="F186" s="14" t="s">
        <v>788</v>
      </c>
      <c r="G186" s="16">
        <f>DATE(YEAR(SUBSTITUTE(LEFT(Base_report!F185,10),"-","/")),MONTH(SUBSTITUTE(LEFT(Base_report!F185,10),"-","/")),DAY(SUBSTITUTE(LEFT(Base_report!F185,10),"-","/")))</f>
        <v>45301</v>
      </c>
      <c r="H186" s="16">
        <f>DATE(YEAR(SUBSTITUTE(LEFT(Base_report!G185,10),"-","/")),MONTH(SUBSTITUTE(LEFT(Base_report!G185,10),"-","/")),DAY(SUBSTITUTE(LEFT(Base_report!G185,10),"-","/")))</f>
        <v>45301</v>
      </c>
      <c r="I186" s="17" t="str">
        <f t="shared" si="1"/>
        <v>OUI</v>
      </c>
      <c r="J186" s="18">
        <f>IF(L186="DS",DATE(RIGHT(B186,4),VLOOKUP(LEFT(B186,LEN(B186)-5),Feuil1!$E$3:$F$19,2,FALSE)+1,10),DATE(RIGHT(B186,4),VLOOKUP(LEFT(B186,LEN(B186)-5),Feuil1!$E$3:$F$19,2,FALSE)+1,7))</f>
        <v>45301</v>
      </c>
      <c r="K186" s="19">
        <f t="shared" si="2"/>
        <v>1</v>
      </c>
      <c r="L186" s="6" t="str">
        <f t="shared" si="3"/>
        <v>DS</v>
      </c>
    </row>
    <row r="187" ht="14.25" customHeight="1">
      <c r="A187" s="14" t="str">
        <f>Base_report!A186</f>
        <v>N'ZI</v>
      </c>
      <c r="B187" s="14" t="str">
        <f>Base_report!B186</f>
        <v>DECEMBRE 2023</v>
      </c>
      <c r="C187" s="15" t="str">
        <f>Base_report!C186</f>
        <v>C2027</v>
      </c>
      <c r="D187" s="14" t="str">
        <f>TRIM(IF(ISNUMBER(FIND("PNSME",Base_report!D186,1)),SUBSTITUTE(Base_report!D186,"PNSME",""),IF(ISNUMBER(FIND("PHG",Base_report!D186,1)),SUBSTITUTE(Base_report!D186,"PHG",""),IF(ISNUMBER(FIND("PCS",Base_report!D186,1)),SUBSTITUTE(Base_report!D186,"PCS",""),IF(ISNUMBER(FIND("CMU",Base_report!D186,1)),SUBSTITUTE(Base_report!D186,"CMU",""),Base_report!D186)))))</f>
        <v>DISTRICT SANITAIRE DIMBOKRO</v>
      </c>
      <c r="E187" s="14" t="str">
        <f>SUBSTITUTE(Base_report!E186,"-","/")</f>
        <v>PNLS/ANTIRETROVIRAUX ET IO</v>
      </c>
      <c r="F187" s="14" t="s">
        <v>788</v>
      </c>
      <c r="G187" s="16">
        <f>DATE(YEAR(SUBSTITUTE(LEFT(Base_report!F186,10),"-","/")),MONTH(SUBSTITUTE(LEFT(Base_report!F186,10),"-","/")),DAY(SUBSTITUTE(LEFT(Base_report!F186,10),"-","/")))</f>
        <v>45301</v>
      </c>
      <c r="H187" s="16">
        <f>DATE(YEAR(SUBSTITUTE(LEFT(Base_report!G186,10),"-","/")),MONTH(SUBSTITUTE(LEFT(Base_report!G186,10),"-","/")),DAY(SUBSTITUTE(LEFT(Base_report!G186,10),"-","/")))</f>
        <v>45302</v>
      </c>
      <c r="I187" s="17" t="str">
        <f t="shared" si="1"/>
        <v>OUI</v>
      </c>
      <c r="J187" s="18">
        <f>IF(L187="DS",DATE(RIGHT(B187,4),VLOOKUP(LEFT(B187,LEN(B187)-5),Feuil1!$E$3:$F$19,2,FALSE)+1,10),DATE(RIGHT(B187,4),VLOOKUP(LEFT(B187,LEN(B187)-5),Feuil1!$E$3:$F$19,2,FALSE)+1,7))</f>
        <v>45301</v>
      </c>
      <c r="K187" s="19">
        <f t="shared" si="2"/>
        <v>0</v>
      </c>
      <c r="L187" s="6" t="str">
        <f t="shared" si="3"/>
        <v>DS</v>
      </c>
    </row>
    <row r="188" ht="14.25" customHeight="1">
      <c r="A188" s="14" t="str">
        <f>Base_report!A187</f>
        <v>HAMBOL</v>
      </c>
      <c r="B188" s="14" t="str">
        <f>Base_report!B187</f>
        <v>DECEMBRE 2023</v>
      </c>
      <c r="C188" s="15" t="str">
        <f>Base_report!C187</f>
        <v>C3005</v>
      </c>
      <c r="D188" s="14" t="str">
        <f>TRIM(IF(ISNUMBER(FIND("PNSME",Base_report!D187,1)),SUBSTITUTE(Base_report!D187,"PNSME",""),IF(ISNUMBER(FIND("PHG",Base_report!D187,1)),SUBSTITUTE(Base_report!D187,"PHG",""),IF(ISNUMBER(FIND("PCS",Base_report!D187,1)),SUBSTITUTE(Base_report!D187,"PCS",""),IF(ISNUMBER(FIND("CMU",Base_report!D187,1)),SUBSTITUTE(Base_report!D187,"CMU",""),Base_report!D187)))))</f>
        <v>DISTRICT SANITAIRE KATIOLA</v>
      </c>
      <c r="E188" s="14" t="str">
        <f>SUBSTITUTE(Base_report!E187,"-","/")</f>
        <v>PNSME/MEDICAMENTS ET INTRANTS</v>
      </c>
      <c r="F188" s="14" t="s">
        <v>788</v>
      </c>
      <c r="G188" s="16">
        <f>DATE(YEAR(SUBSTITUTE(LEFT(Base_report!F187,10),"-","/")),MONTH(SUBSTITUTE(LEFT(Base_report!F187,10),"-","/")),DAY(SUBSTITUTE(LEFT(Base_report!F187,10),"-","/")))</f>
        <v>45301</v>
      </c>
      <c r="H188" s="16">
        <f>DATE(YEAR(SUBSTITUTE(LEFT(Base_report!G187,10),"-","/")),MONTH(SUBSTITUTE(LEFT(Base_report!G187,10),"-","/")),DAY(SUBSTITUTE(LEFT(Base_report!G187,10),"-","/")))</f>
        <v>45301</v>
      </c>
      <c r="I188" s="17" t="str">
        <f t="shared" si="1"/>
        <v>OUI</v>
      </c>
      <c r="J188" s="18">
        <f>IF(L188="DS",DATE(RIGHT(B188,4),VLOOKUP(LEFT(B188,LEN(B188)-5),Feuil1!$E$3:$F$19,2,FALSE)+1,10),DATE(RIGHT(B188,4),VLOOKUP(LEFT(B188,LEN(B188)-5),Feuil1!$E$3:$F$19,2,FALSE)+1,7))</f>
        <v>45301</v>
      </c>
      <c r="K188" s="19">
        <f t="shared" si="2"/>
        <v>1</v>
      </c>
      <c r="L188" s="6" t="str">
        <f t="shared" si="3"/>
        <v>DS</v>
      </c>
    </row>
    <row r="189" ht="14.25" customHeight="1">
      <c r="A189" s="14" t="str">
        <f>Base_report!A188</f>
        <v>ABIDJAN 1</v>
      </c>
      <c r="B189" s="14" t="str">
        <f>Base_report!B188</f>
        <v>DECEMBRE 2023</v>
      </c>
      <c r="C189" s="15" t="str">
        <f>Base_report!C188</f>
        <v>C1007</v>
      </c>
      <c r="D189" s="14" t="str">
        <f>TRIM(IF(ISNUMBER(FIND("PNSME",Base_report!D188,1)),SUBSTITUTE(Base_report!D188,"PNSME",""),IF(ISNUMBER(FIND("PHG",Base_report!D188,1)),SUBSTITUTE(Base_report!D188,"PHG",""),IF(ISNUMBER(FIND("PCS",Base_report!D188,1)),SUBSTITUTE(Base_report!D188,"PCS",""),IF(ISNUMBER(FIND("CMU",Base_report!D188,1)),SUBSTITUTE(Base_report!D188,"CMU",""),Base_report!D188)))))</f>
        <v>CHU YOPOUGON</v>
      </c>
      <c r="E189" s="14" t="str">
        <f>SUBSTITUTE(Base_report!E188,"-","/")</f>
        <v>PNN/MEDICAMENTS ET INTRANTS</v>
      </c>
      <c r="F189" s="14" t="s">
        <v>788</v>
      </c>
      <c r="G189" s="16">
        <f>DATE(YEAR(SUBSTITUTE(LEFT(Base_report!F188,10),"-","/")),MONTH(SUBSTITUTE(LEFT(Base_report!F188,10),"-","/")),DAY(SUBSTITUTE(LEFT(Base_report!F188,10),"-","/")))</f>
        <v>45301</v>
      </c>
      <c r="H189" s="16">
        <f>DATE(YEAR(SUBSTITUTE(LEFT(Base_report!G188,10),"-","/")),MONTH(SUBSTITUTE(LEFT(Base_report!G188,10),"-","/")),DAY(SUBSTITUTE(LEFT(Base_report!G188,10),"-","/")))</f>
        <v>45301</v>
      </c>
      <c r="I189" s="17" t="str">
        <f t="shared" si="1"/>
        <v>OUI</v>
      </c>
      <c r="J189" s="18">
        <f>IF(L189="DS",DATE(RIGHT(B189,4),VLOOKUP(LEFT(B189,LEN(B189)-5),Feuil1!$E$3:$F$19,2,FALSE)+1,10),DATE(RIGHT(B189,4),VLOOKUP(LEFT(B189,LEN(B189)-5),Feuil1!$E$3:$F$19,2,FALSE)+1,7))</f>
        <v>45298</v>
      </c>
      <c r="K189" s="19">
        <f t="shared" si="2"/>
        <v>0</v>
      </c>
      <c r="L189" s="6" t="str">
        <f t="shared" si="3"/>
        <v>FS</v>
      </c>
    </row>
    <row r="190" ht="14.25" customHeight="1">
      <c r="A190" s="14" t="str">
        <f>Base_report!A189</f>
        <v>GRANDS PONTS</v>
      </c>
      <c r="B190" s="14" t="str">
        <f>Base_report!B189</f>
        <v>DECEMBRE 2023</v>
      </c>
      <c r="C190" s="15" t="str">
        <f>Base_report!C189</f>
        <v>C1047</v>
      </c>
      <c r="D190" s="14" t="str">
        <f>TRIM(IF(ISNUMBER(FIND("PNSME",Base_report!D189,1)),SUBSTITUTE(Base_report!D189,"PNSME",""),IF(ISNUMBER(FIND("PHG",Base_report!D189,1)),SUBSTITUTE(Base_report!D189,"PHG",""),IF(ISNUMBER(FIND("PCS",Base_report!D189,1)),SUBSTITUTE(Base_report!D189,"PCS",""),IF(ISNUMBER(FIND("CMU",Base_report!D189,1)),SUBSTITUTE(Base_report!D189,"CMU",""),Base_report!D189)))))</f>
        <v>DISTRICT SANITAIRE DABOU</v>
      </c>
      <c r="E190" s="14" t="str">
        <f>SUBSTITUTE(Base_report!E189,"-","/")</f>
        <v>PNLP/MEDICAMENTS ET INTRANTS</v>
      </c>
      <c r="F190" s="14" t="s">
        <v>788</v>
      </c>
      <c r="G190" s="16">
        <f>DATE(YEAR(SUBSTITUTE(LEFT(Base_report!F189,10),"-","/")),MONTH(SUBSTITUTE(LEFT(Base_report!F189,10),"-","/")),DAY(SUBSTITUTE(LEFT(Base_report!F189,10),"-","/")))</f>
        <v>45301</v>
      </c>
      <c r="H190" s="16">
        <f>DATE(YEAR(SUBSTITUTE(LEFT(Base_report!G189,10),"-","/")),MONTH(SUBSTITUTE(LEFT(Base_report!G189,10),"-","/")),DAY(SUBSTITUTE(LEFT(Base_report!G189,10),"-","/")))</f>
        <v>45301</v>
      </c>
      <c r="I190" s="17" t="str">
        <f t="shared" si="1"/>
        <v>OUI</v>
      </c>
      <c r="J190" s="18">
        <f>IF(L190="DS",DATE(RIGHT(B190,4),VLOOKUP(LEFT(B190,LEN(B190)-5),Feuil1!$E$3:$F$19,2,FALSE)+1,10),DATE(RIGHT(B190,4),VLOOKUP(LEFT(B190,LEN(B190)-5),Feuil1!$E$3:$F$19,2,FALSE)+1,7))</f>
        <v>45301</v>
      </c>
      <c r="K190" s="19">
        <f t="shared" si="2"/>
        <v>1</v>
      </c>
      <c r="L190" s="6" t="str">
        <f t="shared" si="3"/>
        <v>DS</v>
      </c>
    </row>
    <row r="191" ht="14.25" customHeight="1">
      <c r="A191" s="14" t="str">
        <f>Base_report!A190</f>
        <v>ABIDJAN 2</v>
      </c>
      <c r="B191" s="14" t="str">
        <f>Base_report!B190</f>
        <v>DECEMBRE 2023</v>
      </c>
      <c r="C191" s="15" t="str">
        <f>Base_report!C190</f>
        <v>C1676</v>
      </c>
      <c r="D191" s="14" t="str">
        <f>TRIM(IF(ISNUMBER(FIND("PNSME",Base_report!D190,1)),SUBSTITUTE(Base_report!D190,"PNSME",""),IF(ISNUMBER(FIND("PHG",Base_report!D190,1)),SUBSTITUTE(Base_report!D190,"PHG",""),IF(ISNUMBER(FIND("PCS",Base_report!D190,1)),SUBSTITUTE(Base_report!D190,"PCS",""),IF(ISNUMBER(FIND("CMU",Base_report!D190,1)),SUBSTITUTE(Base_report!D190,"CMU",""),Base_report!D190)))))</f>
        <v>DISTRICT SANITAIRE TREICHVILLE MARCORY</v>
      </c>
      <c r="E191" s="14" t="str">
        <f>SUBSTITUTE(Base_report!E190,"-","/")</f>
        <v>PNLS/TESTS RAPIDES ET CONSOMMABLES</v>
      </c>
      <c r="F191" s="14" t="s">
        <v>788</v>
      </c>
      <c r="G191" s="16">
        <f>DATE(YEAR(SUBSTITUTE(LEFT(Base_report!F190,10),"-","/")),MONTH(SUBSTITUTE(LEFT(Base_report!F190,10),"-","/")),DAY(SUBSTITUTE(LEFT(Base_report!F190,10),"-","/")))</f>
        <v>45301</v>
      </c>
      <c r="H191" s="16">
        <f>DATE(YEAR(SUBSTITUTE(LEFT(Base_report!G190,10),"-","/")),MONTH(SUBSTITUTE(LEFT(Base_report!G190,10),"-","/")),DAY(SUBSTITUTE(LEFT(Base_report!G190,10),"-","/")))</f>
        <v>45301</v>
      </c>
      <c r="I191" s="17" t="str">
        <f t="shared" si="1"/>
        <v>OUI</v>
      </c>
      <c r="J191" s="18">
        <f>IF(L191="DS",DATE(RIGHT(B191,4),VLOOKUP(LEFT(B191,LEN(B191)-5),Feuil1!$E$3:$F$19,2,FALSE)+1,10),DATE(RIGHT(B191,4),VLOOKUP(LEFT(B191,LEN(B191)-5),Feuil1!$E$3:$F$19,2,FALSE)+1,7))</f>
        <v>45301</v>
      </c>
      <c r="K191" s="19">
        <f t="shared" si="2"/>
        <v>1</v>
      </c>
      <c r="L191" s="6" t="str">
        <f t="shared" si="3"/>
        <v>DS</v>
      </c>
    </row>
    <row r="192" ht="14.25" customHeight="1">
      <c r="A192" s="14" t="str">
        <f>Base_report!A191</f>
        <v>ABIDJAN 1</v>
      </c>
      <c r="B192" s="14" t="str">
        <f>Base_report!B191</f>
        <v>DECEMBRE 2023</v>
      </c>
      <c r="C192" s="15" t="str">
        <f>Base_report!C191</f>
        <v>C1415</v>
      </c>
      <c r="D192" s="14" t="str">
        <f>TRIM(IF(ISNUMBER(FIND("PNSME",Base_report!D191,1)),SUBSTITUTE(Base_report!D191,"PNSME",""),IF(ISNUMBER(FIND("PHG",Base_report!D191,1)),SUBSTITUTE(Base_report!D191,"PHG",""),IF(ISNUMBER(FIND("PCS",Base_report!D191,1)),SUBSTITUTE(Base_report!D191,"PCS",""),IF(ISNUMBER(FIND("CMU",Base_report!D191,1)),SUBSTITUTE(Base_report!D191,"CMU",""),Base_report!D191)))))</f>
        <v>DISTRICT SANITAIRE YOPOUGON EST</v>
      </c>
      <c r="E192" s="14" t="str">
        <f>SUBSTITUTE(Base_report!E191,"-","/")</f>
        <v>PNLS/PRODUITS DE LABORATOIRE</v>
      </c>
      <c r="F192" s="14" t="s">
        <v>788</v>
      </c>
      <c r="G192" s="16">
        <f>DATE(YEAR(SUBSTITUTE(LEFT(Base_report!F191,10),"-","/")),MONTH(SUBSTITUTE(LEFT(Base_report!F191,10),"-","/")),DAY(SUBSTITUTE(LEFT(Base_report!F191,10),"-","/")))</f>
        <v>45301</v>
      </c>
      <c r="H192" s="16">
        <f>DATE(YEAR(SUBSTITUTE(LEFT(Base_report!G191,10),"-","/")),MONTH(SUBSTITUTE(LEFT(Base_report!G191,10),"-","/")),DAY(SUBSTITUTE(LEFT(Base_report!G191,10),"-","/")))</f>
        <v>45301</v>
      </c>
      <c r="I192" s="17" t="str">
        <f t="shared" si="1"/>
        <v>OUI</v>
      </c>
      <c r="J192" s="18">
        <f>IF(L192="DS",DATE(RIGHT(B192,4),VLOOKUP(LEFT(B192,LEN(B192)-5),Feuil1!$E$3:$F$19,2,FALSE)+1,10),DATE(RIGHT(B192,4),VLOOKUP(LEFT(B192,LEN(B192)-5),Feuil1!$E$3:$F$19,2,FALSE)+1,7))</f>
        <v>45301</v>
      </c>
      <c r="K192" s="19">
        <f t="shared" si="2"/>
        <v>1</v>
      </c>
      <c r="L192" s="6" t="str">
        <f t="shared" si="3"/>
        <v>DS</v>
      </c>
    </row>
    <row r="193" ht="14.25" customHeight="1">
      <c r="A193" s="14" t="str">
        <f>Base_report!A192</f>
        <v>ABIDJAN 1</v>
      </c>
      <c r="B193" s="14" t="str">
        <f>Base_report!B192</f>
        <v>DECEMBRE 2023</v>
      </c>
      <c r="C193" s="15" t="str">
        <f>Base_report!C192</f>
        <v>C1415</v>
      </c>
      <c r="D193" s="14" t="str">
        <f>TRIM(IF(ISNUMBER(FIND("PNSME",Base_report!D192,1)),SUBSTITUTE(Base_report!D192,"PNSME",""),IF(ISNUMBER(FIND("PHG",Base_report!D192,1)),SUBSTITUTE(Base_report!D192,"PHG",""),IF(ISNUMBER(FIND("PCS",Base_report!D192,1)),SUBSTITUTE(Base_report!D192,"PCS",""),IF(ISNUMBER(FIND("CMU",Base_report!D192,1)),SUBSTITUTE(Base_report!D192,"CMU",""),Base_report!D192)))))</f>
        <v>DISTRICT SANITAIRE YOPOUGON EST</v>
      </c>
      <c r="E193" s="14" t="str">
        <f>SUBSTITUTE(Base_report!E192,"-","/")</f>
        <v>PNLS/TESTS RAPIDES ET CONSOMMABLES</v>
      </c>
      <c r="F193" s="14" t="s">
        <v>788</v>
      </c>
      <c r="G193" s="16">
        <f>DATE(YEAR(SUBSTITUTE(LEFT(Base_report!F192,10),"-","/")),MONTH(SUBSTITUTE(LEFT(Base_report!F192,10),"-","/")),DAY(SUBSTITUTE(LEFT(Base_report!F192,10),"-","/")))</f>
        <v>45301</v>
      </c>
      <c r="H193" s="16">
        <f>DATE(YEAR(SUBSTITUTE(LEFT(Base_report!G192,10),"-","/")),MONTH(SUBSTITUTE(LEFT(Base_report!G192,10),"-","/")),DAY(SUBSTITUTE(LEFT(Base_report!G192,10),"-","/")))</f>
        <v>45301</v>
      </c>
      <c r="I193" s="17" t="str">
        <f t="shared" si="1"/>
        <v>OUI</v>
      </c>
      <c r="J193" s="18">
        <f>IF(L193="DS",DATE(RIGHT(B193,4),VLOOKUP(LEFT(B193,LEN(B193)-5),Feuil1!$E$3:$F$19,2,FALSE)+1,10),DATE(RIGHT(B193,4),VLOOKUP(LEFT(B193,LEN(B193)-5),Feuil1!$E$3:$F$19,2,FALSE)+1,7))</f>
        <v>45301</v>
      </c>
      <c r="K193" s="19">
        <f t="shared" si="2"/>
        <v>1</v>
      </c>
      <c r="L193" s="6" t="str">
        <f t="shared" si="3"/>
        <v>DS</v>
      </c>
    </row>
    <row r="194" ht="14.25" customHeight="1">
      <c r="A194" s="14" t="str">
        <f>Base_report!A193</f>
        <v>CAVALLY</v>
      </c>
      <c r="B194" s="14" t="str">
        <f>Base_report!B193</f>
        <v>DECEMBRE 2023</v>
      </c>
      <c r="C194" s="15" t="str">
        <f>Base_report!C193</f>
        <v>C5011</v>
      </c>
      <c r="D194" s="14" t="str">
        <f>TRIM(IF(ISNUMBER(FIND("PNSME",Base_report!D193,1)),SUBSTITUTE(Base_report!D193,"PNSME",""),IF(ISNUMBER(FIND("PHG",Base_report!D193,1)),SUBSTITUTE(Base_report!D193,"PHG",""),IF(ISNUMBER(FIND("PCS",Base_report!D193,1)),SUBSTITUTE(Base_report!D193,"PCS",""),IF(ISNUMBER(FIND("CMU",Base_report!D193,1)),SUBSTITUTE(Base_report!D193,"CMU",""),Base_report!D193)))))</f>
        <v>DISTRICT SANITAIRE GUIGLO</v>
      </c>
      <c r="E194" s="14" t="str">
        <f>SUBSTITUTE(Base_report!E193,"-","/")</f>
        <v>PNLS/PRODUITS DE LABORATOIRE</v>
      </c>
      <c r="F194" s="14" t="s">
        <v>788</v>
      </c>
      <c r="G194" s="16">
        <f>DATE(YEAR(SUBSTITUTE(LEFT(Base_report!F193,10),"-","/")),MONTH(SUBSTITUTE(LEFT(Base_report!F193,10),"-","/")),DAY(SUBSTITUTE(LEFT(Base_report!F193,10),"-","/")))</f>
        <v>45301</v>
      </c>
      <c r="H194" s="16">
        <f>DATE(YEAR(SUBSTITUTE(LEFT(Base_report!G193,10),"-","/")),MONTH(SUBSTITUTE(LEFT(Base_report!G193,10),"-","/")),DAY(SUBSTITUTE(LEFT(Base_report!G193,10),"-","/")))</f>
        <v>45301</v>
      </c>
      <c r="I194" s="17" t="str">
        <f t="shared" si="1"/>
        <v>OUI</v>
      </c>
      <c r="J194" s="18">
        <f>IF(L194="DS",DATE(RIGHT(B194,4),VLOOKUP(LEFT(B194,LEN(B194)-5),Feuil1!$E$3:$F$19,2,FALSE)+1,10),DATE(RIGHT(B194,4),VLOOKUP(LEFT(B194,LEN(B194)-5),Feuil1!$E$3:$F$19,2,FALSE)+1,7))</f>
        <v>45301</v>
      </c>
      <c r="K194" s="19">
        <f t="shared" si="2"/>
        <v>1</v>
      </c>
      <c r="L194" s="6" t="str">
        <f t="shared" si="3"/>
        <v>DS</v>
      </c>
    </row>
    <row r="195" ht="14.25" customHeight="1">
      <c r="A195" s="14" t="str">
        <f>Base_report!A194</f>
        <v>AGNEBY-TIASSA</v>
      </c>
      <c r="B195" s="14" t="str">
        <f>Base_report!B194</f>
        <v>DECEMBRE 2023</v>
      </c>
      <c r="C195" s="15" t="str">
        <f>Base_report!C194</f>
        <v>C2065</v>
      </c>
      <c r="D195" s="14" t="str">
        <f>TRIM(IF(ISNUMBER(FIND("PNSME",Base_report!D194,1)),SUBSTITUTE(Base_report!D194,"PNSME",""),IF(ISNUMBER(FIND("PHG",Base_report!D194,1)),SUBSTITUTE(Base_report!D194,"PHG",""),IF(ISNUMBER(FIND("PCS",Base_report!D194,1)),SUBSTITUTE(Base_report!D194,"PCS",""),IF(ISNUMBER(FIND("CMU",Base_report!D194,1)),SUBSTITUTE(Base_report!D194,"CMU",""),Base_report!D194)))))</f>
        <v>HOPITAL GENERAL TAABO</v>
      </c>
      <c r="E195" s="14" t="str">
        <f>SUBSTITUTE(Base_report!E194,"-","/")</f>
        <v>PNN/MEDICAMENTS ET INTRANTS</v>
      </c>
      <c r="F195" s="14" t="s">
        <v>788</v>
      </c>
      <c r="G195" s="16">
        <f>DATE(YEAR(SUBSTITUTE(LEFT(Base_report!F194,10),"-","/")),MONTH(SUBSTITUTE(LEFT(Base_report!F194,10),"-","/")),DAY(SUBSTITUTE(LEFT(Base_report!F194,10),"-","/")))</f>
        <v>45301</v>
      </c>
      <c r="H195" s="16">
        <f>DATE(YEAR(SUBSTITUTE(LEFT(Base_report!G194,10),"-","/")),MONTH(SUBSTITUTE(LEFT(Base_report!G194,10),"-","/")),DAY(SUBSTITUTE(LEFT(Base_report!G194,10),"-","/")))</f>
        <v>45301</v>
      </c>
      <c r="I195" s="17" t="str">
        <f t="shared" si="1"/>
        <v>OUI</v>
      </c>
      <c r="J195" s="18">
        <f>IF(L195="DS",DATE(RIGHT(B195,4),VLOOKUP(LEFT(B195,LEN(B195)-5),Feuil1!$E$3:$F$19,2,FALSE)+1,10),DATE(RIGHT(B195,4),VLOOKUP(LEFT(B195,LEN(B195)-5),Feuil1!$E$3:$F$19,2,FALSE)+1,7))</f>
        <v>45298</v>
      </c>
      <c r="K195" s="19">
        <f t="shared" si="2"/>
        <v>0</v>
      </c>
      <c r="L195" s="6" t="str">
        <f t="shared" si="3"/>
        <v>FS</v>
      </c>
    </row>
    <row r="196" ht="14.25" customHeight="1">
      <c r="A196" s="14" t="str">
        <f>Base_report!A195</f>
        <v>CAVALLY</v>
      </c>
      <c r="B196" s="14" t="str">
        <f>Base_report!B195</f>
        <v>DECEMBRE 2023</v>
      </c>
      <c r="C196" s="15" t="str">
        <f>Base_report!C195</f>
        <v>C5011</v>
      </c>
      <c r="D196" s="14" t="str">
        <f>TRIM(IF(ISNUMBER(FIND("PNSME",Base_report!D195,1)),SUBSTITUTE(Base_report!D195,"PNSME",""),IF(ISNUMBER(FIND("PHG",Base_report!D195,1)),SUBSTITUTE(Base_report!D195,"PHG",""),IF(ISNUMBER(FIND("PCS",Base_report!D195,1)),SUBSTITUTE(Base_report!D195,"PCS",""),IF(ISNUMBER(FIND("CMU",Base_report!D195,1)),SUBSTITUTE(Base_report!D195,"CMU",""),Base_report!D195)))))</f>
        <v>DISTRICT SANITAIRE GUIGLO</v>
      </c>
      <c r="E196" s="14" t="str">
        <f>SUBSTITUTE(Base_report!E195,"-","/")</f>
        <v>PNLS/TESTS RAPIDES ET CONSOMMABLES</v>
      </c>
      <c r="F196" s="14" t="s">
        <v>788</v>
      </c>
      <c r="G196" s="16">
        <f>DATE(YEAR(SUBSTITUTE(LEFT(Base_report!F195,10),"-","/")),MONTH(SUBSTITUTE(LEFT(Base_report!F195,10),"-","/")),DAY(SUBSTITUTE(LEFT(Base_report!F195,10),"-","/")))</f>
        <v>45301</v>
      </c>
      <c r="H196" s="16">
        <f>DATE(YEAR(SUBSTITUTE(LEFT(Base_report!G195,10),"-","/")),MONTH(SUBSTITUTE(LEFT(Base_report!G195,10),"-","/")),DAY(SUBSTITUTE(LEFT(Base_report!G195,10),"-","/")))</f>
        <v>45301</v>
      </c>
      <c r="I196" s="17" t="str">
        <f t="shared" si="1"/>
        <v>OUI</v>
      </c>
      <c r="J196" s="18">
        <f>IF(L196="DS",DATE(RIGHT(B196,4),VLOOKUP(LEFT(B196,LEN(B196)-5),Feuil1!$E$3:$F$19,2,FALSE)+1,10),DATE(RIGHT(B196,4),VLOOKUP(LEFT(B196,LEN(B196)-5),Feuil1!$E$3:$F$19,2,FALSE)+1,7))</f>
        <v>45301</v>
      </c>
      <c r="K196" s="19">
        <f t="shared" si="2"/>
        <v>1</v>
      </c>
      <c r="L196" s="6" t="str">
        <f t="shared" si="3"/>
        <v>DS</v>
      </c>
    </row>
    <row r="197" ht="14.25" customHeight="1">
      <c r="A197" s="14" t="str">
        <f>Base_report!A196</f>
        <v>LOH-DJIBOUA</v>
      </c>
      <c r="B197" s="14" t="str">
        <f>Base_report!B196</f>
        <v>DECEMBRE 2023</v>
      </c>
      <c r="C197" s="15" t="str">
        <f>Base_report!C196</f>
        <v>C2032</v>
      </c>
      <c r="D197" s="14" t="str">
        <f>TRIM(IF(ISNUMBER(FIND("PNSME",Base_report!D196,1)),SUBSTITUTE(Base_report!D196,"PNSME",""),IF(ISNUMBER(FIND("PHG",Base_report!D196,1)),SUBSTITUTE(Base_report!D196,"PHG",""),IF(ISNUMBER(FIND("PCS",Base_report!D196,1)),SUBSTITUTE(Base_report!D196,"PCS",""),IF(ISNUMBER(FIND("CMU",Base_report!D196,1)),SUBSTITUTE(Base_report!D196,"CMU",""),Base_report!D196)))))</f>
        <v>DISTRICT SANITAIRE LAKOTA</v>
      </c>
      <c r="E197" s="14" t="str">
        <f>SUBSTITUTE(Base_report!E196,"-","/")</f>
        <v>PNLS/PRODUITS DE LABORATOIRE</v>
      </c>
      <c r="F197" s="14" t="s">
        <v>788</v>
      </c>
      <c r="G197" s="16">
        <f>DATE(YEAR(SUBSTITUTE(LEFT(Base_report!F196,10),"-","/")),MONTH(SUBSTITUTE(LEFT(Base_report!F196,10),"-","/")),DAY(SUBSTITUTE(LEFT(Base_report!F196,10),"-","/")))</f>
        <v>45301</v>
      </c>
      <c r="H197" s="16">
        <f>DATE(YEAR(SUBSTITUTE(LEFT(Base_report!G196,10),"-","/")),MONTH(SUBSTITUTE(LEFT(Base_report!G196,10),"-","/")),DAY(SUBSTITUTE(LEFT(Base_report!G196,10),"-","/")))</f>
        <v>45301</v>
      </c>
      <c r="I197" s="17" t="str">
        <f t="shared" si="1"/>
        <v>OUI</v>
      </c>
      <c r="J197" s="18">
        <f>IF(L197="DS",DATE(RIGHT(B197,4),VLOOKUP(LEFT(B197,LEN(B197)-5),Feuil1!$E$3:$F$19,2,FALSE)+1,10),DATE(RIGHT(B197,4),VLOOKUP(LEFT(B197,LEN(B197)-5),Feuil1!$E$3:$F$19,2,FALSE)+1,7))</f>
        <v>45301</v>
      </c>
      <c r="K197" s="19">
        <f t="shared" si="2"/>
        <v>1</v>
      </c>
      <c r="L197" s="6" t="str">
        <f t="shared" si="3"/>
        <v>DS</v>
      </c>
    </row>
    <row r="198" ht="14.25" customHeight="1">
      <c r="A198" s="14" t="str">
        <f>Base_report!A197</f>
        <v>LOH-DJIBOUA</v>
      </c>
      <c r="B198" s="14" t="str">
        <f>Base_report!B197</f>
        <v>DECEMBRE 2023</v>
      </c>
      <c r="C198" s="15" t="str">
        <f>Base_report!C197</f>
        <v>C2032</v>
      </c>
      <c r="D198" s="14" t="str">
        <f>TRIM(IF(ISNUMBER(FIND("PNSME",Base_report!D197,1)),SUBSTITUTE(Base_report!D197,"PNSME",""),IF(ISNUMBER(FIND("PHG",Base_report!D197,1)),SUBSTITUTE(Base_report!D197,"PHG",""),IF(ISNUMBER(FIND("PCS",Base_report!D197,1)),SUBSTITUTE(Base_report!D197,"PCS",""),IF(ISNUMBER(FIND("CMU",Base_report!D197,1)),SUBSTITUTE(Base_report!D197,"CMU",""),Base_report!D197)))))</f>
        <v>DISTRICT SANITAIRE LAKOTA</v>
      </c>
      <c r="E198" s="14" t="str">
        <f>SUBSTITUTE(Base_report!E197,"-","/")</f>
        <v>PNLS/TESTS RAPIDES ET CONSOMMABLES</v>
      </c>
      <c r="F198" s="14" t="s">
        <v>788</v>
      </c>
      <c r="G198" s="16">
        <f>DATE(YEAR(SUBSTITUTE(LEFT(Base_report!F197,10),"-","/")),MONTH(SUBSTITUTE(LEFT(Base_report!F197,10),"-","/")),DAY(SUBSTITUTE(LEFT(Base_report!F197,10),"-","/")))</f>
        <v>45301</v>
      </c>
      <c r="H198" s="16">
        <f>DATE(YEAR(SUBSTITUTE(LEFT(Base_report!G197,10),"-","/")),MONTH(SUBSTITUTE(LEFT(Base_report!G197,10),"-","/")),DAY(SUBSTITUTE(LEFT(Base_report!G197,10),"-","/")))</f>
        <v>45301</v>
      </c>
      <c r="I198" s="17" t="str">
        <f t="shared" si="1"/>
        <v>OUI</v>
      </c>
      <c r="J198" s="18">
        <f>IF(L198="DS",DATE(RIGHT(B198,4),VLOOKUP(LEFT(B198,LEN(B198)-5),Feuil1!$E$3:$F$19,2,FALSE)+1,10),DATE(RIGHT(B198,4),VLOOKUP(LEFT(B198,LEN(B198)-5),Feuil1!$E$3:$F$19,2,FALSE)+1,7))</f>
        <v>45301</v>
      </c>
      <c r="K198" s="19">
        <f t="shared" si="2"/>
        <v>1</v>
      </c>
      <c r="L198" s="6" t="str">
        <f t="shared" si="3"/>
        <v>DS</v>
      </c>
    </row>
    <row r="199" ht="14.25" customHeight="1">
      <c r="A199" s="14" t="str">
        <f>Base_report!A198</f>
        <v>ABIDJAN 1</v>
      </c>
      <c r="B199" s="14" t="str">
        <f>Base_report!B198</f>
        <v>DECEMBRE 2023</v>
      </c>
      <c r="C199" s="15" t="str">
        <f>Base_report!C198</f>
        <v>C1064</v>
      </c>
      <c r="D199" s="14" t="str">
        <f>TRIM(IF(ISNUMBER(FIND("PNSME",Base_report!D198,1)),SUBSTITUTE(Base_report!D198,"PNSME",""),IF(ISNUMBER(FIND("PHG",Base_report!D198,1)),SUBSTITUTE(Base_report!D198,"PHG",""),IF(ISNUMBER(FIND("PCS",Base_report!D198,1)),SUBSTITUTE(Base_report!D198,"PCS",""),IF(ISNUMBER(FIND("CMU",Base_report!D198,1)),SUBSTITUTE(Base_report!D198,"CMU",""),Base_report!D198)))))</f>
        <v>FSU COM ABOBO AVOCATIER</v>
      </c>
      <c r="E199" s="14" t="str">
        <f>SUBSTITUTE(Base_report!E198,"-","/")</f>
        <v>PNLS/PRODUITS DE LABORATOIRE</v>
      </c>
      <c r="F199" s="14" t="s">
        <v>788</v>
      </c>
      <c r="G199" s="16">
        <f>DATE(YEAR(SUBSTITUTE(LEFT(Base_report!F198,10),"-","/")),MONTH(SUBSTITUTE(LEFT(Base_report!F198,10),"-","/")),DAY(SUBSTITUTE(LEFT(Base_report!F198,10),"-","/")))</f>
        <v>45301</v>
      </c>
      <c r="H199" s="16">
        <f>DATE(YEAR(SUBSTITUTE(LEFT(Base_report!G198,10),"-","/")),MONTH(SUBSTITUTE(LEFT(Base_report!G198,10),"-","/")),DAY(SUBSTITUTE(LEFT(Base_report!G198,10),"-","/")))</f>
        <v>45301</v>
      </c>
      <c r="I199" s="17" t="str">
        <f t="shared" si="1"/>
        <v>OUI</v>
      </c>
      <c r="J199" s="18">
        <f>IF(L199="DS",DATE(RIGHT(B199,4),VLOOKUP(LEFT(B199,LEN(B199)-5),Feuil1!$E$3:$F$19,2,FALSE)+1,10),DATE(RIGHT(B199,4),VLOOKUP(LEFT(B199,LEN(B199)-5),Feuil1!$E$3:$F$19,2,FALSE)+1,7))</f>
        <v>45298</v>
      </c>
      <c r="K199" s="19">
        <f t="shared" si="2"/>
        <v>0</v>
      </c>
      <c r="L199" s="6" t="str">
        <f t="shared" si="3"/>
        <v>FS</v>
      </c>
    </row>
    <row r="200" ht="14.25" customHeight="1">
      <c r="A200" s="14" t="str">
        <f>Base_report!A199</f>
        <v>GONTOUGO</v>
      </c>
      <c r="B200" s="14" t="str">
        <f>Base_report!B199</f>
        <v>DECEMBRE 2023</v>
      </c>
      <c r="C200" s="15" t="str">
        <f>Base_report!C199</f>
        <v>C4007</v>
      </c>
      <c r="D200" s="14" t="str">
        <f>TRIM(IF(ISNUMBER(FIND("PNSME",Base_report!D199,1)),SUBSTITUTE(Base_report!D199,"PNSME",""),IF(ISNUMBER(FIND("PHG",Base_report!D199,1)),SUBSTITUTE(Base_report!D199,"PHG",""),IF(ISNUMBER(FIND("PCS",Base_report!D199,1)),SUBSTITUTE(Base_report!D199,"PCS",""),IF(ISNUMBER(FIND("CMU",Base_report!D199,1)),SUBSTITUTE(Base_report!D199,"CMU",""),Base_report!D199)))))</f>
        <v>DISTRICT SANITAIRE BONDOUKOU</v>
      </c>
      <c r="E200" s="14" t="str">
        <f>SUBSTITUTE(Base_report!E199,"-","/")</f>
        <v>PNLP/MEDICAMENTS ET INTRANTS</v>
      </c>
      <c r="F200" s="14" t="s">
        <v>788</v>
      </c>
      <c r="G200" s="16">
        <f>DATE(YEAR(SUBSTITUTE(LEFT(Base_report!F199,10),"-","/")),MONTH(SUBSTITUTE(LEFT(Base_report!F199,10),"-","/")),DAY(SUBSTITUTE(LEFT(Base_report!F199,10),"-","/")))</f>
        <v>45301</v>
      </c>
      <c r="H200" s="16">
        <f>DATE(YEAR(SUBSTITUTE(LEFT(Base_report!G199,10),"-","/")),MONTH(SUBSTITUTE(LEFT(Base_report!G199,10),"-","/")),DAY(SUBSTITUTE(LEFT(Base_report!G199,10),"-","/")))</f>
        <v>45301</v>
      </c>
      <c r="I200" s="17" t="str">
        <f t="shared" si="1"/>
        <v>OUI</v>
      </c>
      <c r="J200" s="18">
        <f>IF(L200="DS",DATE(RIGHT(B200,4),VLOOKUP(LEFT(B200,LEN(B200)-5),Feuil1!$E$3:$F$19,2,FALSE)+1,10),DATE(RIGHT(B200,4),VLOOKUP(LEFT(B200,LEN(B200)-5),Feuil1!$E$3:$F$19,2,FALSE)+1,7))</f>
        <v>45301</v>
      </c>
      <c r="K200" s="19">
        <f t="shared" si="2"/>
        <v>1</v>
      </c>
      <c r="L200" s="6" t="str">
        <f t="shared" si="3"/>
        <v>DS</v>
      </c>
    </row>
    <row r="201" ht="14.25" customHeight="1">
      <c r="A201" s="14" t="str">
        <f>Base_report!A200</f>
        <v>BOUNKANI</v>
      </c>
      <c r="B201" s="14" t="str">
        <f>Base_report!B200</f>
        <v>DECEMBRE 2023</v>
      </c>
      <c r="C201" s="15" t="str">
        <f>Base_report!C200</f>
        <v>C4082</v>
      </c>
      <c r="D201" s="14" t="str">
        <f>TRIM(IF(ISNUMBER(FIND("PNSME",Base_report!D200,1)),SUBSTITUTE(Base_report!D200,"PNSME",""),IF(ISNUMBER(FIND("PHG",Base_report!D200,1)),SUBSTITUTE(Base_report!D200,"PHG",""),IF(ISNUMBER(FIND("PCS",Base_report!D200,1)),SUBSTITUTE(Base_report!D200,"PCS",""),IF(ISNUMBER(FIND("CMU",Base_report!D200,1)),SUBSTITUTE(Base_report!D200,"CMU",""),Base_report!D200)))))</f>
        <v>DISTRICT SANITAIRE DOROPO</v>
      </c>
      <c r="E201" s="14" t="str">
        <f>SUBSTITUTE(Base_report!E200,"-","/")</f>
        <v>PNLS/ANTIRETROVIRAUX ET IO</v>
      </c>
      <c r="F201" s="14" t="s">
        <v>788</v>
      </c>
      <c r="G201" s="16">
        <f>DATE(YEAR(SUBSTITUTE(LEFT(Base_report!F200,10),"-","/")),MONTH(SUBSTITUTE(LEFT(Base_report!F200,10),"-","/")),DAY(SUBSTITUTE(LEFT(Base_report!F200,10),"-","/")))</f>
        <v>45301</v>
      </c>
      <c r="H201" s="16">
        <f>DATE(YEAR(SUBSTITUTE(LEFT(Base_report!G200,10),"-","/")),MONTH(SUBSTITUTE(LEFT(Base_report!G200,10),"-","/")),DAY(SUBSTITUTE(LEFT(Base_report!G200,10),"-","/")))</f>
        <v>45301</v>
      </c>
      <c r="I201" s="17" t="str">
        <f t="shared" si="1"/>
        <v>OUI</v>
      </c>
      <c r="J201" s="18">
        <f>IF(L201="DS",DATE(RIGHT(B201,4),VLOOKUP(LEFT(B201,LEN(B201)-5),Feuil1!$E$3:$F$19,2,FALSE)+1,10),DATE(RIGHT(B201,4),VLOOKUP(LEFT(B201,LEN(B201)-5),Feuil1!$E$3:$F$19,2,FALSE)+1,7))</f>
        <v>45301</v>
      </c>
      <c r="K201" s="19">
        <f t="shared" si="2"/>
        <v>1</v>
      </c>
      <c r="L201" s="6" t="str">
        <f t="shared" si="3"/>
        <v>DS</v>
      </c>
    </row>
    <row r="202" ht="14.25" customHeight="1">
      <c r="A202" s="14" t="str">
        <f>Base_report!A201</f>
        <v>NAWA</v>
      </c>
      <c r="B202" s="14" t="str">
        <f>Base_report!B201</f>
        <v>DECEMBRE 2023</v>
      </c>
      <c r="C202" s="15" t="str">
        <f>Base_report!C201</f>
        <v>C2039</v>
      </c>
      <c r="D202" s="14" t="str">
        <f>TRIM(IF(ISNUMBER(FIND("PNSME",Base_report!D201,1)),SUBSTITUTE(Base_report!D201,"PNSME",""),IF(ISNUMBER(FIND("PHG",Base_report!D201,1)),SUBSTITUTE(Base_report!D201,"PHG",""),IF(ISNUMBER(FIND("PCS",Base_report!D201,1)),SUBSTITUTE(Base_report!D201,"PCS",""),IF(ISNUMBER(FIND("CMU",Base_report!D201,1)),SUBSTITUTE(Base_report!D201,"CMU",""),Base_report!D201)))))</f>
        <v>DISTRICT SANITAIRE SOUBRE</v>
      </c>
      <c r="E202" s="14" t="str">
        <f>SUBSTITUTE(Base_report!E201,"-","/")</f>
        <v>PNSME/MEDICAMENTS ET INTRANTS</v>
      </c>
      <c r="F202" s="14" t="s">
        <v>788</v>
      </c>
      <c r="G202" s="16">
        <f>DATE(YEAR(SUBSTITUTE(LEFT(Base_report!F201,10),"-","/")),MONTH(SUBSTITUTE(LEFT(Base_report!F201,10),"-","/")),DAY(SUBSTITUTE(LEFT(Base_report!F201,10),"-","/")))</f>
        <v>45301</v>
      </c>
      <c r="H202" s="16">
        <f>DATE(YEAR(SUBSTITUTE(LEFT(Base_report!G201,10),"-","/")),MONTH(SUBSTITUTE(LEFT(Base_report!G201,10),"-","/")),DAY(SUBSTITUTE(LEFT(Base_report!G201,10),"-","/")))</f>
        <v>45301</v>
      </c>
      <c r="I202" s="17" t="str">
        <f t="shared" si="1"/>
        <v>OUI</v>
      </c>
      <c r="J202" s="18">
        <f>IF(L202="DS",DATE(RIGHT(B202,4),VLOOKUP(LEFT(B202,LEN(B202)-5),Feuil1!$E$3:$F$19,2,FALSE)+1,10),DATE(RIGHT(B202,4),VLOOKUP(LEFT(B202,LEN(B202)-5),Feuil1!$E$3:$F$19,2,FALSE)+1,7))</f>
        <v>45301</v>
      </c>
      <c r="K202" s="19">
        <f t="shared" si="2"/>
        <v>1</v>
      </c>
      <c r="L202" s="6" t="str">
        <f t="shared" si="3"/>
        <v>DS</v>
      </c>
    </row>
    <row r="203" ht="14.25" customHeight="1">
      <c r="A203" s="14" t="str">
        <f>Base_report!A202</f>
        <v>GUEMON</v>
      </c>
      <c r="B203" s="14" t="str">
        <f>Base_report!B202</f>
        <v>DECEMBRE 2023</v>
      </c>
      <c r="C203" s="15" t="str">
        <f>Base_report!C202</f>
        <v>C5035</v>
      </c>
      <c r="D203" s="14" t="str">
        <f>TRIM(IF(ISNUMBER(FIND("PNSME",Base_report!D202,1)),SUBSTITUTE(Base_report!D202,"PNSME",""),IF(ISNUMBER(FIND("PHG",Base_report!D202,1)),SUBSTITUTE(Base_report!D202,"PHG",""),IF(ISNUMBER(FIND("PCS",Base_report!D202,1)),SUBSTITUTE(Base_report!D202,"PCS",""),IF(ISNUMBER(FIND("CMU",Base_report!D202,1)),SUBSTITUTE(Base_report!D202,"CMU",""),Base_report!D202)))))</f>
        <v>DISTRICT SANITAIRE KOUIBLY</v>
      </c>
      <c r="E203" s="14" t="str">
        <f>SUBSTITUTE(Base_report!E202,"-","/")</f>
        <v>PNLS/ANTIRETROVIRAUX ET IO</v>
      </c>
      <c r="F203" s="14" t="s">
        <v>788</v>
      </c>
      <c r="G203" s="16">
        <f>DATE(YEAR(SUBSTITUTE(LEFT(Base_report!F202,10),"-","/")),MONTH(SUBSTITUTE(LEFT(Base_report!F202,10),"-","/")),DAY(SUBSTITUTE(LEFT(Base_report!F202,10),"-","/")))</f>
        <v>45301</v>
      </c>
      <c r="H203" s="16">
        <f>DATE(YEAR(SUBSTITUTE(LEFT(Base_report!G202,10),"-","/")),MONTH(SUBSTITUTE(LEFT(Base_report!G202,10),"-","/")),DAY(SUBSTITUTE(LEFT(Base_report!G202,10),"-","/")))</f>
        <v>45301</v>
      </c>
      <c r="I203" s="17" t="str">
        <f t="shared" si="1"/>
        <v>OUI</v>
      </c>
      <c r="J203" s="18">
        <f>IF(L203="DS",DATE(RIGHT(B203,4),VLOOKUP(LEFT(B203,LEN(B203)-5),Feuil1!$E$3:$F$19,2,FALSE)+1,10),DATE(RIGHT(B203,4),VLOOKUP(LEFT(B203,LEN(B203)-5),Feuil1!$E$3:$F$19,2,FALSE)+1,7))</f>
        <v>45301</v>
      </c>
      <c r="K203" s="19">
        <f t="shared" si="2"/>
        <v>1</v>
      </c>
      <c r="L203" s="6" t="str">
        <f t="shared" si="3"/>
        <v>DS</v>
      </c>
    </row>
    <row r="204" ht="14.25" customHeight="1">
      <c r="A204" s="14" t="str">
        <f>Base_report!A203</f>
        <v>BOUNKANI</v>
      </c>
      <c r="B204" s="14" t="str">
        <f>Base_report!B203</f>
        <v>DECEMBRE 2023</v>
      </c>
      <c r="C204" s="15" t="str">
        <f>Base_report!C203</f>
        <v>C4082</v>
      </c>
      <c r="D204" s="14" t="str">
        <f>TRIM(IF(ISNUMBER(FIND("PNSME",Base_report!D203,1)),SUBSTITUTE(Base_report!D203,"PNSME",""),IF(ISNUMBER(FIND("PHG",Base_report!D203,1)),SUBSTITUTE(Base_report!D203,"PHG",""),IF(ISNUMBER(FIND("PCS",Base_report!D203,1)),SUBSTITUTE(Base_report!D203,"PCS",""),IF(ISNUMBER(FIND("CMU",Base_report!D203,1)),SUBSTITUTE(Base_report!D203,"CMU",""),Base_report!D203)))))</f>
        <v>DISTRICT SANITAIRE DOROPO</v>
      </c>
      <c r="E204" s="14" t="str">
        <f>SUBSTITUTE(Base_report!E203,"-","/")</f>
        <v>PNLP/MEDICAMENTS ET INTRANTS</v>
      </c>
      <c r="F204" s="14" t="s">
        <v>788</v>
      </c>
      <c r="G204" s="16">
        <f>DATE(YEAR(SUBSTITUTE(LEFT(Base_report!F203,10),"-","/")),MONTH(SUBSTITUTE(LEFT(Base_report!F203,10),"-","/")),DAY(SUBSTITUTE(LEFT(Base_report!F203,10),"-","/")))</f>
        <v>45301</v>
      </c>
      <c r="H204" s="16">
        <f>DATE(YEAR(SUBSTITUTE(LEFT(Base_report!G203,10),"-","/")),MONTH(SUBSTITUTE(LEFT(Base_report!G203,10),"-","/")),DAY(SUBSTITUTE(LEFT(Base_report!G203,10),"-","/")))</f>
        <v>45301</v>
      </c>
      <c r="I204" s="17" t="str">
        <f t="shared" si="1"/>
        <v>OUI</v>
      </c>
      <c r="J204" s="18">
        <f>IF(L204="DS",DATE(RIGHT(B204,4),VLOOKUP(LEFT(B204,LEN(B204)-5),Feuil1!$E$3:$F$19,2,FALSE)+1,10),DATE(RIGHT(B204,4),VLOOKUP(LEFT(B204,LEN(B204)-5),Feuil1!$E$3:$F$19,2,FALSE)+1,7))</f>
        <v>45301</v>
      </c>
      <c r="K204" s="19">
        <f t="shared" si="2"/>
        <v>1</v>
      </c>
      <c r="L204" s="6" t="str">
        <f t="shared" si="3"/>
        <v>DS</v>
      </c>
    </row>
    <row r="205" ht="14.25" customHeight="1">
      <c r="A205" s="14" t="str">
        <f>Base_report!A204</f>
        <v>TCHOLOGO</v>
      </c>
      <c r="B205" s="14" t="str">
        <f>Base_report!B204</f>
        <v>DECEMBRE 2023</v>
      </c>
      <c r="C205" s="15" t="str">
        <f>Base_report!C204</f>
        <v>C3046</v>
      </c>
      <c r="D205" s="14" t="str">
        <f>TRIM(IF(ISNUMBER(FIND("PNSME",Base_report!D204,1)),SUBSTITUTE(Base_report!D204,"PNSME",""),IF(ISNUMBER(FIND("PHG",Base_report!D204,1)),SUBSTITUTE(Base_report!D204,"PHG",""),IF(ISNUMBER(FIND("PCS",Base_report!D204,1)),SUBSTITUTE(Base_report!D204,"PCS",""),IF(ISNUMBER(FIND("CMU",Base_report!D204,1)),SUBSTITUTE(Base_report!D204,"CMU",""),Base_report!D204)))))</f>
        <v>DISTRICT SANITAIRE OUANGOLO</v>
      </c>
      <c r="E205" s="14" t="str">
        <f>SUBSTITUTE(Base_report!E204,"-","/")</f>
        <v>PNLP/MEDICAMENTS ET INTRANTS</v>
      </c>
      <c r="F205" s="14" t="s">
        <v>788</v>
      </c>
      <c r="G205" s="16">
        <f>DATE(YEAR(SUBSTITUTE(LEFT(Base_report!F204,10),"-","/")),MONTH(SUBSTITUTE(LEFT(Base_report!F204,10),"-","/")),DAY(SUBSTITUTE(LEFT(Base_report!F204,10),"-","/")))</f>
        <v>45301</v>
      </c>
      <c r="H205" s="16">
        <f>DATE(YEAR(SUBSTITUTE(LEFT(Base_report!G204,10),"-","/")),MONTH(SUBSTITUTE(LEFT(Base_report!G204,10),"-","/")),DAY(SUBSTITUTE(LEFT(Base_report!G204,10),"-","/")))</f>
        <v>45301</v>
      </c>
      <c r="I205" s="17" t="str">
        <f t="shared" si="1"/>
        <v>OUI</v>
      </c>
      <c r="J205" s="18">
        <f>IF(L205="DS",DATE(RIGHT(B205,4),VLOOKUP(LEFT(B205,LEN(B205)-5),Feuil1!$E$3:$F$19,2,FALSE)+1,10),DATE(RIGHT(B205,4),VLOOKUP(LEFT(B205,LEN(B205)-5),Feuil1!$E$3:$F$19,2,FALSE)+1,7))</f>
        <v>45301</v>
      </c>
      <c r="K205" s="19">
        <f t="shared" si="2"/>
        <v>1</v>
      </c>
      <c r="L205" s="6" t="str">
        <f t="shared" si="3"/>
        <v>DS</v>
      </c>
    </row>
    <row r="206" ht="14.25" customHeight="1">
      <c r="A206" s="14" t="str">
        <f>Base_report!A205</f>
        <v>GBEKE</v>
      </c>
      <c r="B206" s="14" t="str">
        <f>Base_report!B205</f>
        <v>DECEMBRE 2023</v>
      </c>
      <c r="C206" s="15" t="str">
        <f>Base_report!C205</f>
        <v>C2222</v>
      </c>
      <c r="D206" s="14" t="str">
        <f>TRIM(IF(ISNUMBER(FIND("PNSME",Base_report!D205,1)),SUBSTITUTE(Base_report!D205,"PNSME",""),IF(ISNUMBER(FIND("PHG",Base_report!D205,1)),SUBSTITUTE(Base_report!D205,"PHG",""),IF(ISNUMBER(FIND("PCS",Base_report!D205,1)),SUBSTITUTE(Base_report!D205,"PCS",""),IF(ISNUMBER(FIND("CMU",Base_report!D205,1)),SUBSTITUTE(Base_report!D205,"CMU",""),Base_report!D205)))))</f>
        <v>DISTRICT SANITAIRE BOTRO</v>
      </c>
      <c r="E206" s="14" t="str">
        <f>SUBSTITUTE(Base_report!E205,"-","/")</f>
        <v>PNSME/MEDICAMENTS ET INTRANTS</v>
      </c>
      <c r="F206" s="14" t="s">
        <v>788</v>
      </c>
      <c r="G206" s="16">
        <f>DATE(YEAR(SUBSTITUTE(LEFT(Base_report!F205,10),"-","/")),MONTH(SUBSTITUTE(LEFT(Base_report!F205,10),"-","/")),DAY(SUBSTITUTE(LEFT(Base_report!F205,10),"-","/")))</f>
        <v>45301</v>
      </c>
      <c r="H206" s="16">
        <f>DATE(YEAR(SUBSTITUTE(LEFT(Base_report!G205,10),"-","/")),MONTH(SUBSTITUTE(LEFT(Base_report!G205,10),"-","/")),DAY(SUBSTITUTE(LEFT(Base_report!G205,10),"-","/")))</f>
        <v>45301</v>
      </c>
      <c r="I206" s="17" t="str">
        <f t="shared" si="1"/>
        <v>OUI</v>
      </c>
      <c r="J206" s="18">
        <f>IF(L206="DS",DATE(RIGHT(B206,4),VLOOKUP(LEFT(B206,LEN(B206)-5),Feuil1!$E$3:$F$19,2,FALSE)+1,10),DATE(RIGHT(B206,4),VLOOKUP(LEFT(B206,LEN(B206)-5),Feuil1!$E$3:$F$19,2,FALSE)+1,7))</f>
        <v>45301</v>
      </c>
      <c r="K206" s="19">
        <f t="shared" si="2"/>
        <v>1</v>
      </c>
      <c r="L206" s="6" t="str">
        <f t="shared" si="3"/>
        <v>DS</v>
      </c>
    </row>
    <row r="207" ht="14.25" customHeight="1">
      <c r="A207" s="14" t="str">
        <f>Base_report!A206</f>
        <v>GRANDS PONTS</v>
      </c>
      <c r="B207" s="14" t="str">
        <f>Base_report!B206</f>
        <v>DECEMBRE 2023</v>
      </c>
      <c r="C207" s="15" t="str">
        <f>Base_report!C206</f>
        <v>C1049</v>
      </c>
      <c r="D207" s="14" t="str">
        <f>TRIM(IF(ISNUMBER(FIND("PNSME",Base_report!D206,1)),SUBSTITUTE(Base_report!D206,"PNSME",""),IF(ISNUMBER(FIND("PHG",Base_report!D206,1)),SUBSTITUTE(Base_report!D206,"PHG",""),IF(ISNUMBER(FIND("PCS",Base_report!D206,1)),SUBSTITUTE(Base_report!D206,"PCS",""),IF(ISNUMBER(FIND("CMU",Base_report!D206,1)),SUBSTITUTE(Base_report!D206,"CMU",""),Base_report!D206)))))</f>
        <v>DISTRICT SANITAIRE GRAND-LAHOU</v>
      </c>
      <c r="E207" s="14" t="str">
        <f>SUBSTITUTE(Base_report!E206,"-","/")</f>
        <v>PNLS/TESTS RAPIDES ET CONSOMMABLES</v>
      </c>
      <c r="F207" s="14" t="s">
        <v>788</v>
      </c>
      <c r="G207" s="16">
        <f>DATE(YEAR(SUBSTITUTE(LEFT(Base_report!F206,10),"-","/")),MONTH(SUBSTITUTE(LEFT(Base_report!F206,10),"-","/")),DAY(SUBSTITUTE(LEFT(Base_report!F206,10),"-","/")))</f>
        <v>45301</v>
      </c>
      <c r="H207" s="16">
        <f>DATE(YEAR(SUBSTITUTE(LEFT(Base_report!G206,10),"-","/")),MONTH(SUBSTITUTE(LEFT(Base_report!G206,10),"-","/")),DAY(SUBSTITUTE(LEFT(Base_report!G206,10),"-","/")))</f>
        <v>45301</v>
      </c>
      <c r="I207" s="17" t="str">
        <f t="shared" si="1"/>
        <v>OUI</v>
      </c>
      <c r="J207" s="18">
        <f>IF(L207="DS",DATE(RIGHT(B207,4),VLOOKUP(LEFT(B207,LEN(B207)-5),Feuil1!$E$3:$F$19,2,FALSE)+1,10),DATE(RIGHT(B207,4),VLOOKUP(LEFT(B207,LEN(B207)-5),Feuil1!$E$3:$F$19,2,FALSE)+1,7))</f>
        <v>45301</v>
      </c>
      <c r="K207" s="19">
        <f t="shared" si="2"/>
        <v>1</v>
      </c>
      <c r="L207" s="6" t="str">
        <f t="shared" si="3"/>
        <v>DS</v>
      </c>
    </row>
    <row r="208" ht="14.25" customHeight="1">
      <c r="A208" s="14" t="str">
        <f>Base_report!A207</f>
        <v>ABIDJAN 1</v>
      </c>
      <c r="B208" s="14" t="str">
        <f>Base_report!B207</f>
        <v>DECEMBRE 2023</v>
      </c>
      <c r="C208" s="15" t="str">
        <f>Base_report!C207</f>
        <v>C1416</v>
      </c>
      <c r="D208" s="14" t="str">
        <f>TRIM(IF(ISNUMBER(FIND("PNSME",Base_report!D207,1)),SUBSTITUTE(Base_report!D207,"PNSME",""),IF(ISNUMBER(FIND("PHG",Base_report!D207,1)),SUBSTITUTE(Base_report!D207,"PHG",""),IF(ISNUMBER(FIND("PCS",Base_report!D207,1)),SUBSTITUTE(Base_report!D207,"PCS",""),IF(ISNUMBER(FIND("CMU",Base_report!D207,1)),SUBSTITUTE(Base_report!D207,"CMU",""),Base_report!D207)))))</f>
        <v>DISTRICT SANITAIRE YOPOUGON OUEST SONGON</v>
      </c>
      <c r="E208" s="14" t="str">
        <f>SUBSTITUTE(Base_report!E207,"-","/")</f>
        <v>PNSME/MEDICAMENTS ET INTRANTS</v>
      </c>
      <c r="F208" s="14" t="s">
        <v>788</v>
      </c>
      <c r="G208" s="16">
        <f>DATE(YEAR(SUBSTITUTE(LEFT(Base_report!F207,10),"-","/")),MONTH(SUBSTITUTE(LEFT(Base_report!F207,10),"-","/")),DAY(SUBSTITUTE(LEFT(Base_report!F207,10),"-","/")))</f>
        <v>45301</v>
      </c>
      <c r="H208" s="16">
        <f>DATE(YEAR(SUBSTITUTE(LEFT(Base_report!G207,10),"-","/")),MONTH(SUBSTITUTE(LEFT(Base_report!G207,10),"-","/")),DAY(SUBSTITUTE(LEFT(Base_report!G207,10),"-","/")))</f>
        <v>45301</v>
      </c>
      <c r="I208" s="17" t="str">
        <f t="shared" si="1"/>
        <v>OUI</v>
      </c>
      <c r="J208" s="18">
        <f>IF(L208="DS",DATE(RIGHT(B208,4),VLOOKUP(LEFT(B208,LEN(B208)-5),Feuil1!$E$3:$F$19,2,FALSE)+1,10),DATE(RIGHT(B208,4),VLOOKUP(LEFT(B208,LEN(B208)-5),Feuil1!$E$3:$F$19,2,FALSE)+1,7))</f>
        <v>45301</v>
      </c>
      <c r="K208" s="19">
        <f t="shared" si="2"/>
        <v>1</v>
      </c>
      <c r="L208" s="6" t="str">
        <f t="shared" si="3"/>
        <v>DS</v>
      </c>
    </row>
    <row r="209" ht="14.25" customHeight="1">
      <c r="A209" s="14" t="str">
        <f>Base_report!A208</f>
        <v>CAVALLY</v>
      </c>
      <c r="B209" s="14" t="str">
        <f>Base_report!B208</f>
        <v>DECEMBRE 2023</v>
      </c>
      <c r="C209" s="15" t="str">
        <f>Base_report!C208</f>
        <v>C5011</v>
      </c>
      <c r="D209" s="14" t="str">
        <f>TRIM(IF(ISNUMBER(FIND("PNSME",Base_report!D208,1)),SUBSTITUTE(Base_report!D208,"PNSME",""),IF(ISNUMBER(FIND("PHG",Base_report!D208,1)),SUBSTITUTE(Base_report!D208,"PHG",""),IF(ISNUMBER(FIND("PCS",Base_report!D208,1)),SUBSTITUTE(Base_report!D208,"PCS",""),IF(ISNUMBER(FIND("CMU",Base_report!D208,1)),SUBSTITUTE(Base_report!D208,"CMU",""),Base_report!D208)))))</f>
        <v>DISTRICT SANITAIRE GUIGLO</v>
      </c>
      <c r="E209" s="14" t="str">
        <f>SUBSTITUTE(Base_report!E208,"-","/")</f>
        <v>PNN/MEDICAMENTS ET INTRANTS</v>
      </c>
      <c r="F209" s="14" t="s">
        <v>788</v>
      </c>
      <c r="G209" s="16">
        <f>DATE(YEAR(SUBSTITUTE(LEFT(Base_report!F208,10),"-","/")),MONTH(SUBSTITUTE(LEFT(Base_report!F208,10),"-","/")),DAY(SUBSTITUTE(LEFT(Base_report!F208,10),"-","/")))</f>
        <v>45301</v>
      </c>
      <c r="H209" s="16">
        <f>DATE(YEAR(SUBSTITUTE(LEFT(Base_report!G208,10),"-","/")),MONTH(SUBSTITUTE(LEFT(Base_report!G208,10),"-","/")),DAY(SUBSTITUTE(LEFT(Base_report!G208,10),"-","/")))</f>
        <v>45301</v>
      </c>
      <c r="I209" s="17" t="str">
        <f t="shared" si="1"/>
        <v>OUI</v>
      </c>
      <c r="J209" s="18">
        <f>IF(L209="DS",DATE(RIGHT(B209,4),VLOOKUP(LEFT(B209,LEN(B209)-5),Feuil1!$E$3:$F$19,2,FALSE)+1,10),DATE(RIGHT(B209,4),VLOOKUP(LEFT(B209,LEN(B209)-5),Feuil1!$E$3:$F$19,2,FALSE)+1,7))</f>
        <v>45301</v>
      </c>
      <c r="K209" s="19">
        <f t="shared" si="2"/>
        <v>1</v>
      </c>
      <c r="L209" s="6" t="str">
        <f t="shared" si="3"/>
        <v>DS</v>
      </c>
    </row>
    <row r="210" ht="14.25" customHeight="1">
      <c r="A210" s="14" t="str">
        <f>Base_report!A209</f>
        <v>TONKPI</v>
      </c>
      <c r="B210" s="14" t="str">
        <f>Base_report!B209</f>
        <v>DECEMBRE 2023</v>
      </c>
      <c r="C210" s="15" t="str">
        <f>Base_report!C209</f>
        <v>C5009</v>
      </c>
      <c r="D210" s="14" t="str">
        <f>TRIM(IF(ISNUMBER(FIND("PNSME",Base_report!D209,1)),SUBSTITUTE(Base_report!D209,"PNSME",""),IF(ISNUMBER(FIND("PHG",Base_report!D209,1)),SUBSTITUTE(Base_report!D209,"PHG",""),IF(ISNUMBER(FIND("PCS",Base_report!D209,1)),SUBSTITUTE(Base_report!D209,"PCS",""),IF(ISNUMBER(FIND("CMU",Base_report!D209,1)),SUBSTITUTE(Base_report!D209,"CMU",""),Base_report!D209)))))</f>
        <v>DISTRICT SANITAIRE DANANE</v>
      </c>
      <c r="E210" s="14" t="str">
        <f>SUBSTITUTE(Base_report!E209,"-","/")</f>
        <v>PNLP/MEDICAMENTS ET INTRANTS</v>
      </c>
      <c r="F210" s="14" t="s">
        <v>788</v>
      </c>
      <c r="G210" s="16">
        <f>DATE(YEAR(SUBSTITUTE(LEFT(Base_report!F209,10),"-","/")),MONTH(SUBSTITUTE(LEFT(Base_report!F209,10),"-","/")),DAY(SUBSTITUTE(LEFT(Base_report!F209,10),"-","/")))</f>
        <v>45301</v>
      </c>
      <c r="H210" s="16">
        <f>DATE(YEAR(SUBSTITUTE(LEFT(Base_report!G209,10),"-","/")),MONTH(SUBSTITUTE(LEFT(Base_report!G209,10),"-","/")),DAY(SUBSTITUTE(LEFT(Base_report!G209,10),"-","/")))</f>
        <v>45301</v>
      </c>
      <c r="I210" s="17" t="str">
        <f t="shared" si="1"/>
        <v>OUI</v>
      </c>
      <c r="J210" s="18">
        <f>IF(L210="DS",DATE(RIGHT(B210,4),VLOOKUP(LEFT(B210,LEN(B210)-5),Feuil1!$E$3:$F$19,2,FALSE)+1,10),DATE(RIGHT(B210,4),VLOOKUP(LEFT(B210,LEN(B210)-5),Feuil1!$E$3:$F$19,2,FALSE)+1,7))</f>
        <v>45301</v>
      </c>
      <c r="K210" s="19">
        <f t="shared" si="2"/>
        <v>1</v>
      </c>
      <c r="L210" s="6" t="str">
        <f t="shared" si="3"/>
        <v>DS</v>
      </c>
    </row>
    <row r="211" ht="14.25" customHeight="1">
      <c r="A211" s="14" t="str">
        <f>Base_report!A210</f>
        <v>ABIDJAN 1</v>
      </c>
      <c r="B211" s="14" t="str">
        <f>Base_report!B210</f>
        <v>DECEMBRE 2023</v>
      </c>
      <c r="C211" s="15" t="str">
        <f>Base_report!C210</f>
        <v>C1064</v>
      </c>
      <c r="D211" s="14" t="str">
        <f>TRIM(IF(ISNUMBER(FIND("PNSME",Base_report!D210,1)),SUBSTITUTE(Base_report!D210,"PNSME",""),IF(ISNUMBER(FIND("PHG",Base_report!D210,1)),SUBSTITUTE(Base_report!D210,"PHG",""),IF(ISNUMBER(FIND("PCS",Base_report!D210,1)),SUBSTITUTE(Base_report!D210,"PCS",""),IF(ISNUMBER(FIND("CMU",Base_report!D210,1)),SUBSTITUTE(Base_report!D210,"CMU",""),Base_report!D210)))))</f>
        <v>FSU COM ABOBO AVOCATIER</v>
      </c>
      <c r="E211" s="14" t="str">
        <f>SUBSTITUTE(Base_report!E210,"-","/")</f>
        <v>PNLS/TESTS RAPIDES ET CONSOMMABLES</v>
      </c>
      <c r="F211" s="14" t="s">
        <v>788</v>
      </c>
      <c r="G211" s="16">
        <f>DATE(YEAR(SUBSTITUTE(LEFT(Base_report!F210,10),"-","/")),MONTH(SUBSTITUTE(LEFT(Base_report!F210,10),"-","/")),DAY(SUBSTITUTE(LEFT(Base_report!F210,10),"-","/")))</f>
        <v>45301</v>
      </c>
      <c r="H211" s="16">
        <f>DATE(YEAR(SUBSTITUTE(LEFT(Base_report!G210,10),"-","/")),MONTH(SUBSTITUTE(LEFT(Base_report!G210,10),"-","/")),DAY(SUBSTITUTE(LEFT(Base_report!G210,10),"-","/")))</f>
        <v>45301</v>
      </c>
      <c r="I211" s="17" t="str">
        <f t="shared" si="1"/>
        <v>OUI</v>
      </c>
      <c r="J211" s="18">
        <f>IF(L211="DS",DATE(RIGHT(B211,4),VLOOKUP(LEFT(B211,LEN(B211)-5),Feuil1!$E$3:$F$19,2,FALSE)+1,10),DATE(RIGHT(B211,4),VLOOKUP(LEFT(B211,LEN(B211)-5),Feuil1!$E$3:$F$19,2,FALSE)+1,7))</f>
        <v>45298</v>
      </c>
      <c r="K211" s="19">
        <f t="shared" si="2"/>
        <v>0</v>
      </c>
      <c r="L211" s="6" t="str">
        <f t="shared" si="3"/>
        <v>FS</v>
      </c>
    </row>
    <row r="212" ht="14.25" customHeight="1">
      <c r="A212" s="14" t="str">
        <f>Base_report!A211</f>
        <v>ABIDJAN 1</v>
      </c>
      <c r="B212" s="14" t="str">
        <f>Base_report!B211</f>
        <v>DECEMBRE 2023</v>
      </c>
      <c r="C212" s="15" t="str">
        <f>Base_report!C211</f>
        <v>C1415</v>
      </c>
      <c r="D212" s="14" t="str">
        <f>TRIM(IF(ISNUMBER(FIND("PNSME",Base_report!D211,1)),SUBSTITUTE(Base_report!D211,"PNSME",""),IF(ISNUMBER(FIND("PHG",Base_report!D211,1)),SUBSTITUTE(Base_report!D211,"PHG",""),IF(ISNUMBER(FIND("PCS",Base_report!D211,1)),SUBSTITUTE(Base_report!D211,"PCS",""),IF(ISNUMBER(FIND("CMU",Base_report!D211,1)),SUBSTITUTE(Base_report!D211,"CMU",""),Base_report!D211)))))</f>
        <v>DISTRICT SANITAIRE YOPOUGON EST</v>
      </c>
      <c r="E212" s="14" t="str">
        <f>SUBSTITUTE(Base_report!E211,"-","/")</f>
        <v>PNLS/CHARGES VIRALES</v>
      </c>
      <c r="F212" s="14" t="s">
        <v>788</v>
      </c>
      <c r="G212" s="16">
        <f>DATE(YEAR(SUBSTITUTE(LEFT(Base_report!F211,10),"-","/")),MONTH(SUBSTITUTE(LEFT(Base_report!F211,10),"-","/")),DAY(SUBSTITUTE(LEFT(Base_report!F211,10),"-","/")))</f>
        <v>45301</v>
      </c>
      <c r="H212" s="16">
        <f>DATE(YEAR(SUBSTITUTE(LEFT(Base_report!G211,10),"-","/")),MONTH(SUBSTITUTE(LEFT(Base_report!G211,10),"-","/")),DAY(SUBSTITUTE(LEFT(Base_report!G211,10),"-","/")))</f>
        <v>45301</v>
      </c>
      <c r="I212" s="17" t="str">
        <f t="shared" si="1"/>
        <v>OUI</v>
      </c>
      <c r="J212" s="18">
        <f>IF(L212="DS",DATE(RIGHT(B212,4),VLOOKUP(LEFT(B212,LEN(B212)-5),Feuil1!$E$3:$F$19,2,FALSE)+1,10),DATE(RIGHT(B212,4),VLOOKUP(LEFT(B212,LEN(B212)-5),Feuil1!$E$3:$F$19,2,FALSE)+1,7))</f>
        <v>45301</v>
      </c>
      <c r="K212" s="19">
        <f t="shared" si="2"/>
        <v>1</v>
      </c>
      <c r="L212" s="6" t="str">
        <f t="shared" si="3"/>
        <v>DS</v>
      </c>
    </row>
    <row r="213" ht="14.25" customHeight="1">
      <c r="A213" s="14" t="str">
        <f>Base_report!A212</f>
        <v>TONKPI</v>
      </c>
      <c r="B213" s="14" t="str">
        <f>Base_report!B212</f>
        <v>DECEMBRE 2023</v>
      </c>
      <c r="C213" s="15" t="str">
        <f>Base_report!C212</f>
        <v>C5009</v>
      </c>
      <c r="D213" s="14" t="str">
        <f>TRIM(IF(ISNUMBER(FIND("PNSME",Base_report!D212,1)),SUBSTITUTE(Base_report!D212,"PNSME",""),IF(ISNUMBER(FIND("PHG",Base_report!D212,1)),SUBSTITUTE(Base_report!D212,"PHG",""),IF(ISNUMBER(FIND("PCS",Base_report!D212,1)),SUBSTITUTE(Base_report!D212,"PCS",""),IF(ISNUMBER(FIND("CMU",Base_report!D212,1)),SUBSTITUTE(Base_report!D212,"CMU",""),Base_report!D212)))))</f>
        <v>DISTRICT SANITAIRE DANANE</v>
      </c>
      <c r="E213" s="14" t="str">
        <f>SUBSTITUTE(Base_report!E212,"-","/")</f>
        <v>PNLS/ANTIRETROVIRAUX ET IO</v>
      </c>
      <c r="F213" s="14" t="s">
        <v>788</v>
      </c>
      <c r="G213" s="16">
        <f>DATE(YEAR(SUBSTITUTE(LEFT(Base_report!F212,10),"-","/")),MONTH(SUBSTITUTE(LEFT(Base_report!F212,10),"-","/")),DAY(SUBSTITUTE(LEFT(Base_report!F212,10),"-","/")))</f>
        <v>45301</v>
      </c>
      <c r="H213" s="16">
        <f>DATE(YEAR(SUBSTITUTE(LEFT(Base_report!G212,10),"-","/")),MONTH(SUBSTITUTE(LEFT(Base_report!G212,10),"-","/")),DAY(SUBSTITUTE(LEFT(Base_report!G212,10),"-","/")))</f>
        <v>45301</v>
      </c>
      <c r="I213" s="17" t="str">
        <f t="shared" si="1"/>
        <v>OUI</v>
      </c>
      <c r="J213" s="18">
        <f>IF(L213="DS",DATE(RIGHT(B213,4),VLOOKUP(LEFT(B213,LEN(B213)-5),Feuil1!$E$3:$F$19,2,FALSE)+1,10),DATE(RIGHT(B213,4),VLOOKUP(LEFT(B213,LEN(B213)-5),Feuil1!$E$3:$F$19,2,FALSE)+1,7))</f>
        <v>45301</v>
      </c>
      <c r="K213" s="19">
        <f t="shared" si="2"/>
        <v>1</v>
      </c>
      <c r="L213" s="6" t="str">
        <f t="shared" si="3"/>
        <v>DS</v>
      </c>
    </row>
    <row r="214" ht="14.25" customHeight="1">
      <c r="A214" s="14" t="str">
        <f>Base_report!A213</f>
        <v>PORO</v>
      </c>
      <c r="B214" s="14" t="str">
        <f>Base_report!B213</f>
        <v>DECEMBRE 2023</v>
      </c>
      <c r="C214" s="15" t="str">
        <f>Base_report!C213</f>
        <v>C3006</v>
      </c>
      <c r="D214" s="14" t="str">
        <f>TRIM(IF(ISNUMBER(FIND("PNSME",Base_report!D213,1)),SUBSTITUTE(Base_report!D213,"PNSME",""),IF(ISNUMBER(FIND("PHG",Base_report!D213,1)),SUBSTITUTE(Base_report!D213,"PHG",""),IF(ISNUMBER(FIND("PCS",Base_report!D213,1)),SUBSTITUTE(Base_report!D213,"PCS",""),IF(ISNUMBER(FIND("CMU",Base_report!D213,1)),SUBSTITUTE(Base_report!D213,"CMU",""),Base_report!D213)))))</f>
        <v>DISTRICT SANITAIRE KORHOGO 1</v>
      </c>
      <c r="E214" s="14" t="str">
        <f>SUBSTITUTE(Base_report!E213,"-","/")</f>
        <v>PNLS/PRODUITS DE LABORATOIRE</v>
      </c>
      <c r="F214" s="14" t="s">
        <v>788</v>
      </c>
      <c r="G214" s="16">
        <f>DATE(YEAR(SUBSTITUTE(LEFT(Base_report!F213,10),"-","/")),MONTH(SUBSTITUTE(LEFT(Base_report!F213,10),"-","/")),DAY(SUBSTITUTE(LEFT(Base_report!F213,10),"-","/")))</f>
        <v>45301</v>
      </c>
      <c r="H214" s="16">
        <f>DATE(YEAR(SUBSTITUTE(LEFT(Base_report!G213,10),"-","/")),MONTH(SUBSTITUTE(LEFT(Base_report!G213,10),"-","/")),DAY(SUBSTITUTE(LEFT(Base_report!G213,10),"-","/")))</f>
        <v>45301</v>
      </c>
      <c r="I214" s="17" t="str">
        <f t="shared" si="1"/>
        <v>OUI</v>
      </c>
      <c r="J214" s="18">
        <f>IF(L214="DS",DATE(RIGHT(B214,4),VLOOKUP(LEFT(B214,LEN(B214)-5),Feuil1!$E$3:$F$19,2,FALSE)+1,10),DATE(RIGHT(B214,4),VLOOKUP(LEFT(B214,LEN(B214)-5),Feuil1!$E$3:$F$19,2,FALSE)+1,7))</f>
        <v>45301</v>
      </c>
      <c r="K214" s="19">
        <f t="shared" si="2"/>
        <v>1</v>
      </c>
      <c r="L214" s="6" t="str">
        <f t="shared" si="3"/>
        <v>DS</v>
      </c>
    </row>
    <row r="215" ht="14.25" customHeight="1">
      <c r="A215" s="14" t="str">
        <f>Base_report!A214</f>
        <v>ME</v>
      </c>
      <c r="B215" s="14" t="str">
        <f>Base_report!B214</f>
        <v>DECEMBRE 2023</v>
      </c>
      <c r="C215" s="15" t="str">
        <f>Base_report!C214</f>
        <v>C1046</v>
      </c>
      <c r="D215" s="14" t="str">
        <f>TRIM(IF(ISNUMBER(FIND("PNSME",Base_report!D214,1)),SUBSTITUTE(Base_report!D214,"PNSME",""),IF(ISNUMBER(FIND("PHG",Base_report!D214,1)),SUBSTITUTE(Base_report!D214,"PHG",""),IF(ISNUMBER(FIND("PCS",Base_report!D214,1)),SUBSTITUTE(Base_report!D214,"PCS",""),IF(ISNUMBER(FIND("CMU",Base_report!D214,1)),SUBSTITUTE(Base_report!D214,"CMU",""),Base_report!D214)))))</f>
        <v>DISTRICT SANITAIRE ALEPE</v>
      </c>
      <c r="E215" s="14" t="str">
        <f>SUBSTITUTE(Base_report!E214,"-","/")</f>
        <v>PNSME/MEDICAMENTS ET INTRANTS</v>
      </c>
      <c r="F215" s="14" t="s">
        <v>788</v>
      </c>
      <c r="G215" s="16">
        <f>DATE(YEAR(SUBSTITUTE(LEFT(Base_report!F214,10),"-","/")),MONTH(SUBSTITUTE(LEFT(Base_report!F214,10),"-","/")),DAY(SUBSTITUTE(LEFT(Base_report!F214,10),"-","/")))</f>
        <v>45301</v>
      </c>
      <c r="H215" s="16">
        <f>DATE(YEAR(SUBSTITUTE(LEFT(Base_report!G214,10),"-","/")),MONTH(SUBSTITUTE(LEFT(Base_report!G214,10),"-","/")),DAY(SUBSTITUTE(LEFT(Base_report!G214,10),"-","/")))</f>
        <v>45301</v>
      </c>
      <c r="I215" s="17" t="str">
        <f t="shared" si="1"/>
        <v>OUI</v>
      </c>
      <c r="J215" s="18">
        <f>IF(L215="DS",DATE(RIGHT(B215,4),VLOOKUP(LEFT(B215,LEN(B215)-5),Feuil1!$E$3:$F$19,2,FALSE)+1,10),DATE(RIGHT(B215,4),VLOOKUP(LEFT(B215,LEN(B215)-5),Feuil1!$E$3:$F$19,2,FALSE)+1,7))</f>
        <v>45301</v>
      </c>
      <c r="K215" s="19">
        <f t="shared" si="2"/>
        <v>1</v>
      </c>
      <c r="L215" s="6" t="str">
        <f t="shared" si="3"/>
        <v>DS</v>
      </c>
    </row>
    <row r="216" ht="14.25" customHeight="1">
      <c r="A216" s="14" t="str">
        <f>Base_report!A215</f>
        <v>ABIDJAN 1</v>
      </c>
      <c r="B216" s="14" t="str">
        <f>Base_report!B215</f>
        <v>DECEMBRE 2023</v>
      </c>
      <c r="C216" s="15" t="str">
        <f>Base_report!C215</f>
        <v>C1412</v>
      </c>
      <c r="D216" s="14" t="str">
        <f>TRIM(IF(ISNUMBER(FIND("PNSME",Base_report!D215,1)),SUBSTITUTE(Base_report!D215,"PNSME",""),IF(ISNUMBER(FIND("PHG",Base_report!D215,1)),SUBSTITUTE(Base_report!D215,"PHG",""),IF(ISNUMBER(FIND("PCS",Base_report!D215,1)),SUBSTITUTE(Base_report!D215,"PCS",""),IF(ISNUMBER(FIND("CMU",Base_report!D215,1)),SUBSTITUTE(Base_report!D215,"CMU",""),Base_report!D215)))))</f>
        <v>DISTRICT SANITAIRE ANYAMA</v>
      </c>
      <c r="E216" s="14" t="str">
        <f>SUBSTITUTE(Base_report!E215,"-","/")</f>
        <v>PNN/MEDICAMENTS ET INTRANTS</v>
      </c>
      <c r="F216" s="14" t="s">
        <v>788</v>
      </c>
      <c r="G216" s="16">
        <f>DATE(YEAR(SUBSTITUTE(LEFT(Base_report!F215,10),"-","/")),MONTH(SUBSTITUTE(LEFT(Base_report!F215,10),"-","/")),DAY(SUBSTITUTE(LEFT(Base_report!F215,10),"-","/")))</f>
        <v>45301</v>
      </c>
      <c r="H216" s="16">
        <f>DATE(YEAR(SUBSTITUTE(LEFT(Base_report!G215,10),"-","/")),MONTH(SUBSTITUTE(LEFT(Base_report!G215,10),"-","/")),DAY(SUBSTITUTE(LEFT(Base_report!G215,10),"-","/")))</f>
        <v>45301</v>
      </c>
      <c r="I216" s="17" t="str">
        <f t="shared" si="1"/>
        <v>OUI</v>
      </c>
      <c r="J216" s="18">
        <f>IF(L216="DS",DATE(RIGHT(B216,4),VLOOKUP(LEFT(B216,LEN(B216)-5),Feuil1!$E$3:$F$19,2,FALSE)+1,10),DATE(RIGHT(B216,4),VLOOKUP(LEFT(B216,LEN(B216)-5),Feuil1!$E$3:$F$19,2,FALSE)+1,7))</f>
        <v>45301</v>
      </c>
      <c r="K216" s="19">
        <f t="shared" si="2"/>
        <v>1</v>
      </c>
      <c r="L216" s="6" t="str">
        <f t="shared" si="3"/>
        <v>DS</v>
      </c>
    </row>
    <row r="217" ht="14.25" customHeight="1">
      <c r="A217" s="14" t="str">
        <f>Base_report!A216</f>
        <v>ABIDJAN 2</v>
      </c>
      <c r="B217" s="14" t="str">
        <f>Base_report!B216</f>
        <v>DECEMBRE 2023</v>
      </c>
      <c r="C217" s="15" t="str">
        <f>Base_report!C216</f>
        <v>C1676</v>
      </c>
      <c r="D217" s="14" t="str">
        <f>TRIM(IF(ISNUMBER(FIND("PNSME",Base_report!D216,1)),SUBSTITUTE(Base_report!D216,"PNSME",""),IF(ISNUMBER(FIND("PHG",Base_report!D216,1)),SUBSTITUTE(Base_report!D216,"PHG",""),IF(ISNUMBER(FIND("PCS",Base_report!D216,1)),SUBSTITUTE(Base_report!D216,"PCS",""),IF(ISNUMBER(FIND("CMU",Base_report!D216,1)),SUBSTITUTE(Base_report!D216,"CMU",""),Base_report!D216)))))</f>
        <v>DISTRICT SANITAIRE TREICHVILLE MARCORY</v>
      </c>
      <c r="E217" s="14" t="str">
        <f>SUBSTITUTE(Base_report!E216,"-","/")</f>
        <v>PNLP/MEDICAMENTS ET INTRANTS</v>
      </c>
      <c r="F217" s="14" t="s">
        <v>788</v>
      </c>
      <c r="G217" s="16">
        <f>DATE(YEAR(SUBSTITUTE(LEFT(Base_report!F216,10),"-","/")),MONTH(SUBSTITUTE(LEFT(Base_report!F216,10),"-","/")),DAY(SUBSTITUTE(LEFT(Base_report!F216,10),"-","/")))</f>
        <v>45301</v>
      </c>
      <c r="H217" s="16">
        <f>DATE(YEAR(SUBSTITUTE(LEFT(Base_report!G216,10),"-","/")),MONTH(SUBSTITUTE(LEFT(Base_report!G216,10),"-","/")),DAY(SUBSTITUTE(LEFT(Base_report!G216,10),"-","/")))</f>
        <v>45301</v>
      </c>
      <c r="I217" s="17" t="str">
        <f t="shared" si="1"/>
        <v>OUI</v>
      </c>
      <c r="J217" s="18">
        <f>IF(L217="DS",DATE(RIGHT(B217,4),VLOOKUP(LEFT(B217,LEN(B217)-5),Feuil1!$E$3:$F$19,2,FALSE)+1,10),DATE(RIGHT(B217,4),VLOOKUP(LEFT(B217,LEN(B217)-5),Feuil1!$E$3:$F$19,2,FALSE)+1,7))</f>
        <v>45301</v>
      </c>
      <c r="K217" s="19">
        <f t="shared" si="2"/>
        <v>1</v>
      </c>
      <c r="L217" s="6" t="str">
        <f t="shared" si="3"/>
        <v>DS</v>
      </c>
    </row>
    <row r="218" ht="14.25" customHeight="1">
      <c r="A218" s="14" t="str">
        <f>Base_report!A217</f>
        <v>GUEMON</v>
      </c>
      <c r="B218" s="14" t="str">
        <f>Base_report!B217</f>
        <v>DECEMBRE 2023</v>
      </c>
      <c r="C218" s="15" t="str">
        <f>Base_report!C217</f>
        <v>C5035</v>
      </c>
      <c r="D218" s="14" t="str">
        <f>TRIM(IF(ISNUMBER(FIND("PNSME",Base_report!D217,1)),SUBSTITUTE(Base_report!D217,"PNSME",""),IF(ISNUMBER(FIND("PHG",Base_report!D217,1)),SUBSTITUTE(Base_report!D217,"PHG",""),IF(ISNUMBER(FIND("PCS",Base_report!D217,1)),SUBSTITUTE(Base_report!D217,"PCS",""),IF(ISNUMBER(FIND("CMU",Base_report!D217,1)),SUBSTITUTE(Base_report!D217,"CMU",""),Base_report!D217)))))</f>
        <v>DISTRICT SANITAIRE KOUIBLY</v>
      </c>
      <c r="E218" s="14" t="str">
        <f>SUBSTITUTE(Base_report!E217,"-","/")</f>
        <v>PNLS/TESTS RAPIDES ET CONSOMMABLES</v>
      </c>
      <c r="F218" s="14" t="s">
        <v>788</v>
      </c>
      <c r="G218" s="16">
        <f>DATE(YEAR(SUBSTITUTE(LEFT(Base_report!F217,10),"-","/")),MONTH(SUBSTITUTE(LEFT(Base_report!F217,10),"-","/")),DAY(SUBSTITUTE(LEFT(Base_report!F217,10),"-","/")))</f>
        <v>45301</v>
      </c>
      <c r="H218" s="16">
        <f>DATE(YEAR(SUBSTITUTE(LEFT(Base_report!G217,10),"-","/")),MONTH(SUBSTITUTE(LEFT(Base_report!G217,10),"-","/")),DAY(SUBSTITUTE(LEFT(Base_report!G217,10),"-","/")))</f>
        <v>45301</v>
      </c>
      <c r="I218" s="17" t="str">
        <f t="shared" si="1"/>
        <v>OUI</v>
      </c>
      <c r="J218" s="18">
        <f>IF(L218="DS",DATE(RIGHT(B218,4),VLOOKUP(LEFT(B218,LEN(B218)-5),Feuil1!$E$3:$F$19,2,FALSE)+1,10),DATE(RIGHT(B218,4),VLOOKUP(LEFT(B218,LEN(B218)-5),Feuil1!$E$3:$F$19,2,FALSE)+1,7))</f>
        <v>45301</v>
      </c>
      <c r="K218" s="19">
        <f t="shared" si="2"/>
        <v>1</v>
      </c>
      <c r="L218" s="6" t="str">
        <f t="shared" si="3"/>
        <v>DS</v>
      </c>
    </row>
    <row r="219" ht="14.25" customHeight="1">
      <c r="A219" s="14" t="str">
        <f>Base_report!A218</f>
        <v>SUD-COMOE</v>
      </c>
      <c r="B219" s="14" t="str">
        <f>Base_report!B218</f>
        <v>DECEMBRE 2023</v>
      </c>
      <c r="C219" s="15" t="str">
        <f>Base_report!C218</f>
        <v>C1043</v>
      </c>
      <c r="D219" s="14" t="str">
        <f>TRIM(IF(ISNUMBER(FIND("PNSME",Base_report!D218,1)),SUBSTITUTE(Base_report!D218,"PNSME",""),IF(ISNUMBER(FIND("PHG",Base_report!D218,1)),SUBSTITUTE(Base_report!D218,"PHG",""),IF(ISNUMBER(FIND("PCS",Base_report!D218,1)),SUBSTITUTE(Base_report!D218,"PCS",""),IF(ISNUMBER(FIND("CMU",Base_report!D218,1)),SUBSTITUTE(Base_report!D218,"CMU",""),Base_report!D218)))))</f>
        <v>DISTRICT SANITAIRE ABOISSO</v>
      </c>
      <c r="E219" s="14" t="str">
        <f>SUBSTITUTE(Base_report!E218,"-","/")</f>
        <v>PNLS/TESTS RAPIDES ET CONSOMMABLES</v>
      </c>
      <c r="F219" s="14" t="s">
        <v>788</v>
      </c>
      <c r="G219" s="16">
        <f>DATE(YEAR(SUBSTITUTE(LEFT(Base_report!F218,10),"-","/")),MONTH(SUBSTITUTE(LEFT(Base_report!F218,10),"-","/")),DAY(SUBSTITUTE(LEFT(Base_report!F218,10),"-","/")))</f>
        <v>45301</v>
      </c>
      <c r="H219" s="16">
        <f>DATE(YEAR(SUBSTITUTE(LEFT(Base_report!G218,10),"-","/")),MONTH(SUBSTITUTE(LEFT(Base_report!G218,10),"-","/")),DAY(SUBSTITUTE(LEFT(Base_report!G218,10),"-","/")))</f>
        <v>45302</v>
      </c>
      <c r="I219" s="17" t="str">
        <f t="shared" si="1"/>
        <v>OUI</v>
      </c>
      <c r="J219" s="18">
        <f>IF(L219="DS",DATE(RIGHT(B219,4),VLOOKUP(LEFT(B219,LEN(B219)-5),Feuil1!$E$3:$F$19,2,FALSE)+1,10),DATE(RIGHT(B219,4),VLOOKUP(LEFT(B219,LEN(B219)-5),Feuil1!$E$3:$F$19,2,FALSE)+1,7))</f>
        <v>45301</v>
      </c>
      <c r="K219" s="19">
        <f t="shared" si="2"/>
        <v>0</v>
      </c>
      <c r="L219" s="6" t="str">
        <f t="shared" si="3"/>
        <v>DS</v>
      </c>
    </row>
    <row r="220" ht="14.25" customHeight="1">
      <c r="A220" s="14" t="str">
        <f>Base_report!A219</f>
        <v>ABIDJAN 1</v>
      </c>
      <c r="B220" s="14" t="str">
        <f>Base_report!B219</f>
        <v>DECEMBRE 2023</v>
      </c>
      <c r="C220" s="15" t="str">
        <f>Base_report!C219</f>
        <v>C1412</v>
      </c>
      <c r="D220" s="14" t="str">
        <f>TRIM(IF(ISNUMBER(FIND("PNSME",Base_report!D219,1)),SUBSTITUTE(Base_report!D219,"PNSME",""),IF(ISNUMBER(FIND("PHG",Base_report!D219,1)),SUBSTITUTE(Base_report!D219,"PHG",""),IF(ISNUMBER(FIND("PCS",Base_report!D219,1)),SUBSTITUTE(Base_report!D219,"PCS",""),IF(ISNUMBER(FIND("CMU",Base_report!D219,1)),SUBSTITUTE(Base_report!D219,"CMU",""),Base_report!D219)))))</f>
        <v>DISTRICT SANITAIRE ANYAMA</v>
      </c>
      <c r="E220" s="14" t="str">
        <f>SUBSTITUTE(Base_report!E219,"-","/")</f>
        <v>PNLS/ANTIRETROVIRAUX ET IO</v>
      </c>
      <c r="F220" s="14" t="s">
        <v>788</v>
      </c>
      <c r="G220" s="16">
        <f>DATE(YEAR(SUBSTITUTE(LEFT(Base_report!F219,10),"-","/")),MONTH(SUBSTITUTE(LEFT(Base_report!F219,10),"-","/")),DAY(SUBSTITUTE(LEFT(Base_report!F219,10),"-","/")))</f>
        <v>45301</v>
      </c>
      <c r="H220" s="16">
        <f>DATE(YEAR(SUBSTITUTE(LEFT(Base_report!G219,10),"-","/")),MONTH(SUBSTITUTE(LEFT(Base_report!G219,10),"-","/")),DAY(SUBSTITUTE(LEFT(Base_report!G219,10),"-","/")))</f>
        <v>45301</v>
      </c>
      <c r="I220" s="17" t="str">
        <f t="shared" si="1"/>
        <v>OUI</v>
      </c>
      <c r="J220" s="18">
        <f>IF(L220="DS",DATE(RIGHT(B220,4),VLOOKUP(LEFT(B220,LEN(B220)-5),Feuil1!$E$3:$F$19,2,FALSE)+1,10),DATE(RIGHT(B220,4),VLOOKUP(LEFT(B220,LEN(B220)-5),Feuil1!$E$3:$F$19,2,FALSE)+1,7))</f>
        <v>45301</v>
      </c>
      <c r="K220" s="19">
        <f t="shared" si="2"/>
        <v>1</v>
      </c>
      <c r="L220" s="6" t="str">
        <f t="shared" si="3"/>
        <v>DS</v>
      </c>
    </row>
    <row r="221" ht="14.25" customHeight="1">
      <c r="A221" s="14" t="str">
        <f>Base_report!A220</f>
        <v>MARAHOUE</v>
      </c>
      <c r="B221" s="14" t="str">
        <f>Base_report!B220</f>
        <v>DECEMBRE 2023</v>
      </c>
      <c r="C221" s="15" t="str">
        <f>Base_report!C220</f>
        <v>C2037</v>
      </c>
      <c r="D221" s="14" t="str">
        <f>TRIM(IF(ISNUMBER(FIND("PNSME",Base_report!D220,1)),SUBSTITUTE(Base_report!D220,"PNSME",""),IF(ISNUMBER(FIND("PHG",Base_report!D220,1)),SUBSTITUTE(Base_report!D220,"PHG",""),IF(ISNUMBER(FIND("PCS",Base_report!D220,1)),SUBSTITUTE(Base_report!D220,"PCS",""),IF(ISNUMBER(FIND("CMU",Base_report!D220,1)),SUBSTITUTE(Base_report!D220,"CMU",""),Base_report!D220)))))</f>
        <v>DISTRICT SANITAIRE SINFRA</v>
      </c>
      <c r="E221" s="14" t="str">
        <f>SUBSTITUTE(Base_report!E220,"-","/")</f>
        <v>PNSME/MEDICAMENTS ET INTRANTS</v>
      </c>
      <c r="F221" s="14" t="s">
        <v>788</v>
      </c>
      <c r="G221" s="16">
        <f>DATE(YEAR(SUBSTITUTE(LEFT(Base_report!F220,10),"-","/")),MONTH(SUBSTITUTE(LEFT(Base_report!F220,10),"-","/")),DAY(SUBSTITUTE(LEFT(Base_report!F220,10),"-","/")))</f>
        <v>45301</v>
      </c>
      <c r="H221" s="16">
        <f>DATE(YEAR(SUBSTITUTE(LEFT(Base_report!G220,10),"-","/")),MONTH(SUBSTITUTE(LEFT(Base_report!G220,10),"-","/")),DAY(SUBSTITUTE(LEFT(Base_report!G220,10),"-","/")))</f>
        <v>45301</v>
      </c>
      <c r="I221" s="17" t="str">
        <f t="shared" si="1"/>
        <v>OUI</v>
      </c>
      <c r="J221" s="18">
        <f>IF(L221="DS",DATE(RIGHT(B221,4),VLOOKUP(LEFT(B221,LEN(B221)-5),Feuil1!$E$3:$F$19,2,FALSE)+1,10),DATE(RIGHT(B221,4),VLOOKUP(LEFT(B221,LEN(B221)-5),Feuil1!$E$3:$F$19,2,FALSE)+1,7))</f>
        <v>45301</v>
      </c>
      <c r="K221" s="19">
        <f t="shared" si="2"/>
        <v>1</v>
      </c>
      <c r="L221" s="6" t="str">
        <f t="shared" si="3"/>
        <v>DS</v>
      </c>
    </row>
    <row r="222" ht="14.25" customHeight="1">
      <c r="A222" s="14" t="str">
        <f>Base_report!A221</f>
        <v>BELIER</v>
      </c>
      <c r="B222" s="14" t="str">
        <f>Base_report!B221</f>
        <v>DECEMBRE 2023</v>
      </c>
      <c r="C222" s="15" t="str">
        <f>Base_report!C221</f>
        <v>C2026</v>
      </c>
      <c r="D222" s="14" t="str">
        <f>TRIM(IF(ISNUMBER(FIND("PNSME",Base_report!D221,1)),SUBSTITUTE(Base_report!D221,"PNSME",""),IF(ISNUMBER(FIND("PHG",Base_report!D221,1)),SUBSTITUTE(Base_report!D221,"PHG",""),IF(ISNUMBER(FIND("PCS",Base_report!D221,1)),SUBSTITUTE(Base_report!D221,"PCS",""),IF(ISNUMBER(FIND("CMU",Base_report!D221,1)),SUBSTITUTE(Base_report!D221,"CMU",""),Base_report!D221)))))</f>
        <v>DISTRICT SANITAIRE DIDIEVI</v>
      </c>
      <c r="E222" s="14" t="str">
        <f>SUBSTITUTE(Base_report!E221,"-","/")</f>
        <v>PNLP/MEDICAMENTS ET INTRANTS</v>
      </c>
      <c r="F222" s="14" t="s">
        <v>788</v>
      </c>
      <c r="G222" s="16">
        <f>DATE(YEAR(SUBSTITUTE(LEFT(Base_report!F221,10),"-","/")),MONTH(SUBSTITUTE(LEFT(Base_report!F221,10),"-","/")),DAY(SUBSTITUTE(LEFT(Base_report!F221,10),"-","/")))</f>
        <v>45301</v>
      </c>
      <c r="H222" s="16">
        <f>DATE(YEAR(SUBSTITUTE(LEFT(Base_report!G221,10),"-","/")),MONTH(SUBSTITUTE(LEFT(Base_report!G221,10),"-","/")),DAY(SUBSTITUTE(LEFT(Base_report!G221,10),"-","/")))</f>
        <v>45301</v>
      </c>
      <c r="I222" s="17" t="str">
        <f t="shared" si="1"/>
        <v>OUI</v>
      </c>
      <c r="J222" s="18">
        <f>IF(L222="DS",DATE(RIGHT(B222,4),VLOOKUP(LEFT(B222,LEN(B222)-5),Feuil1!$E$3:$F$19,2,FALSE)+1,10),DATE(RIGHT(B222,4),VLOOKUP(LEFT(B222,LEN(B222)-5),Feuil1!$E$3:$F$19,2,FALSE)+1,7))</f>
        <v>45301</v>
      </c>
      <c r="K222" s="19">
        <f t="shared" si="2"/>
        <v>1</v>
      </c>
      <c r="L222" s="6" t="str">
        <f t="shared" si="3"/>
        <v>DS</v>
      </c>
    </row>
    <row r="223" ht="14.25" customHeight="1">
      <c r="A223" s="14" t="str">
        <f>Base_report!A222</f>
        <v>SAN PEDRO</v>
      </c>
      <c r="B223" s="14" t="str">
        <f>Base_report!B222</f>
        <v>DECEMBRE 2023</v>
      </c>
      <c r="C223" s="15" t="str">
        <f>Base_report!C222</f>
        <v>C2035</v>
      </c>
      <c r="D223" s="14" t="str">
        <f>TRIM(IF(ISNUMBER(FIND("PNSME",Base_report!D222,1)),SUBSTITUTE(Base_report!D222,"PNSME",""),IF(ISNUMBER(FIND("PHG",Base_report!D222,1)),SUBSTITUTE(Base_report!D222,"PHG",""),IF(ISNUMBER(FIND("PCS",Base_report!D222,1)),SUBSTITUTE(Base_report!D222,"PCS",""),IF(ISNUMBER(FIND("CMU",Base_report!D222,1)),SUBSTITUTE(Base_report!D222,"CMU",""),Base_report!D222)))))</f>
        <v>DISTRICT SANITAIRE SAN-PEDRO</v>
      </c>
      <c r="E223" s="14" t="str">
        <f>SUBSTITUTE(Base_report!E222,"-","/")</f>
        <v>PNLS/ANTIRETROVIRAUX ET IO</v>
      </c>
      <c r="F223" s="14" t="s">
        <v>788</v>
      </c>
      <c r="G223" s="16">
        <f>DATE(YEAR(SUBSTITUTE(LEFT(Base_report!F222,10),"-","/")),MONTH(SUBSTITUTE(LEFT(Base_report!F222,10),"-","/")),DAY(SUBSTITUTE(LEFT(Base_report!F222,10),"-","/")))</f>
        <v>45301</v>
      </c>
      <c r="H223" s="16">
        <f>DATE(YEAR(SUBSTITUTE(LEFT(Base_report!G222,10),"-","/")),MONTH(SUBSTITUTE(LEFT(Base_report!G222,10),"-","/")),DAY(SUBSTITUTE(LEFT(Base_report!G222,10),"-","/")))</f>
        <v>45301</v>
      </c>
      <c r="I223" s="17" t="str">
        <f t="shared" si="1"/>
        <v>OUI</v>
      </c>
      <c r="J223" s="18">
        <f>IF(L223="DS",DATE(RIGHT(B223,4),VLOOKUP(LEFT(B223,LEN(B223)-5),Feuil1!$E$3:$F$19,2,FALSE)+1,10),DATE(RIGHT(B223,4),VLOOKUP(LEFT(B223,LEN(B223)-5),Feuil1!$E$3:$F$19,2,FALSE)+1,7))</f>
        <v>45301</v>
      </c>
      <c r="K223" s="19">
        <f t="shared" si="2"/>
        <v>1</v>
      </c>
      <c r="L223" s="6" t="str">
        <f t="shared" si="3"/>
        <v>DS</v>
      </c>
    </row>
    <row r="224" ht="14.25" customHeight="1">
      <c r="A224" s="14" t="str">
        <f>Base_report!A223</f>
        <v>SAN PEDRO</v>
      </c>
      <c r="B224" s="14" t="str">
        <f>Base_report!B223</f>
        <v>DECEMBRE 2023</v>
      </c>
      <c r="C224" s="15" t="str">
        <f>Base_report!C223</f>
        <v>C2035</v>
      </c>
      <c r="D224" s="14" t="str">
        <f>TRIM(IF(ISNUMBER(FIND("PNSME",Base_report!D223,1)),SUBSTITUTE(Base_report!D223,"PNSME",""),IF(ISNUMBER(FIND("PHG",Base_report!D223,1)),SUBSTITUTE(Base_report!D223,"PHG",""),IF(ISNUMBER(FIND("PCS",Base_report!D223,1)),SUBSTITUTE(Base_report!D223,"PCS",""),IF(ISNUMBER(FIND("CMU",Base_report!D223,1)),SUBSTITUTE(Base_report!D223,"CMU",""),Base_report!D223)))))</f>
        <v>DISTRICT SANITAIRE SAN-PEDRO</v>
      </c>
      <c r="E224" s="14" t="str">
        <f>SUBSTITUTE(Base_report!E223,"-","/")</f>
        <v>PNLP/MEDICAMENTS ET INTRANTS</v>
      </c>
      <c r="F224" s="14" t="s">
        <v>788</v>
      </c>
      <c r="G224" s="16">
        <f>DATE(YEAR(SUBSTITUTE(LEFT(Base_report!F223,10),"-","/")),MONTH(SUBSTITUTE(LEFT(Base_report!F223,10),"-","/")),DAY(SUBSTITUTE(LEFT(Base_report!F223,10),"-","/")))</f>
        <v>45301</v>
      </c>
      <c r="H224" s="16">
        <f>DATE(YEAR(SUBSTITUTE(LEFT(Base_report!G223,10),"-","/")),MONTH(SUBSTITUTE(LEFT(Base_report!G223,10),"-","/")),DAY(SUBSTITUTE(LEFT(Base_report!G223,10),"-","/")))</f>
        <v>45301</v>
      </c>
      <c r="I224" s="17" t="str">
        <f t="shared" si="1"/>
        <v>OUI</v>
      </c>
      <c r="J224" s="18">
        <f>IF(L224="DS",DATE(RIGHT(B224,4),VLOOKUP(LEFT(B224,LEN(B224)-5),Feuil1!$E$3:$F$19,2,FALSE)+1,10),DATE(RIGHT(B224,4),VLOOKUP(LEFT(B224,LEN(B224)-5),Feuil1!$E$3:$F$19,2,FALSE)+1,7))</f>
        <v>45301</v>
      </c>
      <c r="K224" s="19">
        <f t="shared" si="2"/>
        <v>1</v>
      </c>
      <c r="L224" s="6" t="str">
        <f t="shared" si="3"/>
        <v>DS</v>
      </c>
    </row>
    <row r="225" ht="14.25" customHeight="1">
      <c r="A225" s="14" t="str">
        <f>Base_report!A224</f>
        <v>BELIER</v>
      </c>
      <c r="B225" s="14" t="str">
        <f>Base_report!B224</f>
        <v>DECEMBRE 2023</v>
      </c>
      <c r="C225" s="15" t="str">
        <f>Base_report!C224</f>
        <v>C2045</v>
      </c>
      <c r="D225" s="14" t="str">
        <f>TRIM(IF(ISNUMBER(FIND("PNSME",Base_report!D224,1)),SUBSTITUTE(Base_report!D224,"PNSME",""),IF(ISNUMBER(FIND("PHG",Base_report!D224,1)),SUBSTITUTE(Base_report!D224,"PHG",""),IF(ISNUMBER(FIND("PCS",Base_report!D224,1)),SUBSTITUTE(Base_report!D224,"PCS",""),IF(ISNUMBER(FIND("CMU",Base_report!D224,1)),SUBSTITUTE(Base_report!D224,"CMU",""),Base_report!D224)))))</f>
        <v>DISTRICT SANITAIRE YAMOUSSOUKRO</v>
      </c>
      <c r="E225" s="14" t="str">
        <f>SUBSTITUTE(Base_report!E224,"-","/")</f>
        <v>PNN/MEDICAMENTS ET INTRANTS</v>
      </c>
      <c r="F225" s="14" t="s">
        <v>788</v>
      </c>
      <c r="G225" s="16">
        <f>DATE(YEAR(SUBSTITUTE(LEFT(Base_report!F224,10),"-","/")),MONTH(SUBSTITUTE(LEFT(Base_report!F224,10),"-","/")),DAY(SUBSTITUTE(LEFT(Base_report!F224,10),"-","/")))</f>
        <v>45301</v>
      </c>
      <c r="H225" s="16">
        <f>DATE(YEAR(SUBSTITUTE(LEFT(Base_report!G224,10),"-","/")),MONTH(SUBSTITUTE(LEFT(Base_report!G224,10),"-","/")),DAY(SUBSTITUTE(LEFT(Base_report!G224,10),"-","/")))</f>
        <v>45301</v>
      </c>
      <c r="I225" s="17" t="str">
        <f t="shared" si="1"/>
        <v>OUI</v>
      </c>
      <c r="J225" s="18">
        <f>IF(L225="DS",DATE(RIGHT(B225,4),VLOOKUP(LEFT(B225,LEN(B225)-5),Feuil1!$E$3:$F$19,2,FALSE)+1,10),DATE(RIGHT(B225,4),VLOOKUP(LEFT(B225,LEN(B225)-5),Feuil1!$E$3:$F$19,2,FALSE)+1,7))</f>
        <v>45301</v>
      </c>
      <c r="K225" s="19">
        <f t="shared" si="2"/>
        <v>1</v>
      </c>
      <c r="L225" s="6" t="str">
        <f t="shared" si="3"/>
        <v>DS</v>
      </c>
    </row>
    <row r="226" ht="14.25" customHeight="1">
      <c r="A226" s="14" t="str">
        <f>Base_report!A225</f>
        <v>GBEKE</v>
      </c>
      <c r="B226" s="14" t="str">
        <f>Base_report!B225</f>
        <v>DECEMBRE 2023</v>
      </c>
      <c r="C226" s="15" t="str">
        <f>Base_report!C225</f>
        <v>C2048</v>
      </c>
      <c r="D226" s="14" t="str">
        <f>TRIM(IF(ISNUMBER(FIND("PNSME",Base_report!D225,1)),SUBSTITUTE(Base_report!D225,"PNSME",""),IF(ISNUMBER(FIND("PHG",Base_report!D225,1)),SUBSTITUTE(Base_report!D225,"PHG",""),IF(ISNUMBER(FIND("PCS",Base_report!D225,1)),SUBSTITUTE(Base_report!D225,"PCS",""),IF(ISNUMBER(FIND("CMU",Base_report!D225,1)),SUBSTITUTE(Base_report!D225,"CMU",""),Base_report!D225)))))</f>
        <v>DISTRICT SANITAIRE BEOUMI</v>
      </c>
      <c r="E226" s="14" t="str">
        <f>SUBSTITUTE(Base_report!E225,"-","/")</f>
        <v>PNLS/ANTIRETROVIRAUX ET IO</v>
      </c>
      <c r="F226" s="14" t="s">
        <v>788</v>
      </c>
      <c r="G226" s="16">
        <f>DATE(YEAR(SUBSTITUTE(LEFT(Base_report!F225,10),"-","/")),MONTH(SUBSTITUTE(LEFT(Base_report!F225,10),"-","/")),DAY(SUBSTITUTE(LEFT(Base_report!F225,10),"-","/")))</f>
        <v>45301</v>
      </c>
      <c r="H226" s="16">
        <f>DATE(YEAR(SUBSTITUTE(LEFT(Base_report!G225,10),"-","/")),MONTH(SUBSTITUTE(LEFT(Base_report!G225,10),"-","/")),DAY(SUBSTITUTE(LEFT(Base_report!G225,10),"-","/")))</f>
        <v>45301</v>
      </c>
      <c r="I226" s="17" t="str">
        <f t="shared" si="1"/>
        <v>OUI</v>
      </c>
      <c r="J226" s="18">
        <f>IF(L226="DS",DATE(RIGHT(B226,4),VLOOKUP(LEFT(B226,LEN(B226)-5),Feuil1!$E$3:$F$19,2,FALSE)+1,10),DATE(RIGHT(B226,4),VLOOKUP(LEFT(B226,LEN(B226)-5),Feuil1!$E$3:$F$19,2,FALSE)+1,7))</f>
        <v>45301</v>
      </c>
      <c r="K226" s="19">
        <f t="shared" si="2"/>
        <v>1</v>
      </c>
      <c r="L226" s="6" t="str">
        <f t="shared" si="3"/>
        <v>DS</v>
      </c>
    </row>
    <row r="227" ht="14.25" customHeight="1">
      <c r="A227" s="14" t="str">
        <f>Base_report!A226</f>
        <v>GRANDS PONTS</v>
      </c>
      <c r="B227" s="14" t="str">
        <f>Base_report!B226</f>
        <v>DECEMBRE 2023</v>
      </c>
      <c r="C227" s="15" t="str">
        <f>Base_report!C226</f>
        <v>C1047</v>
      </c>
      <c r="D227" s="14" t="str">
        <f>TRIM(IF(ISNUMBER(FIND("PNSME",Base_report!D226,1)),SUBSTITUTE(Base_report!D226,"PNSME",""),IF(ISNUMBER(FIND("PHG",Base_report!D226,1)),SUBSTITUTE(Base_report!D226,"PHG",""),IF(ISNUMBER(FIND("PCS",Base_report!D226,1)),SUBSTITUTE(Base_report!D226,"PCS",""),IF(ISNUMBER(FIND("CMU",Base_report!D226,1)),SUBSTITUTE(Base_report!D226,"CMU",""),Base_report!D226)))))</f>
        <v>DISTRICT SANITAIRE DABOU</v>
      </c>
      <c r="E227" s="14" t="str">
        <f>SUBSTITUTE(Base_report!E226,"-","/")</f>
        <v>PNLS/ANTIRETROVIRAUX ET IO</v>
      </c>
      <c r="F227" s="14" t="s">
        <v>788</v>
      </c>
      <c r="G227" s="16">
        <f>DATE(YEAR(SUBSTITUTE(LEFT(Base_report!F226,10),"-","/")),MONTH(SUBSTITUTE(LEFT(Base_report!F226,10),"-","/")),DAY(SUBSTITUTE(LEFT(Base_report!F226,10),"-","/")))</f>
        <v>45301</v>
      </c>
      <c r="H227" s="16">
        <f>DATE(YEAR(SUBSTITUTE(LEFT(Base_report!G226,10),"-","/")),MONTH(SUBSTITUTE(LEFT(Base_report!G226,10),"-","/")),DAY(SUBSTITUTE(LEFT(Base_report!G226,10),"-","/")))</f>
        <v>45301</v>
      </c>
      <c r="I227" s="17" t="str">
        <f t="shared" si="1"/>
        <v>OUI</v>
      </c>
      <c r="J227" s="18">
        <f>IF(L227="DS",DATE(RIGHT(B227,4),VLOOKUP(LEFT(B227,LEN(B227)-5),Feuil1!$E$3:$F$19,2,FALSE)+1,10),DATE(RIGHT(B227,4),VLOOKUP(LEFT(B227,LEN(B227)-5),Feuil1!$E$3:$F$19,2,FALSE)+1,7))</f>
        <v>45301</v>
      </c>
      <c r="K227" s="19">
        <f t="shared" si="2"/>
        <v>1</v>
      </c>
      <c r="L227" s="6" t="str">
        <f t="shared" si="3"/>
        <v>DS</v>
      </c>
    </row>
    <row r="228" ht="14.25" customHeight="1">
      <c r="A228" s="14" t="str">
        <f>Base_report!A227</f>
        <v>GRANDS PONTS</v>
      </c>
      <c r="B228" s="14" t="str">
        <f>Base_report!B227</f>
        <v>DECEMBRE 2023</v>
      </c>
      <c r="C228" s="15" t="str">
        <f>Base_report!C227</f>
        <v>C1047</v>
      </c>
      <c r="D228" s="14" t="str">
        <f>TRIM(IF(ISNUMBER(FIND("PNSME",Base_report!D227,1)),SUBSTITUTE(Base_report!D227,"PNSME",""),IF(ISNUMBER(FIND("PHG",Base_report!D227,1)),SUBSTITUTE(Base_report!D227,"PHG",""),IF(ISNUMBER(FIND("PCS",Base_report!D227,1)),SUBSTITUTE(Base_report!D227,"PCS",""),IF(ISNUMBER(FIND("CMU",Base_report!D227,1)),SUBSTITUTE(Base_report!D227,"CMU",""),Base_report!D227)))))</f>
        <v>DISTRICT SANITAIRE DABOU</v>
      </c>
      <c r="E228" s="14" t="str">
        <f>SUBSTITUTE(Base_report!E227,"-","/")</f>
        <v>PNN/MEDICAMENTS ET INTRANTS</v>
      </c>
      <c r="F228" s="14" t="s">
        <v>788</v>
      </c>
      <c r="G228" s="16">
        <f>DATE(YEAR(SUBSTITUTE(LEFT(Base_report!F227,10),"-","/")),MONTH(SUBSTITUTE(LEFT(Base_report!F227,10),"-","/")),DAY(SUBSTITUTE(LEFT(Base_report!F227,10),"-","/")))</f>
        <v>45301</v>
      </c>
      <c r="H228" s="16">
        <f>DATE(YEAR(SUBSTITUTE(LEFT(Base_report!G227,10),"-","/")),MONTH(SUBSTITUTE(LEFT(Base_report!G227,10),"-","/")),DAY(SUBSTITUTE(LEFT(Base_report!G227,10),"-","/")))</f>
        <v>45301</v>
      </c>
      <c r="I228" s="17" t="str">
        <f t="shared" si="1"/>
        <v>OUI</v>
      </c>
      <c r="J228" s="18">
        <f>IF(L228="DS",DATE(RIGHT(B228,4),VLOOKUP(LEFT(B228,LEN(B228)-5),Feuil1!$E$3:$F$19,2,FALSE)+1,10),DATE(RIGHT(B228,4),VLOOKUP(LEFT(B228,LEN(B228)-5),Feuil1!$E$3:$F$19,2,FALSE)+1,7))</f>
        <v>45301</v>
      </c>
      <c r="K228" s="19">
        <f t="shared" si="2"/>
        <v>1</v>
      </c>
      <c r="L228" s="6" t="str">
        <f t="shared" si="3"/>
        <v>DS</v>
      </c>
    </row>
    <row r="229" ht="14.25" customHeight="1">
      <c r="A229" s="14" t="str">
        <f>Base_report!A228</f>
        <v>HAMBOL</v>
      </c>
      <c r="B229" s="14" t="str">
        <f>Base_report!B228</f>
        <v>DECEMBRE 2023</v>
      </c>
      <c r="C229" s="15" t="str">
        <f>Base_report!C228</f>
        <v>C3005</v>
      </c>
      <c r="D229" s="14" t="str">
        <f>TRIM(IF(ISNUMBER(FIND("PNSME",Base_report!D228,1)),SUBSTITUTE(Base_report!D228,"PNSME",""),IF(ISNUMBER(FIND("PHG",Base_report!D228,1)),SUBSTITUTE(Base_report!D228,"PHG",""),IF(ISNUMBER(FIND("PCS",Base_report!D228,1)),SUBSTITUTE(Base_report!D228,"PCS",""),IF(ISNUMBER(FIND("CMU",Base_report!D228,1)),SUBSTITUTE(Base_report!D228,"CMU",""),Base_report!D228)))))</f>
        <v>DISTRICT SANITAIRE KATIOLA</v>
      </c>
      <c r="E229" s="14" t="str">
        <f>SUBSTITUTE(Base_report!E228,"-","/")</f>
        <v>PNLP/MEDICAMENTS ET INTRANTS</v>
      </c>
      <c r="F229" s="14" t="s">
        <v>788</v>
      </c>
      <c r="G229" s="16">
        <f>DATE(YEAR(SUBSTITUTE(LEFT(Base_report!F228,10),"-","/")),MONTH(SUBSTITUTE(LEFT(Base_report!F228,10),"-","/")),DAY(SUBSTITUTE(LEFT(Base_report!F228,10),"-","/")))</f>
        <v>45301</v>
      </c>
      <c r="H229" s="16">
        <f>DATE(YEAR(SUBSTITUTE(LEFT(Base_report!G228,10),"-","/")),MONTH(SUBSTITUTE(LEFT(Base_report!G228,10),"-","/")),DAY(SUBSTITUTE(LEFT(Base_report!G228,10),"-","/")))</f>
        <v>45301</v>
      </c>
      <c r="I229" s="17" t="str">
        <f t="shared" si="1"/>
        <v>OUI</v>
      </c>
      <c r="J229" s="18">
        <f>IF(L229="DS",DATE(RIGHT(B229,4),VLOOKUP(LEFT(B229,LEN(B229)-5),Feuil1!$E$3:$F$19,2,FALSE)+1,10),DATE(RIGHT(B229,4),VLOOKUP(LEFT(B229,LEN(B229)-5),Feuil1!$E$3:$F$19,2,FALSE)+1,7))</f>
        <v>45301</v>
      </c>
      <c r="K229" s="19">
        <f t="shared" si="2"/>
        <v>1</v>
      </c>
      <c r="L229" s="6" t="str">
        <f t="shared" si="3"/>
        <v>DS</v>
      </c>
    </row>
    <row r="230" ht="14.25" customHeight="1">
      <c r="A230" s="14" t="str">
        <f>Base_report!A229</f>
        <v>TONKPI</v>
      </c>
      <c r="B230" s="14" t="str">
        <f>Base_report!B229</f>
        <v>DECEMBRE 2023</v>
      </c>
      <c r="C230" s="15" t="str">
        <f>Base_report!C229</f>
        <v>C5009</v>
      </c>
      <c r="D230" s="14" t="str">
        <f>TRIM(IF(ISNUMBER(FIND("PNSME",Base_report!D229,1)),SUBSTITUTE(Base_report!D229,"PNSME",""),IF(ISNUMBER(FIND("PHG",Base_report!D229,1)),SUBSTITUTE(Base_report!D229,"PHG",""),IF(ISNUMBER(FIND("PCS",Base_report!D229,1)),SUBSTITUTE(Base_report!D229,"PCS",""),IF(ISNUMBER(FIND("CMU",Base_report!D229,1)),SUBSTITUTE(Base_report!D229,"CMU",""),Base_report!D229)))))</f>
        <v>DISTRICT SANITAIRE DANANE</v>
      </c>
      <c r="E230" s="14" t="str">
        <f>SUBSTITUTE(Base_report!E229,"-","/")</f>
        <v>PNLS/TESTS RAPIDES ET CONSOMMABLES</v>
      </c>
      <c r="F230" s="14" t="s">
        <v>788</v>
      </c>
      <c r="G230" s="16">
        <f>DATE(YEAR(SUBSTITUTE(LEFT(Base_report!F229,10),"-","/")),MONTH(SUBSTITUTE(LEFT(Base_report!F229,10),"-","/")),DAY(SUBSTITUTE(LEFT(Base_report!F229,10),"-","/")))</f>
        <v>45301</v>
      </c>
      <c r="H230" s="16">
        <f>DATE(YEAR(SUBSTITUTE(LEFT(Base_report!G229,10),"-","/")),MONTH(SUBSTITUTE(LEFT(Base_report!G229,10),"-","/")),DAY(SUBSTITUTE(LEFT(Base_report!G229,10),"-","/")))</f>
        <v>45301</v>
      </c>
      <c r="I230" s="17" t="str">
        <f t="shared" si="1"/>
        <v>OUI</v>
      </c>
      <c r="J230" s="18">
        <f>IF(L230="DS",DATE(RIGHT(B230,4),VLOOKUP(LEFT(B230,LEN(B230)-5),Feuil1!$E$3:$F$19,2,FALSE)+1,10),DATE(RIGHT(B230,4),VLOOKUP(LEFT(B230,LEN(B230)-5),Feuil1!$E$3:$F$19,2,FALSE)+1,7))</f>
        <v>45301</v>
      </c>
      <c r="K230" s="19">
        <f t="shared" si="2"/>
        <v>1</v>
      </c>
      <c r="L230" s="6" t="str">
        <f t="shared" si="3"/>
        <v>DS</v>
      </c>
    </row>
    <row r="231" ht="14.25" customHeight="1">
      <c r="A231" s="14" t="str">
        <f>Base_report!A230</f>
        <v>CAVALLY</v>
      </c>
      <c r="B231" s="14" t="str">
        <f>Base_report!B230</f>
        <v>DECEMBRE 2023</v>
      </c>
      <c r="C231" s="15" t="str">
        <f>Base_report!C230</f>
        <v>C5011</v>
      </c>
      <c r="D231" s="14" t="str">
        <f>TRIM(IF(ISNUMBER(FIND("PNSME",Base_report!D230,1)),SUBSTITUTE(Base_report!D230,"PNSME",""),IF(ISNUMBER(FIND("PHG",Base_report!D230,1)),SUBSTITUTE(Base_report!D230,"PHG",""),IF(ISNUMBER(FIND("PCS",Base_report!D230,1)),SUBSTITUTE(Base_report!D230,"PCS",""),IF(ISNUMBER(FIND("CMU",Base_report!D230,1)),SUBSTITUTE(Base_report!D230,"CMU",""),Base_report!D230)))))</f>
        <v>DISTRICT SANITAIRE GUIGLO</v>
      </c>
      <c r="E231" s="14" t="str">
        <f>SUBSTITUTE(Base_report!E230,"-","/")</f>
        <v>PNSME/MEDICAMENTS ET INTRANTS</v>
      </c>
      <c r="F231" s="14" t="s">
        <v>788</v>
      </c>
      <c r="G231" s="16">
        <f>DATE(YEAR(SUBSTITUTE(LEFT(Base_report!F230,10),"-","/")),MONTH(SUBSTITUTE(LEFT(Base_report!F230,10),"-","/")),DAY(SUBSTITUTE(LEFT(Base_report!F230,10),"-","/")))</f>
        <v>45301</v>
      </c>
      <c r="H231" s="16">
        <f>DATE(YEAR(SUBSTITUTE(LEFT(Base_report!G230,10),"-","/")),MONTH(SUBSTITUTE(LEFT(Base_report!G230,10),"-","/")),DAY(SUBSTITUTE(LEFT(Base_report!G230,10),"-","/")))</f>
        <v>45301</v>
      </c>
      <c r="I231" s="17" t="str">
        <f t="shared" si="1"/>
        <v>OUI</v>
      </c>
      <c r="J231" s="18">
        <f>IF(L231="DS",DATE(RIGHT(B231,4),VLOOKUP(LEFT(B231,LEN(B231)-5),Feuil1!$E$3:$F$19,2,FALSE)+1,10),DATE(RIGHT(B231,4),VLOOKUP(LEFT(B231,LEN(B231)-5),Feuil1!$E$3:$F$19,2,FALSE)+1,7))</f>
        <v>45301</v>
      </c>
      <c r="K231" s="19">
        <f t="shared" si="2"/>
        <v>1</v>
      </c>
      <c r="L231" s="6" t="str">
        <f t="shared" si="3"/>
        <v>DS</v>
      </c>
    </row>
    <row r="232" ht="14.25" customHeight="1">
      <c r="A232" s="14" t="str">
        <f>Base_report!A231</f>
        <v>GOH</v>
      </c>
      <c r="B232" s="14" t="str">
        <f>Base_report!B231</f>
        <v>DECEMBRE 2023</v>
      </c>
      <c r="C232" s="15" t="str">
        <f>Base_report!C231</f>
        <v>C2029</v>
      </c>
      <c r="D232" s="14" t="str">
        <f>TRIM(IF(ISNUMBER(FIND("PNSME",Base_report!D231,1)),SUBSTITUTE(Base_report!D231,"PNSME",""),IF(ISNUMBER(FIND("PHG",Base_report!D231,1)),SUBSTITUTE(Base_report!D231,"PHG",""),IF(ISNUMBER(FIND("PCS",Base_report!D231,1)),SUBSTITUTE(Base_report!D231,"PCS",""),IF(ISNUMBER(FIND("CMU",Base_report!D231,1)),SUBSTITUTE(Base_report!D231,"CMU",""),Base_report!D231)))))</f>
        <v>DISTRICT SANITAIRE GAGNOA</v>
      </c>
      <c r="E232" s="14" t="str">
        <f>SUBSTITUTE(Base_report!E231,"-","/")</f>
        <v>PNLS/TESTS RAPIDES ET CONSOMMABLES</v>
      </c>
      <c r="F232" s="14" t="s">
        <v>788</v>
      </c>
      <c r="G232" s="16">
        <f>DATE(YEAR(SUBSTITUTE(LEFT(Base_report!F231,10),"-","/")),MONTH(SUBSTITUTE(LEFT(Base_report!F231,10),"-","/")),DAY(SUBSTITUTE(LEFT(Base_report!F231,10),"-","/")))</f>
        <v>45301</v>
      </c>
      <c r="H232" s="16">
        <f>DATE(YEAR(SUBSTITUTE(LEFT(Base_report!G231,10),"-","/")),MONTH(SUBSTITUTE(LEFT(Base_report!G231,10),"-","/")),DAY(SUBSTITUTE(LEFT(Base_report!G231,10),"-","/")))</f>
        <v>45301</v>
      </c>
      <c r="I232" s="17" t="str">
        <f t="shared" si="1"/>
        <v>OUI</v>
      </c>
      <c r="J232" s="18">
        <f>IF(L232="DS",DATE(RIGHT(B232,4),VLOOKUP(LEFT(B232,LEN(B232)-5),Feuil1!$E$3:$F$19,2,FALSE)+1,10),DATE(RIGHT(B232,4),VLOOKUP(LEFT(B232,LEN(B232)-5),Feuil1!$E$3:$F$19,2,FALSE)+1,7))</f>
        <v>45301</v>
      </c>
      <c r="K232" s="19">
        <f t="shared" si="2"/>
        <v>1</v>
      </c>
      <c r="L232" s="6" t="str">
        <f t="shared" si="3"/>
        <v>DS</v>
      </c>
    </row>
    <row r="233" ht="14.25" customHeight="1">
      <c r="A233" s="14" t="str">
        <f>Base_report!A232</f>
        <v>GBEKE</v>
      </c>
      <c r="B233" s="14" t="str">
        <f>Base_report!B232</f>
        <v>DECEMBRE 2023</v>
      </c>
      <c r="C233" s="15" t="str">
        <f>Base_report!C232</f>
        <v>C2022</v>
      </c>
      <c r="D233" s="14" t="str">
        <f>TRIM(IF(ISNUMBER(FIND("PNSME",Base_report!D232,1)),SUBSTITUTE(Base_report!D232,"PNSME",""),IF(ISNUMBER(FIND("PHG",Base_report!D232,1)),SUBSTITUTE(Base_report!D232,"PHG",""),IF(ISNUMBER(FIND("PCS",Base_report!D232,1)),SUBSTITUTE(Base_report!D232,"PCS",""),IF(ISNUMBER(FIND("CMU",Base_report!D232,1)),SUBSTITUTE(Base_report!D232,"CMU",""),Base_report!D232)))))</f>
        <v>DISTRICT SANITAIRE BOUAKE EST</v>
      </c>
      <c r="E233" s="14" t="str">
        <f>SUBSTITUTE(Base_report!E232,"-","/")</f>
        <v>PNLS/PRODUITS DE LABORATOIRE</v>
      </c>
      <c r="F233" s="14" t="s">
        <v>788</v>
      </c>
      <c r="G233" s="16">
        <f>DATE(YEAR(SUBSTITUTE(LEFT(Base_report!F232,10),"-","/")),MONTH(SUBSTITUTE(LEFT(Base_report!F232,10),"-","/")),DAY(SUBSTITUTE(LEFT(Base_report!F232,10),"-","/")))</f>
        <v>45301</v>
      </c>
      <c r="H233" s="16">
        <f>DATE(YEAR(SUBSTITUTE(LEFT(Base_report!G232,10),"-","/")),MONTH(SUBSTITUTE(LEFT(Base_report!G232,10),"-","/")),DAY(SUBSTITUTE(LEFT(Base_report!G232,10),"-","/")))</f>
        <v>45301</v>
      </c>
      <c r="I233" s="17" t="str">
        <f t="shared" si="1"/>
        <v>OUI</v>
      </c>
      <c r="J233" s="18">
        <f>IF(L233="DS",DATE(RIGHT(B233,4),VLOOKUP(LEFT(B233,LEN(B233)-5),Feuil1!$E$3:$F$19,2,FALSE)+1,10),DATE(RIGHT(B233,4),VLOOKUP(LEFT(B233,LEN(B233)-5),Feuil1!$E$3:$F$19,2,FALSE)+1,7))</f>
        <v>45301</v>
      </c>
      <c r="K233" s="19">
        <f t="shared" si="2"/>
        <v>1</v>
      </c>
      <c r="L233" s="6" t="str">
        <f t="shared" si="3"/>
        <v>DS</v>
      </c>
    </row>
    <row r="234" ht="14.25" customHeight="1">
      <c r="A234" s="14" t="str">
        <f>Base_report!A233</f>
        <v>N'ZI</v>
      </c>
      <c r="B234" s="14" t="str">
        <f>Base_report!B233</f>
        <v>DECEMBRE 2023</v>
      </c>
      <c r="C234" s="15" t="str">
        <f>Base_report!C233</f>
        <v>C2027</v>
      </c>
      <c r="D234" s="14" t="str">
        <f>TRIM(IF(ISNUMBER(FIND("PNSME",Base_report!D233,1)),SUBSTITUTE(Base_report!D233,"PNSME",""),IF(ISNUMBER(FIND("PHG",Base_report!D233,1)),SUBSTITUTE(Base_report!D233,"PHG",""),IF(ISNUMBER(FIND("PCS",Base_report!D233,1)),SUBSTITUTE(Base_report!D233,"PCS",""),IF(ISNUMBER(FIND("CMU",Base_report!D233,1)),SUBSTITUTE(Base_report!D233,"CMU",""),Base_report!D233)))))</f>
        <v>DISTRICT SANITAIRE DIMBOKRO</v>
      </c>
      <c r="E234" s="14" t="str">
        <f>SUBSTITUTE(Base_report!E233,"-","/")</f>
        <v>PNLS/TESTS RAPIDES ET CONSOMMABLES</v>
      </c>
      <c r="F234" s="14" t="s">
        <v>788</v>
      </c>
      <c r="G234" s="16">
        <f>DATE(YEAR(SUBSTITUTE(LEFT(Base_report!F233,10),"-","/")),MONTH(SUBSTITUTE(LEFT(Base_report!F233,10),"-","/")),DAY(SUBSTITUTE(LEFT(Base_report!F233,10),"-","/")))</f>
        <v>45301</v>
      </c>
      <c r="H234" s="16">
        <f>DATE(YEAR(SUBSTITUTE(LEFT(Base_report!G233,10),"-","/")),MONTH(SUBSTITUTE(LEFT(Base_report!G233,10),"-","/")),DAY(SUBSTITUTE(LEFT(Base_report!G233,10),"-","/")))</f>
        <v>45302</v>
      </c>
      <c r="I234" s="17" t="str">
        <f t="shared" si="1"/>
        <v>OUI</v>
      </c>
      <c r="J234" s="18">
        <f>IF(L234="DS",DATE(RIGHT(B234,4),VLOOKUP(LEFT(B234,LEN(B234)-5),Feuil1!$E$3:$F$19,2,FALSE)+1,10),DATE(RIGHT(B234,4),VLOOKUP(LEFT(B234,LEN(B234)-5),Feuil1!$E$3:$F$19,2,FALSE)+1,7))</f>
        <v>45301</v>
      </c>
      <c r="K234" s="19">
        <f t="shared" si="2"/>
        <v>0</v>
      </c>
      <c r="L234" s="6" t="str">
        <f t="shared" si="3"/>
        <v>DS</v>
      </c>
    </row>
    <row r="235" ht="14.25" customHeight="1">
      <c r="A235" s="14" t="str">
        <f>Base_report!A234</f>
        <v>ABIDJAN 1</v>
      </c>
      <c r="B235" s="14" t="str">
        <f>Base_report!B234</f>
        <v>DECEMBRE 2023</v>
      </c>
      <c r="C235" s="15" t="str">
        <f>Base_report!C234</f>
        <v>C1412</v>
      </c>
      <c r="D235" s="14" t="str">
        <f>TRIM(IF(ISNUMBER(FIND("PNSME",Base_report!D234,1)),SUBSTITUTE(Base_report!D234,"PNSME",""),IF(ISNUMBER(FIND("PHG",Base_report!D234,1)),SUBSTITUTE(Base_report!D234,"PHG",""),IF(ISNUMBER(FIND("PCS",Base_report!D234,1)),SUBSTITUTE(Base_report!D234,"PCS",""),IF(ISNUMBER(FIND("CMU",Base_report!D234,1)),SUBSTITUTE(Base_report!D234,"CMU",""),Base_report!D234)))))</f>
        <v>DISTRICT SANITAIRE ANYAMA</v>
      </c>
      <c r="E235" s="14" t="str">
        <f>SUBSTITUTE(Base_report!E234,"-","/")</f>
        <v>PNLS/TESTS RAPIDES ET CONSOMMABLES</v>
      </c>
      <c r="F235" s="14" t="s">
        <v>788</v>
      </c>
      <c r="G235" s="16">
        <f>DATE(YEAR(SUBSTITUTE(LEFT(Base_report!F234,10),"-","/")),MONTH(SUBSTITUTE(LEFT(Base_report!F234,10),"-","/")),DAY(SUBSTITUTE(LEFT(Base_report!F234,10),"-","/")))</f>
        <v>45301</v>
      </c>
      <c r="H235" s="16">
        <f>DATE(YEAR(SUBSTITUTE(LEFT(Base_report!G234,10),"-","/")),MONTH(SUBSTITUTE(LEFT(Base_report!G234,10),"-","/")),DAY(SUBSTITUTE(LEFT(Base_report!G234,10),"-","/")))</f>
        <v>45301</v>
      </c>
      <c r="I235" s="17" t="str">
        <f t="shared" si="1"/>
        <v>OUI</v>
      </c>
      <c r="J235" s="18">
        <f>IF(L235="DS",DATE(RIGHT(B235,4),VLOOKUP(LEFT(B235,LEN(B235)-5),Feuil1!$E$3:$F$19,2,FALSE)+1,10),DATE(RIGHT(B235,4),VLOOKUP(LEFT(B235,LEN(B235)-5),Feuil1!$E$3:$F$19,2,FALSE)+1,7))</f>
        <v>45301</v>
      </c>
      <c r="K235" s="19">
        <f t="shared" si="2"/>
        <v>1</v>
      </c>
      <c r="L235" s="6" t="str">
        <f t="shared" si="3"/>
        <v>DS</v>
      </c>
    </row>
    <row r="236" ht="14.25" customHeight="1">
      <c r="A236" s="14" t="str">
        <f>Base_report!A235</f>
        <v>BOUNKANI</v>
      </c>
      <c r="B236" s="14" t="str">
        <f>Base_report!B235</f>
        <v>DECEMBRE 2023</v>
      </c>
      <c r="C236" s="15" t="str">
        <f>Base_report!C235</f>
        <v>C4082</v>
      </c>
      <c r="D236" s="14" t="str">
        <f>TRIM(IF(ISNUMBER(FIND("PNSME",Base_report!D235,1)),SUBSTITUTE(Base_report!D235,"PNSME",""),IF(ISNUMBER(FIND("PHG",Base_report!D235,1)),SUBSTITUTE(Base_report!D235,"PHG",""),IF(ISNUMBER(FIND("PCS",Base_report!D235,1)),SUBSTITUTE(Base_report!D235,"PCS",""),IF(ISNUMBER(FIND("CMU",Base_report!D235,1)),SUBSTITUTE(Base_report!D235,"CMU",""),Base_report!D235)))))</f>
        <v>DISTRICT SANITAIRE DOROPO</v>
      </c>
      <c r="E236" s="14" t="str">
        <f>SUBSTITUTE(Base_report!E235,"-","/")</f>
        <v>PNLS/TESTS RAPIDES ET CONSOMMABLES</v>
      </c>
      <c r="F236" s="14" t="s">
        <v>788</v>
      </c>
      <c r="G236" s="16">
        <f>DATE(YEAR(SUBSTITUTE(LEFT(Base_report!F235,10),"-","/")),MONTH(SUBSTITUTE(LEFT(Base_report!F235,10),"-","/")),DAY(SUBSTITUTE(LEFT(Base_report!F235,10),"-","/")))</f>
        <v>45301</v>
      </c>
      <c r="H236" s="16">
        <f>DATE(YEAR(SUBSTITUTE(LEFT(Base_report!G235,10),"-","/")),MONTH(SUBSTITUTE(LEFT(Base_report!G235,10),"-","/")),DAY(SUBSTITUTE(LEFT(Base_report!G235,10),"-","/")))</f>
        <v>45301</v>
      </c>
      <c r="I236" s="17" t="str">
        <f t="shared" si="1"/>
        <v>OUI</v>
      </c>
      <c r="J236" s="18">
        <f>IF(L236="DS",DATE(RIGHT(B236,4),VLOOKUP(LEFT(B236,LEN(B236)-5),Feuil1!$E$3:$F$19,2,FALSE)+1,10),DATE(RIGHT(B236,4),VLOOKUP(LEFT(B236,LEN(B236)-5),Feuil1!$E$3:$F$19,2,FALSE)+1,7))</f>
        <v>45301</v>
      </c>
      <c r="K236" s="19">
        <f t="shared" si="2"/>
        <v>1</v>
      </c>
      <c r="L236" s="6" t="str">
        <f t="shared" si="3"/>
        <v>DS</v>
      </c>
    </row>
    <row r="237" ht="14.25" customHeight="1">
      <c r="A237" s="14" t="str">
        <f>Base_report!A236</f>
        <v>GBEKE</v>
      </c>
      <c r="B237" s="14" t="str">
        <f>Base_report!B236</f>
        <v>DECEMBRE 2023</v>
      </c>
      <c r="C237" s="15" t="str">
        <f>Base_report!C236</f>
        <v>C2048</v>
      </c>
      <c r="D237" s="14" t="str">
        <f>TRIM(IF(ISNUMBER(FIND("PNSME",Base_report!D236,1)),SUBSTITUTE(Base_report!D236,"PNSME",""),IF(ISNUMBER(FIND("PHG",Base_report!D236,1)),SUBSTITUTE(Base_report!D236,"PHG",""),IF(ISNUMBER(FIND("PCS",Base_report!D236,1)),SUBSTITUTE(Base_report!D236,"PCS",""),IF(ISNUMBER(FIND("CMU",Base_report!D236,1)),SUBSTITUTE(Base_report!D236,"CMU",""),Base_report!D236)))))</f>
        <v>DISTRICT SANITAIRE BEOUMI</v>
      </c>
      <c r="E237" s="14" t="str">
        <f>SUBSTITUTE(Base_report!E236,"-","/")</f>
        <v>PNLS/PRODUITS DE LABORATOIRE</v>
      </c>
      <c r="F237" s="14" t="s">
        <v>788</v>
      </c>
      <c r="G237" s="16">
        <f>DATE(YEAR(SUBSTITUTE(LEFT(Base_report!F236,10),"-","/")),MONTH(SUBSTITUTE(LEFT(Base_report!F236,10),"-","/")),DAY(SUBSTITUTE(LEFT(Base_report!F236,10),"-","/")))</f>
        <v>45301</v>
      </c>
      <c r="H237" s="16">
        <f>DATE(YEAR(SUBSTITUTE(LEFT(Base_report!G236,10),"-","/")),MONTH(SUBSTITUTE(LEFT(Base_report!G236,10),"-","/")),DAY(SUBSTITUTE(LEFT(Base_report!G236,10),"-","/")))</f>
        <v>45301</v>
      </c>
      <c r="I237" s="17" t="str">
        <f t="shared" si="1"/>
        <v>OUI</v>
      </c>
      <c r="J237" s="18">
        <f>IF(L237="DS",DATE(RIGHT(B237,4),VLOOKUP(LEFT(B237,LEN(B237)-5),Feuil1!$E$3:$F$19,2,FALSE)+1,10),DATE(RIGHT(B237,4),VLOOKUP(LEFT(B237,LEN(B237)-5),Feuil1!$E$3:$F$19,2,FALSE)+1,7))</f>
        <v>45301</v>
      </c>
      <c r="K237" s="19">
        <f t="shared" si="2"/>
        <v>1</v>
      </c>
      <c r="L237" s="6" t="str">
        <f t="shared" si="3"/>
        <v>DS</v>
      </c>
    </row>
    <row r="238" ht="14.25" customHeight="1">
      <c r="A238" s="14" t="str">
        <f>Base_report!A237</f>
        <v>INDENIE-DJUABLIN</v>
      </c>
      <c r="B238" s="14" t="str">
        <f>Base_report!B237</f>
        <v>DECEMBRE 2023</v>
      </c>
      <c r="C238" s="15" t="str">
        <f>Base_report!C237</f>
        <v>C4005</v>
      </c>
      <c r="D238" s="14" t="str">
        <f>TRIM(IF(ISNUMBER(FIND("PNSME",Base_report!D237,1)),SUBSTITUTE(Base_report!D237,"PNSME",""),IF(ISNUMBER(FIND("PHG",Base_report!D237,1)),SUBSTITUTE(Base_report!D237,"PHG",""),IF(ISNUMBER(FIND("PCS",Base_report!D237,1)),SUBSTITUTE(Base_report!D237,"PCS",""),IF(ISNUMBER(FIND("CMU",Base_report!D237,1)),SUBSTITUTE(Base_report!D237,"CMU",""),Base_report!D237)))))</f>
        <v>DISTRICT SANITAIRE AGNIBILEKROU</v>
      </c>
      <c r="E238" s="14" t="str">
        <f>SUBSTITUTE(Base_report!E237,"-","/")</f>
        <v>PNLP/MEDICAMENTS ET INTRANTS</v>
      </c>
      <c r="F238" s="14" t="s">
        <v>788</v>
      </c>
      <c r="G238" s="16">
        <f>DATE(YEAR(SUBSTITUTE(LEFT(Base_report!F237,10),"-","/")),MONTH(SUBSTITUTE(LEFT(Base_report!F237,10),"-","/")),DAY(SUBSTITUTE(LEFT(Base_report!F237,10),"-","/")))</f>
        <v>45301</v>
      </c>
      <c r="H238" s="16">
        <f>DATE(YEAR(SUBSTITUTE(LEFT(Base_report!G237,10),"-","/")),MONTH(SUBSTITUTE(LEFT(Base_report!G237,10),"-","/")),DAY(SUBSTITUTE(LEFT(Base_report!G237,10),"-","/")))</f>
        <v>45301</v>
      </c>
      <c r="I238" s="17" t="str">
        <f t="shared" si="1"/>
        <v>OUI</v>
      </c>
      <c r="J238" s="18">
        <f>IF(L238="DS",DATE(RIGHT(B238,4),VLOOKUP(LEFT(B238,LEN(B238)-5),Feuil1!$E$3:$F$19,2,FALSE)+1,10),DATE(RIGHT(B238,4),VLOOKUP(LEFT(B238,LEN(B238)-5),Feuil1!$E$3:$F$19,2,FALSE)+1,7))</f>
        <v>45301</v>
      </c>
      <c r="K238" s="19">
        <f t="shared" si="2"/>
        <v>1</v>
      </c>
      <c r="L238" s="6" t="str">
        <f t="shared" si="3"/>
        <v>DS</v>
      </c>
    </row>
    <row r="239" ht="14.25" customHeight="1">
      <c r="A239" s="14" t="str">
        <f>Base_report!A238</f>
        <v>BOUNKANI</v>
      </c>
      <c r="B239" s="14" t="str">
        <f>Base_report!B238</f>
        <v>DECEMBRE 2023</v>
      </c>
      <c r="C239" s="15" t="str">
        <f>Base_report!C238</f>
        <v>C4082</v>
      </c>
      <c r="D239" s="14" t="str">
        <f>TRIM(IF(ISNUMBER(FIND("PNSME",Base_report!D238,1)),SUBSTITUTE(Base_report!D238,"PNSME",""),IF(ISNUMBER(FIND("PHG",Base_report!D238,1)),SUBSTITUTE(Base_report!D238,"PHG",""),IF(ISNUMBER(FIND("PCS",Base_report!D238,1)),SUBSTITUTE(Base_report!D238,"PCS",""),IF(ISNUMBER(FIND("CMU",Base_report!D238,1)),SUBSTITUTE(Base_report!D238,"CMU",""),Base_report!D238)))))</f>
        <v>DISTRICT SANITAIRE DOROPO</v>
      </c>
      <c r="E239" s="14" t="str">
        <f>SUBSTITUTE(Base_report!E238,"-","/")</f>
        <v>PNSME/MEDICAMENTS ET INTRANTS</v>
      </c>
      <c r="F239" s="14" t="s">
        <v>788</v>
      </c>
      <c r="G239" s="16">
        <f>DATE(YEAR(SUBSTITUTE(LEFT(Base_report!F238,10),"-","/")),MONTH(SUBSTITUTE(LEFT(Base_report!F238,10),"-","/")),DAY(SUBSTITUTE(LEFT(Base_report!F238,10),"-","/")))</f>
        <v>45301</v>
      </c>
      <c r="H239" s="16">
        <f>DATE(YEAR(SUBSTITUTE(LEFT(Base_report!G238,10),"-","/")),MONTH(SUBSTITUTE(LEFT(Base_report!G238,10),"-","/")),DAY(SUBSTITUTE(LEFT(Base_report!G238,10),"-","/")))</f>
        <v>45301</v>
      </c>
      <c r="I239" s="17" t="str">
        <f t="shared" si="1"/>
        <v>OUI</v>
      </c>
      <c r="J239" s="18">
        <f>IF(L239="DS",DATE(RIGHT(B239,4),VLOOKUP(LEFT(B239,LEN(B239)-5),Feuil1!$E$3:$F$19,2,FALSE)+1,10),DATE(RIGHT(B239,4),VLOOKUP(LEFT(B239,LEN(B239)-5),Feuil1!$E$3:$F$19,2,FALSE)+1,7))</f>
        <v>45301</v>
      </c>
      <c r="K239" s="19">
        <f t="shared" si="2"/>
        <v>1</v>
      </c>
      <c r="L239" s="6" t="str">
        <f t="shared" si="3"/>
        <v>DS</v>
      </c>
    </row>
    <row r="240" ht="14.25" customHeight="1">
      <c r="A240" s="14" t="str">
        <f>Base_report!A239</f>
        <v>GOH</v>
      </c>
      <c r="B240" s="14" t="str">
        <f>Base_report!B239</f>
        <v>DECEMBRE 2023</v>
      </c>
      <c r="C240" s="15" t="str">
        <f>Base_report!C239</f>
        <v>C2033</v>
      </c>
      <c r="D240" s="14" t="str">
        <f>TRIM(IF(ISNUMBER(FIND("PNSME",Base_report!D239,1)),SUBSTITUTE(Base_report!D239,"PNSME",""),IF(ISNUMBER(FIND("PHG",Base_report!D239,1)),SUBSTITUTE(Base_report!D239,"PHG",""),IF(ISNUMBER(FIND("PCS",Base_report!D239,1)),SUBSTITUTE(Base_report!D239,"PCS",""),IF(ISNUMBER(FIND("CMU",Base_report!D239,1)),SUBSTITUTE(Base_report!D239,"CMU",""),Base_report!D239)))))</f>
        <v>DISTRICT SANITAIRE OUME</v>
      </c>
      <c r="E240" s="14" t="str">
        <f>SUBSTITUTE(Base_report!E239,"-","/")</f>
        <v>PNLS/PRODUITS DE LABORATOIRE</v>
      </c>
      <c r="F240" s="14" t="s">
        <v>788</v>
      </c>
      <c r="G240" s="16">
        <f>DATE(YEAR(SUBSTITUTE(LEFT(Base_report!F239,10),"-","/")),MONTH(SUBSTITUTE(LEFT(Base_report!F239,10),"-","/")),DAY(SUBSTITUTE(LEFT(Base_report!F239,10),"-","/")))</f>
        <v>45301</v>
      </c>
      <c r="H240" s="16">
        <f>DATE(YEAR(SUBSTITUTE(LEFT(Base_report!G239,10),"-","/")),MONTH(SUBSTITUTE(LEFT(Base_report!G239,10),"-","/")),DAY(SUBSTITUTE(LEFT(Base_report!G239,10),"-","/")))</f>
        <v>45301</v>
      </c>
      <c r="I240" s="17" t="str">
        <f t="shared" si="1"/>
        <v>OUI</v>
      </c>
      <c r="J240" s="18">
        <f>IF(L240="DS",DATE(RIGHT(B240,4),VLOOKUP(LEFT(B240,LEN(B240)-5),Feuil1!$E$3:$F$19,2,FALSE)+1,10),DATE(RIGHT(B240,4),VLOOKUP(LEFT(B240,LEN(B240)-5),Feuil1!$E$3:$F$19,2,FALSE)+1,7))</f>
        <v>45301</v>
      </c>
      <c r="K240" s="19">
        <f t="shared" si="2"/>
        <v>1</v>
      </c>
      <c r="L240" s="6" t="str">
        <f t="shared" si="3"/>
        <v>DS</v>
      </c>
    </row>
    <row r="241" ht="14.25" customHeight="1">
      <c r="A241" s="14" t="str">
        <f>Base_report!A240</f>
        <v>GRANDS PONTS</v>
      </c>
      <c r="B241" s="14" t="str">
        <f>Base_report!B240</f>
        <v>DECEMBRE 2023</v>
      </c>
      <c r="C241" s="15" t="str">
        <f>Base_report!C240</f>
        <v>C1047</v>
      </c>
      <c r="D241" s="14" t="str">
        <f>TRIM(IF(ISNUMBER(FIND("PNSME",Base_report!D240,1)),SUBSTITUTE(Base_report!D240,"PNSME",""),IF(ISNUMBER(FIND("PHG",Base_report!D240,1)),SUBSTITUTE(Base_report!D240,"PHG",""),IF(ISNUMBER(FIND("PCS",Base_report!D240,1)),SUBSTITUTE(Base_report!D240,"PCS",""),IF(ISNUMBER(FIND("CMU",Base_report!D240,1)),SUBSTITUTE(Base_report!D240,"CMU",""),Base_report!D240)))))</f>
        <v>DISTRICT SANITAIRE DABOU</v>
      </c>
      <c r="E241" s="14" t="str">
        <f>SUBSTITUTE(Base_report!E240,"-","/")</f>
        <v>PNSME/MEDICAMENTS ET INTRANTS</v>
      </c>
      <c r="F241" s="14" t="s">
        <v>788</v>
      </c>
      <c r="G241" s="16">
        <f>DATE(YEAR(SUBSTITUTE(LEFT(Base_report!F240,10),"-","/")),MONTH(SUBSTITUTE(LEFT(Base_report!F240,10),"-","/")),DAY(SUBSTITUTE(LEFT(Base_report!F240,10),"-","/")))</f>
        <v>45301</v>
      </c>
      <c r="H241" s="16">
        <f>DATE(YEAR(SUBSTITUTE(LEFT(Base_report!G240,10),"-","/")),MONTH(SUBSTITUTE(LEFT(Base_report!G240,10),"-","/")),DAY(SUBSTITUTE(LEFT(Base_report!G240,10),"-","/")))</f>
        <v>45301</v>
      </c>
      <c r="I241" s="17" t="str">
        <f t="shared" si="1"/>
        <v>OUI</v>
      </c>
      <c r="J241" s="18">
        <f>IF(L241="DS",DATE(RIGHT(B241,4),VLOOKUP(LEFT(B241,LEN(B241)-5),Feuil1!$E$3:$F$19,2,FALSE)+1,10),DATE(RIGHT(B241,4),VLOOKUP(LEFT(B241,LEN(B241)-5),Feuil1!$E$3:$F$19,2,FALSE)+1,7))</f>
        <v>45301</v>
      </c>
      <c r="K241" s="19">
        <f t="shared" si="2"/>
        <v>1</v>
      </c>
      <c r="L241" s="6" t="str">
        <f t="shared" si="3"/>
        <v>DS</v>
      </c>
    </row>
    <row r="242" ht="14.25" customHeight="1">
      <c r="A242" s="14" t="str">
        <f>Base_report!A241</f>
        <v>N'ZI</v>
      </c>
      <c r="B242" s="14" t="str">
        <f>Base_report!B241</f>
        <v>DECEMBRE 2023</v>
      </c>
      <c r="C242" s="15" t="str">
        <f>Base_report!C241</f>
        <v>C2027</v>
      </c>
      <c r="D242" s="14" t="str">
        <f>TRIM(IF(ISNUMBER(FIND("PNSME",Base_report!D241,1)),SUBSTITUTE(Base_report!D241,"PNSME",""),IF(ISNUMBER(FIND("PHG",Base_report!D241,1)),SUBSTITUTE(Base_report!D241,"PHG",""),IF(ISNUMBER(FIND("PCS",Base_report!D241,1)),SUBSTITUTE(Base_report!D241,"PCS",""),IF(ISNUMBER(FIND("CMU",Base_report!D241,1)),SUBSTITUTE(Base_report!D241,"CMU",""),Base_report!D241)))))</f>
        <v>DISTRICT SANITAIRE DIMBOKRO</v>
      </c>
      <c r="E242" s="14" t="str">
        <f>SUBSTITUTE(Base_report!E241,"-","/")</f>
        <v>PNSME/MEDICAMENTS ET INTRANTS</v>
      </c>
      <c r="F242" s="14" t="s">
        <v>788</v>
      </c>
      <c r="G242" s="16">
        <f>DATE(YEAR(SUBSTITUTE(LEFT(Base_report!F241,10),"-","/")),MONTH(SUBSTITUTE(LEFT(Base_report!F241,10),"-","/")),DAY(SUBSTITUTE(LEFT(Base_report!F241,10),"-","/")))</f>
        <v>45302</v>
      </c>
      <c r="H242" s="16">
        <f>DATE(YEAR(SUBSTITUTE(LEFT(Base_report!G241,10),"-","/")),MONTH(SUBSTITUTE(LEFT(Base_report!G241,10),"-","/")),DAY(SUBSTITUTE(LEFT(Base_report!G241,10),"-","/")))</f>
        <v>45302</v>
      </c>
      <c r="I242" s="17" t="str">
        <f t="shared" si="1"/>
        <v>OUI</v>
      </c>
      <c r="J242" s="18">
        <f>IF(L242="DS",DATE(RIGHT(B242,4),VLOOKUP(LEFT(B242,LEN(B242)-5),Feuil1!$E$3:$F$19,2,FALSE)+1,10),DATE(RIGHT(B242,4),VLOOKUP(LEFT(B242,LEN(B242)-5),Feuil1!$E$3:$F$19,2,FALSE)+1,7))</f>
        <v>45301</v>
      </c>
      <c r="K242" s="19">
        <f t="shared" si="2"/>
        <v>0</v>
      </c>
      <c r="L242" s="6" t="str">
        <f t="shared" si="3"/>
        <v>DS</v>
      </c>
    </row>
    <row r="243" ht="14.25" customHeight="1">
      <c r="A243" s="14" t="str">
        <f>Base_report!A242</f>
        <v>ABIDJAN 1</v>
      </c>
      <c r="B243" s="14" t="str">
        <f>Base_report!B242</f>
        <v>DECEMBRE 2023</v>
      </c>
      <c r="C243" s="15" t="str">
        <f>Base_report!C242</f>
        <v>C1412</v>
      </c>
      <c r="D243" s="14" t="str">
        <f>TRIM(IF(ISNUMBER(FIND("PNSME",Base_report!D242,1)),SUBSTITUTE(Base_report!D242,"PNSME",""),IF(ISNUMBER(FIND("PHG",Base_report!D242,1)),SUBSTITUTE(Base_report!D242,"PHG",""),IF(ISNUMBER(FIND("PCS",Base_report!D242,1)),SUBSTITUTE(Base_report!D242,"PCS",""),IF(ISNUMBER(FIND("CMU",Base_report!D242,1)),SUBSTITUTE(Base_report!D242,"CMU",""),Base_report!D242)))))</f>
        <v>DISTRICT SANITAIRE ANYAMA</v>
      </c>
      <c r="E243" s="14" t="str">
        <f>SUBSTITUTE(Base_report!E242,"-","/")</f>
        <v>PNSME/MEDICAMENTS ET INTRANTS</v>
      </c>
      <c r="F243" s="14" t="s">
        <v>788</v>
      </c>
      <c r="G243" s="16">
        <f>DATE(YEAR(SUBSTITUTE(LEFT(Base_report!F242,10),"-","/")),MONTH(SUBSTITUTE(LEFT(Base_report!F242,10),"-","/")),DAY(SUBSTITUTE(LEFT(Base_report!F242,10),"-","/")))</f>
        <v>45301</v>
      </c>
      <c r="H243" s="16">
        <f>DATE(YEAR(SUBSTITUTE(LEFT(Base_report!G242,10),"-","/")),MONTH(SUBSTITUTE(LEFT(Base_report!G242,10),"-","/")),DAY(SUBSTITUTE(LEFT(Base_report!G242,10),"-","/")))</f>
        <v>45301</v>
      </c>
      <c r="I243" s="17" t="str">
        <f t="shared" si="1"/>
        <v>OUI</v>
      </c>
      <c r="J243" s="18">
        <f>IF(L243="DS",DATE(RIGHT(B243,4),VLOOKUP(LEFT(B243,LEN(B243)-5),Feuil1!$E$3:$F$19,2,FALSE)+1,10),DATE(RIGHT(B243,4),VLOOKUP(LEFT(B243,LEN(B243)-5),Feuil1!$E$3:$F$19,2,FALSE)+1,7))</f>
        <v>45301</v>
      </c>
      <c r="K243" s="19">
        <f t="shared" si="2"/>
        <v>1</v>
      </c>
      <c r="L243" s="6" t="str">
        <f t="shared" si="3"/>
        <v>DS</v>
      </c>
    </row>
    <row r="244" ht="14.25" customHeight="1">
      <c r="A244" s="14" t="str">
        <f>Base_report!A243</f>
        <v>GBEKE</v>
      </c>
      <c r="B244" s="14" t="str">
        <f>Base_report!B243</f>
        <v>DECEMBRE 2023</v>
      </c>
      <c r="C244" s="15" t="str">
        <f>Base_report!C243</f>
        <v>C2034</v>
      </c>
      <c r="D244" s="14" t="str">
        <f>TRIM(IF(ISNUMBER(FIND("PNSME",Base_report!D243,1)),SUBSTITUTE(Base_report!D243,"PNSME",""),IF(ISNUMBER(FIND("PHG",Base_report!D243,1)),SUBSTITUTE(Base_report!D243,"PHG",""),IF(ISNUMBER(FIND("PCS",Base_report!D243,1)),SUBSTITUTE(Base_report!D243,"PCS",""),IF(ISNUMBER(FIND("CMU",Base_report!D243,1)),SUBSTITUTE(Base_report!D243,"CMU",""),Base_report!D243)))))</f>
        <v>DISTRICT SANITAIRE SAKASSOU</v>
      </c>
      <c r="E244" s="14" t="str">
        <f>SUBSTITUTE(Base_report!E243,"-","/")</f>
        <v>PNN/MEDICAMENTS ET INTRANTS</v>
      </c>
      <c r="F244" s="14" t="s">
        <v>788</v>
      </c>
      <c r="G244" s="16">
        <f>DATE(YEAR(SUBSTITUTE(LEFT(Base_report!F243,10),"-","/")),MONTH(SUBSTITUTE(LEFT(Base_report!F243,10),"-","/")),DAY(SUBSTITUTE(LEFT(Base_report!F243,10),"-","/")))</f>
        <v>45301</v>
      </c>
      <c r="H244" s="16">
        <f>DATE(YEAR(SUBSTITUTE(LEFT(Base_report!G243,10),"-","/")),MONTH(SUBSTITUTE(LEFT(Base_report!G243,10),"-","/")),DAY(SUBSTITUTE(LEFT(Base_report!G243,10),"-","/")))</f>
        <v>45301</v>
      </c>
      <c r="I244" s="17" t="str">
        <f t="shared" si="1"/>
        <v>OUI</v>
      </c>
      <c r="J244" s="18">
        <f>IF(L244="DS",DATE(RIGHT(B244,4),VLOOKUP(LEFT(B244,LEN(B244)-5),Feuil1!$E$3:$F$19,2,FALSE)+1,10),DATE(RIGHT(B244,4),VLOOKUP(LEFT(B244,LEN(B244)-5),Feuil1!$E$3:$F$19,2,FALSE)+1,7))</f>
        <v>45301</v>
      </c>
      <c r="K244" s="19">
        <f t="shared" si="2"/>
        <v>1</v>
      </c>
      <c r="L244" s="6" t="str">
        <f t="shared" si="3"/>
        <v>DS</v>
      </c>
    </row>
    <row r="245" ht="14.25" customHeight="1">
      <c r="A245" s="14" t="str">
        <f>Base_report!A244</f>
        <v>GONTOUGO</v>
      </c>
      <c r="B245" s="14" t="str">
        <f>Base_report!B244</f>
        <v>DECEMBRE 2023</v>
      </c>
      <c r="C245" s="15" t="str">
        <f>Base_report!C244</f>
        <v>C4070</v>
      </c>
      <c r="D245" s="14" t="str">
        <f>TRIM(IF(ISNUMBER(FIND("PNSME",Base_report!D244,1)),SUBSTITUTE(Base_report!D244,"PNSME",""),IF(ISNUMBER(FIND("PHG",Base_report!D244,1)),SUBSTITUTE(Base_report!D244,"PHG",""),IF(ISNUMBER(FIND("PCS",Base_report!D244,1)),SUBSTITUTE(Base_report!D244,"PCS",""),IF(ISNUMBER(FIND("CMU",Base_report!D244,1)),SUBSTITUTE(Base_report!D244,"CMU",""),Base_report!D244)))))</f>
        <v>DISTRICT SANITAIRE KOUN FAO</v>
      </c>
      <c r="E245" s="14" t="str">
        <f>SUBSTITUTE(Base_report!E244,"-","/")</f>
        <v>PNLS/ANTIRETROVIRAUX ET IO</v>
      </c>
      <c r="F245" s="14" t="s">
        <v>788</v>
      </c>
      <c r="G245" s="16">
        <f>DATE(YEAR(SUBSTITUTE(LEFT(Base_report!F244,10),"-","/")),MONTH(SUBSTITUTE(LEFT(Base_report!F244,10),"-","/")),DAY(SUBSTITUTE(LEFT(Base_report!F244,10),"-","/")))</f>
        <v>45301</v>
      </c>
      <c r="H245" s="16">
        <f>DATE(YEAR(SUBSTITUTE(LEFT(Base_report!G244,10),"-","/")),MONTH(SUBSTITUTE(LEFT(Base_report!G244,10),"-","/")),DAY(SUBSTITUTE(LEFT(Base_report!G244,10),"-","/")))</f>
        <v>45301</v>
      </c>
      <c r="I245" s="17" t="str">
        <f t="shared" si="1"/>
        <v>OUI</v>
      </c>
      <c r="J245" s="18">
        <f>IF(L245="DS",DATE(RIGHT(B245,4),VLOOKUP(LEFT(B245,LEN(B245)-5),Feuil1!$E$3:$F$19,2,FALSE)+1,10),DATE(RIGHT(B245,4),VLOOKUP(LEFT(B245,LEN(B245)-5),Feuil1!$E$3:$F$19,2,FALSE)+1,7))</f>
        <v>45301</v>
      </c>
      <c r="K245" s="19">
        <f t="shared" si="2"/>
        <v>1</v>
      </c>
      <c r="L245" s="6" t="str">
        <f t="shared" si="3"/>
        <v>DS</v>
      </c>
    </row>
    <row r="246" ht="14.25" customHeight="1">
      <c r="A246" s="14" t="str">
        <f>Base_report!A245</f>
        <v>BOUNKANI</v>
      </c>
      <c r="B246" s="14" t="str">
        <f>Base_report!B245</f>
        <v>DECEMBRE 2023</v>
      </c>
      <c r="C246" s="15" t="str">
        <f>Base_report!C245</f>
        <v>C4082</v>
      </c>
      <c r="D246" s="14" t="str">
        <f>TRIM(IF(ISNUMBER(FIND("PNSME",Base_report!D245,1)),SUBSTITUTE(Base_report!D245,"PNSME",""),IF(ISNUMBER(FIND("PHG",Base_report!D245,1)),SUBSTITUTE(Base_report!D245,"PHG",""),IF(ISNUMBER(FIND("PCS",Base_report!D245,1)),SUBSTITUTE(Base_report!D245,"PCS",""),IF(ISNUMBER(FIND("CMU",Base_report!D245,1)),SUBSTITUTE(Base_report!D245,"CMU",""),Base_report!D245)))))</f>
        <v>DISTRICT SANITAIRE DOROPO</v>
      </c>
      <c r="E246" s="14" t="str">
        <f>SUBSTITUTE(Base_report!E245,"-","/")</f>
        <v>PNN/MEDICAMENTS ET INTRANTS</v>
      </c>
      <c r="F246" s="14" t="s">
        <v>788</v>
      </c>
      <c r="G246" s="16">
        <f>DATE(YEAR(SUBSTITUTE(LEFT(Base_report!F245,10),"-","/")),MONTH(SUBSTITUTE(LEFT(Base_report!F245,10),"-","/")),DAY(SUBSTITUTE(LEFT(Base_report!F245,10),"-","/")))</f>
        <v>45301</v>
      </c>
      <c r="H246" s="16">
        <f>DATE(YEAR(SUBSTITUTE(LEFT(Base_report!G245,10),"-","/")),MONTH(SUBSTITUTE(LEFT(Base_report!G245,10),"-","/")),DAY(SUBSTITUTE(LEFT(Base_report!G245,10),"-","/")))</f>
        <v>45301</v>
      </c>
      <c r="I246" s="17" t="str">
        <f t="shared" si="1"/>
        <v>OUI</v>
      </c>
      <c r="J246" s="18">
        <f>IF(L246="DS",DATE(RIGHT(B246,4),VLOOKUP(LEFT(B246,LEN(B246)-5),Feuil1!$E$3:$F$19,2,FALSE)+1,10),DATE(RIGHT(B246,4),VLOOKUP(LEFT(B246,LEN(B246)-5),Feuil1!$E$3:$F$19,2,FALSE)+1,7))</f>
        <v>45301</v>
      </c>
      <c r="K246" s="19">
        <f t="shared" si="2"/>
        <v>1</v>
      </c>
      <c r="L246" s="6" t="str">
        <f t="shared" si="3"/>
        <v>DS</v>
      </c>
    </row>
    <row r="247" ht="14.25" customHeight="1">
      <c r="A247" s="14" t="str">
        <f>Base_report!A246</f>
        <v>BERE</v>
      </c>
      <c r="B247" s="14" t="str">
        <f>Base_report!B246</f>
        <v>DECEMBRE 2023</v>
      </c>
      <c r="C247" s="15" t="str">
        <f>Base_report!C246</f>
        <v>C3007</v>
      </c>
      <c r="D247" s="14" t="str">
        <f>TRIM(IF(ISNUMBER(FIND("PNSME",Base_report!D246,1)),SUBSTITUTE(Base_report!D246,"PNSME",""),IF(ISNUMBER(FIND("PHG",Base_report!D246,1)),SUBSTITUTE(Base_report!D246,"PHG",""),IF(ISNUMBER(FIND("PCS",Base_report!D246,1)),SUBSTITUTE(Base_report!D246,"PCS",""),IF(ISNUMBER(FIND("CMU",Base_report!D246,1)),SUBSTITUTE(Base_report!D246,"CMU",""),Base_report!D246)))))</f>
        <v>DISTRICT SANITAIRE MANKONO</v>
      </c>
      <c r="E247" s="14" t="str">
        <f>SUBSTITUTE(Base_report!E246,"-","/")</f>
        <v>PNN/MEDICAMENTS ET INTRANTS</v>
      </c>
      <c r="F247" s="14" t="s">
        <v>788</v>
      </c>
      <c r="G247" s="16">
        <f>DATE(YEAR(SUBSTITUTE(LEFT(Base_report!F246,10),"-","/")),MONTH(SUBSTITUTE(LEFT(Base_report!F246,10),"-","/")),DAY(SUBSTITUTE(LEFT(Base_report!F246,10),"-","/")))</f>
        <v>45301</v>
      </c>
      <c r="H247" s="16">
        <f>DATE(YEAR(SUBSTITUTE(LEFT(Base_report!G246,10),"-","/")),MONTH(SUBSTITUTE(LEFT(Base_report!G246,10),"-","/")),DAY(SUBSTITUTE(LEFT(Base_report!G246,10),"-","/")))</f>
        <v>45301</v>
      </c>
      <c r="I247" s="17" t="str">
        <f t="shared" si="1"/>
        <v>OUI</v>
      </c>
      <c r="J247" s="18">
        <f>IF(L247="DS",DATE(RIGHT(B247,4),VLOOKUP(LEFT(B247,LEN(B247)-5),Feuil1!$E$3:$F$19,2,FALSE)+1,10),DATE(RIGHT(B247,4),VLOOKUP(LEFT(B247,LEN(B247)-5),Feuil1!$E$3:$F$19,2,FALSE)+1,7))</f>
        <v>45301</v>
      </c>
      <c r="K247" s="19">
        <f t="shared" si="2"/>
        <v>1</v>
      </c>
      <c r="L247" s="6" t="str">
        <f t="shared" si="3"/>
        <v>DS</v>
      </c>
    </row>
    <row r="248" ht="14.25" customHeight="1">
      <c r="A248" s="14" t="str">
        <f>Base_report!A247</f>
        <v>CAVALLY</v>
      </c>
      <c r="B248" s="14" t="str">
        <f>Base_report!B247</f>
        <v>DECEMBRE 2023</v>
      </c>
      <c r="C248" s="15" t="str">
        <f>Base_report!C247</f>
        <v>C5070</v>
      </c>
      <c r="D248" s="14" t="str">
        <f>TRIM(IF(ISNUMBER(FIND("PNSME",Base_report!D247,1)),SUBSTITUTE(Base_report!D247,"PNSME",""),IF(ISNUMBER(FIND("PHG",Base_report!D247,1)),SUBSTITUTE(Base_report!D247,"PHG",""),IF(ISNUMBER(FIND("PCS",Base_report!D247,1)),SUBSTITUTE(Base_report!D247,"PCS",""),IF(ISNUMBER(FIND("CMU",Base_report!D247,1)),SUBSTITUTE(Base_report!D247,"CMU",""),Base_report!D247)))))</f>
        <v>DISTRICT SANITAIRE TAI</v>
      </c>
      <c r="E248" s="14" t="str">
        <f>SUBSTITUTE(Base_report!E247,"-","/")</f>
        <v>PNLS/TESTS RAPIDES ET CONSOMMABLES</v>
      </c>
      <c r="F248" s="14" t="s">
        <v>788</v>
      </c>
      <c r="G248" s="16">
        <f>DATE(YEAR(SUBSTITUTE(LEFT(Base_report!F247,10),"-","/")),MONTH(SUBSTITUTE(LEFT(Base_report!F247,10),"-","/")),DAY(SUBSTITUTE(LEFT(Base_report!F247,10),"-","/")))</f>
        <v>45301</v>
      </c>
      <c r="H248" s="16">
        <f>DATE(YEAR(SUBSTITUTE(LEFT(Base_report!G247,10),"-","/")),MONTH(SUBSTITUTE(LEFT(Base_report!G247,10),"-","/")),DAY(SUBSTITUTE(LEFT(Base_report!G247,10),"-","/")))</f>
        <v>45301</v>
      </c>
      <c r="I248" s="17" t="str">
        <f t="shared" si="1"/>
        <v>OUI</v>
      </c>
      <c r="J248" s="18">
        <f>IF(L248="DS",DATE(RIGHT(B248,4),VLOOKUP(LEFT(B248,LEN(B248)-5),Feuil1!$E$3:$F$19,2,FALSE)+1,10),DATE(RIGHT(B248,4),VLOOKUP(LEFT(B248,LEN(B248)-5),Feuil1!$E$3:$F$19,2,FALSE)+1,7))</f>
        <v>45301</v>
      </c>
      <c r="K248" s="19">
        <f t="shared" si="2"/>
        <v>1</v>
      </c>
      <c r="L248" s="6" t="str">
        <f t="shared" si="3"/>
        <v>DS</v>
      </c>
    </row>
    <row r="249" ht="14.25" customHeight="1">
      <c r="A249" s="14" t="str">
        <f>Base_report!A248</f>
        <v>GOH</v>
      </c>
      <c r="B249" s="14" t="str">
        <f>Base_report!B248</f>
        <v>DECEMBRE 2023</v>
      </c>
      <c r="C249" s="15" t="str">
        <f>Base_report!C248</f>
        <v>C2029</v>
      </c>
      <c r="D249" s="14" t="str">
        <f>TRIM(IF(ISNUMBER(FIND("PNSME",Base_report!D248,1)),SUBSTITUTE(Base_report!D248,"PNSME",""),IF(ISNUMBER(FIND("PHG",Base_report!D248,1)),SUBSTITUTE(Base_report!D248,"PHG",""),IF(ISNUMBER(FIND("PCS",Base_report!D248,1)),SUBSTITUTE(Base_report!D248,"PCS",""),IF(ISNUMBER(FIND("CMU",Base_report!D248,1)),SUBSTITUTE(Base_report!D248,"CMU",""),Base_report!D248)))))</f>
        <v>DISTRICT SANITAIRE GAGNOA</v>
      </c>
      <c r="E249" s="14" t="str">
        <f>SUBSTITUTE(Base_report!E248,"-","/")</f>
        <v>PNLS/PRODUITS DE LABORATOIRE</v>
      </c>
      <c r="F249" s="14" t="s">
        <v>788</v>
      </c>
      <c r="G249" s="16">
        <f>DATE(YEAR(SUBSTITUTE(LEFT(Base_report!F248,10),"-","/")),MONTH(SUBSTITUTE(LEFT(Base_report!F248,10),"-","/")),DAY(SUBSTITUTE(LEFT(Base_report!F248,10),"-","/")))</f>
        <v>45301</v>
      </c>
      <c r="H249" s="16">
        <f>DATE(YEAR(SUBSTITUTE(LEFT(Base_report!G248,10),"-","/")),MONTH(SUBSTITUTE(LEFT(Base_report!G248,10),"-","/")),DAY(SUBSTITUTE(LEFT(Base_report!G248,10),"-","/")))</f>
        <v>45301</v>
      </c>
      <c r="I249" s="17" t="str">
        <f t="shared" si="1"/>
        <v>OUI</v>
      </c>
      <c r="J249" s="18">
        <f>IF(L249="DS",DATE(RIGHT(B249,4),VLOOKUP(LEFT(B249,LEN(B249)-5),Feuil1!$E$3:$F$19,2,FALSE)+1,10),DATE(RIGHT(B249,4),VLOOKUP(LEFT(B249,LEN(B249)-5),Feuil1!$E$3:$F$19,2,FALSE)+1,7))</f>
        <v>45301</v>
      </c>
      <c r="K249" s="19">
        <f t="shared" si="2"/>
        <v>1</v>
      </c>
      <c r="L249" s="6" t="str">
        <f t="shared" si="3"/>
        <v>DS</v>
      </c>
    </row>
    <row r="250" ht="14.25" customHeight="1">
      <c r="A250" s="14" t="str">
        <f>Base_report!A249</f>
        <v>ABIDJAN 2</v>
      </c>
      <c r="B250" s="14" t="str">
        <f>Base_report!B249</f>
        <v>DECEMBRE 2023</v>
      </c>
      <c r="C250" s="15" t="str">
        <f>Base_report!C249</f>
        <v>C1676</v>
      </c>
      <c r="D250" s="14" t="str">
        <f>TRIM(IF(ISNUMBER(FIND("PNSME",Base_report!D249,1)),SUBSTITUTE(Base_report!D249,"PNSME",""),IF(ISNUMBER(FIND("PHG",Base_report!D249,1)),SUBSTITUTE(Base_report!D249,"PHG",""),IF(ISNUMBER(FIND("PCS",Base_report!D249,1)),SUBSTITUTE(Base_report!D249,"PCS",""),IF(ISNUMBER(FIND("CMU",Base_report!D249,1)),SUBSTITUTE(Base_report!D249,"CMU",""),Base_report!D249)))))</f>
        <v>DISTRICT SANITAIRE TREICHVILLE MARCORY</v>
      </c>
      <c r="E250" s="14" t="str">
        <f>SUBSTITUTE(Base_report!E249,"-","/")</f>
        <v>PNLS/ANTIRETROVIRAUX ET IO</v>
      </c>
      <c r="F250" s="14" t="s">
        <v>788</v>
      </c>
      <c r="G250" s="16">
        <f>DATE(YEAR(SUBSTITUTE(LEFT(Base_report!F249,10),"-","/")),MONTH(SUBSTITUTE(LEFT(Base_report!F249,10),"-","/")),DAY(SUBSTITUTE(LEFT(Base_report!F249,10),"-","/")))</f>
        <v>45301</v>
      </c>
      <c r="H250" s="16">
        <f>DATE(YEAR(SUBSTITUTE(LEFT(Base_report!G249,10),"-","/")),MONTH(SUBSTITUTE(LEFT(Base_report!G249,10),"-","/")),DAY(SUBSTITUTE(LEFT(Base_report!G249,10),"-","/")))</f>
        <v>45301</v>
      </c>
      <c r="I250" s="17" t="str">
        <f t="shared" si="1"/>
        <v>OUI</v>
      </c>
      <c r="J250" s="18">
        <f>IF(L250="DS",DATE(RIGHT(B250,4),VLOOKUP(LEFT(B250,LEN(B250)-5),Feuil1!$E$3:$F$19,2,FALSE)+1,10),DATE(RIGHT(B250,4),VLOOKUP(LEFT(B250,LEN(B250)-5),Feuil1!$E$3:$F$19,2,FALSE)+1,7))</f>
        <v>45301</v>
      </c>
      <c r="K250" s="19">
        <f t="shared" si="2"/>
        <v>1</v>
      </c>
      <c r="L250" s="6" t="str">
        <f t="shared" si="3"/>
        <v>DS</v>
      </c>
    </row>
    <row r="251" ht="14.25" customHeight="1">
      <c r="A251" s="14" t="str">
        <f>Base_report!A250</f>
        <v>TONKPI</v>
      </c>
      <c r="B251" s="14" t="str">
        <f>Base_report!B250</f>
        <v>DECEMBRE 2023</v>
      </c>
      <c r="C251" s="15" t="str">
        <f>Base_report!C250</f>
        <v>C5009</v>
      </c>
      <c r="D251" s="14" t="str">
        <f>TRIM(IF(ISNUMBER(FIND("PNSME",Base_report!D250,1)),SUBSTITUTE(Base_report!D250,"PNSME",""),IF(ISNUMBER(FIND("PHG",Base_report!D250,1)),SUBSTITUTE(Base_report!D250,"PHG",""),IF(ISNUMBER(FIND("PCS",Base_report!D250,1)),SUBSTITUTE(Base_report!D250,"PCS",""),IF(ISNUMBER(FIND("CMU",Base_report!D250,1)),SUBSTITUTE(Base_report!D250,"CMU",""),Base_report!D250)))))</f>
        <v>DISTRICT SANITAIRE DANANE</v>
      </c>
      <c r="E251" s="14" t="str">
        <f>SUBSTITUTE(Base_report!E250,"-","/")</f>
        <v>PNN/MEDICAMENTS ET INTRANTS</v>
      </c>
      <c r="F251" s="14" t="s">
        <v>788</v>
      </c>
      <c r="G251" s="16">
        <f>DATE(YEAR(SUBSTITUTE(LEFT(Base_report!F250,10),"-","/")),MONTH(SUBSTITUTE(LEFT(Base_report!F250,10),"-","/")),DAY(SUBSTITUTE(LEFT(Base_report!F250,10),"-","/")))</f>
        <v>45301</v>
      </c>
      <c r="H251" s="16">
        <f>DATE(YEAR(SUBSTITUTE(LEFT(Base_report!G250,10),"-","/")),MONTH(SUBSTITUTE(LEFT(Base_report!G250,10),"-","/")),DAY(SUBSTITUTE(LEFT(Base_report!G250,10),"-","/")))</f>
        <v>45301</v>
      </c>
      <c r="I251" s="17" t="str">
        <f t="shared" si="1"/>
        <v>OUI</v>
      </c>
      <c r="J251" s="18">
        <f>IF(L251="DS",DATE(RIGHT(B251,4),VLOOKUP(LEFT(B251,LEN(B251)-5),Feuil1!$E$3:$F$19,2,FALSE)+1,10),DATE(RIGHT(B251,4),VLOOKUP(LEFT(B251,LEN(B251)-5),Feuil1!$E$3:$F$19,2,FALSE)+1,7))</f>
        <v>45301</v>
      </c>
      <c r="K251" s="19">
        <f t="shared" si="2"/>
        <v>1</v>
      </c>
      <c r="L251" s="6" t="str">
        <f t="shared" si="3"/>
        <v>DS</v>
      </c>
    </row>
    <row r="252" ht="14.25" customHeight="1">
      <c r="A252" s="14" t="str">
        <f>Base_report!A251</f>
        <v>GBEKE</v>
      </c>
      <c r="B252" s="14" t="str">
        <f>Base_report!B251</f>
        <v>DECEMBRE 2023</v>
      </c>
      <c r="C252" s="15" t="str">
        <f>Base_report!C251</f>
        <v>C2222</v>
      </c>
      <c r="D252" s="14" t="str">
        <f>TRIM(IF(ISNUMBER(FIND("PNSME",Base_report!D251,1)),SUBSTITUTE(Base_report!D251,"PNSME",""),IF(ISNUMBER(FIND("PHG",Base_report!D251,1)),SUBSTITUTE(Base_report!D251,"PHG",""),IF(ISNUMBER(FIND("PCS",Base_report!D251,1)),SUBSTITUTE(Base_report!D251,"PCS",""),IF(ISNUMBER(FIND("CMU",Base_report!D251,1)),SUBSTITUTE(Base_report!D251,"CMU",""),Base_report!D251)))))</f>
        <v>DISTRICT SANITAIRE BOTRO</v>
      </c>
      <c r="E252" s="14" t="str">
        <f>SUBSTITUTE(Base_report!E251,"-","/")</f>
        <v>PNLS/PRODUITS DE LABORATOIRE</v>
      </c>
      <c r="F252" s="14" t="s">
        <v>788</v>
      </c>
      <c r="G252" s="16">
        <f>DATE(YEAR(SUBSTITUTE(LEFT(Base_report!F251,10),"-","/")),MONTH(SUBSTITUTE(LEFT(Base_report!F251,10),"-","/")),DAY(SUBSTITUTE(LEFT(Base_report!F251,10),"-","/")))</f>
        <v>45301</v>
      </c>
      <c r="H252" s="16">
        <f>DATE(YEAR(SUBSTITUTE(LEFT(Base_report!G251,10),"-","/")),MONTH(SUBSTITUTE(LEFT(Base_report!G251,10),"-","/")),DAY(SUBSTITUTE(LEFT(Base_report!G251,10),"-","/")))</f>
        <v>45301</v>
      </c>
      <c r="I252" s="17" t="str">
        <f t="shared" si="1"/>
        <v>OUI</v>
      </c>
      <c r="J252" s="18">
        <f>IF(L252="DS",DATE(RIGHT(B252,4),VLOOKUP(LEFT(B252,LEN(B252)-5),Feuil1!$E$3:$F$19,2,FALSE)+1,10),DATE(RIGHT(B252,4),VLOOKUP(LEFT(B252,LEN(B252)-5),Feuil1!$E$3:$F$19,2,FALSE)+1,7))</f>
        <v>45301</v>
      </c>
      <c r="K252" s="19">
        <f t="shared" si="2"/>
        <v>1</v>
      </c>
      <c r="L252" s="6" t="str">
        <f t="shared" si="3"/>
        <v>DS</v>
      </c>
    </row>
    <row r="253" ht="14.25" customHeight="1">
      <c r="A253" s="14" t="str">
        <f>Base_report!A252</f>
        <v>TONKPI</v>
      </c>
      <c r="B253" s="14" t="str">
        <f>Base_report!B252</f>
        <v>DECEMBRE 2023</v>
      </c>
      <c r="C253" s="15" t="str">
        <f>Base_report!C252</f>
        <v>C5009</v>
      </c>
      <c r="D253" s="14" t="str">
        <f>TRIM(IF(ISNUMBER(FIND("PNSME",Base_report!D252,1)),SUBSTITUTE(Base_report!D252,"PNSME",""),IF(ISNUMBER(FIND("PHG",Base_report!D252,1)),SUBSTITUTE(Base_report!D252,"PHG",""),IF(ISNUMBER(FIND("PCS",Base_report!D252,1)),SUBSTITUTE(Base_report!D252,"PCS",""),IF(ISNUMBER(FIND("CMU",Base_report!D252,1)),SUBSTITUTE(Base_report!D252,"CMU",""),Base_report!D252)))))</f>
        <v>DISTRICT SANITAIRE DANANE</v>
      </c>
      <c r="E253" s="14" t="str">
        <f>SUBSTITUTE(Base_report!E252,"-","/")</f>
        <v>PNSME/MEDICAMENTS ET INTRANTS</v>
      </c>
      <c r="F253" s="14" t="s">
        <v>788</v>
      </c>
      <c r="G253" s="16">
        <f>DATE(YEAR(SUBSTITUTE(LEFT(Base_report!F252,10),"-","/")),MONTH(SUBSTITUTE(LEFT(Base_report!F252,10),"-","/")),DAY(SUBSTITUTE(LEFT(Base_report!F252,10),"-","/")))</f>
        <v>45301</v>
      </c>
      <c r="H253" s="16">
        <f>DATE(YEAR(SUBSTITUTE(LEFT(Base_report!G252,10),"-","/")),MONTH(SUBSTITUTE(LEFT(Base_report!G252,10),"-","/")),DAY(SUBSTITUTE(LEFT(Base_report!G252,10),"-","/")))</f>
        <v>45301</v>
      </c>
      <c r="I253" s="17" t="str">
        <f t="shared" si="1"/>
        <v>OUI</v>
      </c>
      <c r="J253" s="18">
        <f>IF(L253="DS",DATE(RIGHT(B253,4),VLOOKUP(LEFT(B253,LEN(B253)-5),Feuil1!$E$3:$F$19,2,FALSE)+1,10),DATE(RIGHT(B253,4),VLOOKUP(LEFT(B253,LEN(B253)-5),Feuil1!$E$3:$F$19,2,FALSE)+1,7))</f>
        <v>45301</v>
      </c>
      <c r="K253" s="19">
        <f t="shared" si="2"/>
        <v>1</v>
      </c>
      <c r="L253" s="6" t="str">
        <f t="shared" si="3"/>
        <v>DS</v>
      </c>
    </row>
    <row r="254" ht="14.25" customHeight="1">
      <c r="A254" s="14" t="str">
        <f>Base_report!A253</f>
        <v>CAVALLY</v>
      </c>
      <c r="B254" s="14" t="str">
        <f>Base_report!B253</f>
        <v>DECEMBRE 2023</v>
      </c>
      <c r="C254" s="15" t="str">
        <f>Base_report!C253</f>
        <v>C5070</v>
      </c>
      <c r="D254" s="14" t="str">
        <f>TRIM(IF(ISNUMBER(FIND("PNSME",Base_report!D253,1)),SUBSTITUTE(Base_report!D253,"PNSME",""),IF(ISNUMBER(FIND("PHG",Base_report!D253,1)),SUBSTITUTE(Base_report!D253,"PHG",""),IF(ISNUMBER(FIND("PCS",Base_report!D253,1)),SUBSTITUTE(Base_report!D253,"PCS",""),IF(ISNUMBER(FIND("CMU",Base_report!D253,1)),SUBSTITUTE(Base_report!D253,"CMU",""),Base_report!D253)))))</f>
        <v>DISTRICT SANITAIRE TAI</v>
      </c>
      <c r="E254" s="14" t="str">
        <f>SUBSTITUTE(Base_report!E253,"-","/")</f>
        <v>PNN/MEDICAMENTS ET INTRANTS</v>
      </c>
      <c r="F254" s="14" t="s">
        <v>788</v>
      </c>
      <c r="G254" s="16">
        <f>DATE(YEAR(SUBSTITUTE(LEFT(Base_report!F253,10),"-","/")),MONTH(SUBSTITUTE(LEFT(Base_report!F253,10),"-","/")),DAY(SUBSTITUTE(LEFT(Base_report!F253,10),"-","/")))</f>
        <v>45301</v>
      </c>
      <c r="H254" s="16">
        <f>DATE(YEAR(SUBSTITUTE(LEFT(Base_report!G253,10),"-","/")),MONTH(SUBSTITUTE(LEFT(Base_report!G253,10),"-","/")),DAY(SUBSTITUTE(LEFT(Base_report!G253,10),"-","/")))</f>
        <v>45301</v>
      </c>
      <c r="I254" s="17" t="str">
        <f t="shared" si="1"/>
        <v>OUI</v>
      </c>
      <c r="J254" s="18">
        <f>IF(L254="DS",DATE(RIGHT(B254,4),VLOOKUP(LEFT(B254,LEN(B254)-5),Feuil1!$E$3:$F$19,2,FALSE)+1,10),DATE(RIGHT(B254,4),VLOOKUP(LEFT(B254,LEN(B254)-5),Feuil1!$E$3:$F$19,2,FALSE)+1,7))</f>
        <v>45301</v>
      </c>
      <c r="K254" s="19">
        <f t="shared" si="2"/>
        <v>1</v>
      </c>
      <c r="L254" s="6" t="str">
        <f t="shared" si="3"/>
        <v>DS</v>
      </c>
    </row>
    <row r="255" ht="14.25" customHeight="1">
      <c r="A255" s="14" t="str">
        <f>Base_report!A254</f>
        <v>SAN PEDRO</v>
      </c>
      <c r="B255" s="14" t="str">
        <f>Base_report!B254</f>
        <v>DECEMBRE 2023</v>
      </c>
      <c r="C255" s="15" t="str">
        <f>Base_report!C254</f>
        <v>C2035</v>
      </c>
      <c r="D255" s="14" t="str">
        <f>TRIM(IF(ISNUMBER(FIND("PNSME",Base_report!D254,1)),SUBSTITUTE(Base_report!D254,"PNSME",""),IF(ISNUMBER(FIND("PHG",Base_report!D254,1)),SUBSTITUTE(Base_report!D254,"PHG",""),IF(ISNUMBER(FIND("PCS",Base_report!D254,1)),SUBSTITUTE(Base_report!D254,"PCS",""),IF(ISNUMBER(FIND("CMU",Base_report!D254,1)),SUBSTITUTE(Base_report!D254,"CMU",""),Base_report!D254)))))</f>
        <v>DISTRICT SANITAIRE SAN-PEDRO</v>
      </c>
      <c r="E255" s="14" t="str">
        <f>SUBSTITUTE(Base_report!E254,"-","/")</f>
        <v>PNN/MEDICAMENTS ET INTRANTS</v>
      </c>
      <c r="F255" s="14" t="s">
        <v>788</v>
      </c>
      <c r="G255" s="16">
        <f>DATE(YEAR(SUBSTITUTE(LEFT(Base_report!F254,10),"-","/")),MONTH(SUBSTITUTE(LEFT(Base_report!F254,10),"-","/")),DAY(SUBSTITUTE(LEFT(Base_report!F254,10),"-","/")))</f>
        <v>45301</v>
      </c>
      <c r="H255" s="16">
        <f>DATE(YEAR(SUBSTITUTE(LEFT(Base_report!G254,10),"-","/")),MONTH(SUBSTITUTE(LEFT(Base_report!G254,10),"-","/")),DAY(SUBSTITUTE(LEFT(Base_report!G254,10),"-","/")))</f>
        <v>45301</v>
      </c>
      <c r="I255" s="17" t="str">
        <f t="shared" si="1"/>
        <v>OUI</v>
      </c>
      <c r="J255" s="18">
        <f>IF(L255="DS",DATE(RIGHT(B255,4),VLOOKUP(LEFT(B255,LEN(B255)-5),Feuil1!$E$3:$F$19,2,FALSE)+1,10),DATE(RIGHT(B255,4),VLOOKUP(LEFT(B255,LEN(B255)-5),Feuil1!$E$3:$F$19,2,FALSE)+1,7))</f>
        <v>45301</v>
      </c>
      <c r="K255" s="19">
        <f t="shared" si="2"/>
        <v>1</v>
      </c>
      <c r="L255" s="6" t="str">
        <f t="shared" si="3"/>
        <v>DS</v>
      </c>
    </row>
    <row r="256" ht="14.25" customHeight="1">
      <c r="A256" s="14" t="str">
        <f>Base_report!A255</f>
        <v>SUD-COMOE</v>
      </c>
      <c r="B256" s="14" t="str">
        <f>Base_report!B255</f>
        <v>DECEMBRE 2023</v>
      </c>
      <c r="C256" s="15" t="str">
        <f>Base_report!C255</f>
        <v>C1043</v>
      </c>
      <c r="D256" s="14" t="str">
        <f>TRIM(IF(ISNUMBER(FIND("PNSME",Base_report!D255,1)),SUBSTITUTE(Base_report!D255,"PNSME",""),IF(ISNUMBER(FIND("PHG",Base_report!D255,1)),SUBSTITUTE(Base_report!D255,"PHG",""),IF(ISNUMBER(FIND("PCS",Base_report!D255,1)),SUBSTITUTE(Base_report!D255,"PCS",""),IF(ISNUMBER(FIND("CMU",Base_report!D255,1)),SUBSTITUTE(Base_report!D255,"CMU",""),Base_report!D255)))))</f>
        <v>DISTRICT SANITAIRE ABOISSO</v>
      </c>
      <c r="E256" s="14" t="str">
        <f>SUBSTITUTE(Base_report!E255,"-","/")</f>
        <v>PNLS/ANTIRETROVIRAUX ET IO</v>
      </c>
      <c r="F256" s="14" t="s">
        <v>788</v>
      </c>
      <c r="G256" s="16">
        <f>DATE(YEAR(SUBSTITUTE(LEFT(Base_report!F255,10),"-","/")),MONTH(SUBSTITUTE(LEFT(Base_report!F255,10),"-","/")),DAY(SUBSTITUTE(LEFT(Base_report!F255,10),"-","/")))</f>
        <v>45302</v>
      </c>
      <c r="H256" s="16">
        <f>DATE(YEAR(SUBSTITUTE(LEFT(Base_report!G255,10),"-","/")),MONTH(SUBSTITUTE(LEFT(Base_report!G255,10),"-","/")),DAY(SUBSTITUTE(LEFT(Base_report!G255,10),"-","/")))</f>
        <v>45302</v>
      </c>
      <c r="I256" s="17" t="str">
        <f t="shared" si="1"/>
        <v>OUI</v>
      </c>
      <c r="J256" s="18">
        <f>IF(L256="DS",DATE(RIGHT(B256,4),VLOOKUP(LEFT(B256,LEN(B256)-5),Feuil1!$E$3:$F$19,2,FALSE)+1,10),DATE(RIGHT(B256,4),VLOOKUP(LEFT(B256,LEN(B256)-5),Feuil1!$E$3:$F$19,2,FALSE)+1,7))</f>
        <v>45301</v>
      </c>
      <c r="K256" s="19">
        <f t="shared" si="2"/>
        <v>0</v>
      </c>
      <c r="L256" s="6" t="str">
        <f t="shared" si="3"/>
        <v>DS</v>
      </c>
    </row>
    <row r="257" ht="14.25" customHeight="1">
      <c r="A257" s="14" t="str">
        <f>Base_report!A256</f>
        <v>GONTOUGO</v>
      </c>
      <c r="B257" s="14" t="str">
        <f>Base_report!B256</f>
        <v>DECEMBRE 2023</v>
      </c>
      <c r="C257" s="15" t="str">
        <f>Base_report!C256</f>
        <v>C4070</v>
      </c>
      <c r="D257" s="14" t="str">
        <f>TRIM(IF(ISNUMBER(FIND("PNSME",Base_report!D256,1)),SUBSTITUTE(Base_report!D256,"PNSME",""),IF(ISNUMBER(FIND("PHG",Base_report!D256,1)),SUBSTITUTE(Base_report!D256,"PHG",""),IF(ISNUMBER(FIND("PCS",Base_report!D256,1)),SUBSTITUTE(Base_report!D256,"PCS",""),IF(ISNUMBER(FIND("CMU",Base_report!D256,1)),SUBSTITUTE(Base_report!D256,"CMU",""),Base_report!D256)))))</f>
        <v>DISTRICT SANITAIRE KOUN FAO</v>
      </c>
      <c r="E257" s="14" t="str">
        <f>SUBSTITUTE(Base_report!E256,"-","/")</f>
        <v>PNLP/MEDICAMENTS ET INTRANTS</v>
      </c>
      <c r="F257" s="14" t="s">
        <v>788</v>
      </c>
      <c r="G257" s="16">
        <f>DATE(YEAR(SUBSTITUTE(LEFT(Base_report!F256,10),"-","/")),MONTH(SUBSTITUTE(LEFT(Base_report!F256,10),"-","/")),DAY(SUBSTITUTE(LEFT(Base_report!F256,10),"-","/")))</f>
        <v>45301</v>
      </c>
      <c r="H257" s="16">
        <f>DATE(YEAR(SUBSTITUTE(LEFT(Base_report!G256,10),"-","/")),MONTH(SUBSTITUTE(LEFT(Base_report!G256,10),"-","/")),DAY(SUBSTITUTE(LEFT(Base_report!G256,10),"-","/")))</f>
        <v>45301</v>
      </c>
      <c r="I257" s="17" t="str">
        <f t="shared" si="1"/>
        <v>OUI</v>
      </c>
      <c r="J257" s="18">
        <f>IF(L257="DS",DATE(RIGHT(B257,4),VLOOKUP(LEFT(B257,LEN(B257)-5),Feuil1!$E$3:$F$19,2,FALSE)+1,10),DATE(RIGHT(B257,4),VLOOKUP(LEFT(B257,LEN(B257)-5),Feuil1!$E$3:$F$19,2,FALSE)+1,7))</f>
        <v>45301</v>
      </c>
      <c r="K257" s="19">
        <f t="shared" si="2"/>
        <v>1</v>
      </c>
      <c r="L257" s="6" t="str">
        <f t="shared" si="3"/>
        <v>DS</v>
      </c>
    </row>
    <row r="258" ht="14.25" customHeight="1">
      <c r="A258" s="14" t="str">
        <f>Base_report!A257</f>
        <v>SAN PEDRO</v>
      </c>
      <c r="B258" s="14" t="str">
        <f>Base_report!B257</f>
        <v>DECEMBRE 2023</v>
      </c>
      <c r="C258" s="15" t="str">
        <f>Base_report!C257</f>
        <v>C2035</v>
      </c>
      <c r="D258" s="14" t="str">
        <f>TRIM(IF(ISNUMBER(FIND("PNSME",Base_report!D257,1)),SUBSTITUTE(Base_report!D257,"PNSME",""),IF(ISNUMBER(FIND("PHG",Base_report!D257,1)),SUBSTITUTE(Base_report!D257,"PHG",""),IF(ISNUMBER(FIND("PCS",Base_report!D257,1)),SUBSTITUTE(Base_report!D257,"PCS",""),IF(ISNUMBER(FIND("CMU",Base_report!D257,1)),SUBSTITUTE(Base_report!D257,"CMU",""),Base_report!D257)))))</f>
        <v>DISTRICT SANITAIRE SAN-PEDRO</v>
      </c>
      <c r="E258" s="14" t="str">
        <f>SUBSTITUTE(Base_report!E257,"-","/")</f>
        <v>PNLS/PRODUITS DE LABORATOIRE</v>
      </c>
      <c r="F258" s="14" t="s">
        <v>788</v>
      </c>
      <c r="G258" s="16">
        <f>DATE(YEAR(SUBSTITUTE(LEFT(Base_report!F257,10),"-","/")),MONTH(SUBSTITUTE(LEFT(Base_report!F257,10),"-","/")),DAY(SUBSTITUTE(LEFT(Base_report!F257,10),"-","/")))</f>
        <v>45301</v>
      </c>
      <c r="H258" s="16">
        <f>DATE(YEAR(SUBSTITUTE(LEFT(Base_report!G257,10),"-","/")),MONTH(SUBSTITUTE(LEFT(Base_report!G257,10),"-","/")),DAY(SUBSTITUTE(LEFT(Base_report!G257,10),"-","/")))</f>
        <v>45301</v>
      </c>
      <c r="I258" s="17" t="str">
        <f t="shared" si="1"/>
        <v>OUI</v>
      </c>
      <c r="J258" s="18">
        <f>IF(L258="DS",DATE(RIGHT(B258,4),VLOOKUP(LEFT(B258,LEN(B258)-5),Feuil1!$E$3:$F$19,2,FALSE)+1,10),DATE(RIGHT(B258,4),VLOOKUP(LEFT(B258,LEN(B258)-5),Feuil1!$E$3:$F$19,2,FALSE)+1,7))</f>
        <v>45301</v>
      </c>
      <c r="K258" s="19">
        <f t="shared" si="2"/>
        <v>1</v>
      </c>
      <c r="L258" s="6" t="str">
        <f t="shared" si="3"/>
        <v>DS</v>
      </c>
    </row>
    <row r="259" ht="14.25" customHeight="1">
      <c r="A259" s="14" t="str">
        <f>Base_report!A258</f>
        <v>SUD-COMOE</v>
      </c>
      <c r="B259" s="14" t="str">
        <f>Base_report!B258</f>
        <v>DECEMBRE 2023</v>
      </c>
      <c r="C259" s="15" t="str">
        <f>Base_report!C258</f>
        <v>C1043</v>
      </c>
      <c r="D259" s="14" t="str">
        <f>TRIM(IF(ISNUMBER(FIND("PNSME",Base_report!D258,1)),SUBSTITUTE(Base_report!D258,"PNSME",""),IF(ISNUMBER(FIND("PHG",Base_report!D258,1)),SUBSTITUTE(Base_report!D258,"PHG",""),IF(ISNUMBER(FIND("PCS",Base_report!D258,1)),SUBSTITUTE(Base_report!D258,"PCS",""),IF(ISNUMBER(FIND("CMU",Base_report!D258,1)),SUBSTITUTE(Base_report!D258,"CMU",""),Base_report!D258)))))</f>
        <v>DISTRICT SANITAIRE ABOISSO</v>
      </c>
      <c r="E259" s="14" t="str">
        <f>SUBSTITUTE(Base_report!E258,"-","/")</f>
        <v>PNLP/MEDICAMENTS ET INTRANTS</v>
      </c>
      <c r="F259" s="14" t="s">
        <v>788</v>
      </c>
      <c r="G259" s="16">
        <f>DATE(YEAR(SUBSTITUTE(LEFT(Base_report!F258,10),"-","/")),MONTH(SUBSTITUTE(LEFT(Base_report!F258,10),"-","/")),DAY(SUBSTITUTE(LEFT(Base_report!F258,10),"-","/")))</f>
        <v>45301</v>
      </c>
      <c r="H259" s="16">
        <f>DATE(YEAR(SUBSTITUTE(LEFT(Base_report!G258,10),"-","/")),MONTH(SUBSTITUTE(LEFT(Base_report!G258,10),"-","/")),DAY(SUBSTITUTE(LEFT(Base_report!G258,10),"-","/")))</f>
        <v>45302</v>
      </c>
      <c r="I259" s="17" t="str">
        <f t="shared" si="1"/>
        <v>OUI</v>
      </c>
      <c r="J259" s="18">
        <f>IF(L259="DS",DATE(RIGHT(B259,4),VLOOKUP(LEFT(B259,LEN(B259)-5),Feuil1!$E$3:$F$19,2,FALSE)+1,10),DATE(RIGHT(B259,4),VLOOKUP(LEFT(B259,LEN(B259)-5),Feuil1!$E$3:$F$19,2,FALSE)+1,7))</f>
        <v>45301</v>
      </c>
      <c r="K259" s="19">
        <f t="shared" si="2"/>
        <v>0</v>
      </c>
      <c r="L259" s="6" t="str">
        <f t="shared" si="3"/>
        <v>DS</v>
      </c>
    </row>
    <row r="260" ht="14.25" customHeight="1">
      <c r="A260" s="14" t="str">
        <f>Base_report!A259</f>
        <v>SAN PEDRO</v>
      </c>
      <c r="B260" s="14" t="str">
        <f>Base_report!B259</f>
        <v>DECEMBRE 2023</v>
      </c>
      <c r="C260" s="15" t="str">
        <f>Base_report!C259</f>
        <v>C2035</v>
      </c>
      <c r="D260" s="14" t="str">
        <f>TRIM(IF(ISNUMBER(FIND("PNSME",Base_report!D259,1)),SUBSTITUTE(Base_report!D259,"PNSME",""),IF(ISNUMBER(FIND("PHG",Base_report!D259,1)),SUBSTITUTE(Base_report!D259,"PHG",""),IF(ISNUMBER(FIND("PCS",Base_report!D259,1)),SUBSTITUTE(Base_report!D259,"PCS",""),IF(ISNUMBER(FIND("CMU",Base_report!D259,1)),SUBSTITUTE(Base_report!D259,"CMU",""),Base_report!D259)))))</f>
        <v>DISTRICT SANITAIRE SAN-PEDRO</v>
      </c>
      <c r="E260" s="14" t="str">
        <f>SUBSTITUTE(Base_report!E259,"-","/")</f>
        <v>PNLS/CHARGES VIRALES</v>
      </c>
      <c r="F260" s="14" t="s">
        <v>788</v>
      </c>
      <c r="G260" s="16">
        <f>DATE(YEAR(SUBSTITUTE(LEFT(Base_report!F259,10),"-","/")),MONTH(SUBSTITUTE(LEFT(Base_report!F259,10),"-","/")),DAY(SUBSTITUTE(LEFT(Base_report!F259,10),"-","/")))</f>
        <v>45301</v>
      </c>
      <c r="H260" s="16">
        <f>DATE(YEAR(SUBSTITUTE(LEFT(Base_report!G259,10),"-","/")),MONTH(SUBSTITUTE(LEFT(Base_report!G259,10),"-","/")),DAY(SUBSTITUTE(LEFT(Base_report!G259,10),"-","/")))</f>
        <v>45301</v>
      </c>
      <c r="I260" s="17" t="str">
        <f t="shared" si="1"/>
        <v>OUI</v>
      </c>
      <c r="J260" s="18">
        <f>IF(L260="DS",DATE(RIGHT(B260,4),VLOOKUP(LEFT(B260,LEN(B260)-5),Feuil1!$E$3:$F$19,2,FALSE)+1,10),DATE(RIGHT(B260,4),VLOOKUP(LEFT(B260,LEN(B260)-5),Feuil1!$E$3:$F$19,2,FALSE)+1,7))</f>
        <v>45301</v>
      </c>
      <c r="K260" s="19">
        <f t="shared" si="2"/>
        <v>1</v>
      </c>
      <c r="L260" s="6" t="str">
        <f t="shared" si="3"/>
        <v>DS</v>
      </c>
    </row>
    <row r="261" ht="14.25" customHeight="1">
      <c r="A261" s="14" t="str">
        <f>Base_report!A260</f>
        <v>GUEMON</v>
      </c>
      <c r="B261" s="14" t="str">
        <f>Base_report!B260</f>
        <v>DECEMBRE 2023</v>
      </c>
      <c r="C261" s="15" t="str">
        <f>Base_report!C260</f>
        <v>C5010</v>
      </c>
      <c r="D261" s="14" t="str">
        <f>TRIM(IF(ISNUMBER(FIND("PNSME",Base_report!D260,1)),SUBSTITUTE(Base_report!D260,"PNSME",""),IF(ISNUMBER(FIND("PHG",Base_report!D260,1)),SUBSTITUTE(Base_report!D260,"PHG",""),IF(ISNUMBER(FIND("PCS",Base_report!D260,1)),SUBSTITUTE(Base_report!D260,"PCS",""),IF(ISNUMBER(FIND("CMU",Base_report!D260,1)),SUBSTITUTE(Base_report!D260,"CMU",""),Base_report!D260)))))</f>
        <v>DISTRICT SANITAIRE DUEKOUE</v>
      </c>
      <c r="E261" s="14" t="str">
        <f>SUBSTITUTE(Base_report!E260,"-","/")</f>
        <v>PNSME/MEDICAMENTS ET INTRANTS</v>
      </c>
      <c r="F261" s="14" t="s">
        <v>788</v>
      </c>
      <c r="G261" s="16">
        <f>DATE(YEAR(SUBSTITUTE(LEFT(Base_report!F260,10),"-","/")),MONTH(SUBSTITUTE(LEFT(Base_report!F260,10),"-","/")),DAY(SUBSTITUTE(LEFT(Base_report!F260,10),"-","/")))</f>
        <v>45301</v>
      </c>
      <c r="H261" s="16">
        <f>DATE(YEAR(SUBSTITUTE(LEFT(Base_report!G260,10),"-","/")),MONTH(SUBSTITUTE(LEFT(Base_report!G260,10),"-","/")),DAY(SUBSTITUTE(LEFT(Base_report!G260,10),"-","/")))</f>
        <v>45301</v>
      </c>
      <c r="I261" s="17" t="str">
        <f t="shared" si="1"/>
        <v>OUI</v>
      </c>
      <c r="J261" s="18">
        <f>IF(L261="DS",DATE(RIGHT(B261,4),VLOOKUP(LEFT(B261,LEN(B261)-5),Feuil1!$E$3:$F$19,2,FALSE)+1,10),DATE(RIGHT(B261,4),VLOOKUP(LEFT(B261,LEN(B261)-5),Feuil1!$E$3:$F$19,2,FALSE)+1,7))</f>
        <v>45301</v>
      </c>
      <c r="K261" s="19">
        <f t="shared" si="2"/>
        <v>1</v>
      </c>
      <c r="L261" s="6" t="str">
        <f t="shared" si="3"/>
        <v>DS</v>
      </c>
    </row>
    <row r="262" ht="14.25" customHeight="1">
      <c r="A262" s="14" t="str">
        <f>Base_report!A261</f>
        <v>BELIER</v>
      </c>
      <c r="B262" s="14" t="str">
        <f>Base_report!B261</f>
        <v>DECEMBRE 2023</v>
      </c>
      <c r="C262" s="15" t="str">
        <f>Base_report!C261</f>
        <v>C2038</v>
      </c>
      <c r="D262" s="14" t="str">
        <f>TRIM(IF(ISNUMBER(FIND("PNSME",Base_report!D261,1)),SUBSTITUTE(Base_report!D261,"PNSME",""),IF(ISNUMBER(FIND("PHG",Base_report!D261,1)),SUBSTITUTE(Base_report!D261,"PHG",""),IF(ISNUMBER(FIND("PCS",Base_report!D261,1)),SUBSTITUTE(Base_report!D261,"PCS",""),IF(ISNUMBER(FIND("CMU",Base_report!D261,1)),SUBSTITUTE(Base_report!D261,"CMU",""),Base_report!D261)))))</f>
        <v>DISTRICT SANITAIRE TOUMODI</v>
      </c>
      <c r="E262" s="14" t="str">
        <f>SUBSTITUTE(Base_report!E261,"-","/")</f>
        <v>PNN/MEDICAMENTS ET INTRANTS</v>
      </c>
      <c r="F262" s="14" t="s">
        <v>788</v>
      </c>
      <c r="G262" s="16">
        <f>DATE(YEAR(SUBSTITUTE(LEFT(Base_report!F261,10),"-","/")),MONTH(SUBSTITUTE(LEFT(Base_report!F261,10),"-","/")),DAY(SUBSTITUTE(LEFT(Base_report!F261,10),"-","/")))</f>
        <v>45301</v>
      </c>
      <c r="H262" s="16">
        <f>DATE(YEAR(SUBSTITUTE(LEFT(Base_report!G261,10),"-","/")),MONTH(SUBSTITUTE(LEFT(Base_report!G261,10),"-","/")),DAY(SUBSTITUTE(LEFT(Base_report!G261,10),"-","/")))</f>
        <v>45301</v>
      </c>
      <c r="I262" s="17" t="str">
        <f t="shared" si="1"/>
        <v>OUI</v>
      </c>
      <c r="J262" s="18">
        <f>IF(L262="DS",DATE(RIGHT(B262,4),VLOOKUP(LEFT(B262,LEN(B262)-5),Feuil1!$E$3:$F$19,2,FALSE)+1,10),DATE(RIGHT(B262,4),VLOOKUP(LEFT(B262,LEN(B262)-5),Feuil1!$E$3:$F$19,2,FALSE)+1,7))</f>
        <v>45301</v>
      </c>
      <c r="K262" s="19">
        <f t="shared" si="2"/>
        <v>1</v>
      </c>
      <c r="L262" s="6" t="str">
        <f t="shared" si="3"/>
        <v>DS</v>
      </c>
    </row>
    <row r="263" ht="14.25" customHeight="1">
      <c r="A263" s="14" t="str">
        <f>Base_report!A262</f>
        <v>PORO</v>
      </c>
      <c r="B263" s="14" t="str">
        <f>Base_report!B262</f>
        <v>DECEMBRE 2023</v>
      </c>
      <c r="C263" s="15" t="str">
        <f>Base_report!C262</f>
        <v>C2218</v>
      </c>
      <c r="D263" s="14" t="str">
        <f>TRIM(IF(ISNUMBER(FIND("PNSME",Base_report!D262,1)),SUBSTITUTE(Base_report!D262,"PNSME",""),IF(ISNUMBER(FIND("PHG",Base_report!D262,1)),SUBSTITUTE(Base_report!D262,"PHG",""),IF(ISNUMBER(FIND("PCS",Base_report!D262,1)),SUBSTITUTE(Base_report!D262,"PCS",""),IF(ISNUMBER(FIND("CMU",Base_report!D262,1)),SUBSTITUTE(Base_report!D262,"CMU",""),Base_report!D262)))))</f>
        <v>DISTRICT SANITAIRE KORHOGO 2</v>
      </c>
      <c r="E263" s="14" t="str">
        <f>SUBSTITUTE(Base_report!E262,"-","/")</f>
        <v>PNLS/PRODUITS DE LABORATOIRE</v>
      </c>
      <c r="F263" s="14" t="s">
        <v>788</v>
      </c>
      <c r="G263" s="16">
        <f>DATE(YEAR(SUBSTITUTE(LEFT(Base_report!F262,10),"-","/")),MONTH(SUBSTITUTE(LEFT(Base_report!F262,10),"-","/")),DAY(SUBSTITUTE(LEFT(Base_report!F262,10),"-","/")))</f>
        <v>45301</v>
      </c>
      <c r="H263" s="16">
        <f>DATE(YEAR(SUBSTITUTE(LEFT(Base_report!G262,10),"-","/")),MONTH(SUBSTITUTE(LEFT(Base_report!G262,10),"-","/")),DAY(SUBSTITUTE(LEFT(Base_report!G262,10),"-","/")))</f>
        <v>45301</v>
      </c>
      <c r="I263" s="17" t="str">
        <f t="shared" si="1"/>
        <v>OUI</v>
      </c>
      <c r="J263" s="18">
        <f>IF(L263="DS",DATE(RIGHT(B263,4),VLOOKUP(LEFT(B263,LEN(B263)-5),Feuil1!$E$3:$F$19,2,FALSE)+1,10),DATE(RIGHT(B263,4),VLOOKUP(LEFT(B263,LEN(B263)-5),Feuil1!$E$3:$F$19,2,FALSE)+1,7))</f>
        <v>45301</v>
      </c>
      <c r="K263" s="19">
        <f t="shared" si="2"/>
        <v>1</v>
      </c>
      <c r="L263" s="6" t="str">
        <f t="shared" si="3"/>
        <v>DS</v>
      </c>
    </row>
    <row r="264" ht="14.25" customHeight="1">
      <c r="A264" s="14" t="str">
        <f>Base_report!A263</f>
        <v>AGNEBY-TIASSA</v>
      </c>
      <c r="B264" s="14" t="str">
        <f>Base_report!B263</f>
        <v>DECEMBRE 2023</v>
      </c>
      <c r="C264" s="15" t="str">
        <f>Base_report!C263</f>
        <v>C1045</v>
      </c>
      <c r="D264" s="14" t="str">
        <f>TRIM(IF(ISNUMBER(FIND("PNSME",Base_report!D263,1)),SUBSTITUTE(Base_report!D263,"PNSME",""),IF(ISNUMBER(FIND("PHG",Base_report!D263,1)),SUBSTITUTE(Base_report!D263,"PHG",""),IF(ISNUMBER(FIND("PCS",Base_report!D263,1)),SUBSTITUTE(Base_report!D263,"PCS",""),IF(ISNUMBER(FIND("CMU",Base_report!D263,1)),SUBSTITUTE(Base_report!D263,"CMU",""),Base_report!D263)))))</f>
        <v>DISTRICT SANITAIRE AGBOVILLE</v>
      </c>
      <c r="E264" s="14" t="str">
        <f>SUBSTITUTE(Base_report!E263,"-","/")</f>
        <v>PNN/MEDICAMENTS ET INTRANTS</v>
      </c>
      <c r="F264" s="14" t="s">
        <v>788</v>
      </c>
      <c r="G264" s="16">
        <f>DATE(YEAR(SUBSTITUTE(LEFT(Base_report!F263,10),"-","/")),MONTH(SUBSTITUTE(LEFT(Base_report!F263,10),"-","/")),DAY(SUBSTITUTE(LEFT(Base_report!F263,10),"-","/")))</f>
        <v>45301</v>
      </c>
      <c r="H264" s="16">
        <f>DATE(YEAR(SUBSTITUTE(LEFT(Base_report!G263,10),"-","/")),MONTH(SUBSTITUTE(LEFT(Base_report!G263,10),"-","/")),DAY(SUBSTITUTE(LEFT(Base_report!G263,10),"-","/")))</f>
        <v>45301</v>
      </c>
      <c r="I264" s="17" t="str">
        <f t="shared" si="1"/>
        <v>OUI</v>
      </c>
      <c r="J264" s="18">
        <f>IF(L264="DS",DATE(RIGHT(B264,4),VLOOKUP(LEFT(B264,LEN(B264)-5),Feuil1!$E$3:$F$19,2,FALSE)+1,10),DATE(RIGHT(B264,4),VLOOKUP(LEFT(B264,LEN(B264)-5),Feuil1!$E$3:$F$19,2,FALSE)+1,7))</f>
        <v>45301</v>
      </c>
      <c r="K264" s="19">
        <f t="shared" si="2"/>
        <v>1</v>
      </c>
      <c r="L264" s="6" t="str">
        <f t="shared" si="3"/>
        <v>DS</v>
      </c>
    </row>
    <row r="265" ht="14.25" customHeight="1">
      <c r="A265" s="14" t="str">
        <f>Base_report!A264</f>
        <v>SUD-COMOE</v>
      </c>
      <c r="B265" s="14" t="str">
        <f>Base_report!B264</f>
        <v>DECEMBRE 2023</v>
      </c>
      <c r="C265" s="15" t="str">
        <f>Base_report!C264</f>
        <v>C1043</v>
      </c>
      <c r="D265" s="14" t="str">
        <f>TRIM(IF(ISNUMBER(FIND("PNSME",Base_report!D264,1)),SUBSTITUTE(Base_report!D264,"PNSME",""),IF(ISNUMBER(FIND("PHG",Base_report!D264,1)),SUBSTITUTE(Base_report!D264,"PHG",""),IF(ISNUMBER(FIND("PCS",Base_report!D264,1)),SUBSTITUTE(Base_report!D264,"PCS",""),IF(ISNUMBER(FIND("CMU",Base_report!D264,1)),SUBSTITUTE(Base_report!D264,"CMU",""),Base_report!D264)))))</f>
        <v>DISTRICT SANITAIRE ABOISSO</v>
      </c>
      <c r="E265" s="14" t="str">
        <f>SUBSTITUTE(Base_report!E264,"-","/")</f>
        <v>PNN/MEDICAMENTS ET INTRANTS</v>
      </c>
      <c r="F265" s="14" t="s">
        <v>788</v>
      </c>
      <c r="G265" s="16">
        <f>DATE(YEAR(SUBSTITUTE(LEFT(Base_report!F264,10),"-","/")),MONTH(SUBSTITUTE(LEFT(Base_report!F264,10),"-","/")),DAY(SUBSTITUTE(LEFT(Base_report!F264,10),"-","/")))</f>
        <v>45301</v>
      </c>
      <c r="H265" s="16">
        <f>DATE(YEAR(SUBSTITUTE(LEFT(Base_report!G264,10),"-","/")),MONTH(SUBSTITUTE(LEFT(Base_report!G264,10),"-","/")),DAY(SUBSTITUTE(LEFT(Base_report!G264,10),"-","/")))</f>
        <v>45302</v>
      </c>
      <c r="I265" s="17" t="str">
        <f t="shared" si="1"/>
        <v>OUI</v>
      </c>
      <c r="J265" s="18">
        <f>IF(L265="DS",DATE(RIGHT(B265,4),VLOOKUP(LEFT(B265,LEN(B265)-5),Feuil1!$E$3:$F$19,2,FALSE)+1,10),DATE(RIGHT(B265,4),VLOOKUP(LEFT(B265,LEN(B265)-5),Feuil1!$E$3:$F$19,2,FALSE)+1,7))</f>
        <v>45301</v>
      </c>
      <c r="K265" s="19">
        <f t="shared" si="2"/>
        <v>0</v>
      </c>
      <c r="L265" s="6" t="str">
        <f t="shared" si="3"/>
        <v>DS</v>
      </c>
    </row>
    <row r="266" ht="14.25" customHeight="1">
      <c r="A266" s="14" t="str">
        <f>Base_report!A265</f>
        <v>GUEMON</v>
      </c>
      <c r="B266" s="14" t="str">
        <f>Base_report!B265</f>
        <v>DECEMBRE 2023</v>
      </c>
      <c r="C266" s="15" t="str">
        <f>Base_report!C265</f>
        <v>C5010</v>
      </c>
      <c r="D266" s="14" t="str">
        <f>TRIM(IF(ISNUMBER(FIND("PNSME",Base_report!D265,1)),SUBSTITUTE(Base_report!D265,"PNSME",""),IF(ISNUMBER(FIND("PHG",Base_report!D265,1)),SUBSTITUTE(Base_report!D265,"PHG",""),IF(ISNUMBER(FIND("PCS",Base_report!D265,1)),SUBSTITUTE(Base_report!D265,"PCS",""),IF(ISNUMBER(FIND("CMU",Base_report!D265,1)),SUBSTITUTE(Base_report!D265,"CMU",""),Base_report!D265)))))</f>
        <v>DISTRICT SANITAIRE DUEKOUE</v>
      </c>
      <c r="E266" s="14" t="str">
        <f>SUBSTITUTE(Base_report!E265,"-","/")</f>
        <v>PNN/MEDICAMENTS ET INTRANTS</v>
      </c>
      <c r="F266" s="14" t="s">
        <v>788</v>
      </c>
      <c r="G266" s="16">
        <f>DATE(YEAR(SUBSTITUTE(LEFT(Base_report!F265,10),"-","/")),MONTH(SUBSTITUTE(LEFT(Base_report!F265,10),"-","/")),DAY(SUBSTITUTE(LEFT(Base_report!F265,10),"-","/")))</f>
        <v>45302</v>
      </c>
      <c r="H266" s="16">
        <f>DATE(YEAR(SUBSTITUTE(LEFT(Base_report!G265,10),"-","/")),MONTH(SUBSTITUTE(LEFT(Base_report!G265,10),"-","/")),DAY(SUBSTITUTE(LEFT(Base_report!G265,10),"-","/")))</f>
        <v>45302</v>
      </c>
      <c r="I266" s="17" t="str">
        <f t="shared" si="1"/>
        <v>OUI</v>
      </c>
      <c r="J266" s="18">
        <f>IF(L266="DS",DATE(RIGHT(B266,4),VLOOKUP(LEFT(B266,LEN(B266)-5),Feuil1!$E$3:$F$19,2,FALSE)+1,10),DATE(RIGHT(B266,4),VLOOKUP(LEFT(B266,LEN(B266)-5),Feuil1!$E$3:$F$19,2,FALSE)+1,7))</f>
        <v>45301</v>
      </c>
      <c r="K266" s="19">
        <f t="shared" si="2"/>
        <v>0</v>
      </c>
      <c r="L266" s="6" t="str">
        <f t="shared" si="3"/>
        <v>DS</v>
      </c>
    </row>
    <row r="267" ht="14.25" customHeight="1">
      <c r="A267" s="14" t="str">
        <f>Base_report!A266</f>
        <v>GBOKLE</v>
      </c>
      <c r="B267" s="14" t="str">
        <f>Base_report!B266</f>
        <v>DECEMBRE 2023</v>
      </c>
      <c r="C267" s="15" t="str">
        <f>Base_report!C266</f>
        <v>C1096</v>
      </c>
      <c r="D267" s="14" t="str">
        <f>TRIM(IF(ISNUMBER(FIND("PNSME",Base_report!D266,1)),SUBSTITUTE(Base_report!D266,"PNSME",""),IF(ISNUMBER(FIND("PHG",Base_report!D266,1)),SUBSTITUTE(Base_report!D266,"PHG",""),IF(ISNUMBER(FIND("PCS",Base_report!D266,1)),SUBSTITUTE(Base_report!D266,"PCS",""),IF(ISNUMBER(FIND("CMU",Base_report!D266,1)),SUBSTITUTE(Base_report!D266,"CMU",""),Base_report!D266)))))</f>
        <v>DISTRICT SANITAIRE SASSANDRA</v>
      </c>
      <c r="E267" s="14" t="str">
        <f>SUBSTITUTE(Base_report!E266,"-","/")</f>
        <v>PNLS/PRODUITS DE LABORATOIRE</v>
      </c>
      <c r="F267" s="14" t="s">
        <v>788</v>
      </c>
      <c r="G267" s="16">
        <f>DATE(YEAR(SUBSTITUTE(LEFT(Base_report!F266,10),"-","/")),MONTH(SUBSTITUTE(LEFT(Base_report!F266,10),"-","/")),DAY(SUBSTITUTE(LEFT(Base_report!F266,10),"-","/")))</f>
        <v>45302</v>
      </c>
      <c r="H267" s="16">
        <f>DATE(YEAR(SUBSTITUTE(LEFT(Base_report!G266,10),"-","/")),MONTH(SUBSTITUTE(LEFT(Base_report!G266,10),"-","/")),DAY(SUBSTITUTE(LEFT(Base_report!G266,10),"-","/")))</f>
        <v>45302</v>
      </c>
      <c r="I267" s="17" t="str">
        <f t="shared" si="1"/>
        <v>OUI</v>
      </c>
      <c r="J267" s="18">
        <f>IF(L267="DS",DATE(RIGHT(B267,4),VLOOKUP(LEFT(B267,LEN(B267)-5),Feuil1!$E$3:$F$19,2,FALSE)+1,10),DATE(RIGHT(B267,4),VLOOKUP(LEFT(B267,LEN(B267)-5),Feuil1!$E$3:$F$19,2,FALSE)+1,7))</f>
        <v>45301</v>
      </c>
      <c r="K267" s="19">
        <f t="shared" si="2"/>
        <v>0</v>
      </c>
      <c r="L267" s="6" t="str">
        <f t="shared" si="3"/>
        <v>DS</v>
      </c>
    </row>
    <row r="268" ht="14.25" customHeight="1">
      <c r="A268" s="14" t="str">
        <f>Base_report!A267</f>
        <v>ABIDJAN 1</v>
      </c>
      <c r="B268" s="14" t="str">
        <f>Base_report!B267</f>
        <v>DECEMBRE 2023</v>
      </c>
      <c r="C268" s="15" t="str">
        <f>Base_report!C267</f>
        <v>C1397</v>
      </c>
      <c r="D268" s="14" t="str">
        <f>TRIM(IF(ISNUMBER(FIND("PNSME",Base_report!D267,1)),SUBSTITUTE(Base_report!D267,"PNSME",""),IF(ISNUMBER(FIND("PHG",Base_report!D267,1)),SUBSTITUTE(Base_report!D267,"PHG",""),IF(ISNUMBER(FIND("PCS",Base_report!D267,1)),SUBSTITUTE(Base_report!D267,"PCS",""),IF(ISNUMBER(FIND("CMU",Base_report!D267,1)),SUBSTITUTE(Base_report!D267,"CMU",""),Base_report!D267)))))</f>
        <v>DISTRICT SANITAIRE ABOBO OUEST</v>
      </c>
      <c r="E268" s="14" t="str">
        <f>SUBSTITUTE(Base_report!E267,"-","/")</f>
        <v>PNLP/MEDICAMENTS ET INTRANTS</v>
      </c>
      <c r="F268" s="14" t="s">
        <v>788</v>
      </c>
      <c r="G268" s="16">
        <f>DATE(YEAR(SUBSTITUTE(LEFT(Base_report!F267,10),"-","/")),MONTH(SUBSTITUTE(LEFT(Base_report!F267,10),"-","/")),DAY(SUBSTITUTE(LEFT(Base_report!F267,10),"-","/")))</f>
        <v>45302</v>
      </c>
      <c r="H268" s="16">
        <f>DATE(YEAR(SUBSTITUTE(LEFT(Base_report!G267,10),"-","/")),MONTH(SUBSTITUTE(LEFT(Base_report!G267,10),"-","/")),DAY(SUBSTITUTE(LEFT(Base_report!G267,10),"-","/")))</f>
        <v>45302</v>
      </c>
      <c r="I268" s="17" t="str">
        <f t="shared" si="1"/>
        <v>OUI</v>
      </c>
      <c r="J268" s="18">
        <f>IF(L268="DS",DATE(RIGHT(B268,4),VLOOKUP(LEFT(B268,LEN(B268)-5),Feuil1!$E$3:$F$19,2,FALSE)+1,10),DATE(RIGHT(B268,4),VLOOKUP(LEFT(B268,LEN(B268)-5),Feuil1!$E$3:$F$19,2,FALSE)+1,7))</f>
        <v>45301</v>
      </c>
      <c r="K268" s="19">
        <f t="shared" si="2"/>
        <v>0</v>
      </c>
      <c r="L268" s="6" t="str">
        <f t="shared" si="3"/>
        <v>DS</v>
      </c>
    </row>
    <row r="269" ht="14.25" customHeight="1">
      <c r="A269" s="14" t="str">
        <f>Base_report!A268</f>
        <v>ABIDJAN 1</v>
      </c>
      <c r="B269" s="14" t="str">
        <f>Base_report!B268</f>
        <v>DECEMBRE 2023</v>
      </c>
      <c r="C269" s="15" t="str">
        <f>Base_report!C268</f>
        <v>C1397</v>
      </c>
      <c r="D269" s="14" t="str">
        <f>TRIM(IF(ISNUMBER(FIND("PNSME",Base_report!D268,1)),SUBSTITUTE(Base_report!D268,"PNSME",""),IF(ISNUMBER(FIND("PHG",Base_report!D268,1)),SUBSTITUTE(Base_report!D268,"PHG",""),IF(ISNUMBER(FIND("PCS",Base_report!D268,1)),SUBSTITUTE(Base_report!D268,"PCS",""),IF(ISNUMBER(FIND("CMU",Base_report!D268,1)),SUBSTITUTE(Base_report!D268,"CMU",""),Base_report!D268)))))</f>
        <v>DISTRICT SANITAIRE ABOBO OUEST</v>
      </c>
      <c r="E269" s="14" t="str">
        <f>SUBSTITUTE(Base_report!E268,"-","/")</f>
        <v>PNLS/TESTS RAPIDES ET CONSOMMABLES</v>
      </c>
      <c r="F269" s="14" t="s">
        <v>788</v>
      </c>
      <c r="G269" s="16">
        <f>DATE(YEAR(SUBSTITUTE(LEFT(Base_report!F268,10),"-","/")),MONTH(SUBSTITUTE(LEFT(Base_report!F268,10),"-","/")),DAY(SUBSTITUTE(LEFT(Base_report!F268,10),"-","/")))</f>
        <v>45302</v>
      </c>
      <c r="H269" s="16">
        <f>DATE(YEAR(SUBSTITUTE(LEFT(Base_report!G268,10),"-","/")),MONTH(SUBSTITUTE(LEFT(Base_report!G268,10),"-","/")),DAY(SUBSTITUTE(LEFT(Base_report!G268,10),"-","/")))</f>
        <v>45302</v>
      </c>
      <c r="I269" s="17" t="str">
        <f t="shared" si="1"/>
        <v>OUI</v>
      </c>
      <c r="J269" s="18">
        <f>IF(L269="DS",DATE(RIGHT(B269,4),VLOOKUP(LEFT(B269,LEN(B269)-5),Feuil1!$E$3:$F$19,2,FALSE)+1,10),DATE(RIGHT(B269,4),VLOOKUP(LEFT(B269,LEN(B269)-5),Feuil1!$E$3:$F$19,2,FALSE)+1,7))</f>
        <v>45301</v>
      </c>
      <c r="K269" s="19">
        <f t="shared" si="2"/>
        <v>0</v>
      </c>
      <c r="L269" s="6" t="str">
        <f t="shared" si="3"/>
        <v>DS</v>
      </c>
    </row>
    <row r="270" ht="14.25" customHeight="1">
      <c r="A270" s="14" t="str">
        <f>Base_report!A269</f>
        <v>ABIDJAN 1</v>
      </c>
      <c r="B270" s="14" t="str">
        <f>Base_report!B269</f>
        <v>DECEMBRE 2023</v>
      </c>
      <c r="C270" s="15" t="str">
        <f>Base_report!C269</f>
        <v>C1397</v>
      </c>
      <c r="D270" s="14" t="str">
        <f>TRIM(IF(ISNUMBER(FIND("PNSME",Base_report!D269,1)),SUBSTITUTE(Base_report!D269,"PNSME",""),IF(ISNUMBER(FIND("PHG",Base_report!D269,1)),SUBSTITUTE(Base_report!D269,"PHG",""),IF(ISNUMBER(FIND("PCS",Base_report!D269,1)),SUBSTITUTE(Base_report!D269,"PCS",""),IF(ISNUMBER(FIND("CMU",Base_report!D269,1)),SUBSTITUTE(Base_report!D269,"CMU",""),Base_report!D269)))))</f>
        <v>DISTRICT SANITAIRE ABOBO OUEST</v>
      </c>
      <c r="E270" s="14" t="str">
        <f>SUBSTITUTE(Base_report!E269,"-","/")</f>
        <v>PNSME_GRATUITE:MEDICAMENTS ET INTRANTS</v>
      </c>
      <c r="F270" s="14" t="s">
        <v>788</v>
      </c>
      <c r="G270" s="16">
        <f>DATE(YEAR(SUBSTITUTE(LEFT(Base_report!F269,10),"-","/")),MONTH(SUBSTITUTE(LEFT(Base_report!F269,10),"-","/")),DAY(SUBSTITUTE(LEFT(Base_report!F269,10),"-","/")))</f>
        <v>45302</v>
      </c>
      <c r="H270" s="16">
        <f>DATE(YEAR(SUBSTITUTE(LEFT(Base_report!G269,10),"-","/")),MONTH(SUBSTITUTE(LEFT(Base_report!G269,10),"-","/")),DAY(SUBSTITUTE(LEFT(Base_report!G269,10),"-","/")))</f>
        <v>45302</v>
      </c>
      <c r="I270" s="17" t="str">
        <f t="shared" si="1"/>
        <v>OUI</v>
      </c>
      <c r="J270" s="18">
        <f>IF(L270="DS",DATE(RIGHT(B270,4),VLOOKUP(LEFT(B270,LEN(B270)-5),Feuil1!$E$3:$F$19,2,FALSE)+1,10),DATE(RIGHT(B270,4),VLOOKUP(LEFT(B270,LEN(B270)-5),Feuil1!$E$3:$F$19,2,FALSE)+1,7))</f>
        <v>45301</v>
      </c>
      <c r="K270" s="19">
        <f t="shared" si="2"/>
        <v>0</v>
      </c>
      <c r="L270" s="6" t="str">
        <f t="shared" si="3"/>
        <v>DS</v>
      </c>
    </row>
    <row r="271" ht="14.25" customHeight="1">
      <c r="A271" s="14" t="str">
        <f>Base_report!A270</f>
        <v>ABIDJAN 1</v>
      </c>
      <c r="B271" s="14" t="str">
        <f>Base_report!B270</f>
        <v>DECEMBRE 2023</v>
      </c>
      <c r="C271" s="15" t="str">
        <f>Base_report!C270</f>
        <v>C1397</v>
      </c>
      <c r="D271" s="14" t="str">
        <f>TRIM(IF(ISNUMBER(FIND("PNSME",Base_report!D270,1)),SUBSTITUTE(Base_report!D270,"PNSME",""),IF(ISNUMBER(FIND("PHG",Base_report!D270,1)),SUBSTITUTE(Base_report!D270,"PHG",""),IF(ISNUMBER(FIND("PCS",Base_report!D270,1)),SUBSTITUTE(Base_report!D270,"PCS",""),IF(ISNUMBER(FIND("CMU",Base_report!D270,1)),SUBSTITUTE(Base_report!D270,"CMU",""),Base_report!D270)))))</f>
        <v>DISTRICT SANITAIRE ABOBO OUEST</v>
      </c>
      <c r="E271" s="14" t="str">
        <f>SUBSTITUTE(Base_report!E270,"-","/")</f>
        <v>PNLS/ANTIRETROVIRAUX ET IO</v>
      </c>
      <c r="F271" s="14" t="s">
        <v>788</v>
      </c>
      <c r="G271" s="16">
        <f>DATE(YEAR(SUBSTITUTE(LEFT(Base_report!F270,10),"-","/")),MONTH(SUBSTITUTE(LEFT(Base_report!F270,10),"-","/")),DAY(SUBSTITUTE(LEFT(Base_report!F270,10),"-","/")))</f>
        <v>45302</v>
      </c>
      <c r="H271" s="16">
        <f>DATE(YEAR(SUBSTITUTE(LEFT(Base_report!G270,10),"-","/")),MONTH(SUBSTITUTE(LEFT(Base_report!G270,10),"-","/")),DAY(SUBSTITUTE(LEFT(Base_report!G270,10),"-","/")))</f>
        <v>45302</v>
      </c>
      <c r="I271" s="17" t="str">
        <f t="shared" si="1"/>
        <v>OUI</v>
      </c>
      <c r="J271" s="18">
        <f>IF(L271="DS",DATE(RIGHT(B271,4),VLOOKUP(LEFT(B271,LEN(B271)-5),Feuil1!$E$3:$F$19,2,FALSE)+1,10),DATE(RIGHT(B271,4),VLOOKUP(LEFT(B271,LEN(B271)-5),Feuil1!$E$3:$F$19,2,FALSE)+1,7))</f>
        <v>45301</v>
      </c>
      <c r="K271" s="19">
        <f t="shared" si="2"/>
        <v>0</v>
      </c>
      <c r="L271" s="6" t="str">
        <f t="shared" si="3"/>
        <v>DS</v>
      </c>
    </row>
    <row r="272" ht="14.25" customHeight="1">
      <c r="A272" s="14" t="str">
        <f>Base_report!A271</f>
        <v>ABIDJAN 1</v>
      </c>
      <c r="B272" s="14" t="str">
        <f>Base_report!B271</f>
        <v>DECEMBRE 2023</v>
      </c>
      <c r="C272" s="15" t="str">
        <f>Base_report!C271</f>
        <v>C1397</v>
      </c>
      <c r="D272" s="14" t="str">
        <f>TRIM(IF(ISNUMBER(FIND("PNSME",Base_report!D271,1)),SUBSTITUTE(Base_report!D271,"PNSME",""),IF(ISNUMBER(FIND("PHG",Base_report!D271,1)),SUBSTITUTE(Base_report!D271,"PHG",""),IF(ISNUMBER(FIND("PCS",Base_report!D271,1)),SUBSTITUTE(Base_report!D271,"PCS",""),IF(ISNUMBER(FIND("CMU",Base_report!D271,1)),SUBSTITUTE(Base_report!D271,"CMU",""),Base_report!D271)))))</f>
        <v>DISTRICT SANITAIRE ABOBO OUEST</v>
      </c>
      <c r="E272" s="14" t="str">
        <f>SUBSTITUTE(Base_report!E271,"-","/")</f>
        <v>PNN/MEDICAMENTS ET INTRANTS</v>
      </c>
      <c r="F272" s="14" t="s">
        <v>788</v>
      </c>
      <c r="G272" s="16">
        <f>DATE(YEAR(SUBSTITUTE(LEFT(Base_report!F271,10),"-","/")),MONTH(SUBSTITUTE(LEFT(Base_report!F271,10),"-","/")),DAY(SUBSTITUTE(LEFT(Base_report!F271,10),"-","/")))</f>
        <v>45302</v>
      </c>
      <c r="H272" s="16">
        <f>DATE(YEAR(SUBSTITUTE(LEFT(Base_report!G271,10),"-","/")),MONTH(SUBSTITUTE(LEFT(Base_report!G271,10),"-","/")),DAY(SUBSTITUTE(LEFT(Base_report!G271,10),"-","/")))</f>
        <v>45302</v>
      </c>
      <c r="I272" s="17" t="str">
        <f t="shared" si="1"/>
        <v>OUI</v>
      </c>
      <c r="J272" s="18">
        <f>IF(L272="DS",DATE(RIGHT(B272,4),VLOOKUP(LEFT(B272,LEN(B272)-5),Feuil1!$E$3:$F$19,2,FALSE)+1,10),DATE(RIGHT(B272,4),VLOOKUP(LEFT(B272,LEN(B272)-5),Feuil1!$E$3:$F$19,2,FALSE)+1,7))</f>
        <v>45301</v>
      </c>
      <c r="K272" s="19">
        <f t="shared" si="2"/>
        <v>0</v>
      </c>
      <c r="L272" s="6" t="str">
        <f t="shared" si="3"/>
        <v>DS</v>
      </c>
    </row>
    <row r="273" ht="14.25" customHeight="1">
      <c r="A273" s="14" t="str">
        <f>Base_report!A272</f>
        <v>ABIDJAN 1</v>
      </c>
      <c r="B273" s="14" t="str">
        <f>Base_report!B272</f>
        <v>DECEMBRE 2023</v>
      </c>
      <c r="C273" s="15" t="str">
        <f>Base_report!C272</f>
        <v>C1397</v>
      </c>
      <c r="D273" s="14" t="str">
        <f>TRIM(IF(ISNUMBER(FIND("PNSME",Base_report!D272,1)),SUBSTITUTE(Base_report!D272,"PNSME",""),IF(ISNUMBER(FIND("PHG",Base_report!D272,1)),SUBSTITUTE(Base_report!D272,"PHG",""),IF(ISNUMBER(FIND("PCS",Base_report!D272,1)),SUBSTITUTE(Base_report!D272,"PCS",""),IF(ISNUMBER(FIND("CMU",Base_report!D272,1)),SUBSTITUTE(Base_report!D272,"CMU",""),Base_report!D272)))))</f>
        <v>DISTRICT SANITAIRE ABOBO OUEST</v>
      </c>
      <c r="E273" s="14" t="str">
        <f>SUBSTITUTE(Base_report!E272,"-","/")</f>
        <v>PNLS/PRODUITS DE LABORATOIRE</v>
      </c>
      <c r="F273" s="14" t="s">
        <v>788</v>
      </c>
      <c r="G273" s="16">
        <f>DATE(YEAR(SUBSTITUTE(LEFT(Base_report!F272,10),"-","/")),MONTH(SUBSTITUTE(LEFT(Base_report!F272,10),"-","/")),DAY(SUBSTITUTE(LEFT(Base_report!F272,10),"-","/")))</f>
        <v>45302</v>
      </c>
      <c r="H273" s="16">
        <f>DATE(YEAR(SUBSTITUTE(LEFT(Base_report!G272,10),"-","/")),MONTH(SUBSTITUTE(LEFT(Base_report!G272,10),"-","/")),DAY(SUBSTITUTE(LEFT(Base_report!G272,10),"-","/")))</f>
        <v>45302</v>
      </c>
      <c r="I273" s="17" t="str">
        <f t="shared" si="1"/>
        <v>OUI</v>
      </c>
      <c r="J273" s="18">
        <f>IF(L273="DS",DATE(RIGHT(B273,4),VLOOKUP(LEFT(B273,LEN(B273)-5),Feuil1!$E$3:$F$19,2,FALSE)+1,10),DATE(RIGHT(B273,4),VLOOKUP(LEFT(B273,LEN(B273)-5),Feuil1!$E$3:$F$19,2,FALSE)+1,7))</f>
        <v>45301</v>
      </c>
      <c r="K273" s="19">
        <f t="shared" si="2"/>
        <v>0</v>
      </c>
      <c r="L273" s="6" t="str">
        <f t="shared" si="3"/>
        <v>DS</v>
      </c>
    </row>
    <row r="274" ht="14.25" customHeight="1">
      <c r="A274" s="14" t="str">
        <f>Base_report!A273</f>
        <v>GBEKE</v>
      </c>
      <c r="B274" s="14" t="str">
        <f>Base_report!B273</f>
        <v>DECEMBRE 2023</v>
      </c>
      <c r="C274" s="15" t="str">
        <f>Base_report!C273</f>
        <v>C2022</v>
      </c>
      <c r="D274" s="14" t="str">
        <f>TRIM(IF(ISNUMBER(FIND("PNSME",Base_report!D273,1)),SUBSTITUTE(Base_report!D273,"PNSME",""),IF(ISNUMBER(FIND("PHG",Base_report!D273,1)),SUBSTITUTE(Base_report!D273,"PHG",""),IF(ISNUMBER(FIND("PCS",Base_report!D273,1)),SUBSTITUTE(Base_report!D273,"PCS",""),IF(ISNUMBER(FIND("CMU",Base_report!D273,1)),SUBSTITUTE(Base_report!D273,"CMU",""),Base_report!D273)))))</f>
        <v>DISTRICT SANITAIRE BOUAKE EST</v>
      </c>
      <c r="E274" s="14" t="str">
        <f>SUBSTITUTE(Base_report!E273,"-","/")</f>
        <v>PNLP/MEDICAMENTS ET INTRANTS</v>
      </c>
      <c r="F274" s="14" t="s">
        <v>788</v>
      </c>
      <c r="G274" s="16">
        <f>DATE(YEAR(SUBSTITUTE(LEFT(Base_report!F273,10),"-","/")),MONTH(SUBSTITUTE(LEFT(Base_report!F273,10),"-","/")),DAY(SUBSTITUTE(LEFT(Base_report!F273,10),"-","/")))</f>
        <v>45300</v>
      </c>
      <c r="H274" s="16">
        <f>DATE(YEAR(SUBSTITUTE(LEFT(Base_report!G273,10),"-","/")),MONTH(SUBSTITUTE(LEFT(Base_report!G273,10),"-","/")),DAY(SUBSTITUTE(LEFT(Base_report!G273,10),"-","/")))</f>
        <v>45300</v>
      </c>
      <c r="I274" s="17" t="str">
        <f t="shared" si="1"/>
        <v>OUI</v>
      </c>
      <c r="J274" s="18">
        <f>IF(L274="DS",DATE(RIGHT(B274,4),VLOOKUP(LEFT(B274,LEN(B274)-5),Feuil1!$E$3:$F$19,2,FALSE)+1,10),DATE(RIGHT(B274,4),VLOOKUP(LEFT(B274,LEN(B274)-5),Feuil1!$E$3:$F$19,2,FALSE)+1,7))</f>
        <v>45301</v>
      </c>
      <c r="K274" s="19">
        <f t="shared" si="2"/>
        <v>1</v>
      </c>
      <c r="L274" s="6" t="str">
        <f t="shared" si="3"/>
        <v>DS</v>
      </c>
    </row>
    <row r="275" ht="14.25" customHeight="1">
      <c r="A275" s="14" t="str">
        <f>Base_report!A274</f>
        <v>ABIDJAN 2</v>
      </c>
      <c r="B275" s="14" t="str">
        <f>Base_report!B274</f>
        <v>DECEMBRE 2023</v>
      </c>
      <c r="C275" s="15" t="str">
        <f>Base_report!C274</f>
        <v>C1144</v>
      </c>
      <c r="D275" s="14" t="str">
        <f>TRIM(IF(ISNUMBER(FIND("PNSME",Base_report!D274,1)),SUBSTITUTE(Base_report!D274,"PNSME",""),IF(ISNUMBER(FIND("PHG",Base_report!D274,1)),SUBSTITUTE(Base_report!D274,"PHG",""),IF(ISNUMBER(FIND("PCS",Base_report!D274,1)),SUBSTITUTE(Base_report!D274,"PCS",""),IF(ISNUMBER(FIND("CMU",Base_report!D274,1)),SUBSTITUTE(Base_report!D274,"CMU",""),Base_report!D274)))))</f>
        <v>PMI COMBES-BINGERVILLE</v>
      </c>
      <c r="E275" s="14" t="str">
        <f>SUBSTITUTE(Base_report!E274,"-","/")</f>
        <v>PNLP/MEDICAMENTS ET INTRANTS</v>
      </c>
      <c r="F275" s="14" t="s">
        <v>788</v>
      </c>
      <c r="G275" s="16">
        <f>DATE(YEAR(SUBSTITUTE(LEFT(Base_report!F274,10),"-","/")),MONTH(SUBSTITUTE(LEFT(Base_report!F274,10),"-","/")),DAY(SUBSTITUTE(LEFT(Base_report!F274,10),"-","/")))</f>
        <v>45261</v>
      </c>
      <c r="H275" s="16">
        <f>DATE(YEAR(SUBSTITUTE(LEFT(Base_report!G274,10),"-","/")),MONTH(SUBSTITUTE(LEFT(Base_report!G274,10),"-","/")),DAY(SUBSTITUTE(LEFT(Base_report!G274,10),"-","/")))</f>
        <v>45261</v>
      </c>
      <c r="I275" s="17" t="str">
        <f t="shared" si="1"/>
        <v>OUI</v>
      </c>
      <c r="J275" s="18">
        <f>IF(L275="DS",DATE(RIGHT(B275,4),VLOOKUP(LEFT(B275,LEN(B275)-5),Feuil1!$E$3:$F$19,2,FALSE)+1,10),DATE(RIGHT(B275,4),VLOOKUP(LEFT(B275,LEN(B275)-5),Feuil1!$E$3:$F$19,2,FALSE)+1,7))</f>
        <v>45298</v>
      </c>
      <c r="K275" s="19">
        <f t="shared" si="2"/>
        <v>1</v>
      </c>
      <c r="L275" s="6" t="str">
        <f t="shared" si="3"/>
        <v>FS</v>
      </c>
    </row>
    <row r="276" ht="14.25" customHeight="1">
      <c r="A276" s="14" t="str">
        <f>Base_report!A275</f>
        <v>ABIDJAN 2</v>
      </c>
      <c r="B276" s="14" t="str">
        <f>Base_report!B275</f>
        <v>DECEMBRE 2023</v>
      </c>
      <c r="C276" s="15" t="str">
        <f>Base_report!C275</f>
        <v>C1144</v>
      </c>
      <c r="D276" s="14" t="str">
        <f>TRIM(IF(ISNUMBER(FIND("PNSME",Base_report!D275,1)),SUBSTITUTE(Base_report!D275,"PNSME",""),IF(ISNUMBER(FIND("PHG",Base_report!D275,1)),SUBSTITUTE(Base_report!D275,"PHG",""),IF(ISNUMBER(FIND("PCS",Base_report!D275,1)),SUBSTITUTE(Base_report!D275,"PCS",""),IF(ISNUMBER(FIND("CMU",Base_report!D275,1)),SUBSTITUTE(Base_report!D275,"CMU",""),Base_report!D275)))))</f>
        <v>PMI COMBES-BINGERVILLE</v>
      </c>
      <c r="E276" s="14" t="str">
        <f>SUBSTITUTE(Base_report!E275,"-","/")</f>
        <v>PNSME/MEDICAMENTS ET INTRANTS</v>
      </c>
      <c r="F276" s="14" t="s">
        <v>788</v>
      </c>
      <c r="G276" s="16">
        <f>DATE(YEAR(SUBSTITUTE(LEFT(Base_report!F275,10),"-","/")),MONTH(SUBSTITUTE(LEFT(Base_report!F275,10),"-","/")),DAY(SUBSTITUTE(LEFT(Base_report!F275,10),"-","/")))</f>
        <v>45261</v>
      </c>
      <c r="H276" s="16">
        <f>DATE(YEAR(SUBSTITUTE(LEFT(Base_report!G275,10),"-","/")),MONTH(SUBSTITUTE(LEFT(Base_report!G275,10),"-","/")),DAY(SUBSTITUTE(LEFT(Base_report!G275,10),"-","/")))</f>
        <v>45261</v>
      </c>
      <c r="I276" s="17" t="str">
        <f t="shared" si="1"/>
        <v>OUI</v>
      </c>
      <c r="J276" s="18">
        <f>IF(L276="DS",DATE(RIGHT(B276,4),VLOOKUP(LEFT(B276,LEN(B276)-5),Feuil1!$E$3:$F$19,2,FALSE)+1,10),DATE(RIGHT(B276,4),VLOOKUP(LEFT(B276,LEN(B276)-5),Feuil1!$E$3:$F$19,2,FALSE)+1,7))</f>
        <v>45298</v>
      </c>
      <c r="K276" s="19">
        <f t="shared" si="2"/>
        <v>1</v>
      </c>
      <c r="L276" s="6" t="str">
        <f t="shared" si="3"/>
        <v>FS</v>
      </c>
    </row>
    <row r="277" ht="14.25" customHeight="1">
      <c r="A277" s="14" t="str">
        <f>Base_report!A276</f>
        <v>ABIDJAN 1</v>
      </c>
      <c r="B277" s="14" t="str">
        <f>Base_report!B276</f>
        <v>DECEMBRE 2023</v>
      </c>
      <c r="C277" s="15" t="str">
        <f>Base_report!C276</f>
        <v>C1078</v>
      </c>
      <c r="D277" s="14" t="str">
        <f>TRIM(IF(ISNUMBER(FIND("PNSME",Base_report!D276,1)),SUBSTITUTE(Base_report!D276,"PNSME",""),IF(ISNUMBER(FIND("PHG",Base_report!D276,1)),SUBSTITUTE(Base_report!D276,"PHG",""),IF(ISNUMBER(FIND("PCS",Base_report!D276,1)),SUBSTITUTE(Base_report!D276,"PCS",""),IF(ISNUMBER(FIND("CMU",Base_report!D276,1)),SUBSTITUTE(Base_report!D276,"CMU",""),Base_report!D276)))))</f>
        <v>FSU COM YOPOUGON TOIT ROUGE</v>
      </c>
      <c r="E277" s="14" t="str">
        <f>SUBSTITUTE(Base_report!E276,"-","/")</f>
        <v>PNLP/MEDICAMENTS ET INTRANTS</v>
      </c>
      <c r="F277" s="14" t="s">
        <v>788</v>
      </c>
      <c r="G277" s="16">
        <f>DATE(YEAR(SUBSTITUTE(LEFT(Base_report!F276,10),"-","/")),MONTH(SUBSTITUTE(LEFT(Base_report!F276,10),"-","/")),DAY(SUBSTITUTE(LEFT(Base_report!F276,10),"-","/")))</f>
        <v>45290</v>
      </c>
      <c r="H277" s="16">
        <f>DATE(YEAR(SUBSTITUTE(LEFT(Base_report!G276,10),"-","/")),MONTH(SUBSTITUTE(LEFT(Base_report!G276,10),"-","/")),DAY(SUBSTITUTE(LEFT(Base_report!G276,10),"-","/")))</f>
        <v>45296</v>
      </c>
      <c r="I277" s="17" t="str">
        <f t="shared" si="1"/>
        <v>OUI</v>
      </c>
      <c r="J277" s="18">
        <f>IF(L277="DS",DATE(RIGHT(B277,4),VLOOKUP(LEFT(B277,LEN(B277)-5),Feuil1!$E$3:$F$19,2,FALSE)+1,10),DATE(RIGHT(B277,4),VLOOKUP(LEFT(B277,LEN(B277)-5),Feuil1!$E$3:$F$19,2,FALSE)+1,7))</f>
        <v>45298</v>
      </c>
      <c r="K277" s="19">
        <f t="shared" si="2"/>
        <v>1</v>
      </c>
      <c r="L277" s="6" t="str">
        <f t="shared" si="3"/>
        <v>FS</v>
      </c>
    </row>
    <row r="278" ht="14.25" customHeight="1">
      <c r="A278" s="14" t="str">
        <f>Base_report!A277</f>
        <v>ME</v>
      </c>
      <c r="B278" s="14" t="str">
        <f>Base_report!B277</f>
        <v>DECEMBRE 2023</v>
      </c>
      <c r="C278" s="15" t="str">
        <f>Base_report!C277</f>
        <v>C4090</v>
      </c>
      <c r="D278" s="14" t="str">
        <f>TRIM(IF(ISNUMBER(FIND("PNSME",Base_report!D277,1)),SUBSTITUTE(Base_report!D277,"PNSME",""),IF(ISNUMBER(FIND("PHG",Base_report!D277,1)),SUBSTITUTE(Base_report!D277,"PHG",""),IF(ISNUMBER(FIND("PCS",Base_report!D277,1)),SUBSTITUTE(Base_report!D277,"PCS",""),IF(ISNUMBER(FIND("CMU",Base_report!D277,1)),SUBSTITUTE(Base_report!D277,"CMU",""),Base_report!D277)))))</f>
        <v>CHR ADZOPE</v>
      </c>
      <c r="E278" s="14" t="str">
        <f>SUBSTITUTE(Base_report!E277,"-","/")</f>
        <v>PNLS/ANTIRETROVIRAUX ET IO</v>
      </c>
      <c r="F278" s="14" t="s">
        <v>788</v>
      </c>
      <c r="G278" s="16">
        <f>DATE(YEAR(SUBSTITUTE(LEFT(Base_report!F277,10),"-","/")),MONTH(SUBSTITUTE(LEFT(Base_report!F277,10),"-","/")),DAY(SUBSTITUTE(LEFT(Base_report!F277,10),"-","/")))</f>
        <v>45296</v>
      </c>
      <c r="H278" s="16">
        <f>DATE(YEAR(SUBSTITUTE(LEFT(Base_report!G277,10),"-","/")),MONTH(SUBSTITUTE(LEFT(Base_report!G277,10),"-","/")),DAY(SUBSTITUTE(LEFT(Base_report!G277,10),"-","/")))</f>
        <v>45296</v>
      </c>
      <c r="I278" s="17" t="str">
        <f t="shared" si="1"/>
        <v>OUI</v>
      </c>
      <c r="J278" s="18">
        <f>IF(L278="DS",DATE(RIGHT(B278,4),VLOOKUP(LEFT(B278,LEN(B278)-5),Feuil1!$E$3:$F$19,2,FALSE)+1,10),DATE(RIGHT(B278,4),VLOOKUP(LEFT(B278,LEN(B278)-5),Feuil1!$E$3:$F$19,2,FALSE)+1,7))</f>
        <v>45298</v>
      </c>
      <c r="K278" s="19">
        <f t="shared" si="2"/>
        <v>1</v>
      </c>
      <c r="L278" s="6" t="str">
        <f t="shared" si="3"/>
        <v>FS</v>
      </c>
    </row>
    <row r="279" ht="14.25" customHeight="1">
      <c r="A279" s="14" t="str">
        <f>Base_report!A278</f>
        <v>MARAHOUE</v>
      </c>
      <c r="B279" s="14" t="str">
        <f>Base_report!B278</f>
        <v>DECEMBRE 2023</v>
      </c>
      <c r="C279" s="15" t="str">
        <f>Base_report!C278</f>
        <v>C2014</v>
      </c>
      <c r="D279" s="14" t="str">
        <f>TRIM(IF(ISNUMBER(FIND("PNSME",Base_report!D278,1)),SUBSTITUTE(Base_report!D278,"PNSME",""),IF(ISNUMBER(FIND("PHG",Base_report!D278,1)),SUBSTITUTE(Base_report!D278,"PHG",""),IF(ISNUMBER(FIND("PCS",Base_report!D278,1)),SUBSTITUTE(Base_report!D278,"PCS",""),IF(ISNUMBER(FIND("CMU",Base_report!D278,1)),SUBSTITUTE(Base_report!D278,"CMU",""),Base_report!D278)))))</f>
        <v>CSU GOHITAFLA</v>
      </c>
      <c r="E279" s="14" t="str">
        <f>SUBSTITUTE(Base_report!E278,"-","/")</f>
        <v>PNSME/MEDICAMENTS ET INTRANTS</v>
      </c>
      <c r="F279" s="14" t="s">
        <v>788</v>
      </c>
      <c r="G279" s="16">
        <f>DATE(YEAR(SUBSTITUTE(LEFT(Base_report!F278,10),"-","/")),MONTH(SUBSTITUTE(LEFT(Base_report!F278,10),"-","/")),DAY(SUBSTITUTE(LEFT(Base_report!F278,10),"-","/")))</f>
        <v>45262</v>
      </c>
      <c r="H279" s="16">
        <f>DATE(YEAR(SUBSTITUTE(LEFT(Base_report!G278,10),"-","/")),MONTH(SUBSTITUTE(LEFT(Base_report!G278,10),"-","/")),DAY(SUBSTITUTE(LEFT(Base_report!G278,10),"-","/")))</f>
        <v>45265</v>
      </c>
      <c r="I279" s="17" t="str">
        <f t="shared" si="1"/>
        <v>OUI</v>
      </c>
      <c r="J279" s="18">
        <f>IF(L279="DS",DATE(RIGHT(B279,4),VLOOKUP(LEFT(B279,LEN(B279)-5),Feuil1!$E$3:$F$19,2,FALSE)+1,10),DATE(RIGHT(B279,4),VLOOKUP(LEFT(B279,LEN(B279)-5),Feuil1!$E$3:$F$19,2,FALSE)+1,7))</f>
        <v>45298</v>
      </c>
      <c r="K279" s="19">
        <f t="shared" si="2"/>
        <v>1</v>
      </c>
      <c r="L279" s="6" t="str">
        <f t="shared" si="3"/>
        <v>FS</v>
      </c>
    </row>
    <row r="280" ht="14.25" customHeight="1">
      <c r="A280" s="14" t="str">
        <f>Base_report!A279</f>
        <v>GOH</v>
      </c>
      <c r="B280" s="14" t="str">
        <f>Base_report!B279</f>
        <v>DECEMBRE 2023</v>
      </c>
      <c r="C280" s="15" t="str">
        <f>Base_report!C279</f>
        <v>C2194</v>
      </c>
      <c r="D280" s="14" t="str">
        <f>TRIM(IF(ISNUMBER(FIND("PNSME",Base_report!D279,1)),SUBSTITUTE(Base_report!D279,"PNSME",""),IF(ISNUMBER(FIND("PHG",Base_report!D279,1)),SUBSTITUTE(Base_report!D279,"PHG",""),IF(ISNUMBER(FIND("PCS",Base_report!D279,1)),SUBSTITUTE(Base_report!D279,"PCS",""),IF(ISNUMBER(FIND("CMU",Base_report!D279,1)),SUBSTITUTE(Base_report!D279,"CMU",""),Base_report!D279)))))</f>
        <v>CSU TOUIH</v>
      </c>
      <c r="E280" s="14" t="str">
        <f>SUBSTITUTE(Base_report!E279,"-","/")</f>
        <v>PNSME/MEDICAMENTS ET INTRANTS</v>
      </c>
      <c r="F280" s="14" t="s">
        <v>788</v>
      </c>
      <c r="G280" s="16">
        <f>DATE(YEAR(SUBSTITUTE(LEFT(Base_report!F279,10),"-","/")),MONTH(SUBSTITUTE(LEFT(Base_report!F279,10),"-","/")),DAY(SUBSTITUTE(LEFT(Base_report!F279,10),"-","/")))</f>
        <v>45295</v>
      </c>
      <c r="H280" s="16">
        <f>DATE(YEAR(SUBSTITUTE(LEFT(Base_report!G279,10),"-","/")),MONTH(SUBSTITUTE(LEFT(Base_report!G279,10),"-","/")),DAY(SUBSTITUTE(LEFT(Base_report!G279,10),"-","/")))</f>
        <v>45295</v>
      </c>
      <c r="I280" s="17" t="str">
        <f t="shared" si="1"/>
        <v>OUI</v>
      </c>
      <c r="J280" s="18">
        <f>IF(L280="DS",DATE(RIGHT(B280,4),VLOOKUP(LEFT(B280,LEN(B280)-5),Feuil1!$E$3:$F$19,2,FALSE)+1,10),DATE(RIGHT(B280,4),VLOOKUP(LEFT(B280,LEN(B280)-5),Feuil1!$E$3:$F$19,2,FALSE)+1,7))</f>
        <v>45298</v>
      </c>
      <c r="K280" s="19">
        <f t="shared" si="2"/>
        <v>1</v>
      </c>
      <c r="L280" s="6" t="str">
        <f t="shared" si="3"/>
        <v>FS</v>
      </c>
    </row>
    <row r="281" ht="14.25" customHeight="1">
      <c r="A281" s="14" t="str">
        <f>Base_report!A280</f>
        <v>BELIER</v>
      </c>
      <c r="B281" s="14" t="str">
        <f>Base_report!B280</f>
        <v>DECEMBRE 2023</v>
      </c>
      <c r="C281" s="15" t="str">
        <f>Base_report!C280</f>
        <v>C2051</v>
      </c>
      <c r="D281" s="14" t="str">
        <f>TRIM(IF(ISNUMBER(FIND("PNSME",Base_report!D280,1)),SUBSTITUTE(Base_report!D280,"PNSME",""),IF(ISNUMBER(FIND("PHG",Base_report!D280,1)),SUBSTITUTE(Base_report!D280,"PHG",""),IF(ISNUMBER(FIND("PCS",Base_report!D280,1)),SUBSTITUTE(Base_report!D280,"PCS",""),IF(ISNUMBER(FIND("CMU",Base_report!D280,1)),SUBSTITUTE(Base_report!D280,"CMU",""),Base_report!D280)))))</f>
        <v>HOPITAL GENERAL DIDIEVI</v>
      </c>
      <c r="E281" s="14" t="str">
        <f>SUBSTITUTE(Base_report!E280,"-","/")</f>
        <v>PNSME/MEDICAMENTS ET INTRANTS</v>
      </c>
      <c r="F281" s="14" t="s">
        <v>788</v>
      </c>
      <c r="G281" s="16">
        <f>DATE(YEAR(SUBSTITUTE(LEFT(Base_report!F280,10),"-","/")),MONTH(SUBSTITUTE(LEFT(Base_report!F280,10),"-","/")),DAY(SUBSTITUTE(LEFT(Base_report!F280,10),"-","/")))</f>
        <v>45298</v>
      </c>
      <c r="H281" s="16">
        <f>DATE(YEAR(SUBSTITUTE(LEFT(Base_report!G280,10),"-","/")),MONTH(SUBSTITUTE(LEFT(Base_report!G280,10),"-","/")),DAY(SUBSTITUTE(LEFT(Base_report!G280,10),"-","/")))</f>
        <v>45298</v>
      </c>
      <c r="I281" s="17" t="str">
        <f t="shared" si="1"/>
        <v>OUI</v>
      </c>
      <c r="J281" s="18">
        <f>IF(L281="DS",DATE(RIGHT(B281,4),VLOOKUP(LEFT(B281,LEN(B281)-5),Feuil1!$E$3:$F$19,2,FALSE)+1,10),DATE(RIGHT(B281,4),VLOOKUP(LEFT(B281,LEN(B281)-5),Feuil1!$E$3:$F$19,2,FALSE)+1,7))</f>
        <v>45298</v>
      </c>
      <c r="K281" s="19">
        <f t="shared" si="2"/>
        <v>1</v>
      </c>
      <c r="L281" s="6" t="str">
        <f t="shared" si="3"/>
        <v>FS</v>
      </c>
    </row>
    <row r="282" ht="14.25" customHeight="1">
      <c r="A282" s="14" t="str">
        <f>Base_report!A281</f>
        <v>INDENIE-DJUABLIN</v>
      </c>
      <c r="B282" s="14" t="str">
        <f>Base_report!B281</f>
        <v>DECEMBRE 2023</v>
      </c>
      <c r="C282" s="15" t="str">
        <f>Base_report!C281</f>
        <v>C4056</v>
      </c>
      <c r="D282" s="14" t="str">
        <f>TRIM(IF(ISNUMBER(FIND("PNSME",Base_report!D281,1)),SUBSTITUTE(Base_report!D281,"PNSME",""),IF(ISNUMBER(FIND("PHG",Base_report!D281,1)),SUBSTITUTE(Base_report!D281,"PHG",""),IF(ISNUMBER(FIND("PCS",Base_report!D281,1)),SUBSTITUTE(Base_report!D281,"PCS",""),IF(ISNUMBER(FIND("CMU",Base_report!D281,1)),SUBSTITUTE(Base_report!D281,"CMU",""),Base_report!D281)))))</f>
        <v>HOPITAL GENERAL BETTIE</v>
      </c>
      <c r="E282" s="14" t="str">
        <f>SUBSTITUTE(Base_report!E281,"-","/")</f>
        <v>PNSME/MEDICAMENTS ET INTRANTS</v>
      </c>
      <c r="F282" s="14" t="s">
        <v>788</v>
      </c>
      <c r="G282" s="16">
        <f>DATE(YEAR(SUBSTITUTE(LEFT(Base_report!F281,10),"-","/")),MONTH(SUBSTITUTE(LEFT(Base_report!F281,10),"-","/")),DAY(SUBSTITUTE(LEFT(Base_report!F281,10),"-","/")))</f>
        <v>45263</v>
      </c>
      <c r="H282" s="16">
        <f>DATE(YEAR(SUBSTITUTE(LEFT(Base_report!G281,10),"-","/")),MONTH(SUBSTITUTE(LEFT(Base_report!G281,10),"-","/")),DAY(SUBSTITUTE(LEFT(Base_report!G281,10),"-","/")))</f>
        <v>45263</v>
      </c>
      <c r="I282" s="17" t="str">
        <f t="shared" si="1"/>
        <v>OUI</v>
      </c>
      <c r="J282" s="18">
        <f>IF(L282="DS",DATE(RIGHT(B282,4),VLOOKUP(LEFT(B282,LEN(B282)-5),Feuil1!$E$3:$F$19,2,FALSE)+1,10),DATE(RIGHT(B282,4),VLOOKUP(LEFT(B282,LEN(B282)-5),Feuil1!$E$3:$F$19,2,FALSE)+1,7))</f>
        <v>45298</v>
      </c>
      <c r="K282" s="19">
        <f t="shared" si="2"/>
        <v>1</v>
      </c>
      <c r="L282" s="6" t="str">
        <f t="shared" si="3"/>
        <v>FS</v>
      </c>
    </row>
    <row r="283" ht="14.25" customHeight="1">
      <c r="A283" s="14" t="str">
        <f>Base_report!A282</f>
        <v>BAFING</v>
      </c>
      <c r="B283" s="14" t="str">
        <f>Base_report!B282</f>
        <v>DECEMBRE 2023</v>
      </c>
      <c r="C283" s="15" t="str">
        <f>Base_report!C282</f>
        <v>C5078</v>
      </c>
      <c r="D283" s="14" t="str">
        <f>TRIM(IF(ISNUMBER(FIND("PNSME",Base_report!D282,1)),SUBSTITUTE(Base_report!D282,"PNSME",""),IF(ISNUMBER(FIND("PHG",Base_report!D282,1)),SUBSTITUTE(Base_report!D282,"PHG",""),IF(ISNUMBER(FIND("PCS",Base_report!D282,1)),SUBSTITUTE(Base_report!D282,"PCS",""),IF(ISNUMBER(FIND("CMU",Base_report!D282,1)),SUBSTITUTE(Base_report!D282,"CMU",""),Base_report!D282)))))</f>
        <v>HOPITAL GENERAL OUANINOU</v>
      </c>
      <c r="E283" s="14" t="str">
        <f>SUBSTITUTE(Base_report!E282,"-","/")</f>
        <v>PNSME/MEDICAMENTS ET INTRANTS</v>
      </c>
      <c r="F283" s="14" t="s">
        <v>788</v>
      </c>
      <c r="G283" s="16">
        <f>DATE(YEAR(SUBSTITUTE(LEFT(Base_report!F282,10),"-","/")),MONTH(SUBSTITUTE(LEFT(Base_report!F282,10),"-","/")),DAY(SUBSTITUTE(LEFT(Base_report!F282,10),"-","/")))</f>
        <v>45264</v>
      </c>
      <c r="H283" s="16">
        <f>DATE(YEAR(SUBSTITUTE(LEFT(Base_report!G282,10),"-","/")),MONTH(SUBSTITUTE(LEFT(Base_report!G282,10),"-","/")),DAY(SUBSTITUTE(LEFT(Base_report!G282,10),"-","/")))</f>
        <v>45264</v>
      </c>
      <c r="I283" s="17" t="str">
        <f t="shared" si="1"/>
        <v>OUI</v>
      </c>
      <c r="J283" s="18">
        <f>IF(L283="DS",DATE(RIGHT(B283,4),VLOOKUP(LEFT(B283,LEN(B283)-5),Feuil1!$E$3:$F$19,2,FALSE)+1,10),DATE(RIGHT(B283,4),VLOOKUP(LEFT(B283,LEN(B283)-5),Feuil1!$E$3:$F$19,2,FALSE)+1,7))</f>
        <v>45298</v>
      </c>
      <c r="K283" s="19">
        <f t="shared" si="2"/>
        <v>1</v>
      </c>
      <c r="L283" s="6" t="str">
        <f t="shared" si="3"/>
        <v>FS</v>
      </c>
    </row>
    <row r="284" ht="14.25" customHeight="1">
      <c r="A284" s="14" t="str">
        <f>Base_report!A283</f>
        <v>BAFING</v>
      </c>
      <c r="B284" s="14" t="str">
        <f>Base_report!B283</f>
        <v>DECEMBRE 2023</v>
      </c>
      <c r="C284" s="15" t="str">
        <f>Base_report!C283</f>
        <v>C5078</v>
      </c>
      <c r="D284" s="14" t="str">
        <f>TRIM(IF(ISNUMBER(FIND("PNSME",Base_report!D283,1)),SUBSTITUTE(Base_report!D283,"PNSME",""),IF(ISNUMBER(FIND("PHG",Base_report!D283,1)),SUBSTITUTE(Base_report!D283,"PHG",""),IF(ISNUMBER(FIND("PCS",Base_report!D283,1)),SUBSTITUTE(Base_report!D283,"PCS",""),IF(ISNUMBER(FIND("CMU",Base_report!D283,1)),SUBSTITUTE(Base_report!D283,"CMU",""),Base_report!D283)))))</f>
        <v>HOPITAL GENERAL OUANINOU</v>
      </c>
      <c r="E284" s="14" t="str">
        <f>SUBSTITUTE(Base_report!E283,"-","/")</f>
        <v>PNN/MEDICAMENTS ET INTRANTS</v>
      </c>
      <c r="F284" s="14" t="s">
        <v>788</v>
      </c>
      <c r="G284" s="16">
        <f>DATE(YEAR(SUBSTITUTE(LEFT(Base_report!F283,10),"-","/")),MONTH(SUBSTITUTE(LEFT(Base_report!F283,10),"-","/")),DAY(SUBSTITUTE(LEFT(Base_report!F283,10),"-","/")))</f>
        <v>45264</v>
      </c>
      <c r="H284" s="16">
        <f>DATE(YEAR(SUBSTITUTE(LEFT(Base_report!G283,10),"-","/")),MONTH(SUBSTITUTE(LEFT(Base_report!G283,10),"-","/")),DAY(SUBSTITUTE(LEFT(Base_report!G283,10),"-","/")))</f>
        <v>45264</v>
      </c>
      <c r="I284" s="17" t="str">
        <f t="shared" si="1"/>
        <v>OUI</v>
      </c>
      <c r="J284" s="18">
        <f>IF(L284="DS",DATE(RIGHT(B284,4),VLOOKUP(LEFT(B284,LEN(B284)-5),Feuil1!$E$3:$F$19,2,FALSE)+1,10),DATE(RIGHT(B284,4),VLOOKUP(LEFT(B284,LEN(B284)-5),Feuil1!$E$3:$F$19,2,FALSE)+1,7))</f>
        <v>45298</v>
      </c>
      <c r="K284" s="19">
        <f t="shared" si="2"/>
        <v>1</v>
      </c>
      <c r="L284" s="6" t="str">
        <f t="shared" si="3"/>
        <v>FS</v>
      </c>
    </row>
    <row r="285" ht="14.25" customHeight="1">
      <c r="A285" s="14" t="str">
        <f>Base_report!A284</f>
        <v>BELIER</v>
      </c>
      <c r="B285" s="14" t="str">
        <f>Base_report!B284</f>
        <v>DECEMBRE 2023</v>
      </c>
      <c r="C285" s="15" t="str">
        <f>Base_report!C284</f>
        <v>C2069</v>
      </c>
      <c r="D285" s="14" t="str">
        <f>TRIM(IF(ISNUMBER(FIND("PNSME",Base_report!D284,1)),SUBSTITUTE(Base_report!D284,"PNSME",""),IF(ISNUMBER(FIND("PHG",Base_report!D284,1)),SUBSTITUTE(Base_report!D284,"PHG",""),IF(ISNUMBER(FIND("PCS",Base_report!D284,1)),SUBSTITUTE(Base_report!D284,"PCS",""),IF(ISNUMBER(FIND("CMU",Base_report!D284,1)),SUBSTITUTE(Base_report!D284,"CMU",""),Base_report!D284)))))</f>
        <v>HOPITAL GENERAL TOUMODI</v>
      </c>
      <c r="E285" s="14" t="str">
        <f>SUBSTITUTE(Base_report!E284,"-","/")</f>
        <v>PNLS/TESTS RAPIDES ET CONSOMMABLES</v>
      </c>
      <c r="F285" s="14" t="s">
        <v>788</v>
      </c>
      <c r="G285" s="16">
        <f>DATE(YEAR(SUBSTITUTE(LEFT(Base_report!F284,10),"-","/")),MONTH(SUBSTITUTE(LEFT(Base_report!F284,10),"-","/")),DAY(SUBSTITUTE(LEFT(Base_report!F284,10),"-","/")))</f>
        <v>45295</v>
      </c>
      <c r="H285" s="16">
        <f>DATE(YEAR(SUBSTITUTE(LEFT(Base_report!G284,10),"-","/")),MONTH(SUBSTITUTE(LEFT(Base_report!G284,10),"-","/")),DAY(SUBSTITUTE(LEFT(Base_report!G284,10),"-","/")))</f>
        <v>45296</v>
      </c>
      <c r="I285" s="17" t="str">
        <f t="shared" si="1"/>
        <v>OUI</v>
      </c>
      <c r="J285" s="18">
        <f>IF(L285="DS",DATE(RIGHT(B285,4),VLOOKUP(LEFT(B285,LEN(B285)-5),Feuil1!$E$3:$F$19,2,FALSE)+1,10),DATE(RIGHT(B285,4),VLOOKUP(LEFT(B285,LEN(B285)-5),Feuil1!$E$3:$F$19,2,FALSE)+1,7))</f>
        <v>45298</v>
      </c>
      <c r="K285" s="19">
        <f t="shared" si="2"/>
        <v>1</v>
      </c>
      <c r="L285" s="6" t="str">
        <f t="shared" si="3"/>
        <v>FS</v>
      </c>
    </row>
    <row r="286" ht="14.25" customHeight="1">
      <c r="A286" s="14" t="str">
        <f>Base_report!A285</f>
        <v>BELIER</v>
      </c>
      <c r="B286" s="14" t="str">
        <f>Base_report!B285</f>
        <v>DECEMBRE 2023</v>
      </c>
      <c r="C286" s="15" t="str">
        <f>Base_report!C285</f>
        <v>C2069</v>
      </c>
      <c r="D286" s="14" t="str">
        <f>TRIM(IF(ISNUMBER(FIND("PNSME",Base_report!D285,1)),SUBSTITUTE(Base_report!D285,"PNSME",""),IF(ISNUMBER(FIND("PHG",Base_report!D285,1)),SUBSTITUTE(Base_report!D285,"PHG",""),IF(ISNUMBER(FIND("PCS",Base_report!D285,1)),SUBSTITUTE(Base_report!D285,"PCS",""),IF(ISNUMBER(FIND("CMU",Base_report!D285,1)),SUBSTITUTE(Base_report!D285,"CMU",""),Base_report!D285)))))</f>
        <v>HOPITAL GENERAL TOUMODI</v>
      </c>
      <c r="E286" s="14" t="str">
        <f>SUBSTITUTE(Base_report!E285,"-","/")</f>
        <v>PNLP/MEDICAMENTS ET INTRANTS</v>
      </c>
      <c r="F286" s="14" t="s">
        <v>788</v>
      </c>
      <c r="G286" s="16">
        <f>DATE(YEAR(SUBSTITUTE(LEFT(Base_report!F285,10),"-","/")),MONTH(SUBSTITUTE(LEFT(Base_report!F285,10),"-","/")),DAY(SUBSTITUTE(LEFT(Base_report!F285,10),"-","/")))</f>
        <v>45295</v>
      </c>
      <c r="H286" s="16">
        <f>DATE(YEAR(SUBSTITUTE(LEFT(Base_report!G285,10),"-","/")),MONTH(SUBSTITUTE(LEFT(Base_report!G285,10),"-","/")),DAY(SUBSTITUTE(LEFT(Base_report!G285,10),"-","/")))</f>
        <v>45296</v>
      </c>
      <c r="I286" s="17" t="str">
        <f t="shared" si="1"/>
        <v>OUI</v>
      </c>
      <c r="J286" s="18">
        <f>IF(L286="DS",DATE(RIGHT(B286,4),VLOOKUP(LEFT(B286,LEN(B286)-5),Feuil1!$E$3:$F$19,2,FALSE)+1,10),DATE(RIGHT(B286,4),VLOOKUP(LEFT(B286,LEN(B286)-5),Feuil1!$E$3:$F$19,2,FALSE)+1,7))</f>
        <v>45298</v>
      </c>
      <c r="K286" s="19">
        <f t="shared" si="2"/>
        <v>1</v>
      </c>
      <c r="L286" s="6" t="str">
        <f t="shared" si="3"/>
        <v>FS</v>
      </c>
    </row>
    <row r="287" ht="14.25" customHeight="1">
      <c r="A287" s="14" t="str">
        <f>Base_report!A286</f>
        <v>BELIER</v>
      </c>
      <c r="B287" s="14" t="str">
        <f>Base_report!B286</f>
        <v>DECEMBRE 2023</v>
      </c>
      <c r="C287" s="15" t="str">
        <f>Base_report!C286</f>
        <v>C2069</v>
      </c>
      <c r="D287" s="14" t="str">
        <f>TRIM(IF(ISNUMBER(FIND("PNSME",Base_report!D286,1)),SUBSTITUTE(Base_report!D286,"PNSME",""),IF(ISNUMBER(FIND("PHG",Base_report!D286,1)),SUBSTITUTE(Base_report!D286,"PHG",""),IF(ISNUMBER(FIND("PCS",Base_report!D286,1)),SUBSTITUTE(Base_report!D286,"PCS",""),IF(ISNUMBER(FIND("CMU",Base_report!D286,1)),SUBSTITUTE(Base_report!D286,"CMU",""),Base_report!D286)))))</f>
        <v>HOPITAL GENERAL TOUMODI</v>
      </c>
      <c r="E287" s="14" t="str">
        <f>SUBSTITUTE(Base_report!E286,"-","/")</f>
        <v>PNLS/ANTIRETROVIRAUX ET IO</v>
      </c>
      <c r="F287" s="14" t="s">
        <v>788</v>
      </c>
      <c r="G287" s="16">
        <f>DATE(YEAR(SUBSTITUTE(LEFT(Base_report!F286,10),"-","/")),MONTH(SUBSTITUTE(LEFT(Base_report!F286,10),"-","/")),DAY(SUBSTITUTE(LEFT(Base_report!F286,10),"-","/")))</f>
        <v>45295</v>
      </c>
      <c r="H287" s="16">
        <f>DATE(YEAR(SUBSTITUTE(LEFT(Base_report!G286,10),"-","/")),MONTH(SUBSTITUTE(LEFT(Base_report!G286,10),"-","/")),DAY(SUBSTITUTE(LEFT(Base_report!G286,10),"-","/")))</f>
        <v>45296</v>
      </c>
      <c r="I287" s="17" t="str">
        <f t="shared" si="1"/>
        <v>OUI</v>
      </c>
      <c r="J287" s="18">
        <f>IF(L287="DS",DATE(RIGHT(B287,4),VLOOKUP(LEFT(B287,LEN(B287)-5),Feuil1!$E$3:$F$19,2,FALSE)+1,10),DATE(RIGHT(B287,4),VLOOKUP(LEFT(B287,LEN(B287)-5),Feuil1!$E$3:$F$19,2,FALSE)+1,7))</f>
        <v>45298</v>
      </c>
      <c r="K287" s="19">
        <f t="shared" si="2"/>
        <v>1</v>
      </c>
      <c r="L287" s="6" t="str">
        <f t="shared" si="3"/>
        <v>FS</v>
      </c>
    </row>
    <row r="288" ht="14.25" customHeight="1">
      <c r="A288" s="14" t="str">
        <f>Base_report!A287</f>
        <v>BELIER</v>
      </c>
      <c r="B288" s="14" t="str">
        <f>Base_report!B287</f>
        <v>DECEMBRE 2023</v>
      </c>
      <c r="C288" s="15" t="str">
        <f>Base_report!C287</f>
        <v>C2069</v>
      </c>
      <c r="D288" s="14" t="str">
        <f>TRIM(IF(ISNUMBER(FIND("PNSME",Base_report!D287,1)),SUBSTITUTE(Base_report!D287,"PNSME",""),IF(ISNUMBER(FIND("PHG",Base_report!D287,1)),SUBSTITUTE(Base_report!D287,"PHG",""),IF(ISNUMBER(FIND("PCS",Base_report!D287,1)),SUBSTITUTE(Base_report!D287,"PCS",""),IF(ISNUMBER(FIND("CMU",Base_report!D287,1)),SUBSTITUTE(Base_report!D287,"CMU",""),Base_report!D287)))))</f>
        <v>HOPITAL GENERAL TOUMODI</v>
      </c>
      <c r="E288" s="14" t="str">
        <f>SUBSTITUTE(Base_report!E287,"-","/")</f>
        <v>PNLS/CHARGES VIRALES</v>
      </c>
      <c r="F288" s="14" t="s">
        <v>788</v>
      </c>
      <c r="G288" s="16">
        <f>DATE(YEAR(SUBSTITUTE(LEFT(Base_report!F287,10),"-","/")),MONTH(SUBSTITUTE(LEFT(Base_report!F287,10),"-","/")),DAY(SUBSTITUTE(LEFT(Base_report!F287,10),"-","/")))</f>
        <v>45295</v>
      </c>
      <c r="H288" s="16">
        <f>DATE(YEAR(SUBSTITUTE(LEFT(Base_report!G287,10),"-","/")),MONTH(SUBSTITUTE(LEFT(Base_report!G287,10),"-","/")),DAY(SUBSTITUTE(LEFT(Base_report!G287,10),"-","/")))</f>
        <v>45296</v>
      </c>
      <c r="I288" s="17" t="str">
        <f t="shared" si="1"/>
        <v>OUI</v>
      </c>
      <c r="J288" s="18">
        <f>IF(L288="DS",DATE(RIGHT(B288,4),VLOOKUP(LEFT(B288,LEN(B288)-5),Feuil1!$E$3:$F$19,2,FALSE)+1,10),DATE(RIGHT(B288,4),VLOOKUP(LEFT(B288,LEN(B288)-5),Feuil1!$E$3:$F$19,2,FALSE)+1,7))</f>
        <v>45298</v>
      </c>
      <c r="K288" s="19">
        <f t="shared" si="2"/>
        <v>1</v>
      </c>
      <c r="L288" s="6" t="str">
        <f t="shared" si="3"/>
        <v>FS</v>
      </c>
    </row>
    <row r="289" ht="14.25" customHeight="1">
      <c r="A289" s="14" t="str">
        <f>Base_report!A288</f>
        <v>BELIER</v>
      </c>
      <c r="B289" s="14" t="str">
        <f>Base_report!B288</f>
        <v>DECEMBRE 2023</v>
      </c>
      <c r="C289" s="15" t="str">
        <f>Base_report!C288</f>
        <v>C2069</v>
      </c>
      <c r="D289" s="14" t="str">
        <f>TRIM(IF(ISNUMBER(FIND("PNSME",Base_report!D288,1)),SUBSTITUTE(Base_report!D288,"PNSME",""),IF(ISNUMBER(FIND("PHG",Base_report!D288,1)),SUBSTITUTE(Base_report!D288,"PHG",""),IF(ISNUMBER(FIND("PCS",Base_report!D288,1)),SUBSTITUTE(Base_report!D288,"PCS",""),IF(ISNUMBER(FIND("CMU",Base_report!D288,1)),SUBSTITUTE(Base_report!D288,"CMU",""),Base_report!D288)))))</f>
        <v>HOPITAL GENERAL TOUMODI</v>
      </c>
      <c r="E289" s="14" t="str">
        <f>SUBSTITUTE(Base_report!E288,"-","/")</f>
        <v>PNLS/PRODUITS DE LABORATOIRE</v>
      </c>
      <c r="F289" s="14" t="s">
        <v>788</v>
      </c>
      <c r="G289" s="16">
        <f>DATE(YEAR(SUBSTITUTE(LEFT(Base_report!F288,10),"-","/")),MONTH(SUBSTITUTE(LEFT(Base_report!F288,10),"-","/")),DAY(SUBSTITUTE(LEFT(Base_report!F288,10),"-","/")))</f>
        <v>45295</v>
      </c>
      <c r="H289" s="16">
        <f>DATE(YEAR(SUBSTITUTE(LEFT(Base_report!G288,10),"-","/")),MONTH(SUBSTITUTE(LEFT(Base_report!G288,10),"-","/")),DAY(SUBSTITUTE(LEFT(Base_report!G288,10),"-","/")))</f>
        <v>45296</v>
      </c>
      <c r="I289" s="17" t="str">
        <f t="shared" si="1"/>
        <v>OUI</v>
      </c>
      <c r="J289" s="18">
        <f>IF(L289="DS",DATE(RIGHT(B289,4),VLOOKUP(LEFT(B289,LEN(B289)-5),Feuil1!$E$3:$F$19,2,FALSE)+1,10),DATE(RIGHT(B289,4),VLOOKUP(LEFT(B289,LEN(B289)-5),Feuil1!$E$3:$F$19,2,FALSE)+1,7))</f>
        <v>45298</v>
      </c>
      <c r="K289" s="19">
        <f t="shared" si="2"/>
        <v>1</v>
      </c>
      <c r="L289" s="6" t="str">
        <f t="shared" si="3"/>
        <v>FS</v>
      </c>
    </row>
    <row r="290" ht="14.25" customHeight="1">
      <c r="A290" s="14" t="str">
        <f>Base_report!A289</f>
        <v>ME</v>
      </c>
      <c r="B290" s="14" t="str">
        <f>Base_report!B289</f>
        <v>DECEMBRE 2023</v>
      </c>
      <c r="C290" s="15" t="str">
        <f>Base_report!C289</f>
        <v>C4090</v>
      </c>
      <c r="D290" s="14" t="str">
        <f>TRIM(IF(ISNUMBER(FIND("PNSME",Base_report!D289,1)),SUBSTITUTE(Base_report!D289,"PNSME",""),IF(ISNUMBER(FIND("PHG",Base_report!D289,1)),SUBSTITUTE(Base_report!D289,"PHG",""),IF(ISNUMBER(FIND("PCS",Base_report!D289,1)),SUBSTITUTE(Base_report!D289,"PCS",""),IF(ISNUMBER(FIND("CMU",Base_report!D289,1)),SUBSTITUTE(Base_report!D289,"CMU",""),Base_report!D289)))))</f>
        <v>CHR ADZOPE</v>
      </c>
      <c r="E290" s="14" t="str">
        <f>SUBSTITUTE(Base_report!E289,"-","/")</f>
        <v>PNLP/MEDICAMENTS ET INTRANTS</v>
      </c>
      <c r="F290" s="14" t="s">
        <v>788</v>
      </c>
      <c r="G290" s="16">
        <f>DATE(YEAR(SUBSTITUTE(LEFT(Base_report!F289,10),"-","/")),MONTH(SUBSTITUTE(LEFT(Base_report!F289,10),"-","/")),DAY(SUBSTITUTE(LEFT(Base_report!F289,10),"-","/")))</f>
        <v>45296</v>
      </c>
      <c r="H290" s="16">
        <f>DATE(YEAR(SUBSTITUTE(LEFT(Base_report!G289,10),"-","/")),MONTH(SUBSTITUTE(LEFT(Base_report!G289,10),"-","/")),DAY(SUBSTITUTE(LEFT(Base_report!G289,10),"-","/")))</f>
        <v>45296</v>
      </c>
      <c r="I290" s="17" t="str">
        <f t="shared" si="1"/>
        <v>OUI</v>
      </c>
      <c r="J290" s="18">
        <f>IF(L290="DS",DATE(RIGHT(B290,4),VLOOKUP(LEFT(B290,LEN(B290)-5),Feuil1!$E$3:$F$19,2,FALSE)+1,10),DATE(RIGHT(B290,4),VLOOKUP(LEFT(B290,LEN(B290)-5),Feuil1!$E$3:$F$19,2,FALSE)+1,7))</f>
        <v>45298</v>
      </c>
      <c r="K290" s="19">
        <f t="shared" si="2"/>
        <v>1</v>
      </c>
      <c r="L290" s="6" t="str">
        <f t="shared" si="3"/>
        <v>FS</v>
      </c>
    </row>
    <row r="291" ht="14.25" customHeight="1">
      <c r="A291" s="14" t="str">
        <f>Base_report!A290</f>
        <v>AGNEBY-TIASSA</v>
      </c>
      <c r="B291" s="14" t="str">
        <f>Base_report!B290</f>
        <v>DECEMBRE 2023</v>
      </c>
      <c r="C291" s="15" t="str">
        <f>Base_report!C290</f>
        <v>C1004</v>
      </c>
      <c r="D291" s="14" t="str">
        <f>TRIM(IF(ISNUMBER(FIND("PNSME",Base_report!D290,1)),SUBSTITUTE(Base_report!D290,"PNSME",""),IF(ISNUMBER(FIND("PHG",Base_report!D290,1)),SUBSTITUTE(Base_report!D290,"PHG",""),IF(ISNUMBER(FIND("PCS",Base_report!D290,1)),SUBSTITUTE(Base_report!D290,"PCS",""),IF(ISNUMBER(FIND("CMU",Base_report!D290,1)),SUBSTITUTE(Base_report!D290,"CMU",""),Base_report!D290)))))</f>
        <v>CHR AGBOVILLE</v>
      </c>
      <c r="E291" s="14" t="str">
        <f>SUBSTITUTE(Base_report!E290,"-","/")</f>
        <v>PNLP/MEDICAMENTS ET INTRANTS</v>
      </c>
      <c r="F291" s="14" t="s">
        <v>788</v>
      </c>
      <c r="G291" s="16">
        <f>DATE(YEAR(SUBSTITUTE(LEFT(Base_report!F290,10),"-","/")),MONTH(SUBSTITUTE(LEFT(Base_report!F290,10),"-","/")),DAY(SUBSTITUTE(LEFT(Base_report!F290,10),"-","/")))</f>
        <v>45294</v>
      </c>
      <c r="H291" s="16">
        <f>DATE(YEAR(SUBSTITUTE(LEFT(Base_report!G290,10),"-","/")),MONTH(SUBSTITUTE(LEFT(Base_report!G290,10),"-","/")),DAY(SUBSTITUTE(LEFT(Base_report!G290,10),"-","/")))</f>
        <v>45295</v>
      </c>
      <c r="I291" s="17" t="str">
        <f t="shared" si="1"/>
        <v>OUI</v>
      </c>
      <c r="J291" s="18">
        <f>IF(L291="DS",DATE(RIGHT(B291,4),VLOOKUP(LEFT(B291,LEN(B291)-5),Feuil1!$E$3:$F$19,2,FALSE)+1,10),DATE(RIGHT(B291,4),VLOOKUP(LEFT(B291,LEN(B291)-5),Feuil1!$E$3:$F$19,2,FALSE)+1,7))</f>
        <v>45298</v>
      </c>
      <c r="K291" s="19">
        <f t="shared" si="2"/>
        <v>1</v>
      </c>
      <c r="L291" s="6" t="str">
        <f t="shared" si="3"/>
        <v>FS</v>
      </c>
    </row>
    <row r="292" ht="14.25" customHeight="1">
      <c r="A292" s="14" t="str">
        <f>Base_report!A291</f>
        <v>IFFOU</v>
      </c>
      <c r="B292" s="14" t="str">
        <f>Base_report!B291</f>
        <v>DECEMBRE 2023</v>
      </c>
      <c r="C292" s="15" t="str">
        <f>Base_report!C291</f>
        <v>C4025</v>
      </c>
      <c r="D292" s="14" t="str">
        <f>TRIM(IF(ISNUMBER(FIND("PNSME",Base_report!D291,1)),SUBSTITUTE(Base_report!D291,"PNSME",""),IF(ISNUMBER(FIND("PHG",Base_report!D291,1)),SUBSTITUTE(Base_report!D291,"PHG",""),IF(ISNUMBER(FIND("PCS",Base_report!D291,1)),SUBSTITUTE(Base_report!D291,"PCS",""),IF(ISNUMBER(FIND("CMU",Base_report!D291,1)),SUBSTITUTE(Base_report!D291,"CMU",""),Base_report!D291)))))</f>
        <v>HOPITAL GENERAL PRIKRO</v>
      </c>
      <c r="E292" s="14" t="str">
        <f>SUBSTITUTE(Base_report!E291,"-","/")</f>
        <v>PNLS/PRODUITS DE LABORATOIRE</v>
      </c>
      <c r="F292" s="14" t="s">
        <v>788</v>
      </c>
      <c r="G292" s="16">
        <f>DATE(YEAR(SUBSTITUTE(LEFT(Base_report!F291,10),"-","/")),MONTH(SUBSTITUTE(LEFT(Base_report!F291,10),"-","/")),DAY(SUBSTITUTE(LEFT(Base_report!F291,10),"-","/")))</f>
        <v>45295</v>
      </c>
      <c r="H292" s="16">
        <f>DATE(YEAR(SUBSTITUTE(LEFT(Base_report!G291,10),"-","/")),MONTH(SUBSTITUTE(LEFT(Base_report!G291,10),"-","/")),DAY(SUBSTITUTE(LEFT(Base_report!G291,10),"-","/")))</f>
        <v>45295</v>
      </c>
      <c r="I292" s="17" t="str">
        <f t="shared" si="1"/>
        <v>OUI</v>
      </c>
      <c r="J292" s="18">
        <f>IF(L292="DS",DATE(RIGHT(B292,4),VLOOKUP(LEFT(B292,LEN(B292)-5),Feuil1!$E$3:$F$19,2,FALSE)+1,10),DATE(RIGHT(B292,4),VLOOKUP(LEFT(B292,LEN(B292)-5),Feuil1!$E$3:$F$19,2,FALSE)+1,7))</f>
        <v>45298</v>
      </c>
      <c r="K292" s="19">
        <f t="shared" si="2"/>
        <v>1</v>
      </c>
      <c r="L292" s="6" t="str">
        <f t="shared" si="3"/>
        <v>FS</v>
      </c>
    </row>
    <row r="293" ht="14.25" customHeight="1">
      <c r="A293" s="14" t="str">
        <f>Base_report!A292</f>
        <v>ABIDJAN 2</v>
      </c>
      <c r="B293" s="14" t="str">
        <f>Base_report!B292</f>
        <v>DECEMBRE 2023</v>
      </c>
      <c r="C293" s="15" t="str">
        <f>Base_report!C292</f>
        <v>C1024</v>
      </c>
      <c r="D293" s="14" t="str">
        <f>TRIM(IF(ISNUMBER(FIND("PNSME",Base_report!D292,1)),SUBSTITUTE(Base_report!D292,"PNSME",""),IF(ISNUMBER(FIND("PHG",Base_report!D292,1)),SUBSTITUTE(Base_report!D292,"PHG",""),IF(ISNUMBER(FIND("PCS",Base_report!D292,1)),SUBSTITUTE(Base_report!D292,"PCS",""),IF(ISNUMBER(FIND("CMU",Base_report!D292,1)),SUBSTITUTE(Base_report!D292,"CMU",""),Base_report!D292)))))</f>
        <v>CSU COM GONZAGUEVILLE</v>
      </c>
      <c r="E293" s="14" t="str">
        <f>SUBSTITUTE(Base_report!E292,"-","/")</f>
        <v>PNSME/MEDICAMENTS ET INTRANTS</v>
      </c>
      <c r="F293" s="14" t="s">
        <v>788</v>
      </c>
      <c r="G293" s="16">
        <f>DATE(YEAR(SUBSTITUTE(LEFT(Base_report!F292,10),"-","/")),MONTH(SUBSTITUTE(LEFT(Base_report!F292,10),"-","/")),DAY(SUBSTITUTE(LEFT(Base_report!F292,10),"-","/")))</f>
        <v>45293</v>
      </c>
      <c r="H293" s="16">
        <f>DATE(YEAR(SUBSTITUTE(LEFT(Base_report!G292,10),"-","/")),MONTH(SUBSTITUTE(LEFT(Base_report!G292,10),"-","/")),DAY(SUBSTITUTE(LEFT(Base_report!G292,10),"-","/")))</f>
        <v>45293</v>
      </c>
      <c r="I293" s="17" t="str">
        <f t="shared" si="1"/>
        <v>OUI</v>
      </c>
      <c r="J293" s="18">
        <f>IF(L293="DS",DATE(RIGHT(B293,4),VLOOKUP(LEFT(B293,LEN(B293)-5),Feuil1!$E$3:$F$19,2,FALSE)+1,10),DATE(RIGHT(B293,4),VLOOKUP(LEFT(B293,LEN(B293)-5),Feuil1!$E$3:$F$19,2,FALSE)+1,7))</f>
        <v>45298</v>
      </c>
      <c r="K293" s="19">
        <f t="shared" si="2"/>
        <v>1</v>
      </c>
      <c r="L293" s="6" t="str">
        <f t="shared" si="3"/>
        <v>FS</v>
      </c>
    </row>
    <row r="294" ht="14.25" customHeight="1">
      <c r="A294" s="14" t="str">
        <f>Base_report!A293</f>
        <v>ABIDJAN 2</v>
      </c>
      <c r="B294" s="14" t="str">
        <f>Base_report!B293</f>
        <v>DECEMBRE 2023</v>
      </c>
      <c r="C294" s="15" t="str">
        <f>Base_report!C293</f>
        <v>C1027</v>
      </c>
      <c r="D294" s="14" t="str">
        <f>TRIM(IF(ISNUMBER(FIND("PNSME",Base_report!D293,1)),SUBSTITUTE(Base_report!D293,"PNSME",""),IF(ISNUMBER(FIND("PHG",Base_report!D293,1)),SUBSTITUTE(Base_report!D293,"PHG",""),IF(ISNUMBER(FIND("PCS",Base_report!D293,1)),SUBSTITUTE(Base_report!D293,"PCS",""),IF(ISNUMBER(FIND("CMU",Base_report!D293,1)),SUBSTITUTE(Base_report!D293,"CMU",""),Base_report!D293)))))</f>
        <v>CSU COM KOUMASSI-DIVO</v>
      </c>
      <c r="E294" s="14" t="str">
        <f>SUBSTITUTE(Base_report!E293,"-","/")</f>
        <v>PNLP/MEDICAMENTS ET INTRANTS</v>
      </c>
      <c r="F294" s="14" t="s">
        <v>788</v>
      </c>
      <c r="G294" s="16">
        <f>DATE(YEAR(SUBSTITUTE(LEFT(Base_report!F293,10),"-","/")),MONTH(SUBSTITUTE(LEFT(Base_report!F293,10),"-","/")),DAY(SUBSTITUTE(LEFT(Base_report!F293,10),"-","/")))</f>
        <v>45294</v>
      </c>
      <c r="H294" s="16">
        <f>DATE(YEAR(SUBSTITUTE(LEFT(Base_report!G293,10),"-","/")),MONTH(SUBSTITUTE(LEFT(Base_report!G293,10),"-","/")),DAY(SUBSTITUTE(LEFT(Base_report!G293,10),"-","/")))</f>
        <v>45294</v>
      </c>
      <c r="I294" s="17" t="str">
        <f t="shared" si="1"/>
        <v>OUI</v>
      </c>
      <c r="J294" s="18">
        <f>IF(L294="DS",DATE(RIGHT(B294,4),VLOOKUP(LEFT(B294,LEN(B294)-5),Feuil1!$E$3:$F$19,2,FALSE)+1,10),DATE(RIGHT(B294,4),VLOOKUP(LEFT(B294,LEN(B294)-5),Feuil1!$E$3:$F$19,2,FALSE)+1,7))</f>
        <v>45298</v>
      </c>
      <c r="K294" s="19">
        <f t="shared" si="2"/>
        <v>1</v>
      </c>
      <c r="L294" s="6" t="str">
        <f t="shared" si="3"/>
        <v>FS</v>
      </c>
    </row>
    <row r="295" ht="14.25" customHeight="1">
      <c r="A295" s="14" t="str">
        <f>Base_report!A294</f>
        <v>PORO</v>
      </c>
      <c r="B295" s="14" t="str">
        <f>Base_report!B294</f>
        <v>DECEMBRE 2023</v>
      </c>
      <c r="C295" s="15" t="str">
        <f>Base_report!C294</f>
        <v>C3016</v>
      </c>
      <c r="D295" s="14" t="str">
        <f>TRIM(IF(ISNUMBER(FIND("PNSME",Base_report!D294,1)),SUBSTITUTE(Base_report!D294,"PNSME",""),IF(ISNUMBER(FIND("PHG",Base_report!D294,1)),SUBSTITUTE(Base_report!D294,"PHG",""),IF(ISNUMBER(FIND("PCS",Base_report!D294,1)),SUBSTITUTE(Base_report!D294,"PCS",""),IF(ISNUMBER(FIND("CMU",Base_report!D294,1)),SUBSTITUTE(Base_report!D294,"CMU",""),Base_report!D294)))))</f>
        <v>HOPITAL GENERAL MBENGUE</v>
      </c>
      <c r="E295" s="14" t="str">
        <f>SUBSTITUTE(Base_report!E294,"-","/")</f>
        <v>PNLS/TESTS RAPIDES ET CONSOMMABLES</v>
      </c>
      <c r="F295" s="14" t="s">
        <v>788</v>
      </c>
      <c r="G295" s="16">
        <f>DATE(YEAR(SUBSTITUTE(LEFT(Base_report!F294,10),"-","/")),MONTH(SUBSTITUTE(LEFT(Base_report!F294,10),"-","/")),DAY(SUBSTITUTE(LEFT(Base_report!F294,10),"-","/")))</f>
        <v>45298</v>
      </c>
      <c r="H295" s="16">
        <f>DATE(YEAR(SUBSTITUTE(LEFT(Base_report!G294,10),"-","/")),MONTH(SUBSTITUTE(LEFT(Base_report!G294,10),"-","/")),DAY(SUBSTITUTE(LEFT(Base_report!G294,10),"-","/")))</f>
        <v>45298</v>
      </c>
      <c r="I295" s="17" t="str">
        <f t="shared" si="1"/>
        <v>OUI</v>
      </c>
      <c r="J295" s="18">
        <f>IF(L295="DS",DATE(RIGHT(B295,4),VLOOKUP(LEFT(B295,LEN(B295)-5),Feuil1!$E$3:$F$19,2,FALSE)+1,10),DATE(RIGHT(B295,4),VLOOKUP(LEFT(B295,LEN(B295)-5),Feuil1!$E$3:$F$19,2,FALSE)+1,7))</f>
        <v>45298</v>
      </c>
      <c r="K295" s="19">
        <f t="shared" si="2"/>
        <v>1</v>
      </c>
      <c r="L295" s="6" t="str">
        <f t="shared" si="3"/>
        <v>FS</v>
      </c>
    </row>
    <row r="296" ht="14.25" customHeight="1">
      <c r="A296" s="14" t="str">
        <f>Base_report!A295</f>
        <v>GRANDS PONTS</v>
      </c>
      <c r="B296" s="14" t="str">
        <f>Base_report!B295</f>
        <v>DECEMBRE 2023</v>
      </c>
      <c r="C296" s="15" t="str">
        <f>Base_report!C295</f>
        <v>C1102</v>
      </c>
      <c r="D296" s="14" t="str">
        <f>TRIM(IF(ISNUMBER(FIND("PNSME",Base_report!D295,1)),SUBSTITUTE(Base_report!D295,"PNSME",""),IF(ISNUMBER(FIND("PHG",Base_report!D295,1)),SUBSTITUTE(Base_report!D295,"PHG",""),IF(ISNUMBER(FIND("PCS",Base_report!D295,1)),SUBSTITUTE(Base_report!D295,"PCS",""),IF(ISNUMBER(FIND("CMU",Base_report!D295,1)),SUBSTITUTE(Base_report!D295,"CMU",""),Base_report!D295)))))</f>
        <v>HOPITAL METHODISTE DE DABOU</v>
      </c>
      <c r="E296" s="14" t="str">
        <f>SUBSTITUTE(Base_report!E295,"-","/")</f>
        <v>PNLS/ANTIRETROVIRAUX ET IO</v>
      </c>
      <c r="F296" s="14" t="s">
        <v>788</v>
      </c>
      <c r="G296" s="16">
        <f>DATE(YEAR(SUBSTITUTE(LEFT(Base_report!F295,10),"-","/")),MONTH(SUBSTITUTE(LEFT(Base_report!F295,10),"-","/")),DAY(SUBSTITUTE(LEFT(Base_report!F295,10),"-","/")))</f>
        <v>45294</v>
      </c>
      <c r="H296" s="16">
        <f>DATE(YEAR(SUBSTITUTE(LEFT(Base_report!G295,10),"-","/")),MONTH(SUBSTITUTE(LEFT(Base_report!G295,10),"-","/")),DAY(SUBSTITUTE(LEFT(Base_report!G295,10),"-","/")))</f>
        <v>45296</v>
      </c>
      <c r="I296" s="17" t="str">
        <f t="shared" si="1"/>
        <v>OUI</v>
      </c>
      <c r="J296" s="18">
        <f>IF(L296="DS",DATE(RIGHT(B296,4),VLOOKUP(LEFT(B296,LEN(B296)-5),Feuil1!$E$3:$F$19,2,FALSE)+1,10),DATE(RIGHT(B296,4),VLOOKUP(LEFT(B296,LEN(B296)-5),Feuil1!$E$3:$F$19,2,FALSE)+1,7))</f>
        <v>45298</v>
      </c>
      <c r="K296" s="19">
        <f t="shared" si="2"/>
        <v>1</v>
      </c>
      <c r="L296" s="6" t="str">
        <f t="shared" si="3"/>
        <v>FS</v>
      </c>
    </row>
    <row r="297" ht="14.25" customHeight="1">
      <c r="A297" s="14" t="str">
        <f>Base_report!A296</f>
        <v>GOH</v>
      </c>
      <c r="B297" s="14" t="str">
        <f>Base_report!B296</f>
        <v>DECEMBRE 2023</v>
      </c>
      <c r="C297" s="15" t="str">
        <f>Base_report!C296</f>
        <v>C2060</v>
      </c>
      <c r="D297" s="14" t="str">
        <f>TRIM(IF(ISNUMBER(FIND("PNSME",Base_report!D296,1)),SUBSTITUTE(Base_report!D296,"PNSME",""),IF(ISNUMBER(FIND("PHG",Base_report!D296,1)),SUBSTITUTE(Base_report!D296,"PHG",""),IF(ISNUMBER(FIND("PCS",Base_report!D296,1)),SUBSTITUTE(Base_report!D296,"PCS",""),IF(ISNUMBER(FIND("CMU",Base_report!D296,1)),SUBSTITUTE(Base_report!D296,"CMU",""),Base_report!D296)))))</f>
        <v>HOPITAL GENERAL OUME</v>
      </c>
      <c r="E297" s="14" t="str">
        <f>SUBSTITUTE(Base_report!E296,"-","/")</f>
        <v>PNLS/ANTIRETROVIRAUX ET IO</v>
      </c>
      <c r="F297" s="14" t="s">
        <v>788</v>
      </c>
      <c r="G297" s="16">
        <f>DATE(YEAR(SUBSTITUTE(LEFT(Base_report!F296,10),"-","/")),MONTH(SUBSTITUTE(LEFT(Base_report!F296,10),"-","/")),DAY(SUBSTITUTE(LEFT(Base_report!F296,10),"-","/")))</f>
        <v>45295</v>
      </c>
      <c r="H297" s="16">
        <f>DATE(YEAR(SUBSTITUTE(LEFT(Base_report!G296,10),"-","/")),MONTH(SUBSTITUTE(LEFT(Base_report!G296,10),"-","/")),DAY(SUBSTITUTE(LEFT(Base_report!G296,10),"-","/")))</f>
        <v>45296</v>
      </c>
      <c r="I297" s="17" t="str">
        <f t="shared" si="1"/>
        <v>OUI</v>
      </c>
      <c r="J297" s="18">
        <f>IF(L297="DS",DATE(RIGHT(B297,4),VLOOKUP(LEFT(B297,LEN(B297)-5),Feuil1!$E$3:$F$19,2,FALSE)+1,10),DATE(RIGHT(B297,4),VLOOKUP(LEFT(B297,LEN(B297)-5),Feuil1!$E$3:$F$19,2,FALSE)+1,7))</f>
        <v>45298</v>
      </c>
      <c r="K297" s="19">
        <f t="shared" si="2"/>
        <v>1</v>
      </c>
      <c r="L297" s="6" t="str">
        <f t="shared" si="3"/>
        <v>FS</v>
      </c>
    </row>
    <row r="298" ht="14.25" customHeight="1">
      <c r="A298" s="14" t="str">
        <f>Base_report!A297</f>
        <v>ABIDJAN 2</v>
      </c>
      <c r="B298" s="14" t="str">
        <f>Base_report!B297</f>
        <v>DECEMBRE 2023</v>
      </c>
      <c r="C298" s="15" t="str">
        <f>Base_report!C297</f>
        <v>C1407</v>
      </c>
      <c r="D298" s="14" t="str">
        <f>TRIM(IF(ISNUMBER(FIND("PNSME",Base_report!D297,1)),SUBSTITUTE(Base_report!D297,"PNSME",""),IF(ISNUMBER(FIND("PHG",Base_report!D297,1)),SUBSTITUTE(Base_report!D297,"PHG",""),IF(ISNUMBER(FIND("PCS",Base_report!D297,1)),SUBSTITUTE(Base_report!D297,"PCS",""),IF(ISNUMBER(FIND("CMU",Base_report!D297,1)),SUBSTITUTE(Base_report!D297,"CMU",""),Base_report!D297)))))</f>
        <v>CIRBA</v>
      </c>
      <c r="E298" s="14" t="str">
        <f>SUBSTITUTE(Base_report!E297,"-","/")</f>
        <v>PNLS/ANTIRETROVIRAUX ET IO</v>
      </c>
      <c r="F298" s="14" t="s">
        <v>788</v>
      </c>
      <c r="G298" s="16">
        <f>DATE(YEAR(SUBSTITUTE(LEFT(Base_report!F297,10),"-","/")),MONTH(SUBSTITUTE(LEFT(Base_report!F297,10),"-","/")),DAY(SUBSTITUTE(LEFT(Base_report!F297,10),"-","/")))</f>
        <v>45294</v>
      </c>
      <c r="H298" s="16">
        <f>DATE(YEAR(SUBSTITUTE(LEFT(Base_report!G297,10),"-","/")),MONTH(SUBSTITUTE(LEFT(Base_report!G297,10),"-","/")),DAY(SUBSTITUTE(LEFT(Base_report!G297,10),"-","/")))</f>
        <v>45295</v>
      </c>
      <c r="I298" s="17" t="str">
        <f t="shared" si="1"/>
        <v>OUI</v>
      </c>
      <c r="J298" s="18">
        <f>IF(L298="DS",DATE(RIGHT(B298,4),VLOOKUP(LEFT(B298,LEN(B298)-5),Feuil1!$E$3:$F$19,2,FALSE)+1,10),DATE(RIGHT(B298,4),VLOOKUP(LEFT(B298,LEN(B298)-5),Feuil1!$E$3:$F$19,2,FALSE)+1,7))</f>
        <v>45298</v>
      </c>
      <c r="K298" s="19">
        <f t="shared" si="2"/>
        <v>1</v>
      </c>
      <c r="L298" s="6" t="str">
        <f t="shared" si="3"/>
        <v>FS</v>
      </c>
    </row>
    <row r="299" ht="14.25" customHeight="1">
      <c r="A299" s="14" t="str">
        <f>Base_report!A298</f>
        <v>GBEKE</v>
      </c>
      <c r="B299" s="14" t="str">
        <f>Base_report!B298</f>
        <v>DECEMBRE 2023</v>
      </c>
      <c r="C299" s="15" t="str">
        <f>Base_report!C298</f>
        <v>C2047</v>
      </c>
      <c r="D299" s="14" t="str">
        <f>TRIM(IF(ISNUMBER(FIND("PNSME",Base_report!D298,1)),SUBSTITUTE(Base_report!D298,"PNSME",""),IF(ISNUMBER(FIND("PHG",Base_report!D298,1)),SUBSTITUTE(Base_report!D298,"PHG",""),IF(ISNUMBER(FIND("PCS",Base_report!D298,1)),SUBSTITUTE(Base_report!D298,"PCS",""),IF(ISNUMBER(FIND("CMU",Base_report!D298,1)),SUBSTITUTE(Base_report!D298,"CMU",""),Base_report!D298)))))</f>
        <v>HOPITAL GENERAL BEOUMI</v>
      </c>
      <c r="E299" s="14" t="str">
        <f>SUBSTITUTE(Base_report!E298,"-","/")</f>
        <v>PNLS/PRODUITS DE LABORATOIRE</v>
      </c>
      <c r="F299" s="14" t="s">
        <v>788</v>
      </c>
      <c r="G299" s="16">
        <f>DATE(YEAR(SUBSTITUTE(LEFT(Base_report!F298,10),"-","/")),MONTH(SUBSTITUTE(LEFT(Base_report!F298,10),"-","/")),DAY(SUBSTITUTE(LEFT(Base_report!F298,10),"-","/")))</f>
        <v>45296</v>
      </c>
      <c r="H299" s="16">
        <f>DATE(YEAR(SUBSTITUTE(LEFT(Base_report!G298,10),"-","/")),MONTH(SUBSTITUTE(LEFT(Base_report!G298,10),"-","/")),DAY(SUBSTITUTE(LEFT(Base_report!G298,10),"-","/")))</f>
        <v>45297</v>
      </c>
      <c r="I299" s="17" t="str">
        <f t="shared" si="1"/>
        <v>OUI</v>
      </c>
      <c r="J299" s="18">
        <f>IF(L299="DS",DATE(RIGHT(B299,4),VLOOKUP(LEFT(B299,LEN(B299)-5),Feuil1!$E$3:$F$19,2,FALSE)+1,10),DATE(RIGHT(B299,4),VLOOKUP(LEFT(B299,LEN(B299)-5),Feuil1!$E$3:$F$19,2,FALSE)+1,7))</f>
        <v>45298</v>
      </c>
      <c r="K299" s="19">
        <f t="shared" si="2"/>
        <v>1</v>
      </c>
      <c r="L299" s="6" t="str">
        <f t="shared" si="3"/>
        <v>FS</v>
      </c>
    </row>
    <row r="300" ht="14.25" customHeight="1">
      <c r="A300" s="14" t="str">
        <f>Base_report!A299</f>
        <v>GOH</v>
      </c>
      <c r="B300" s="14" t="str">
        <f>Base_report!B299</f>
        <v>DECEMBRE 2023</v>
      </c>
      <c r="C300" s="15" t="str">
        <f>Base_report!C299</f>
        <v>C2060</v>
      </c>
      <c r="D300" s="14" t="str">
        <f>TRIM(IF(ISNUMBER(FIND("PNSME",Base_report!D299,1)),SUBSTITUTE(Base_report!D299,"PNSME",""),IF(ISNUMBER(FIND("PHG",Base_report!D299,1)),SUBSTITUTE(Base_report!D299,"PHG",""),IF(ISNUMBER(FIND("PCS",Base_report!D299,1)),SUBSTITUTE(Base_report!D299,"PCS",""),IF(ISNUMBER(FIND("CMU",Base_report!D299,1)),SUBSTITUTE(Base_report!D299,"CMU",""),Base_report!D299)))))</f>
        <v>HOPITAL GENERAL OUME</v>
      </c>
      <c r="E300" s="14" t="str">
        <f>SUBSTITUTE(Base_report!E299,"-","/")</f>
        <v>PNLS/CHARGES VIRALES</v>
      </c>
      <c r="F300" s="14" t="s">
        <v>788</v>
      </c>
      <c r="G300" s="16">
        <f>DATE(YEAR(SUBSTITUTE(LEFT(Base_report!F299,10),"-","/")),MONTH(SUBSTITUTE(LEFT(Base_report!F299,10),"-","/")),DAY(SUBSTITUTE(LEFT(Base_report!F299,10),"-","/")))</f>
        <v>45296</v>
      </c>
      <c r="H300" s="16">
        <f>DATE(YEAR(SUBSTITUTE(LEFT(Base_report!G299,10),"-","/")),MONTH(SUBSTITUTE(LEFT(Base_report!G299,10),"-","/")),DAY(SUBSTITUTE(LEFT(Base_report!G299,10),"-","/")))</f>
        <v>45296</v>
      </c>
      <c r="I300" s="17" t="str">
        <f t="shared" si="1"/>
        <v>OUI</v>
      </c>
      <c r="J300" s="18">
        <f>IF(L300="DS",DATE(RIGHT(B300,4),VLOOKUP(LEFT(B300,LEN(B300)-5),Feuil1!$E$3:$F$19,2,FALSE)+1,10),DATE(RIGHT(B300,4),VLOOKUP(LEFT(B300,LEN(B300)-5),Feuil1!$E$3:$F$19,2,FALSE)+1,7))</f>
        <v>45298</v>
      </c>
      <c r="K300" s="19">
        <f t="shared" si="2"/>
        <v>1</v>
      </c>
      <c r="L300" s="6" t="str">
        <f t="shared" si="3"/>
        <v>FS</v>
      </c>
    </row>
    <row r="301" ht="14.25" customHeight="1">
      <c r="A301" s="14" t="str">
        <f>Base_report!A300</f>
        <v>ABIDJAN 2</v>
      </c>
      <c r="B301" s="14" t="str">
        <f>Base_report!B300</f>
        <v>DECEMBRE 2023</v>
      </c>
      <c r="C301" s="15" t="str">
        <f>Base_report!C300</f>
        <v>C1072</v>
      </c>
      <c r="D301" s="14" t="str">
        <f>TRIM(IF(ISNUMBER(FIND("PNSME",Base_report!D300,1)),SUBSTITUTE(Base_report!D300,"PNSME",""),IF(ISNUMBER(FIND("PHG",Base_report!D300,1)),SUBSTITUTE(Base_report!D300,"PHG",""),IF(ISNUMBER(FIND("PCS",Base_report!D300,1)),SUBSTITUTE(Base_report!D300,"PCS",""),IF(ISNUMBER(FIND("CMU",Base_report!D300,1)),SUBSTITUTE(Base_report!D300,"CMU",""),Base_report!D300)))))</f>
        <v>FSU COM VRIDI CANAL</v>
      </c>
      <c r="E301" s="14" t="str">
        <f>SUBSTITUTE(Base_report!E300,"-","/")</f>
        <v>PNSME/MEDICAMENTS ET INTRANTS</v>
      </c>
      <c r="F301" s="14" t="s">
        <v>788</v>
      </c>
      <c r="G301" s="16">
        <f>DATE(YEAR(SUBSTITUTE(LEFT(Base_report!F300,10),"-","/")),MONTH(SUBSTITUTE(LEFT(Base_report!F300,10),"-","/")),DAY(SUBSTITUTE(LEFT(Base_report!F300,10),"-","/")))</f>
        <v>45266</v>
      </c>
      <c r="H301" s="16">
        <f>DATE(YEAR(SUBSTITUTE(LEFT(Base_report!G300,10),"-","/")),MONTH(SUBSTITUTE(LEFT(Base_report!G300,10),"-","/")),DAY(SUBSTITUTE(LEFT(Base_report!G300,10),"-","/")))</f>
        <v>45266</v>
      </c>
      <c r="I301" s="17" t="str">
        <f t="shared" si="1"/>
        <v>OUI</v>
      </c>
      <c r="J301" s="18">
        <f>IF(L301="DS",DATE(RIGHT(B301,4),VLOOKUP(LEFT(B301,LEN(B301)-5),Feuil1!$E$3:$F$19,2,FALSE)+1,10),DATE(RIGHT(B301,4),VLOOKUP(LEFT(B301,LEN(B301)-5),Feuil1!$E$3:$F$19,2,FALSE)+1,7))</f>
        <v>45298</v>
      </c>
      <c r="K301" s="19">
        <f t="shared" si="2"/>
        <v>1</v>
      </c>
      <c r="L301" s="6" t="str">
        <f t="shared" si="3"/>
        <v>FS</v>
      </c>
    </row>
    <row r="302" ht="14.25" customHeight="1">
      <c r="A302" s="14" t="str">
        <f>Base_report!A301</f>
        <v>TCHOLOGO</v>
      </c>
      <c r="B302" s="14" t="str">
        <f>Base_report!B301</f>
        <v>DECEMBRE 2023</v>
      </c>
      <c r="C302" s="15" t="str">
        <f>Base_report!C301</f>
        <v>C3046</v>
      </c>
      <c r="D302" s="14" t="str">
        <f>TRIM(IF(ISNUMBER(FIND("PNSME",Base_report!D301,1)),SUBSTITUTE(Base_report!D301,"PNSME",""),IF(ISNUMBER(FIND("PHG",Base_report!D301,1)),SUBSTITUTE(Base_report!D301,"PHG",""),IF(ISNUMBER(FIND("PCS",Base_report!D301,1)),SUBSTITUTE(Base_report!D301,"PCS",""),IF(ISNUMBER(FIND("CMU",Base_report!D301,1)),SUBSTITUTE(Base_report!D301,"CMU",""),Base_report!D301)))))</f>
        <v>DISTRICT SANITAIRE OUANGOLO</v>
      </c>
      <c r="E302" s="14" t="str">
        <f>SUBSTITUTE(Base_report!E301,"-","/")</f>
        <v>PNN/MEDICAMENTS ET INTRANTS</v>
      </c>
      <c r="F302" s="14" t="s">
        <v>788</v>
      </c>
      <c r="G302" s="16">
        <f>DATE(YEAR(SUBSTITUTE(LEFT(Base_report!F301,10),"-","/")),MONTH(SUBSTITUTE(LEFT(Base_report!F301,10),"-","/")),DAY(SUBSTITUTE(LEFT(Base_report!F301,10),"-","/")))</f>
        <v>45266</v>
      </c>
      <c r="H302" s="16">
        <f>DATE(YEAR(SUBSTITUTE(LEFT(Base_report!G301,10),"-","/")),MONTH(SUBSTITUTE(LEFT(Base_report!G301,10),"-","/")),DAY(SUBSTITUTE(LEFT(Base_report!G301,10),"-","/")))</f>
        <v>45266</v>
      </c>
      <c r="I302" s="17" t="str">
        <f t="shared" si="1"/>
        <v>OUI</v>
      </c>
      <c r="J302" s="18">
        <f>IF(L302="DS",DATE(RIGHT(B302,4),VLOOKUP(LEFT(B302,LEN(B302)-5),Feuil1!$E$3:$F$19,2,FALSE)+1,10),DATE(RIGHT(B302,4),VLOOKUP(LEFT(B302,LEN(B302)-5),Feuil1!$E$3:$F$19,2,FALSE)+1,7))</f>
        <v>45301</v>
      </c>
      <c r="K302" s="19">
        <f t="shared" si="2"/>
        <v>1</v>
      </c>
      <c r="L302" s="6" t="str">
        <f t="shared" si="3"/>
        <v>DS</v>
      </c>
    </row>
    <row r="303" ht="14.25" customHeight="1">
      <c r="A303" s="14" t="str">
        <f>Base_report!A302</f>
        <v>PORO</v>
      </c>
      <c r="B303" s="14" t="str">
        <f>Base_report!B302</f>
        <v>DECEMBRE 2023</v>
      </c>
      <c r="C303" s="15" t="str">
        <f>Base_report!C302</f>
        <v>C3043</v>
      </c>
      <c r="D303" s="14" t="str">
        <f>TRIM(IF(ISNUMBER(FIND("PNSME",Base_report!D302,1)),SUBSTITUTE(Base_report!D302,"PNSME",""),IF(ISNUMBER(FIND("PHG",Base_report!D302,1)),SUBSTITUTE(Base_report!D302,"PHG",""),IF(ISNUMBER(FIND("PCS",Base_report!D302,1)),SUBSTITUTE(Base_report!D302,"PCS",""),IF(ISNUMBER(FIND("CMU",Base_report!D302,1)),SUBSTITUTE(Base_report!D302,"CMU",""),Base_report!D302)))))</f>
        <v>HOPITAL GENERAL DIKODOUGOU</v>
      </c>
      <c r="E303" s="14" t="str">
        <f>SUBSTITUTE(Base_report!E302,"-","/")</f>
        <v>PNSME/MEDICAMENTS ET INTRANTS</v>
      </c>
      <c r="F303" s="14" t="s">
        <v>788</v>
      </c>
      <c r="G303" s="16">
        <f>DATE(YEAR(SUBSTITUTE(LEFT(Base_report!F302,10),"-","/")),MONTH(SUBSTITUTE(LEFT(Base_report!F302,10),"-","/")),DAY(SUBSTITUTE(LEFT(Base_report!F302,10),"-","/")))</f>
        <v>45296</v>
      </c>
      <c r="H303" s="16">
        <f>DATE(YEAR(SUBSTITUTE(LEFT(Base_report!G302,10),"-","/")),MONTH(SUBSTITUTE(LEFT(Base_report!G302,10),"-","/")),DAY(SUBSTITUTE(LEFT(Base_report!G302,10),"-","/")))</f>
        <v>45298</v>
      </c>
      <c r="I303" s="17" t="str">
        <f t="shared" si="1"/>
        <v>OUI</v>
      </c>
      <c r="J303" s="18">
        <f>IF(L303="DS",DATE(RIGHT(B303,4),VLOOKUP(LEFT(B303,LEN(B303)-5),Feuil1!$E$3:$F$19,2,FALSE)+1,10),DATE(RIGHT(B303,4),VLOOKUP(LEFT(B303,LEN(B303)-5),Feuil1!$E$3:$F$19,2,FALSE)+1,7))</f>
        <v>45298</v>
      </c>
      <c r="K303" s="19">
        <f t="shared" si="2"/>
        <v>1</v>
      </c>
      <c r="L303" s="6" t="str">
        <f t="shared" si="3"/>
        <v>FS</v>
      </c>
    </row>
    <row r="304" ht="14.25" customHeight="1">
      <c r="A304" s="14" t="str">
        <f>Base_report!A303</f>
        <v>ABIDJAN 1</v>
      </c>
      <c r="B304" s="14" t="str">
        <f>Base_report!B303</f>
        <v>DECEMBRE 2023</v>
      </c>
      <c r="C304" s="15" t="str">
        <f>Base_report!C303</f>
        <v>C1021</v>
      </c>
      <c r="D304" s="14" t="str">
        <f>TRIM(IF(ISNUMBER(FIND("PNSME",Base_report!D303,1)),SUBSTITUTE(Base_report!D303,"PNSME",""),IF(ISNUMBER(FIND("PHG",Base_report!D303,1)),SUBSTITUTE(Base_report!D303,"PHG",""),IF(ISNUMBER(FIND("PCS",Base_report!D303,1)),SUBSTITUTE(Base_report!D303,"PCS",""),IF(ISNUMBER(FIND("CMU",Base_report!D303,1)),SUBSTITUTE(Base_report!D303,"CMU",""),Base_report!D303)))))</f>
        <v>CSU COM BOCABO</v>
      </c>
      <c r="E304" s="14" t="str">
        <f>SUBSTITUTE(Base_report!E303,"-","/")</f>
        <v>PNLP/MEDICAMENTS ET INTRANTS</v>
      </c>
      <c r="F304" s="14" t="s">
        <v>788</v>
      </c>
      <c r="G304" s="16">
        <f>DATE(YEAR(SUBSTITUTE(LEFT(Base_report!F303,10),"-","/")),MONTH(SUBSTITUTE(LEFT(Base_report!F303,10),"-","/")),DAY(SUBSTITUTE(LEFT(Base_report!F303,10),"-","/")))</f>
        <v>45299</v>
      </c>
      <c r="H304" s="16">
        <f>DATE(YEAR(SUBSTITUTE(LEFT(Base_report!G303,10),"-","/")),MONTH(SUBSTITUTE(LEFT(Base_report!G303,10),"-","/")),DAY(SUBSTITUTE(LEFT(Base_report!G303,10),"-","/")))</f>
        <v>45299</v>
      </c>
      <c r="I304" s="17" t="str">
        <f t="shared" si="1"/>
        <v>OUI</v>
      </c>
      <c r="J304" s="18">
        <f>IF(L304="DS",DATE(RIGHT(B304,4),VLOOKUP(LEFT(B304,LEN(B304)-5),Feuil1!$E$3:$F$19,2,FALSE)+1,10),DATE(RIGHT(B304,4),VLOOKUP(LEFT(B304,LEN(B304)-5),Feuil1!$E$3:$F$19,2,FALSE)+1,7))</f>
        <v>45298</v>
      </c>
      <c r="K304" s="19">
        <f t="shared" si="2"/>
        <v>0</v>
      </c>
      <c r="L304" s="6" t="str">
        <f t="shared" si="3"/>
        <v>FS</v>
      </c>
    </row>
    <row r="305" ht="14.25" customHeight="1">
      <c r="A305" s="14" t="str">
        <f>Base_report!A304</f>
        <v>TCHOLOGO</v>
      </c>
      <c r="B305" s="14" t="str">
        <f>Base_report!B304</f>
        <v>DECEMBRE 2023</v>
      </c>
      <c r="C305" s="15" t="str">
        <f>Base_report!C304</f>
        <v>C3046</v>
      </c>
      <c r="D305" s="14" t="str">
        <f>TRIM(IF(ISNUMBER(FIND("PNSME",Base_report!D304,1)),SUBSTITUTE(Base_report!D304,"PNSME",""),IF(ISNUMBER(FIND("PHG",Base_report!D304,1)),SUBSTITUTE(Base_report!D304,"PHG",""),IF(ISNUMBER(FIND("PCS",Base_report!D304,1)),SUBSTITUTE(Base_report!D304,"PCS",""),IF(ISNUMBER(FIND("CMU",Base_report!D304,1)),SUBSTITUTE(Base_report!D304,"CMU",""),Base_report!D304)))))</f>
        <v>DISTRICT SANITAIRE OUANGOLO</v>
      </c>
      <c r="E305" s="14" t="str">
        <f>SUBSTITUTE(Base_report!E304,"-","/")</f>
        <v>PNSME/MEDICAMENTS ET INTRANTS</v>
      </c>
      <c r="F305" s="14" t="s">
        <v>788</v>
      </c>
      <c r="G305" s="16">
        <f>DATE(YEAR(SUBSTITUTE(LEFT(Base_report!F304,10),"-","/")),MONTH(SUBSTITUTE(LEFT(Base_report!F304,10),"-","/")),DAY(SUBSTITUTE(LEFT(Base_report!F304,10),"-","/")))</f>
        <v>45267</v>
      </c>
      <c r="H305" s="16">
        <f>DATE(YEAR(SUBSTITUTE(LEFT(Base_report!G304,10),"-","/")),MONTH(SUBSTITUTE(LEFT(Base_report!G304,10),"-","/")),DAY(SUBSTITUTE(LEFT(Base_report!G304,10),"-","/")))</f>
        <v>45268</v>
      </c>
      <c r="I305" s="17" t="str">
        <f t="shared" si="1"/>
        <v>OUI</v>
      </c>
      <c r="J305" s="18">
        <f>IF(L305="DS",DATE(RIGHT(B305,4),VLOOKUP(LEFT(B305,LEN(B305)-5),Feuil1!$E$3:$F$19,2,FALSE)+1,10),DATE(RIGHT(B305,4),VLOOKUP(LEFT(B305,LEN(B305)-5),Feuil1!$E$3:$F$19,2,FALSE)+1,7))</f>
        <v>45301</v>
      </c>
      <c r="K305" s="19">
        <f t="shared" si="2"/>
        <v>1</v>
      </c>
      <c r="L305" s="6" t="str">
        <f t="shared" si="3"/>
        <v>DS</v>
      </c>
    </row>
    <row r="306" ht="14.25" customHeight="1">
      <c r="A306" s="14" t="str">
        <f>Base_report!A305</f>
        <v>BOUNKANI</v>
      </c>
      <c r="B306" s="14" t="str">
        <f>Base_report!B305</f>
        <v>DECEMBRE 2023</v>
      </c>
      <c r="C306" s="15" t="str">
        <f>Base_report!C305</f>
        <v>C4018</v>
      </c>
      <c r="D306" s="14" t="str">
        <f>TRIM(IF(ISNUMBER(FIND("PNSME",Base_report!D305,1)),SUBSTITUTE(Base_report!D305,"PNSME",""),IF(ISNUMBER(FIND("PHG",Base_report!D305,1)),SUBSTITUTE(Base_report!D305,"PHG",""),IF(ISNUMBER(FIND("PCS",Base_report!D305,1)),SUBSTITUTE(Base_report!D305,"PCS",""),IF(ISNUMBER(FIND("CMU",Base_report!D305,1)),SUBSTITUTE(Base_report!D305,"CMU",""),Base_report!D305)))))</f>
        <v>HOPITAL GENERAL BOUNA</v>
      </c>
      <c r="E306" s="14" t="str">
        <f>SUBSTITUTE(Base_report!E305,"-","/")</f>
        <v>PNLS/PRODUITS DE LABORATOIRE</v>
      </c>
      <c r="F306" s="14" t="s">
        <v>788</v>
      </c>
      <c r="G306" s="16">
        <f>DATE(YEAR(SUBSTITUTE(LEFT(Base_report!F305,10),"-","/")),MONTH(SUBSTITUTE(LEFT(Base_report!F305,10),"-","/")),DAY(SUBSTITUTE(LEFT(Base_report!F305,10),"-","/")))</f>
        <v>45267</v>
      </c>
      <c r="H306" s="16">
        <f>DATE(YEAR(SUBSTITUTE(LEFT(Base_report!G305,10),"-","/")),MONTH(SUBSTITUTE(LEFT(Base_report!G305,10),"-","/")),DAY(SUBSTITUTE(LEFT(Base_report!G305,10),"-","/")))</f>
        <v>45299</v>
      </c>
      <c r="I306" s="17" t="str">
        <f t="shared" si="1"/>
        <v>OUI</v>
      </c>
      <c r="J306" s="18">
        <f>IF(L306="DS",DATE(RIGHT(B306,4),VLOOKUP(LEFT(B306,LEN(B306)-5),Feuil1!$E$3:$F$19,2,FALSE)+1,10),DATE(RIGHT(B306,4),VLOOKUP(LEFT(B306,LEN(B306)-5),Feuil1!$E$3:$F$19,2,FALSE)+1,7))</f>
        <v>45298</v>
      </c>
      <c r="K306" s="19">
        <f t="shared" si="2"/>
        <v>0</v>
      </c>
      <c r="L306" s="6" t="str">
        <f t="shared" si="3"/>
        <v>FS</v>
      </c>
    </row>
    <row r="307" ht="14.25" customHeight="1">
      <c r="A307" s="14" t="str">
        <f>Base_report!A306</f>
        <v>ABIDJAN 2</v>
      </c>
      <c r="B307" s="14" t="str">
        <f>Base_report!B306</f>
        <v>DECEMBRE 2023</v>
      </c>
      <c r="C307" s="15" t="str">
        <f>Base_report!C306</f>
        <v>C1062</v>
      </c>
      <c r="D307" s="14" t="str">
        <f>TRIM(IF(ISNUMBER(FIND("PNSME",Base_report!D306,1)),SUBSTITUTE(Base_report!D306,"PNSME",""),IF(ISNUMBER(FIND("PHG",Base_report!D306,1)),SUBSTITUTE(Base_report!D306,"PHG",""),IF(ISNUMBER(FIND("PCS",Base_report!D306,1)),SUBSTITUTE(Base_report!D306,"PCS",""),IF(ISNUMBER(FIND("CMU",Base_report!D306,1)),SUBSTITUTE(Base_report!D306,"CMU",""),Base_report!D306)))))</f>
        <v>FSU WILLIAMSVILLE</v>
      </c>
      <c r="E307" s="14" t="str">
        <f>SUBSTITUTE(Base_report!E306,"-","/")</f>
        <v>PNSME/MEDICAMENTS ET INTRANTS</v>
      </c>
      <c r="F307" s="14" t="s">
        <v>788</v>
      </c>
      <c r="G307" s="16">
        <f>DATE(YEAR(SUBSTITUTE(LEFT(Base_report!F306,10),"-","/")),MONTH(SUBSTITUTE(LEFT(Base_report!F306,10),"-","/")),DAY(SUBSTITUTE(LEFT(Base_report!F306,10),"-","/")))</f>
        <v>45267</v>
      </c>
      <c r="H307" s="16">
        <f>DATE(YEAR(SUBSTITUTE(LEFT(Base_report!G306,10),"-","/")),MONTH(SUBSTITUTE(LEFT(Base_report!G306,10),"-","/")),DAY(SUBSTITUTE(LEFT(Base_report!G306,10),"-","/")))</f>
        <v>45267</v>
      </c>
      <c r="I307" s="17" t="str">
        <f t="shared" si="1"/>
        <v>OUI</v>
      </c>
      <c r="J307" s="18">
        <f>IF(L307="DS",DATE(RIGHT(B307,4),VLOOKUP(LEFT(B307,LEN(B307)-5),Feuil1!$E$3:$F$19,2,FALSE)+1,10),DATE(RIGHT(B307,4),VLOOKUP(LEFT(B307,LEN(B307)-5),Feuil1!$E$3:$F$19,2,FALSE)+1,7))</f>
        <v>45298</v>
      </c>
      <c r="K307" s="19">
        <f t="shared" si="2"/>
        <v>1</v>
      </c>
      <c r="L307" s="6" t="str">
        <f t="shared" si="3"/>
        <v>FS</v>
      </c>
    </row>
    <row r="308" ht="14.25" customHeight="1">
      <c r="A308" s="14" t="str">
        <f>Base_report!A307</f>
        <v>SAN PEDRO</v>
      </c>
      <c r="B308" s="14" t="str">
        <f>Base_report!B307</f>
        <v>DECEMBRE 2023</v>
      </c>
      <c r="C308" s="15" t="str">
        <f>Base_report!C307</f>
        <v>C2018</v>
      </c>
      <c r="D308" s="14" t="str">
        <f>TRIM(IF(ISNUMBER(FIND("PNSME",Base_report!D307,1)),SUBSTITUTE(Base_report!D307,"PNSME",""),IF(ISNUMBER(FIND("PHG",Base_report!D307,1)),SUBSTITUTE(Base_report!D307,"PHG",""),IF(ISNUMBER(FIND("PCS",Base_report!D307,1)),SUBSTITUTE(Base_report!D307,"PCS",""),IF(ISNUMBER(FIND("CMU",Base_report!D307,1)),SUBSTITUTE(Base_report!D307,"CMU",""),Base_report!D307)))))</f>
        <v>CSU SAN-PEDRO</v>
      </c>
      <c r="E308" s="14" t="str">
        <f>SUBSTITUTE(Base_report!E307,"-","/")</f>
        <v>PNLP/MEDICAMENTS ET INTRANTS</v>
      </c>
      <c r="F308" s="14" t="s">
        <v>788</v>
      </c>
      <c r="G308" s="16">
        <f>DATE(YEAR(SUBSTITUTE(LEFT(Base_report!F307,10),"-","/")),MONTH(SUBSTITUTE(LEFT(Base_report!F307,10),"-","/")),DAY(SUBSTITUTE(LEFT(Base_report!F307,10),"-","/")))</f>
        <v>45293</v>
      </c>
      <c r="H308" s="16">
        <f>DATE(YEAR(SUBSTITUTE(LEFT(Base_report!G307,10),"-","/")),MONTH(SUBSTITUTE(LEFT(Base_report!G307,10),"-","/")),DAY(SUBSTITUTE(LEFT(Base_report!G307,10),"-","/")))</f>
        <v>45296</v>
      </c>
      <c r="I308" s="17" t="str">
        <f t="shared" si="1"/>
        <v>OUI</v>
      </c>
      <c r="J308" s="18">
        <f>IF(L308="DS",DATE(RIGHT(B308,4),VLOOKUP(LEFT(B308,LEN(B308)-5),Feuil1!$E$3:$F$19,2,FALSE)+1,10),DATE(RIGHT(B308,4),VLOOKUP(LEFT(B308,LEN(B308)-5),Feuil1!$E$3:$F$19,2,FALSE)+1,7))</f>
        <v>45298</v>
      </c>
      <c r="K308" s="19">
        <f t="shared" si="2"/>
        <v>1</v>
      </c>
      <c r="L308" s="6" t="str">
        <f t="shared" si="3"/>
        <v>FS</v>
      </c>
    </row>
    <row r="309" ht="14.25" customHeight="1">
      <c r="A309" s="14" t="str">
        <f>Base_report!A308</f>
        <v>ABIDJAN 2</v>
      </c>
      <c r="B309" s="14" t="str">
        <f>Base_report!B308</f>
        <v>DECEMBRE 2023</v>
      </c>
      <c r="C309" s="15" t="str">
        <f>Base_report!C308</f>
        <v>C1062</v>
      </c>
      <c r="D309" s="14" t="str">
        <f>TRIM(IF(ISNUMBER(FIND("PNSME",Base_report!D308,1)),SUBSTITUTE(Base_report!D308,"PNSME",""),IF(ISNUMBER(FIND("PHG",Base_report!D308,1)),SUBSTITUTE(Base_report!D308,"PHG",""),IF(ISNUMBER(FIND("PCS",Base_report!D308,1)),SUBSTITUTE(Base_report!D308,"PCS",""),IF(ISNUMBER(FIND("CMU",Base_report!D308,1)),SUBSTITUTE(Base_report!D308,"CMU",""),Base_report!D308)))))</f>
        <v>FSU WILLIAMSVILLE</v>
      </c>
      <c r="E309" s="14" t="str">
        <f>SUBSTITUTE(Base_report!E308,"-","/")</f>
        <v>PNLP/MEDICAMENTS ET INTRANTS</v>
      </c>
      <c r="F309" s="14" t="s">
        <v>788</v>
      </c>
      <c r="G309" s="16">
        <f>DATE(YEAR(SUBSTITUTE(LEFT(Base_report!F308,10),"-","/")),MONTH(SUBSTITUTE(LEFT(Base_report!F308,10),"-","/")),DAY(SUBSTITUTE(LEFT(Base_report!F308,10),"-","/")))</f>
        <v>45298</v>
      </c>
      <c r="H309" s="16">
        <f>DATE(YEAR(SUBSTITUTE(LEFT(Base_report!G308,10),"-","/")),MONTH(SUBSTITUTE(LEFT(Base_report!G308,10),"-","/")),DAY(SUBSTITUTE(LEFT(Base_report!G308,10),"-","/")))</f>
        <v>45298</v>
      </c>
      <c r="I309" s="17" t="str">
        <f t="shared" si="1"/>
        <v>OUI</v>
      </c>
      <c r="J309" s="18">
        <f>IF(L309="DS",DATE(RIGHT(B309,4),VLOOKUP(LEFT(B309,LEN(B309)-5),Feuil1!$E$3:$F$19,2,FALSE)+1,10),DATE(RIGHT(B309,4),VLOOKUP(LEFT(B309,LEN(B309)-5),Feuil1!$E$3:$F$19,2,FALSE)+1,7))</f>
        <v>45298</v>
      </c>
      <c r="K309" s="19">
        <f t="shared" si="2"/>
        <v>1</v>
      </c>
      <c r="L309" s="6" t="str">
        <f t="shared" si="3"/>
        <v>FS</v>
      </c>
    </row>
    <row r="310" ht="14.25" customHeight="1">
      <c r="A310" s="14" t="str">
        <f>Base_report!A309</f>
        <v>LOH-DJIBOUA</v>
      </c>
      <c r="B310" s="14" t="str">
        <f>Base_report!B309</f>
        <v>DECEMBRE 2023</v>
      </c>
      <c r="C310" s="15" t="str">
        <f>Base_report!C309</f>
        <v>C2005</v>
      </c>
      <c r="D310" s="14" t="str">
        <f>TRIM(IF(ISNUMBER(FIND("PNSME",Base_report!D309,1)),SUBSTITUTE(Base_report!D309,"PNSME",""),IF(ISNUMBER(FIND("PHG",Base_report!D309,1)),SUBSTITUTE(Base_report!D309,"PHG",""),IF(ISNUMBER(FIND("PCS",Base_report!D309,1)),SUBSTITUTE(Base_report!D309,"PCS",""),IF(ISNUMBER(FIND("CMU",Base_report!D309,1)),SUBSTITUTE(Base_report!D309,"CMU",""),Base_report!D309)))))</f>
        <v>CHR DIVO</v>
      </c>
      <c r="E310" s="14" t="str">
        <f>SUBSTITUTE(Base_report!E309,"-","/")</f>
        <v>PNLS/TESTS RAPIDES ET CONSOMMABLES</v>
      </c>
      <c r="F310" s="14" t="s">
        <v>788</v>
      </c>
      <c r="G310" s="16">
        <f>DATE(YEAR(SUBSTITUTE(LEFT(Base_report!F309,10),"-","/")),MONTH(SUBSTITUTE(LEFT(Base_report!F309,10),"-","/")),DAY(SUBSTITUTE(LEFT(Base_report!F309,10),"-","/")))</f>
        <v>45297</v>
      </c>
      <c r="H310" s="16">
        <f>DATE(YEAR(SUBSTITUTE(LEFT(Base_report!G309,10),"-","/")),MONTH(SUBSTITUTE(LEFT(Base_report!G309,10),"-","/")),DAY(SUBSTITUTE(LEFT(Base_report!G309,10),"-","/")))</f>
        <v>45298</v>
      </c>
      <c r="I310" s="17" t="str">
        <f t="shared" si="1"/>
        <v>OUI</v>
      </c>
      <c r="J310" s="18">
        <f>IF(L310="DS",DATE(RIGHT(B310,4),VLOOKUP(LEFT(B310,LEN(B310)-5),Feuil1!$E$3:$F$19,2,FALSE)+1,10),DATE(RIGHT(B310,4),VLOOKUP(LEFT(B310,LEN(B310)-5),Feuil1!$E$3:$F$19,2,FALSE)+1,7))</f>
        <v>45298</v>
      </c>
      <c r="K310" s="19">
        <f t="shared" si="2"/>
        <v>1</v>
      </c>
      <c r="L310" s="6" t="str">
        <f t="shared" si="3"/>
        <v>FS</v>
      </c>
    </row>
    <row r="311" ht="14.25" customHeight="1">
      <c r="A311" s="14" t="str">
        <f>Base_report!A310</f>
        <v>SUD-COMOE</v>
      </c>
      <c r="B311" s="14" t="str">
        <f>Base_report!B310</f>
        <v>DECEMBRE 2023</v>
      </c>
      <c r="C311" s="15" t="str">
        <f>Base_report!C310</f>
        <v>C1679</v>
      </c>
      <c r="D311" s="14" t="str">
        <f>TRIM(IF(ISNUMBER(FIND("PNSME",Base_report!D310,1)),SUBSTITUTE(Base_report!D310,"PNSME",""),IF(ISNUMBER(FIND("PHG",Base_report!D310,1)),SUBSTITUTE(Base_report!D310,"PHG",""),IF(ISNUMBER(FIND("PCS",Base_report!D310,1)),SUBSTITUTE(Base_report!D310,"PCS",""),IF(ISNUMBER(FIND("CMU",Base_report!D310,1)),SUBSTITUTE(Base_report!D310,"CMU",""),Base_report!D310)))))</f>
        <v>HOPITAL GENERAL TIAPOUM</v>
      </c>
      <c r="E311" s="14" t="str">
        <f>SUBSTITUTE(Base_report!E310,"-","/")</f>
        <v>PNLS/PRODUITS DE LABORATOIRE</v>
      </c>
      <c r="F311" s="14" t="s">
        <v>788</v>
      </c>
      <c r="G311" s="16">
        <f>DATE(YEAR(SUBSTITUTE(LEFT(Base_report!F310,10),"-","/")),MONTH(SUBSTITUTE(LEFT(Base_report!F310,10),"-","/")),DAY(SUBSTITUTE(LEFT(Base_report!F310,10),"-","/")))</f>
        <v>45298</v>
      </c>
      <c r="H311" s="16">
        <f>DATE(YEAR(SUBSTITUTE(LEFT(Base_report!G310,10),"-","/")),MONTH(SUBSTITUTE(LEFT(Base_report!G310,10),"-","/")),DAY(SUBSTITUTE(LEFT(Base_report!G310,10),"-","/")))</f>
        <v>45298</v>
      </c>
      <c r="I311" s="17" t="str">
        <f t="shared" si="1"/>
        <v>OUI</v>
      </c>
      <c r="J311" s="18">
        <f>IF(L311="DS",DATE(RIGHT(B311,4),VLOOKUP(LEFT(B311,LEN(B311)-5),Feuil1!$E$3:$F$19,2,FALSE)+1,10),DATE(RIGHT(B311,4),VLOOKUP(LEFT(B311,LEN(B311)-5),Feuil1!$E$3:$F$19,2,FALSE)+1,7))</f>
        <v>45298</v>
      </c>
      <c r="K311" s="19">
        <f t="shared" si="2"/>
        <v>1</v>
      </c>
      <c r="L311" s="6" t="str">
        <f t="shared" si="3"/>
        <v>FS</v>
      </c>
    </row>
    <row r="312" ht="14.25" customHeight="1">
      <c r="A312" s="14" t="str">
        <f>Base_report!A311</f>
        <v>LOH-DJIBOUA</v>
      </c>
      <c r="B312" s="14" t="str">
        <f>Base_report!B311</f>
        <v>DECEMBRE 2023</v>
      </c>
      <c r="C312" s="15" t="str">
        <f>Base_report!C311</f>
        <v>C2005</v>
      </c>
      <c r="D312" s="14" t="str">
        <f>TRIM(IF(ISNUMBER(FIND("PNSME",Base_report!D311,1)),SUBSTITUTE(Base_report!D311,"PNSME",""),IF(ISNUMBER(FIND("PHG",Base_report!D311,1)),SUBSTITUTE(Base_report!D311,"PHG",""),IF(ISNUMBER(FIND("PCS",Base_report!D311,1)),SUBSTITUTE(Base_report!D311,"PCS",""),IF(ISNUMBER(FIND("CMU",Base_report!D311,1)),SUBSTITUTE(Base_report!D311,"CMU",""),Base_report!D311)))))</f>
        <v>CHR DIVO</v>
      </c>
      <c r="E312" s="14" t="str">
        <f>SUBSTITUTE(Base_report!E311,"-","/")</f>
        <v>PNLS/ANTIRETROVIRAUX ET IO</v>
      </c>
      <c r="F312" s="14" t="s">
        <v>788</v>
      </c>
      <c r="G312" s="16">
        <f>DATE(YEAR(SUBSTITUTE(LEFT(Base_report!F311,10),"-","/")),MONTH(SUBSTITUTE(LEFT(Base_report!F311,10),"-","/")),DAY(SUBSTITUTE(LEFT(Base_report!F311,10),"-","/")))</f>
        <v>45297</v>
      </c>
      <c r="H312" s="16">
        <f>DATE(YEAR(SUBSTITUTE(LEFT(Base_report!G311,10),"-","/")),MONTH(SUBSTITUTE(LEFT(Base_report!G311,10),"-","/")),DAY(SUBSTITUTE(LEFT(Base_report!G311,10),"-","/")))</f>
        <v>45298</v>
      </c>
      <c r="I312" s="17" t="str">
        <f t="shared" si="1"/>
        <v>OUI</v>
      </c>
      <c r="J312" s="18">
        <f>IF(L312="DS",DATE(RIGHT(B312,4),VLOOKUP(LEFT(B312,LEN(B312)-5),Feuil1!$E$3:$F$19,2,FALSE)+1,10),DATE(RIGHT(B312,4),VLOOKUP(LEFT(B312,LEN(B312)-5),Feuil1!$E$3:$F$19,2,FALSE)+1,7))</f>
        <v>45298</v>
      </c>
      <c r="K312" s="19">
        <f t="shared" si="2"/>
        <v>1</v>
      </c>
      <c r="L312" s="6" t="str">
        <f t="shared" si="3"/>
        <v>FS</v>
      </c>
    </row>
    <row r="313" ht="14.25" customHeight="1">
      <c r="A313" s="14" t="str">
        <f>Base_report!A312</f>
        <v>LOH-DJIBOUA</v>
      </c>
      <c r="B313" s="14" t="str">
        <f>Base_report!B312</f>
        <v>DECEMBRE 2023</v>
      </c>
      <c r="C313" s="15" t="str">
        <f>Base_report!C312</f>
        <v>C2005</v>
      </c>
      <c r="D313" s="14" t="str">
        <f>TRIM(IF(ISNUMBER(FIND("PNSME",Base_report!D312,1)),SUBSTITUTE(Base_report!D312,"PNSME",""),IF(ISNUMBER(FIND("PHG",Base_report!D312,1)),SUBSTITUTE(Base_report!D312,"PHG",""),IF(ISNUMBER(FIND("PCS",Base_report!D312,1)),SUBSTITUTE(Base_report!D312,"PCS",""),IF(ISNUMBER(FIND("CMU",Base_report!D312,1)),SUBSTITUTE(Base_report!D312,"CMU",""),Base_report!D312)))))</f>
        <v>CHR DIVO</v>
      </c>
      <c r="E313" s="14" t="str">
        <f>SUBSTITUTE(Base_report!E312,"-","/")</f>
        <v>PNLS/CHARGES VIRALES</v>
      </c>
      <c r="F313" s="14" t="s">
        <v>788</v>
      </c>
      <c r="G313" s="16">
        <f>DATE(YEAR(SUBSTITUTE(LEFT(Base_report!F312,10),"-","/")),MONTH(SUBSTITUTE(LEFT(Base_report!F312,10),"-","/")),DAY(SUBSTITUTE(LEFT(Base_report!F312,10),"-","/")))</f>
        <v>45297</v>
      </c>
      <c r="H313" s="16">
        <f>DATE(YEAR(SUBSTITUTE(LEFT(Base_report!G312,10),"-","/")),MONTH(SUBSTITUTE(LEFT(Base_report!G312,10),"-","/")),DAY(SUBSTITUTE(LEFT(Base_report!G312,10),"-","/")))</f>
        <v>45298</v>
      </c>
      <c r="I313" s="17" t="str">
        <f t="shared" si="1"/>
        <v>OUI</v>
      </c>
      <c r="J313" s="18">
        <f>IF(L313="DS",DATE(RIGHT(B313,4),VLOOKUP(LEFT(B313,LEN(B313)-5),Feuil1!$E$3:$F$19,2,FALSE)+1,10),DATE(RIGHT(B313,4),VLOOKUP(LEFT(B313,LEN(B313)-5),Feuil1!$E$3:$F$19,2,FALSE)+1,7))</f>
        <v>45298</v>
      </c>
      <c r="K313" s="19">
        <f t="shared" si="2"/>
        <v>1</v>
      </c>
      <c r="L313" s="6" t="str">
        <f t="shared" si="3"/>
        <v>FS</v>
      </c>
    </row>
    <row r="314" ht="14.25" customHeight="1">
      <c r="A314" s="14" t="str">
        <f>Base_report!A313</f>
        <v>LOH-DJIBOUA</v>
      </c>
      <c r="B314" s="14" t="str">
        <f>Base_report!B313</f>
        <v>DECEMBRE 2023</v>
      </c>
      <c r="C314" s="15" t="str">
        <f>Base_report!C313</f>
        <v>C2005</v>
      </c>
      <c r="D314" s="14" t="str">
        <f>TRIM(IF(ISNUMBER(FIND("PNSME",Base_report!D313,1)),SUBSTITUTE(Base_report!D313,"PNSME",""),IF(ISNUMBER(FIND("PHG",Base_report!D313,1)),SUBSTITUTE(Base_report!D313,"PHG",""),IF(ISNUMBER(FIND("PCS",Base_report!D313,1)),SUBSTITUTE(Base_report!D313,"PCS",""),IF(ISNUMBER(FIND("CMU",Base_report!D313,1)),SUBSTITUTE(Base_report!D313,"CMU",""),Base_report!D313)))))</f>
        <v>CHR DIVO</v>
      </c>
      <c r="E314" s="14" t="str">
        <f>SUBSTITUTE(Base_report!E313,"-","/")</f>
        <v>PNLS/PRODUITS DE LABORATOIRE</v>
      </c>
      <c r="F314" s="14" t="s">
        <v>788</v>
      </c>
      <c r="G314" s="16">
        <f>DATE(YEAR(SUBSTITUTE(LEFT(Base_report!F313,10),"-","/")),MONTH(SUBSTITUTE(LEFT(Base_report!F313,10),"-","/")),DAY(SUBSTITUTE(LEFT(Base_report!F313,10),"-","/")))</f>
        <v>45297</v>
      </c>
      <c r="H314" s="16">
        <f>DATE(YEAR(SUBSTITUTE(LEFT(Base_report!G313,10),"-","/")),MONTH(SUBSTITUTE(LEFT(Base_report!G313,10),"-","/")),DAY(SUBSTITUTE(LEFT(Base_report!G313,10),"-","/")))</f>
        <v>45298</v>
      </c>
      <c r="I314" s="17" t="str">
        <f t="shared" si="1"/>
        <v>OUI</v>
      </c>
      <c r="J314" s="18">
        <f>IF(L314="DS",DATE(RIGHT(B314,4),VLOOKUP(LEFT(B314,LEN(B314)-5),Feuil1!$E$3:$F$19,2,FALSE)+1,10),DATE(RIGHT(B314,4),VLOOKUP(LEFT(B314,LEN(B314)-5),Feuil1!$E$3:$F$19,2,FALSE)+1,7))</f>
        <v>45298</v>
      </c>
      <c r="K314" s="19">
        <f t="shared" si="2"/>
        <v>1</v>
      </c>
      <c r="L314" s="6" t="str">
        <f t="shared" si="3"/>
        <v>FS</v>
      </c>
    </row>
    <row r="315" ht="14.25" customHeight="1">
      <c r="A315" s="14" t="str">
        <f>Base_report!A314</f>
        <v>HAUT-SASSANDRA</v>
      </c>
      <c r="B315" s="14" t="str">
        <f>Base_report!B314</f>
        <v>DECEMBRE 2023</v>
      </c>
      <c r="C315" s="15" t="str">
        <f>Base_report!C314</f>
        <v>C2003</v>
      </c>
      <c r="D315" s="14" t="str">
        <f>TRIM(IF(ISNUMBER(FIND("PNSME",Base_report!D314,1)),SUBSTITUTE(Base_report!D314,"PNSME",""),IF(ISNUMBER(FIND("PHG",Base_report!D314,1)),SUBSTITUTE(Base_report!D314,"PHG",""),IF(ISNUMBER(FIND("PCS",Base_report!D314,1)),SUBSTITUTE(Base_report!D314,"PCS",""),IF(ISNUMBER(FIND("CMU",Base_report!D314,1)),SUBSTITUTE(Base_report!D314,"CMU",""),Base_report!D314)))))</f>
        <v>CHR DALOA</v>
      </c>
      <c r="E315" s="14" t="str">
        <f>SUBSTITUTE(Base_report!E314,"-","/")</f>
        <v>PNLS/ANTIRETROVIRAUX ET IO</v>
      </c>
      <c r="F315" s="14" t="s">
        <v>788</v>
      </c>
      <c r="G315" s="16">
        <f>DATE(YEAR(SUBSTITUTE(LEFT(Base_report!F314,10),"-","/")),MONTH(SUBSTITUTE(LEFT(Base_report!F314,10),"-","/")),DAY(SUBSTITUTE(LEFT(Base_report!F314,10),"-","/")))</f>
        <v>45296</v>
      </c>
      <c r="H315" s="16">
        <f>DATE(YEAR(SUBSTITUTE(LEFT(Base_report!G314,10),"-","/")),MONTH(SUBSTITUTE(LEFT(Base_report!G314,10),"-","/")),DAY(SUBSTITUTE(LEFT(Base_report!G314,10),"-","/")))</f>
        <v>45298</v>
      </c>
      <c r="I315" s="17" t="str">
        <f t="shared" si="1"/>
        <v>OUI</v>
      </c>
      <c r="J315" s="18">
        <f>IF(L315="DS",DATE(RIGHT(B315,4),VLOOKUP(LEFT(B315,LEN(B315)-5),Feuil1!$E$3:$F$19,2,FALSE)+1,10),DATE(RIGHT(B315,4),VLOOKUP(LEFT(B315,LEN(B315)-5),Feuil1!$E$3:$F$19,2,FALSE)+1,7))</f>
        <v>45298</v>
      </c>
      <c r="K315" s="19">
        <f t="shared" si="2"/>
        <v>1</v>
      </c>
      <c r="L315" s="6" t="str">
        <f t="shared" si="3"/>
        <v>FS</v>
      </c>
    </row>
    <row r="316" ht="14.25" customHeight="1">
      <c r="A316" s="14" t="str">
        <f>Base_report!A315</f>
        <v>PORO</v>
      </c>
      <c r="B316" s="14" t="str">
        <f>Base_report!B315</f>
        <v>DECEMBRE 2023</v>
      </c>
      <c r="C316" s="15" t="str">
        <f>Base_report!C315</f>
        <v>C2127</v>
      </c>
      <c r="D316" s="14" t="str">
        <f>TRIM(IF(ISNUMBER(FIND("PNSME",Base_report!D315,1)),SUBSTITUTE(Base_report!D315,"PNSME",""),IF(ISNUMBER(FIND("PHG",Base_report!D315,1)),SUBSTITUTE(Base_report!D315,"PHG",""),IF(ISNUMBER(FIND("PCS",Base_report!D315,1)),SUBSTITUTE(Base_report!D315,"PCS",""),IF(ISNUMBER(FIND("CMU",Base_report!D315,1)),SUBSTITUTE(Base_report!D315,"CMU",""),Base_report!D315)))))</f>
        <v>CHR KORHOGO</v>
      </c>
      <c r="E316" s="14" t="str">
        <f>SUBSTITUTE(Base_report!E315,"-","/")</f>
        <v>PNLS/CHARGES VIRALES</v>
      </c>
      <c r="F316" s="14" t="s">
        <v>788</v>
      </c>
      <c r="G316" s="16">
        <f>DATE(YEAR(SUBSTITUTE(LEFT(Base_report!F315,10),"-","/")),MONTH(SUBSTITUTE(LEFT(Base_report!F315,10),"-","/")),DAY(SUBSTITUTE(LEFT(Base_report!F315,10),"-","/")))</f>
        <v>45295</v>
      </c>
      <c r="H316" s="16">
        <f>DATE(YEAR(SUBSTITUTE(LEFT(Base_report!G315,10),"-","/")),MONTH(SUBSTITUTE(LEFT(Base_report!G315,10),"-","/")),DAY(SUBSTITUTE(LEFT(Base_report!G315,10),"-","/")))</f>
        <v>45295</v>
      </c>
      <c r="I316" s="17" t="str">
        <f t="shared" si="1"/>
        <v>OUI</v>
      </c>
      <c r="J316" s="18">
        <f>IF(L316="DS",DATE(RIGHT(B316,4),VLOOKUP(LEFT(B316,LEN(B316)-5),Feuil1!$E$3:$F$19,2,FALSE)+1,10),DATE(RIGHT(B316,4),VLOOKUP(LEFT(B316,LEN(B316)-5),Feuil1!$E$3:$F$19,2,FALSE)+1,7))</f>
        <v>45298</v>
      </c>
      <c r="K316" s="19">
        <f t="shared" si="2"/>
        <v>1</v>
      </c>
      <c r="L316" s="6" t="str">
        <f t="shared" si="3"/>
        <v>FS</v>
      </c>
    </row>
    <row r="317" ht="14.25" customHeight="1">
      <c r="A317" s="14" t="str">
        <f>Base_report!A316</f>
        <v>INDENIE-DJUABLIN</v>
      </c>
      <c r="B317" s="14" t="str">
        <f>Base_report!B316</f>
        <v>DECEMBRE 2023</v>
      </c>
      <c r="C317" s="15" t="str">
        <f>Base_report!C316</f>
        <v>C4014</v>
      </c>
      <c r="D317" s="14" t="str">
        <f>TRIM(IF(ISNUMBER(FIND("PNSME",Base_report!D316,1)),SUBSTITUTE(Base_report!D316,"PNSME",""),IF(ISNUMBER(FIND("PHG",Base_report!D316,1)),SUBSTITUTE(Base_report!D316,"PHG",""),IF(ISNUMBER(FIND("PCS",Base_report!D316,1)),SUBSTITUTE(Base_report!D316,"PCS",""),IF(ISNUMBER(FIND("CMU",Base_report!D316,1)),SUBSTITUTE(Base_report!D316,"CMU",""),Base_report!D316)))))</f>
        <v>HOPITAL GENERAL AGNIBILEKROU</v>
      </c>
      <c r="E317" s="14" t="str">
        <f>SUBSTITUTE(Base_report!E316,"-","/")</f>
        <v>PNLS/ANTIRETROVIRAUX ET IO</v>
      </c>
      <c r="F317" s="14" t="s">
        <v>788</v>
      </c>
      <c r="G317" s="16">
        <f>DATE(YEAR(SUBSTITUTE(LEFT(Base_report!F316,10),"-","/")),MONTH(SUBSTITUTE(LEFT(Base_report!F316,10),"-","/")),DAY(SUBSTITUTE(LEFT(Base_report!F316,10),"-","/")))</f>
        <v>45296</v>
      </c>
      <c r="H317" s="16">
        <f>DATE(YEAR(SUBSTITUTE(LEFT(Base_report!G316,10),"-","/")),MONTH(SUBSTITUTE(LEFT(Base_report!G316,10),"-","/")),DAY(SUBSTITUTE(LEFT(Base_report!G316,10),"-","/")))</f>
        <v>45296</v>
      </c>
      <c r="I317" s="17" t="str">
        <f t="shared" si="1"/>
        <v>OUI</v>
      </c>
      <c r="J317" s="18">
        <f>IF(L317="DS",DATE(RIGHT(B317,4),VLOOKUP(LEFT(B317,LEN(B317)-5),Feuil1!$E$3:$F$19,2,FALSE)+1,10),DATE(RIGHT(B317,4),VLOOKUP(LEFT(B317,LEN(B317)-5),Feuil1!$E$3:$F$19,2,FALSE)+1,7))</f>
        <v>45298</v>
      </c>
      <c r="K317" s="19">
        <f t="shared" si="2"/>
        <v>1</v>
      </c>
      <c r="L317" s="6" t="str">
        <f t="shared" si="3"/>
        <v>FS</v>
      </c>
    </row>
    <row r="318" ht="14.25" customHeight="1">
      <c r="A318" s="14" t="str">
        <f>Base_report!A317</f>
        <v>ABIDJAN 1</v>
      </c>
      <c r="B318" s="14" t="str">
        <f>Base_report!B317</f>
        <v>DECEMBRE 2023</v>
      </c>
      <c r="C318" s="15" t="str">
        <f>Base_report!C317</f>
        <v>C1077</v>
      </c>
      <c r="D318" s="14" t="str">
        <f>TRIM(IF(ISNUMBER(FIND("PNSME",Base_report!D317,1)),SUBSTITUTE(Base_report!D317,"PNSME",""),IF(ISNUMBER(FIND("PHG",Base_report!D317,1)),SUBSTITUTE(Base_report!D317,"PHG",""),IF(ISNUMBER(FIND("PCS",Base_report!D317,1)),SUBSTITUTE(Base_report!D317,"PCS",""),IF(ISNUMBER(FIND("CMU",Base_report!D317,1)),SUBSTITUTE(Base_report!D317,"CMU",""),Base_report!D317)))))</f>
        <v>FSU COM YOPOUGON PORT-BOUET 2</v>
      </c>
      <c r="E318" s="14" t="str">
        <f>SUBSTITUTE(Base_report!E317,"-","/")</f>
        <v>PNLS/ANTIRETROVIRAUX ET IO</v>
      </c>
      <c r="F318" s="14" t="s">
        <v>788</v>
      </c>
      <c r="G318" s="16">
        <f>DATE(YEAR(SUBSTITUTE(LEFT(Base_report!F317,10),"-","/")),MONTH(SUBSTITUTE(LEFT(Base_report!F317,10),"-","/")),DAY(SUBSTITUTE(LEFT(Base_report!F317,10),"-","/")))</f>
        <v>45296</v>
      </c>
      <c r="H318" s="16">
        <f>DATE(YEAR(SUBSTITUTE(LEFT(Base_report!G317,10),"-","/")),MONTH(SUBSTITUTE(LEFT(Base_report!G317,10),"-","/")),DAY(SUBSTITUTE(LEFT(Base_report!G317,10),"-","/")))</f>
        <v>45296</v>
      </c>
      <c r="I318" s="17" t="str">
        <f t="shared" si="1"/>
        <v>OUI</v>
      </c>
      <c r="J318" s="18">
        <f>IF(L318="DS",DATE(RIGHT(B318,4),VLOOKUP(LEFT(B318,LEN(B318)-5),Feuil1!$E$3:$F$19,2,FALSE)+1,10),DATE(RIGHT(B318,4),VLOOKUP(LEFT(B318,LEN(B318)-5),Feuil1!$E$3:$F$19,2,FALSE)+1,7))</f>
        <v>45298</v>
      </c>
      <c r="K318" s="19">
        <f t="shared" si="2"/>
        <v>1</v>
      </c>
      <c r="L318" s="6" t="str">
        <f t="shared" si="3"/>
        <v>FS</v>
      </c>
    </row>
    <row r="319" ht="14.25" customHeight="1">
      <c r="A319" s="14" t="str">
        <f>Base_report!A318</f>
        <v>ABIDJAN 1</v>
      </c>
      <c r="B319" s="14" t="str">
        <f>Base_report!B318</f>
        <v>DECEMBRE 2023</v>
      </c>
      <c r="C319" s="15" t="str">
        <f>Base_report!C318</f>
        <v>C1077</v>
      </c>
      <c r="D319" s="14" t="str">
        <f>TRIM(IF(ISNUMBER(FIND("PNSME",Base_report!D318,1)),SUBSTITUTE(Base_report!D318,"PNSME",""),IF(ISNUMBER(FIND("PHG",Base_report!D318,1)),SUBSTITUTE(Base_report!D318,"PHG",""),IF(ISNUMBER(FIND("PCS",Base_report!D318,1)),SUBSTITUTE(Base_report!D318,"PCS",""),IF(ISNUMBER(FIND("CMU",Base_report!D318,1)),SUBSTITUTE(Base_report!D318,"CMU",""),Base_report!D318)))))</f>
        <v>FSU COM YOPOUGON PORT-BOUET 2</v>
      </c>
      <c r="E319" s="14" t="str">
        <f>SUBSTITUTE(Base_report!E318,"-","/")</f>
        <v>PNLS/PRODUITS DE LABORATOIRE</v>
      </c>
      <c r="F319" s="14" t="s">
        <v>788</v>
      </c>
      <c r="G319" s="16">
        <f>DATE(YEAR(SUBSTITUTE(LEFT(Base_report!F318,10),"-","/")),MONTH(SUBSTITUTE(LEFT(Base_report!F318,10),"-","/")),DAY(SUBSTITUTE(LEFT(Base_report!F318,10),"-","/")))</f>
        <v>45296</v>
      </c>
      <c r="H319" s="16">
        <f>DATE(YEAR(SUBSTITUTE(LEFT(Base_report!G318,10),"-","/")),MONTH(SUBSTITUTE(LEFT(Base_report!G318,10),"-","/")),DAY(SUBSTITUTE(LEFT(Base_report!G318,10),"-","/")))</f>
        <v>45296</v>
      </c>
      <c r="I319" s="17" t="str">
        <f t="shared" si="1"/>
        <v>OUI</v>
      </c>
      <c r="J319" s="18">
        <f>IF(L319="DS",DATE(RIGHT(B319,4),VLOOKUP(LEFT(B319,LEN(B319)-5),Feuil1!$E$3:$F$19,2,FALSE)+1,10),DATE(RIGHT(B319,4),VLOOKUP(LEFT(B319,LEN(B319)-5),Feuil1!$E$3:$F$19,2,FALSE)+1,7))</f>
        <v>45298</v>
      </c>
      <c r="K319" s="19">
        <f t="shared" si="2"/>
        <v>1</v>
      </c>
      <c r="L319" s="6" t="str">
        <f t="shared" si="3"/>
        <v>FS</v>
      </c>
    </row>
    <row r="320" ht="14.25" customHeight="1">
      <c r="A320" s="14" t="str">
        <f>Base_report!A319</f>
        <v>SUD-COMOE</v>
      </c>
      <c r="B320" s="14" t="str">
        <f>Base_report!B319</f>
        <v>DECEMBRE 2023</v>
      </c>
      <c r="C320" s="15" t="str">
        <f>Base_report!C319</f>
        <v>C1764</v>
      </c>
      <c r="D320" s="14" t="str">
        <f>TRIM(IF(ISNUMBER(FIND("PNSME",Base_report!D319,1)),SUBSTITUTE(Base_report!D319,"PNSME",""),IF(ISNUMBER(FIND("PHG",Base_report!D319,1)),SUBSTITUTE(Base_report!D319,"PHG",""),IF(ISNUMBER(FIND("PCS",Base_report!D319,1)),SUBSTITUTE(Base_report!D319,"PCS",""),IF(ISNUMBER(FIND("CMU",Base_report!D319,1)),SUBSTITUTE(Base_report!D319,"CMU",""),Base_report!D319)))))</f>
        <v>DISTRICT SANITAIRE TIAPOUM</v>
      </c>
      <c r="E320" s="14" t="str">
        <f>SUBSTITUTE(Base_report!E319,"-","/")</f>
        <v>PNN/MEDICAMENTS ET INTRANTS</v>
      </c>
      <c r="F320" s="14" t="s">
        <v>788</v>
      </c>
      <c r="G320" s="16">
        <f>DATE(YEAR(SUBSTITUTE(LEFT(Base_report!F319,10),"-","/")),MONTH(SUBSTITUTE(LEFT(Base_report!F319,10),"-","/")),DAY(SUBSTITUTE(LEFT(Base_report!F319,10),"-","/")))</f>
        <v>45270</v>
      </c>
      <c r="H320" s="16">
        <f>DATE(YEAR(SUBSTITUTE(LEFT(Base_report!G319,10),"-","/")),MONTH(SUBSTITUTE(LEFT(Base_report!G319,10),"-","/")),DAY(SUBSTITUTE(LEFT(Base_report!G319,10),"-","/")))</f>
        <v>45270</v>
      </c>
      <c r="I320" s="17" t="str">
        <f t="shared" si="1"/>
        <v>OUI</v>
      </c>
      <c r="J320" s="18">
        <f>IF(L320="DS",DATE(RIGHT(B320,4),VLOOKUP(LEFT(B320,LEN(B320)-5),Feuil1!$E$3:$F$19,2,FALSE)+1,10),DATE(RIGHT(B320,4),VLOOKUP(LEFT(B320,LEN(B320)-5),Feuil1!$E$3:$F$19,2,FALSE)+1,7))</f>
        <v>45301</v>
      </c>
      <c r="K320" s="19">
        <f t="shared" si="2"/>
        <v>1</v>
      </c>
      <c r="L320" s="6" t="str">
        <f t="shared" si="3"/>
        <v>DS</v>
      </c>
    </row>
    <row r="321" ht="14.25" customHeight="1">
      <c r="A321" s="14" t="str">
        <f>Base_report!A320</f>
        <v>NAWA</v>
      </c>
      <c r="B321" s="14" t="str">
        <f>Base_report!B320</f>
        <v>DECEMBRE 2023</v>
      </c>
      <c r="C321" s="15" t="str">
        <f>Base_report!C320</f>
        <v>C2064</v>
      </c>
      <c r="D321" s="14" t="str">
        <f>TRIM(IF(ISNUMBER(FIND("PNSME",Base_report!D320,1)),SUBSTITUTE(Base_report!D320,"PNSME",""),IF(ISNUMBER(FIND("PHG",Base_report!D320,1)),SUBSTITUTE(Base_report!D320,"PHG",""),IF(ISNUMBER(FIND("PCS",Base_report!D320,1)),SUBSTITUTE(Base_report!D320,"PCS",""),IF(ISNUMBER(FIND("CMU",Base_report!D320,1)),SUBSTITUTE(Base_report!D320,"CMU",""),Base_report!D320)))))</f>
        <v>HOPITAL GENERAL SOUBRE</v>
      </c>
      <c r="E321" s="14" t="str">
        <f>SUBSTITUTE(Base_report!E320,"-","/")</f>
        <v>PNSME/MEDICAMENTS ET INTRANTS</v>
      </c>
      <c r="F321" s="14" t="s">
        <v>788</v>
      </c>
      <c r="G321" s="16">
        <f>DATE(YEAR(SUBSTITUTE(LEFT(Base_report!F320,10),"-","/")),MONTH(SUBSTITUTE(LEFT(Base_report!F320,10),"-","/")),DAY(SUBSTITUTE(LEFT(Base_report!F320,10),"-","/")))</f>
        <v>45294</v>
      </c>
      <c r="H321" s="16">
        <f>DATE(YEAR(SUBSTITUTE(LEFT(Base_report!G320,10),"-","/")),MONTH(SUBSTITUTE(LEFT(Base_report!G320,10),"-","/")),DAY(SUBSTITUTE(LEFT(Base_report!G320,10),"-","/")))</f>
        <v>45296</v>
      </c>
      <c r="I321" s="17" t="str">
        <f t="shared" si="1"/>
        <v>OUI</v>
      </c>
      <c r="J321" s="18">
        <f>IF(L321="DS",DATE(RIGHT(B321,4),VLOOKUP(LEFT(B321,LEN(B321)-5),Feuil1!$E$3:$F$19,2,FALSE)+1,10),DATE(RIGHT(B321,4),VLOOKUP(LEFT(B321,LEN(B321)-5),Feuil1!$E$3:$F$19,2,FALSE)+1,7))</f>
        <v>45298</v>
      </c>
      <c r="K321" s="19">
        <f t="shared" si="2"/>
        <v>1</v>
      </c>
      <c r="L321" s="6" t="str">
        <f t="shared" si="3"/>
        <v>FS</v>
      </c>
    </row>
    <row r="322" ht="14.25" customHeight="1">
      <c r="A322" s="14" t="str">
        <f>Base_report!A321</f>
        <v>LOH-DJIBOUA</v>
      </c>
      <c r="B322" s="14" t="str">
        <f>Base_report!B321</f>
        <v>DECEMBRE 2023</v>
      </c>
      <c r="C322" s="15" t="str">
        <f>Base_report!C321</f>
        <v>C2055</v>
      </c>
      <c r="D322" s="14" t="str">
        <f>TRIM(IF(ISNUMBER(FIND("PNSME",Base_report!D321,1)),SUBSTITUTE(Base_report!D321,"PNSME",""),IF(ISNUMBER(FIND("PHG",Base_report!D321,1)),SUBSTITUTE(Base_report!D321,"PHG",""),IF(ISNUMBER(FIND("PCS",Base_report!D321,1)),SUBSTITUTE(Base_report!D321,"PCS",""),IF(ISNUMBER(FIND("CMU",Base_report!D321,1)),SUBSTITUTE(Base_report!D321,"CMU",""),Base_report!D321)))))</f>
        <v>HOPITAL GENERAL GUITRY</v>
      </c>
      <c r="E322" s="14" t="str">
        <f>SUBSTITUTE(Base_report!E321,"-","/")</f>
        <v>PNLS/ANTIRETROVIRAUX ET IO</v>
      </c>
      <c r="F322" s="14" t="s">
        <v>788</v>
      </c>
      <c r="G322" s="16">
        <f>DATE(YEAR(SUBSTITUTE(LEFT(Base_report!F321,10),"-","/")),MONTH(SUBSTITUTE(LEFT(Base_report!F321,10),"-","/")),DAY(SUBSTITUTE(LEFT(Base_report!F321,10),"-","/")))</f>
        <v>45297</v>
      </c>
      <c r="H322" s="16">
        <f>DATE(YEAR(SUBSTITUTE(LEFT(Base_report!G321,10),"-","/")),MONTH(SUBSTITUTE(LEFT(Base_report!G321,10),"-","/")),DAY(SUBSTITUTE(LEFT(Base_report!G321,10),"-","/")))</f>
        <v>45297</v>
      </c>
      <c r="I322" s="17" t="str">
        <f t="shared" si="1"/>
        <v>OUI</v>
      </c>
      <c r="J322" s="18">
        <f>IF(L322="DS",DATE(RIGHT(B322,4),VLOOKUP(LEFT(B322,LEN(B322)-5),Feuil1!$E$3:$F$19,2,FALSE)+1,10),DATE(RIGHT(B322,4),VLOOKUP(LEFT(B322,LEN(B322)-5),Feuil1!$E$3:$F$19,2,FALSE)+1,7))</f>
        <v>45298</v>
      </c>
      <c r="K322" s="19">
        <f t="shared" si="2"/>
        <v>1</v>
      </c>
      <c r="L322" s="6" t="str">
        <f t="shared" si="3"/>
        <v>FS</v>
      </c>
    </row>
    <row r="323" ht="14.25" customHeight="1">
      <c r="A323" s="14" t="str">
        <f>Base_report!A322</f>
        <v>ABIDJAN 2</v>
      </c>
      <c r="B323" s="14" t="str">
        <f>Base_report!B322</f>
        <v>DECEMBRE 2023</v>
      </c>
      <c r="C323" s="15" t="str">
        <f>Base_report!C322</f>
        <v>C1006</v>
      </c>
      <c r="D323" s="14" t="str">
        <f>TRIM(IF(ISNUMBER(FIND("PNSME",Base_report!D322,1)),SUBSTITUTE(Base_report!D322,"PNSME",""),IF(ISNUMBER(FIND("PHG",Base_report!D322,1)),SUBSTITUTE(Base_report!D322,"PHG",""),IF(ISNUMBER(FIND("PCS",Base_report!D322,1)),SUBSTITUTE(Base_report!D322,"PCS",""),IF(ISNUMBER(FIND("CMU",Base_report!D322,1)),SUBSTITUTE(Base_report!D322,"CMU",""),Base_report!D322)))))</f>
        <v>CHU TREICHVILLE</v>
      </c>
      <c r="E323" s="14" t="str">
        <f>SUBSTITUTE(Base_report!E322,"-","/")</f>
        <v>PNLS/TESTS RAPIDES ET CONSOMMABLES</v>
      </c>
      <c r="F323" s="14" t="s">
        <v>788</v>
      </c>
      <c r="G323" s="16">
        <f>DATE(YEAR(SUBSTITUTE(LEFT(Base_report!F322,10),"-","/")),MONTH(SUBSTITUTE(LEFT(Base_report!F322,10),"-","/")),DAY(SUBSTITUTE(LEFT(Base_report!F322,10),"-","/")))</f>
        <v>45301</v>
      </c>
      <c r="H323" s="16">
        <f>DATE(YEAR(SUBSTITUTE(LEFT(Base_report!G322,10),"-","/")),MONTH(SUBSTITUTE(LEFT(Base_report!G322,10),"-","/")),DAY(SUBSTITUTE(LEFT(Base_report!G322,10),"-","/")))</f>
        <v>45301</v>
      </c>
      <c r="I323" s="17" t="str">
        <f t="shared" si="1"/>
        <v>OUI</v>
      </c>
      <c r="J323" s="18">
        <f>IF(L323="DS",DATE(RIGHT(B323,4),VLOOKUP(LEFT(B323,LEN(B323)-5),Feuil1!$E$3:$F$19,2,FALSE)+1,10),DATE(RIGHT(B323,4),VLOOKUP(LEFT(B323,LEN(B323)-5),Feuil1!$E$3:$F$19,2,FALSE)+1,7))</f>
        <v>45298</v>
      </c>
      <c r="K323" s="19">
        <f t="shared" si="2"/>
        <v>0</v>
      </c>
      <c r="L323" s="6" t="str">
        <f t="shared" si="3"/>
        <v>FS</v>
      </c>
    </row>
    <row r="324" ht="14.25" customHeight="1">
      <c r="A324" s="14" t="str">
        <f>Base_report!A323</f>
        <v>GRANDS PONTS</v>
      </c>
      <c r="B324" s="14" t="str">
        <f>Base_report!B323</f>
        <v>DECEMBRE 2023</v>
      </c>
      <c r="C324" s="15" t="str">
        <f>Base_report!C323</f>
        <v>C1050</v>
      </c>
      <c r="D324" s="14" t="str">
        <f>TRIM(IF(ISNUMBER(FIND("PNSME",Base_report!D323,1)),SUBSTITUTE(Base_report!D323,"PNSME",""),IF(ISNUMBER(FIND("PHG",Base_report!D323,1)),SUBSTITUTE(Base_report!D323,"PHG",""),IF(ISNUMBER(FIND("PCS",Base_report!D323,1)),SUBSTITUTE(Base_report!D323,"PCS",""),IF(ISNUMBER(FIND("CMU",Base_report!D323,1)),SUBSTITUTE(Base_report!D323,"CMU",""),Base_report!D323)))))</f>
        <v>DISTRICT SANITAIRE JACQUEVILLE</v>
      </c>
      <c r="E324" s="14" t="str">
        <f>SUBSTITUTE(Base_report!E323,"-","/")</f>
        <v>PNSME/MEDICAMENTS ET INTRANTS</v>
      </c>
      <c r="F324" s="14" t="s">
        <v>788</v>
      </c>
      <c r="G324" s="16">
        <f>DATE(YEAR(SUBSTITUTE(LEFT(Base_report!F323,10),"-","/")),MONTH(SUBSTITUTE(LEFT(Base_report!F323,10),"-","/")),DAY(SUBSTITUTE(LEFT(Base_report!F323,10),"-","/")))</f>
        <v>45300</v>
      </c>
      <c r="H324" s="16">
        <f>DATE(YEAR(SUBSTITUTE(LEFT(Base_report!G323,10),"-","/")),MONTH(SUBSTITUTE(LEFT(Base_report!G323,10),"-","/")),DAY(SUBSTITUTE(LEFT(Base_report!G323,10),"-","/")))</f>
        <v>45300</v>
      </c>
      <c r="I324" s="17" t="str">
        <f t="shared" si="1"/>
        <v>OUI</v>
      </c>
      <c r="J324" s="18">
        <f>IF(L324="DS",DATE(RIGHT(B324,4),VLOOKUP(LEFT(B324,LEN(B324)-5),Feuil1!$E$3:$F$19,2,FALSE)+1,10),DATE(RIGHT(B324,4),VLOOKUP(LEFT(B324,LEN(B324)-5),Feuil1!$E$3:$F$19,2,FALSE)+1,7))</f>
        <v>45301</v>
      </c>
      <c r="K324" s="19">
        <f t="shared" si="2"/>
        <v>1</v>
      </c>
      <c r="L324" s="6" t="str">
        <f t="shared" si="3"/>
        <v>DS</v>
      </c>
    </row>
    <row r="325" ht="14.25" customHeight="1">
      <c r="A325" s="14" t="str">
        <f>Base_report!A324</f>
        <v>HAUT-SASSANDRA</v>
      </c>
      <c r="B325" s="14" t="str">
        <f>Base_report!B324</f>
        <v>DECEMBRE 2023</v>
      </c>
      <c r="C325" s="15" t="str">
        <f>Base_report!C324</f>
        <v>C2056</v>
      </c>
      <c r="D325" s="14" t="str">
        <f>TRIM(IF(ISNUMBER(FIND("PNSME",Base_report!D324,1)),SUBSTITUTE(Base_report!D324,"PNSME",""),IF(ISNUMBER(FIND("PHG",Base_report!D324,1)),SUBSTITUTE(Base_report!D324,"PHG",""),IF(ISNUMBER(FIND("PCS",Base_report!D324,1)),SUBSTITUTE(Base_report!D324,"PCS",""),IF(ISNUMBER(FIND("CMU",Base_report!D324,1)),SUBSTITUTE(Base_report!D324,"CMU",""),Base_report!D324)))))</f>
        <v>HOPITAL GENERAL ISSIA</v>
      </c>
      <c r="E325" s="14" t="str">
        <f>SUBSTITUTE(Base_report!E324,"-","/")</f>
        <v>PNLS/ANTIRETROVIRAUX ET IO</v>
      </c>
      <c r="F325" s="14" t="s">
        <v>788</v>
      </c>
      <c r="G325" s="16">
        <f>DATE(YEAR(SUBSTITUTE(LEFT(Base_report!F324,10),"-","/")),MONTH(SUBSTITUTE(LEFT(Base_report!F324,10),"-","/")),DAY(SUBSTITUTE(LEFT(Base_report!F324,10),"-","/")))</f>
        <v>45296</v>
      </c>
      <c r="H325" s="16">
        <f>DATE(YEAR(SUBSTITUTE(LEFT(Base_report!G324,10),"-","/")),MONTH(SUBSTITUTE(LEFT(Base_report!G324,10),"-","/")),DAY(SUBSTITUTE(LEFT(Base_report!G324,10),"-","/")))</f>
        <v>45296</v>
      </c>
      <c r="I325" s="17" t="str">
        <f t="shared" si="1"/>
        <v>OUI</v>
      </c>
      <c r="J325" s="18">
        <f>IF(L325="DS",DATE(RIGHT(B325,4),VLOOKUP(LEFT(B325,LEN(B325)-5),Feuil1!$E$3:$F$19,2,FALSE)+1,10),DATE(RIGHT(B325,4),VLOOKUP(LEFT(B325,LEN(B325)-5),Feuil1!$E$3:$F$19,2,FALSE)+1,7))</f>
        <v>45298</v>
      </c>
      <c r="K325" s="19">
        <f t="shared" si="2"/>
        <v>1</v>
      </c>
      <c r="L325" s="6" t="str">
        <f t="shared" si="3"/>
        <v>FS</v>
      </c>
    </row>
    <row r="326" ht="14.25" customHeight="1">
      <c r="A326" s="14" t="str">
        <f>Base_report!A325</f>
        <v>INDENIE-DJUABLIN</v>
      </c>
      <c r="B326" s="14" t="str">
        <f>Base_report!B325</f>
        <v>DECEMBRE 2023</v>
      </c>
      <c r="C326" s="15" t="str">
        <f>Base_report!C325</f>
        <v>C4049</v>
      </c>
      <c r="D326" s="14" t="str">
        <f>TRIM(IF(ISNUMBER(FIND("PNSME",Base_report!D325,1)),SUBSTITUTE(Base_report!D325,"PNSME",""),IF(ISNUMBER(FIND("PHG",Base_report!D325,1)),SUBSTITUTE(Base_report!D325,"PHG",""),IF(ISNUMBER(FIND("PCS",Base_report!D325,1)),SUBSTITUTE(Base_report!D325,"PCS",""),IF(ISNUMBER(FIND("CMU",Base_report!D325,1)),SUBSTITUTE(Base_report!D325,"CMU",""),Base_report!D325)))))</f>
        <v>DISTRICT SANITAIRE BETTIE</v>
      </c>
      <c r="E326" s="14" t="str">
        <f>SUBSTITUTE(Base_report!E325,"-","/")</f>
        <v>PNLP/MEDICAMENTS ET INTRANTS</v>
      </c>
      <c r="F326" s="14" t="s">
        <v>788</v>
      </c>
      <c r="G326" s="16">
        <f>DATE(YEAR(SUBSTITUTE(LEFT(Base_report!F325,10),"-","/")),MONTH(SUBSTITUTE(LEFT(Base_report!F325,10),"-","/")),DAY(SUBSTITUTE(LEFT(Base_report!F325,10),"-","/")))</f>
        <v>45299</v>
      </c>
      <c r="H326" s="16">
        <f>DATE(YEAR(SUBSTITUTE(LEFT(Base_report!G325,10),"-","/")),MONTH(SUBSTITUTE(LEFT(Base_report!G325,10),"-","/")),DAY(SUBSTITUTE(LEFT(Base_report!G325,10),"-","/")))</f>
        <v>45299</v>
      </c>
      <c r="I326" s="17" t="str">
        <f t="shared" si="1"/>
        <v>OUI</v>
      </c>
      <c r="J326" s="18">
        <f>IF(L326="DS",DATE(RIGHT(B326,4),VLOOKUP(LEFT(B326,LEN(B326)-5),Feuil1!$E$3:$F$19,2,FALSE)+1,10),DATE(RIGHT(B326,4),VLOOKUP(LEFT(B326,LEN(B326)-5),Feuil1!$E$3:$F$19,2,FALSE)+1,7))</f>
        <v>45301</v>
      </c>
      <c r="K326" s="19">
        <f t="shared" si="2"/>
        <v>1</v>
      </c>
      <c r="L326" s="6" t="str">
        <f t="shared" si="3"/>
        <v>DS</v>
      </c>
    </row>
    <row r="327" ht="14.25" customHeight="1">
      <c r="A327" s="14" t="str">
        <f>Base_report!A326</f>
        <v>BOUNKANI</v>
      </c>
      <c r="B327" s="14" t="str">
        <f>Base_report!B326</f>
        <v>DECEMBRE 2023</v>
      </c>
      <c r="C327" s="15" t="str">
        <f>Base_report!C326</f>
        <v>C4050</v>
      </c>
      <c r="D327" s="14" t="str">
        <f>TRIM(IF(ISNUMBER(FIND("PNSME",Base_report!D326,1)),SUBSTITUTE(Base_report!D326,"PNSME",""),IF(ISNUMBER(FIND("PHG",Base_report!D326,1)),SUBSTITUTE(Base_report!D326,"PHG",""),IF(ISNUMBER(FIND("PCS",Base_report!D326,1)),SUBSTITUTE(Base_report!D326,"PCS",""),IF(ISNUMBER(FIND("CMU",Base_report!D326,1)),SUBSTITUTE(Base_report!D326,"CMU",""),Base_report!D326)))))</f>
        <v>DISTRICT SANITAIRE NASSIAN</v>
      </c>
      <c r="E327" s="14" t="str">
        <f>SUBSTITUTE(Base_report!E326,"-","/")</f>
        <v>PNLP/MEDICAMENTS ET INTRANTS</v>
      </c>
      <c r="F327" s="14" t="s">
        <v>788</v>
      </c>
      <c r="G327" s="16">
        <f>DATE(YEAR(SUBSTITUTE(LEFT(Base_report!F326,10),"-","/")),MONTH(SUBSTITUTE(LEFT(Base_report!F326,10),"-","/")),DAY(SUBSTITUTE(LEFT(Base_report!F326,10),"-","/")))</f>
        <v>45271</v>
      </c>
      <c r="H327" s="16">
        <f>DATE(YEAR(SUBSTITUTE(LEFT(Base_report!G326,10),"-","/")),MONTH(SUBSTITUTE(LEFT(Base_report!G326,10),"-","/")),DAY(SUBSTITUTE(LEFT(Base_report!G326,10),"-","/")))</f>
        <v>45271</v>
      </c>
      <c r="I327" s="17" t="str">
        <f t="shared" si="1"/>
        <v>OUI</v>
      </c>
      <c r="J327" s="18">
        <f>IF(L327="DS",DATE(RIGHT(B327,4),VLOOKUP(LEFT(B327,LEN(B327)-5),Feuil1!$E$3:$F$19,2,FALSE)+1,10),DATE(RIGHT(B327,4),VLOOKUP(LEFT(B327,LEN(B327)-5),Feuil1!$E$3:$F$19,2,FALSE)+1,7))</f>
        <v>45301</v>
      </c>
      <c r="K327" s="19">
        <f t="shared" si="2"/>
        <v>1</v>
      </c>
      <c r="L327" s="6" t="str">
        <f t="shared" si="3"/>
        <v>DS</v>
      </c>
    </row>
    <row r="328" ht="14.25" customHeight="1">
      <c r="A328" s="14" t="str">
        <f>Base_report!A327</f>
        <v>HAUT-SASSANDRA</v>
      </c>
      <c r="B328" s="14" t="str">
        <f>Base_report!B327</f>
        <v>DECEMBRE 2023</v>
      </c>
      <c r="C328" s="15" t="str">
        <f>Base_report!C327</f>
        <v>C2031</v>
      </c>
      <c r="D328" s="14" t="str">
        <f>TRIM(IF(ISNUMBER(FIND("PNSME",Base_report!D327,1)),SUBSTITUTE(Base_report!D327,"PNSME",""),IF(ISNUMBER(FIND("PHG",Base_report!D327,1)),SUBSTITUTE(Base_report!D327,"PHG",""),IF(ISNUMBER(FIND("PCS",Base_report!D327,1)),SUBSTITUTE(Base_report!D327,"PCS",""),IF(ISNUMBER(FIND("CMU",Base_report!D327,1)),SUBSTITUTE(Base_report!D327,"CMU",""),Base_report!D327)))))</f>
        <v>DISTRICT SANITAIRE ISSIA</v>
      </c>
      <c r="E328" s="14" t="str">
        <f>SUBSTITUTE(Base_report!E327,"-","/")</f>
        <v>PNSME/MEDICAMENTS ET INTRANTS</v>
      </c>
      <c r="F328" s="14" t="s">
        <v>788</v>
      </c>
      <c r="G328" s="16">
        <f>DATE(YEAR(SUBSTITUTE(LEFT(Base_report!F327,10),"-","/")),MONTH(SUBSTITUTE(LEFT(Base_report!F327,10),"-","/")),DAY(SUBSTITUTE(LEFT(Base_report!F327,10),"-","/")))</f>
        <v>45269</v>
      </c>
      <c r="H328" s="16">
        <f>DATE(YEAR(SUBSTITUTE(LEFT(Base_report!G327,10),"-","/")),MONTH(SUBSTITUTE(LEFT(Base_report!G327,10),"-","/")),DAY(SUBSTITUTE(LEFT(Base_report!G327,10),"-","/")))</f>
        <v>45269</v>
      </c>
      <c r="I328" s="17" t="str">
        <f t="shared" si="1"/>
        <v>OUI</v>
      </c>
      <c r="J328" s="18">
        <f>IF(L328="DS",DATE(RIGHT(B328,4),VLOOKUP(LEFT(B328,LEN(B328)-5),Feuil1!$E$3:$F$19,2,FALSE)+1,10),DATE(RIGHT(B328,4),VLOOKUP(LEFT(B328,LEN(B328)-5),Feuil1!$E$3:$F$19,2,FALSE)+1,7))</f>
        <v>45301</v>
      </c>
      <c r="K328" s="19">
        <f t="shared" si="2"/>
        <v>1</v>
      </c>
      <c r="L328" s="6" t="str">
        <f t="shared" si="3"/>
        <v>DS</v>
      </c>
    </row>
    <row r="329" ht="14.25" customHeight="1">
      <c r="A329" s="14" t="str">
        <f>Base_report!A328</f>
        <v>BERE</v>
      </c>
      <c r="B329" s="14" t="str">
        <f>Base_report!B328</f>
        <v>DECEMBRE 2023</v>
      </c>
      <c r="C329" s="15" t="str">
        <f>Base_report!C328</f>
        <v>C5091</v>
      </c>
      <c r="D329" s="14" t="str">
        <f>TRIM(IF(ISNUMBER(FIND("PNSME",Base_report!D328,1)),SUBSTITUTE(Base_report!D328,"PNSME",""),IF(ISNUMBER(FIND("PHG",Base_report!D328,1)),SUBSTITUTE(Base_report!D328,"PHG",""),IF(ISNUMBER(FIND("PCS",Base_report!D328,1)),SUBSTITUTE(Base_report!D328,"PCS",""),IF(ISNUMBER(FIND("CMU",Base_report!D328,1)),SUBSTITUTE(Base_report!D328,"CMU",""),Base_report!D328)))))</f>
        <v>HOPITAL GENERAL DIANRA</v>
      </c>
      <c r="E329" s="14" t="str">
        <f>SUBSTITUTE(Base_report!E328,"-","/")</f>
        <v>PNLP/MEDICAMENTS ET INTRANTS</v>
      </c>
      <c r="F329" s="14" t="s">
        <v>788</v>
      </c>
      <c r="G329" s="16">
        <f>DATE(YEAR(SUBSTITUTE(LEFT(Base_report!F328,10),"-","/")),MONTH(SUBSTITUTE(LEFT(Base_report!F328,10),"-","/")),DAY(SUBSTITUTE(LEFT(Base_report!F328,10),"-","/")))</f>
        <v>45297</v>
      </c>
      <c r="H329" s="16">
        <f>DATE(YEAR(SUBSTITUTE(LEFT(Base_report!G328,10),"-","/")),MONTH(SUBSTITUTE(LEFT(Base_report!G328,10),"-","/")),DAY(SUBSTITUTE(LEFT(Base_report!G328,10),"-","/")))</f>
        <v>45297</v>
      </c>
      <c r="I329" s="17" t="str">
        <f t="shared" si="1"/>
        <v>OUI</v>
      </c>
      <c r="J329" s="18">
        <f>IF(L329="DS",DATE(RIGHT(B329,4),VLOOKUP(LEFT(B329,LEN(B329)-5),Feuil1!$E$3:$F$19,2,FALSE)+1,10),DATE(RIGHT(B329,4),VLOOKUP(LEFT(B329,LEN(B329)-5),Feuil1!$E$3:$F$19,2,FALSE)+1,7))</f>
        <v>45298</v>
      </c>
      <c r="K329" s="19">
        <f t="shared" si="2"/>
        <v>1</v>
      </c>
      <c r="L329" s="6" t="str">
        <f t="shared" si="3"/>
        <v>FS</v>
      </c>
    </row>
    <row r="330" ht="14.25" customHeight="1">
      <c r="A330" s="14" t="str">
        <f>Base_report!A329</f>
        <v>BERE</v>
      </c>
      <c r="B330" s="14" t="str">
        <f>Base_report!B329</f>
        <v>DECEMBRE 2023</v>
      </c>
      <c r="C330" s="15" t="str">
        <f>Base_report!C329</f>
        <v>C5084</v>
      </c>
      <c r="D330" s="14" t="str">
        <f>TRIM(IF(ISNUMBER(FIND("PNSME",Base_report!D329,1)),SUBSTITUTE(Base_report!D329,"PNSME",""),IF(ISNUMBER(FIND("PHG",Base_report!D329,1)),SUBSTITUTE(Base_report!D329,"PHG",""),IF(ISNUMBER(FIND("PCS",Base_report!D329,1)),SUBSTITUTE(Base_report!D329,"PCS",""),IF(ISNUMBER(FIND("CMU",Base_report!D329,1)),SUBSTITUTE(Base_report!D329,"CMU",""),Base_report!D329)))))</f>
        <v>HOPITAL GENERAL KOUNAHIRI</v>
      </c>
      <c r="E330" s="14" t="str">
        <f>SUBSTITUTE(Base_report!E329,"-","/")</f>
        <v>PNN/MEDICAMENTS ET INTRANTS</v>
      </c>
      <c r="F330" s="14" t="s">
        <v>788</v>
      </c>
      <c r="G330" s="16">
        <f>DATE(YEAR(SUBSTITUTE(LEFT(Base_report!F329,10),"-","/")),MONTH(SUBSTITUTE(LEFT(Base_report!F329,10),"-","/")),DAY(SUBSTITUTE(LEFT(Base_report!F329,10),"-","/")))</f>
        <v>45295</v>
      </c>
      <c r="H330" s="16">
        <f>DATE(YEAR(SUBSTITUTE(LEFT(Base_report!G329,10),"-","/")),MONTH(SUBSTITUTE(LEFT(Base_report!G329,10),"-","/")),DAY(SUBSTITUTE(LEFT(Base_report!G329,10),"-","/")))</f>
        <v>45296</v>
      </c>
      <c r="I330" s="17" t="str">
        <f t="shared" si="1"/>
        <v>OUI</v>
      </c>
      <c r="J330" s="18">
        <f>IF(L330="DS",DATE(RIGHT(B330,4),VLOOKUP(LEFT(B330,LEN(B330)-5),Feuil1!$E$3:$F$19,2,FALSE)+1,10),DATE(RIGHT(B330,4),VLOOKUP(LEFT(B330,LEN(B330)-5),Feuil1!$E$3:$F$19,2,FALSE)+1,7))</f>
        <v>45298</v>
      </c>
      <c r="K330" s="19">
        <f t="shared" si="2"/>
        <v>1</v>
      </c>
      <c r="L330" s="6" t="str">
        <f t="shared" si="3"/>
        <v>FS</v>
      </c>
    </row>
    <row r="331" ht="14.25" customHeight="1">
      <c r="A331" s="14" t="str">
        <f>Base_report!A330</f>
        <v>BOUNKANI</v>
      </c>
      <c r="B331" s="14" t="str">
        <f>Base_report!B330</f>
        <v>DECEMBRE 2023</v>
      </c>
      <c r="C331" s="15" t="str">
        <f>Base_report!C330</f>
        <v>C4084</v>
      </c>
      <c r="D331" s="14" t="str">
        <f>TRIM(IF(ISNUMBER(FIND("PNSME",Base_report!D330,1)),SUBSTITUTE(Base_report!D330,"PNSME",""),IF(ISNUMBER(FIND("PHG",Base_report!D330,1)),SUBSTITUTE(Base_report!D330,"PHG",""),IF(ISNUMBER(FIND("PCS",Base_report!D330,1)),SUBSTITUTE(Base_report!D330,"PCS",""),IF(ISNUMBER(FIND("CMU",Base_report!D330,1)),SUBSTITUTE(Base_report!D330,"CMU",""),Base_report!D330)))))</f>
        <v>DISTRICT SANITAIRE TEHINI</v>
      </c>
      <c r="E331" s="14" t="str">
        <f>SUBSTITUTE(Base_report!E330,"-","/")</f>
        <v>PNLS/ANTIRETROVIRAUX ET IO</v>
      </c>
      <c r="F331" s="14" t="s">
        <v>788</v>
      </c>
      <c r="G331" s="16">
        <f>DATE(YEAR(SUBSTITUTE(LEFT(Base_report!F330,10),"-","/")),MONTH(SUBSTITUTE(LEFT(Base_report!F330,10),"-","/")),DAY(SUBSTITUTE(LEFT(Base_report!F330,10),"-","/")))</f>
        <v>45300</v>
      </c>
      <c r="H331" s="16">
        <f>DATE(YEAR(SUBSTITUTE(LEFT(Base_report!G330,10),"-","/")),MONTH(SUBSTITUTE(LEFT(Base_report!G330,10),"-","/")),DAY(SUBSTITUTE(LEFT(Base_report!G330,10),"-","/")))</f>
        <v>45300</v>
      </c>
      <c r="I331" s="17" t="str">
        <f t="shared" si="1"/>
        <v>OUI</v>
      </c>
      <c r="J331" s="18">
        <f>IF(L331="DS",DATE(RIGHT(B331,4),VLOOKUP(LEFT(B331,LEN(B331)-5),Feuil1!$E$3:$F$19,2,FALSE)+1,10),DATE(RIGHT(B331,4),VLOOKUP(LEFT(B331,LEN(B331)-5),Feuil1!$E$3:$F$19,2,FALSE)+1,7))</f>
        <v>45301</v>
      </c>
      <c r="K331" s="19">
        <f t="shared" si="2"/>
        <v>1</v>
      </c>
      <c r="L331" s="6" t="str">
        <f t="shared" si="3"/>
        <v>DS</v>
      </c>
    </row>
    <row r="332" ht="14.25" customHeight="1">
      <c r="A332" s="14" t="str">
        <f>Base_report!A331</f>
        <v>BERE</v>
      </c>
      <c r="B332" s="14" t="str">
        <f>Base_report!B331</f>
        <v>DECEMBRE 2023</v>
      </c>
      <c r="C332" s="15" t="str">
        <f>Base_report!C331</f>
        <v>C3017</v>
      </c>
      <c r="D332" s="14" t="str">
        <f>TRIM(IF(ISNUMBER(FIND("PNSME",Base_report!D331,1)),SUBSTITUTE(Base_report!D331,"PNSME",""),IF(ISNUMBER(FIND("PHG",Base_report!D331,1)),SUBSTITUTE(Base_report!D331,"PHG",""),IF(ISNUMBER(FIND("PCS",Base_report!D331,1)),SUBSTITUTE(Base_report!D331,"PCS",""),IF(ISNUMBER(FIND("CMU",Base_report!D331,1)),SUBSTITUTE(Base_report!D331,"CMU",""),Base_report!D331)))))</f>
        <v>HOPITAL GENERAL MANKONO</v>
      </c>
      <c r="E332" s="14" t="str">
        <f>SUBSTITUTE(Base_report!E331,"-","/")</f>
        <v>PNLS/TESTS RAPIDES ET CONSOMMABLES</v>
      </c>
      <c r="F332" s="14" t="s">
        <v>788</v>
      </c>
      <c r="G332" s="16">
        <f>DATE(YEAR(SUBSTITUTE(LEFT(Base_report!F331,10),"-","/")),MONTH(SUBSTITUTE(LEFT(Base_report!F331,10),"-","/")),DAY(SUBSTITUTE(LEFT(Base_report!F331,10),"-","/")))</f>
        <v>45298</v>
      </c>
      <c r="H332" s="16">
        <f>DATE(YEAR(SUBSTITUTE(LEFT(Base_report!G331,10),"-","/")),MONTH(SUBSTITUTE(LEFT(Base_report!G331,10),"-","/")),DAY(SUBSTITUTE(LEFT(Base_report!G331,10),"-","/")))</f>
        <v>45298</v>
      </c>
      <c r="I332" s="17" t="str">
        <f t="shared" si="1"/>
        <v>OUI</v>
      </c>
      <c r="J332" s="18">
        <f>IF(L332="DS",DATE(RIGHT(B332,4),VLOOKUP(LEFT(B332,LEN(B332)-5),Feuil1!$E$3:$F$19,2,FALSE)+1,10),DATE(RIGHT(B332,4),VLOOKUP(LEFT(B332,LEN(B332)-5),Feuil1!$E$3:$F$19,2,FALSE)+1,7))</f>
        <v>45298</v>
      </c>
      <c r="K332" s="19">
        <f t="shared" si="2"/>
        <v>1</v>
      </c>
      <c r="L332" s="6" t="str">
        <f t="shared" si="3"/>
        <v>FS</v>
      </c>
    </row>
    <row r="333" ht="14.25" customHeight="1">
      <c r="A333" s="14" t="str">
        <f>Base_report!A332</f>
        <v>SAN PEDRO</v>
      </c>
      <c r="B333" s="14" t="str">
        <f>Base_report!B332</f>
        <v>DECEMBRE 2023</v>
      </c>
      <c r="C333" s="15" t="str">
        <f>Base_report!C332</f>
        <v>C2040</v>
      </c>
      <c r="D333" s="14" t="str">
        <f>TRIM(IF(ISNUMBER(FIND("PNSME",Base_report!D332,1)),SUBSTITUTE(Base_report!D332,"PNSME",""),IF(ISNUMBER(FIND("PHG",Base_report!D332,1)),SUBSTITUTE(Base_report!D332,"PHG",""),IF(ISNUMBER(FIND("PCS",Base_report!D332,1)),SUBSTITUTE(Base_report!D332,"PCS",""),IF(ISNUMBER(FIND("CMU",Base_report!D332,1)),SUBSTITUTE(Base_report!D332,"CMU",""),Base_report!D332)))))</f>
        <v>DISTRICT SANITAIRE TABOU</v>
      </c>
      <c r="E333" s="14" t="str">
        <f>SUBSTITUTE(Base_report!E332,"-","/")</f>
        <v>PNLP/MEDICAMENTS ET INTRANTS</v>
      </c>
      <c r="F333" s="14" t="s">
        <v>788</v>
      </c>
      <c r="G333" s="16">
        <f>DATE(YEAR(SUBSTITUTE(LEFT(Base_report!F332,10),"-","/")),MONTH(SUBSTITUTE(LEFT(Base_report!F332,10),"-","/")),DAY(SUBSTITUTE(LEFT(Base_report!F332,10),"-","/")))</f>
        <v>45300</v>
      </c>
      <c r="H333" s="16">
        <f>DATE(YEAR(SUBSTITUTE(LEFT(Base_report!G332,10),"-","/")),MONTH(SUBSTITUTE(LEFT(Base_report!G332,10),"-","/")),DAY(SUBSTITUTE(LEFT(Base_report!G332,10),"-","/")))</f>
        <v>45301</v>
      </c>
      <c r="I333" s="17" t="str">
        <f t="shared" si="1"/>
        <v>OUI</v>
      </c>
      <c r="J333" s="18">
        <f>IF(L333="DS",DATE(RIGHT(B333,4),VLOOKUP(LEFT(B333,LEN(B333)-5),Feuil1!$E$3:$F$19,2,FALSE)+1,10),DATE(RIGHT(B333,4),VLOOKUP(LEFT(B333,LEN(B333)-5),Feuil1!$E$3:$F$19,2,FALSE)+1,7))</f>
        <v>45301</v>
      </c>
      <c r="K333" s="19">
        <f t="shared" si="2"/>
        <v>1</v>
      </c>
      <c r="L333" s="6" t="str">
        <f t="shared" si="3"/>
        <v>DS</v>
      </c>
    </row>
    <row r="334" ht="14.25" customHeight="1">
      <c r="A334" s="14" t="str">
        <f>Base_report!A333</f>
        <v>HAUT-SASSANDRA</v>
      </c>
      <c r="B334" s="14" t="str">
        <f>Base_report!B333</f>
        <v>DECEMBRE 2023</v>
      </c>
      <c r="C334" s="15" t="str">
        <f>Base_report!C333</f>
        <v>C2031</v>
      </c>
      <c r="D334" s="14" t="str">
        <f>TRIM(IF(ISNUMBER(FIND("PNSME",Base_report!D333,1)),SUBSTITUTE(Base_report!D333,"PNSME",""),IF(ISNUMBER(FIND("PHG",Base_report!D333,1)),SUBSTITUTE(Base_report!D333,"PHG",""),IF(ISNUMBER(FIND("PCS",Base_report!D333,1)),SUBSTITUTE(Base_report!D333,"PCS",""),IF(ISNUMBER(FIND("CMU",Base_report!D333,1)),SUBSTITUTE(Base_report!D333,"CMU",""),Base_report!D333)))))</f>
        <v>DISTRICT SANITAIRE ISSIA</v>
      </c>
      <c r="E334" s="14" t="str">
        <f>SUBSTITUTE(Base_report!E333,"-","/")</f>
        <v>PNLP/MEDICAMENTS ET INTRANTS</v>
      </c>
      <c r="F334" s="14" t="s">
        <v>788</v>
      </c>
      <c r="G334" s="16">
        <f>DATE(YEAR(SUBSTITUTE(LEFT(Base_report!F333,10),"-","/")),MONTH(SUBSTITUTE(LEFT(Base_report!F333,10),"-","/")),DAY(SUBSTITUTE(LEFT(Base_report!F333,10),"-","/")))</f>
        <v>45301</v>
      </c>
      <c r="H334" s="16">
        <f>DATE(YEAR(SUBSTITUTE(LEFT(Base_report!G333,10),"-","/")),MONTH(SUBSTITUTE(LEFT(Base_report!G333,10),"-","/")),DAY(SUBSTITUTE(LEFT(Base_report!G333,10),"-","/")))</f>
        <v>45301</v>
      </c>
      <c r="I334" s="17" t="str">
        <f t="shared" si="1"/>
        <v>OUI</v>
      </c>
      <c r="J334" s="18">
        <f>IF(L334="DS",DATE(RIGHT(B334,4),VLOOKUP(LEFT(B334,LEN(B334)-5),Feuil1!$E$3:$F$19,2,FALSE)+1,10),DATE(RIGHT(B334,4),VLOOKUP(LEFT(B334,LEN(B334)-5),Feuil1!$E$3:$F$19,2,FALSE)+1,7))</f>
        <v>45301</v>
      </c>
      <c r="K334" s="19">
        <f t="shared" si="2"/>
        <v>1</v>
      </c>
      <c r="L334" s="6" t="str">
        <f t="shared" si="3"/>
        <v>DS</v>
      </c>
    </row>
    <row r="335" ht="14.25" customHeight="1">
      <c r="A335" s="14" t="str">
        <f>Base_report!A334</f>
        <v>SUD-COMOE</v>
      </c>
      <c r="B335" s="14" t="str">
        <f>Base_report!B334</f>
        <v>DECEMBRE 2023</v>
      </c>
      <c r="C335" s="15" t="str">
        <f>Base_report!C334</f>
        <v>C1082</v>
      </c>
      <c r="D335" s="14" t="str">
        <f>TRIM(IF(ISNUMBER(FIND("PNSME",Base_report!D334,1)),SUBSTITUTE(Base_report!D334,"PNSME",""),IF(ISNUMBER(FIND("PHG",Base_report!D334,1)),SUBSTITUTE(Base_report!D334,"PHG",""),IF(ISNUMBER(FIND("PCS",Base_report!D334,1)),SUBSTITUTE(Base_report!D334,"PCS",""),IF(ISNUMBER(FIND("CMU",Base_report!D334,1)),SUBSTITUTE(Base_report!D334,"CMU",""),Base_report!D334)))))</f>
        <v>HOPITAL GENERAL ADIAKE</v>
      </c>
      <c r="E335" s="14" t="str">
        <f>SUBSTITUTE(Base_report!E334,"-","/")</f>
        <v>PNN/MEDICAMENTS ET INTRANTS</v>
      </c>
      <c r="F335" s="14" t="s">
        <v>788</v>
      </c>
      <c r="G335" s="16">
        <f>DATE(YEAR(SUBSTITUTE(LEFT(Base_report!F334,10),"-","/")),MONTH(SUBSTITUTE(LEFT(Base_report!F334,10),"-","/")),DAY(SUBSTITUTE(LEFT(Base_report!F334,10),"-","/")))</f>
        <v>45297</v>
      </c>
      <c r="H335" s="16">
        <f>DATE(YEAR(SUBSTITUTE(LEFT(Base_report!G334,10),"-","/")),MONTH(SUBSTITUTE(LEFT(Base_report!G334,10),"-","/")),DAY(SUBSTITUTE(LEFT(Base_report!G334,10),"-","/")))</f>
        <v>45297</v>
      </c>
      <c r="I335" s="17" t="str">
        <f t="shared" si="1"/>
        <v>OUI</v>
      </c>
      <c r="J335" s="18">
        <f>IF(L335="DS",DATE(RIGHT(B335,4),VLOOKUP(LEFT(B335,LEN(B335)-5),Feuil1!$E$3:$F$19,2,FALSE)+1,10),DATE(RIGHT(B335,4),VLOOKUP(LEFT(B335,LEN(B335)-5),Feuil1!$E$3:$F$19,2,FALSE)+1,7))</f>
        <v>45298</v>
      </c>
      <c r="K335" s="19">
        <f t="shared" si="2"/>
        <v>1</v>
      </c>
      <c r="L335" s="6" t="str">
        <f t="shared" si="3"/>
        <v>FS</v>
      </c>
    </row>
    <row r="336" ht="14.25" customHeight="1">
      <c r="A336" s="14" t="str">
        <f>Base_report!A335</f>
        <v>BELIER</v>
      </c>
      <c r="B336" s="14" t="str">
        <f>Base_report!B335</f>
        <v>DECEMBRE 2023</v>
      </c>
      <c r="C336" s="15" t="str">
        <f>Base_report!C335</f>
        <v>C2026</v>
      </c>
      <c r="D336" s="14" t="str">
        <f>TRIM(IF(ISNUMBER(FIND("PNSME",Base_report!D335,1)),SUBSTITUTE(Base_report!D335,"PNSME",""),IF(ISNUMBER(FIND("PHG",Base_report!D335,1)),SUBSTITUTE(Base_report!D335,"PHG",""),IF(ISNUMBER(FIND("PCS",Base_report!D335,1)),SUBSTITUTE(Base_report!D335,"PCS",""),IF(ISNUMBER(FIND("CMU",Base_report!D335,1)),SUBSTITUTE(Base_report!D335,"CMU",""),Base_report!D335)))))</f>
        <v>DISTRICT SANITAIRE DIDIEVI</v>
      </c>
      <c r="E336" s="14" t="str">
        <f>SUBSTITUTE(Base_report!E335,"-","/")</f>
        <v>PNSME/MEDICAMENTS ET INTRANTS</v>
      </c>
      <c r="F336" s="14" t="s">
        <v>788</v>
      </c>
      <c r="G336" s="16">
        <f>DATE(YEAR(SUBSTITUTE(LEFT(Base_report!F335,10),"-","/")),MONTH(SUBSTITUTE(LEFT(Base_report!F335,10),"-","/")),DAY(SUBSTITUTE(LEFT(Base_report!F335,10),"-","/")))</f>
        <v>45301</v>
      </c>
      <c r="H336" s="16">
        <f>DATE(YEAR(SUBSTITUTE(LEFT(Base_report!G335,10),"-","/")),MONTH(SUBSTITUTE(LEFT(Base_report!G335,10),"-","/")),DAY(SUBSTITUTE(LEFT(Base_report!G335,10),"-","/")))</f>
        <v>45301</v>
      </c>
      <c r="I336" s="17" t="str">
        <f t="shared" si="1"/>
        <v>OUI</v>
      </c>
      <c r="J336" s="18">
        <f>IF(L336="DS",DATE(RIGHT(B336,4),VLOOKUP(LEFT(B336,LEN(B336)-5),Feuil1!$E$3:$F$19,2,FALSE)+1,10),DATE(RIGHT(B336,4),VLOOKUP(LEFT(B336,LEN(B336)-5),Feuil1!$E$3:$F$19,2,FALSE)+1,7))</f>
        <v>45301</v>
      </c>
      <c r="K336" s="19">
        <f t="shared" si="2"/>
        <v>1</v>
      </c>
      <c r="L336" s="6" t="str">
        <f t="shared" si="3"/>
        <v>DS</v>
      </c>
    </row>
    <row r="337" ht="14.25" customHeight="1">
      <c r="A337" s="14" t="str">
        <f>Base_report!A336</f>
        <v>PORO</v>
      </c>
      <c r="B337" s="14" t="str">
        <f>Base_report!B336</f>
        <v>DECEMBRE 2023</v>
      </c>
      <c r="C337" s="15" t="str">
        <f>Base_report!C336</f>
        <v>C2127</v>
      </c>
      <c r="D337" s="14" t="str">
        <f>TRIM(IF(ISNUMBER(FIND("PNSME",Base_report!D336,1)),SUBSTITUTE(Base_report!D336,"PNSME",""),IF(ISNUMBER(FIND("PHG",Base_report!D336,1)),SUBSTITUTE(Base_report!D336,"PHG",""),IF(ISNUMBER(FIND("PCS",Base_report!D336,1)),SUBSTITUTE(Base_report!D336,"PCS",""),IF(ISNUMBER(FIND("CMU",Base_report!D336,1)),SUBSTITUTE(Base_report!D336,"CMU",""),Base_report!D336)))))</f>
        <v>CHR KORHOGO</v>
      </c>
      <c r="E337" s="14" t="str">
        <f>SUBSTITUTE(Base_report!E336,"-","/")</f>
        <v>PNLS/ANTIRETROVIRAUX ET IO</v>
      </c>
      <c r="F337" s="14" t="s">
        <v>788</v>
      </c>
      <c r="G337" s="16">
        <f>DATE(YEAR(SUBSTITUTE(LEFT(Base_report!F336,10),"-","/")),MONTH(SUBSTITUTE(LEFT(Base_report!F336,10),"-","/")),DAY(SUBSTITUTE(LEFT(Base_report!F336,10),"-","/")))</f>
        <v>45295</v>
      </c>
      <c r="H337" s="16">
        <f>DATE(YEAR(SUBSTITUTE(LEFT(Base_report!G336,10),"-","/")),MONTH(SUBSTITUTE(LEFT(Base_report!G336,10),"-","/")),DAY(SUBSTITUTE(LEFT(Base_report!G336,10),"-","/")))</f>
        <v>45295</v>
      </c>
      <c r="I337" s="17" t="str">
        <f t="shared" si="1"/>
        <v>OUI</v>
      </c>
      <c r="J337" s="18">
        <f>IF(L337="DS",DATE(RIGHT(B337,4),VLOOKUP(LEFT(B337,LEN(B337)-5),Feuil1!$E$3:$F$19,2,FALSE)+1,10),DATE(RIGHT(B337,4),VLOOKUP(LEFT(B337,LEN(B337)-5),Feuil1!$E$3:$F$19,2,FALSE)+1,7))</f>
        <v>45298</v>
      </c>
      <c r="K337" s="19">
        <f t="shared" si="2"/>
        <v>1</v>
      </c>
      <c r="L337" s="6" t="str">
        <f t="shared" si="3"/>
        <v>FS</v>
      </c>
    </row>
    <row r="338" ht="14.25" customHeight="1">
      <c r="A338" s="14" t="str">
        <f>Base_report!A337</f>
        <v>PORO</v>
      </c>
      <c r="B338" s="14" t="str">
        <f>Base_report!B337</f>
        <v>DECEMBRE 2023</v>
      </c>
      <c r="C338" s="15" t="str">
        <f>Base_report!C337</f>
        <v>C2127</v>
      </c>
      <c r="D338" s="14" t="str">
        <f>TRIM(IF(ISNUMBER(FIND("PNSME",Base_report!D337,1)),SUBSTITUTE(Base_report!D337,"PNSME",""),IF(ISNUMBER(FIND("PHG",Base_report!D337,1)),SUBSTITUTE(Base_report!D337,"PHG",""),IF(ISNUMBER(FIND("PCS",Base_report!D337,1)),SUBSTITUTE(Base_report!D337,"PCS",""),IF(ISNUMBER(FIND("CMU",Base_report!D337,1)),SUBSTITUTE(Base_report!D337,"CMU",""),Base_report!D337)))))</f>
        <v>CHR KORHOGO</v>
      </c>
      <c r="E338" s="14" t="str">
        <f>SUBSTITUTE(Base_report!E337,"-","/")</f>
        <v>PNLS/PRODUITS DE LABORATOIRE</v>
      </c>
      <c r="F338" s="14" t="s">
        <v>788</v>
      </c>
      <c r="G338" s="16">
        <f>DATE(YEAR(SUBSTITUTE(LEFT(Base_report!F337,10),"-","/")),MONTH(SUBSTITUTE(LEFT(Base_report!F337,10),"-","/")),DAY(SUBSTITUTE(LEFT(Base_report!F337,10),"-","/")))</f>
        <v>45295</v>
      </c>
      <c r="H338" s="16">
        <f>DATE(YEAR(SUBSTITUTE(LEFT(Base_report!G337,10),"-","/")),MONTH(SUBSTITUTE(LEFT(Base_report!G337,10),"-","/")),DAY(SUBSTITUTE(LEFT(Base_report!G337,10),"-","/")))</f>
        <v>45295</v>
      </c>
      <c r="I338" s="17" t="str">
        <f t="shared" si="1"/>
        <v>OUI</v>
      </c>
      <c r="J338" s="18">
        <f>IF(L338="DS",DATE(RIGHT(B338,4),VLOOKUP(LEFT(B338,LEN(B338)-5),Feuil1!$E$3:$F$19,2,FALSE)+1,10),DATE(RIGHT(B338,4),VLOOKUP(LEFT(B338,LEN(B338)-5),Feuil1!$E$3:$F$19,2,FALSE)+1,7))</f>
        <v>45298</v>
      </c>
      <c r="K338" s="19">
        <f t="shared" si="2"/>
        <v>1</v>
      </c>
      <c r="L338" s="6" t="str">
        <f t="shared" si="3"/>
        <v>FS</v>
      </c>
    </row>
    <row r="339" ht="14.25" customHeight="1">
      <c r="A339" s="14" t="str">
        <f>Base_report!A338</f>
        <v>PORO</v>
      </c>
      <c r="B339" s="14" t="str">
        <f>Base_report!B338</f>
        <v>DECEMBRE 2023</v>
      </c>
      <c r="C339" s="15" t="str">
        <f>Base_report!C338</f>
        <v>C2127</v>
      </c>
      <c r="D339" s="14" t="str">
        <f>TRIM(IF(ISNUMBER(FIND("PNSME",Base_report!D338,1)),SUBSTITUTE(Base_report!D338,"PNSME",""),IF(ISNUMBER(FIND("PHG",Base_report!D338,1)),SUBSTITUTE(Base_report!D338,"PHG",""),IF(ISNUMBER(FIND("PCS",Base_report!D338,1)),SUBSTITUTE(Base_report!D338,"PCS",""),IF(ISNUMBER(FIND("CMU",Base_report!D338,1)),SUBSTITUTE(Base_report!D338,"CMU",""),Base_report!D338)))))</f>
        <v>CHR KORHOGO</v>
      </c>
      <c r="E339" s="14" t="str">
        <f>SUBSTITUTE(Base_report!E338,"-","/")</f>
        <v>PNLS/TESTS RAPIDES ET CONSOMMABLES</v>
      </c>
      <c r="F339" s="14" t="s">
        <v>788</v>
      </c>
      <c r="G339" s="16">
        <f>DATE(YEAR(SUBSTITUTE(LEFT(Base_report!F338,10),"-","/")),MONTH(SUBSTITUTE(LEFT(Base_report!F338,10),"-","/")),DAY(SUBSTITUTE(LEFT(Base_report!F338,10),"-","/")))</f>
        <v>45295</v>
      </c>
      <c r="H339" s="16">
        <f>DATE(YEAR(SUBSTITUTE(LEFT(Base_report!G338,10),"-","/")),MONTH(SUBSTITUTE(LEFT(Base_report!G338,10),"-","/")),DAY(SUBSTITUTE(LEFT(Base_report!G338,10),"-","/")))</f>
        <v>45295</v>
      </c>
      <c r="I339" s="17" t="str">
        <f t="shared" si="1"/>
        <v>OUI</v>
      </c>
      <c r="J339" s="18">
        <f>IF(L339="DS",DATE(RIGHT(B339,4),VLOOKUP(LEFT(B339,LEN(B339)-5),Feuil1!$E$3:$F$19,2,FALSE)+1,10),DATE(RIGHT(B339,4),VLOOKUP(LEFT(B339,LEN(B339)-5),Feuil1!$E$3:$F$19,2,FALSE)+1,7))</f>
        <v>45298</v>
      </c>
      <c r="K339" s="19">
        <f t="shared" si="2"/>
        <v>1</v>
      </c>
      <c r="L339" s="6" t="str">
        <f t="shared" si="3"/>
        <v>FS</v>
      </c>
    </row>
    <row r="340" ht="14.25" customHeight="1">
      <c r="A340" s="14" t="str">
        <f>Base_report!A339</f>
        <v>BOUNKANI</v>
      </c>
      <c r="B340" s="14" t="str">
        <f>Base_report!B339</f>
        <v>DECEMBRE 2023</v>
      </c>
      <c r="C340" s="15" t="str">
        <f>Base_report!C339</f>
        <v>C4003</v>
      </c>
      <c r="D340" s="14" t="str">
        <f>TRIM(IF(ISNUMBER(FIND("PNSME",Base_report!D339,1)),SUBSTITUTE(Base_report!D339,"PNSME",""),IF(ISNUMBER(FIND("PHG",Base_report!D339,1)),SUBSTITUTE(Base_report!D339,"PHG",""),IF(ISNUMBER(FIND("PCS",Base_report!D339,1)),SUBSTITUTE(Base_report!D339,"PCS",""),IF(ISNUMBER(FIND("CMU",Base_report!D339,1)),SUBSTITUTE(Base_report!D339,"CMU",""),Base_report!D339)))))</f>
        <v>HOPITAL GENERAL NASSIAN</v>
      </c>
      <c r="E340" s="14" t="str">
        <f>SUBSTITUTE(Base_report!E339,"-","/")</f>
        <v>PNLS/TESTS RAPIDES ET CONSOMMABLES</v>
      </c>
      <c r="F340" s="14" t="s">
        <v>788</v>
      </c>
      <c r="G340" s="16">
        <f>DATE(YEAR(SUBSTITUTE(LEFT(Base_report!F339,10),"-","/")),MONTH(SUBSTITUTE(LEFT(Base_report!F339,10),"-","/")),DAY(SUBSTITUTE(LEFT(Base_report!F339,10),"-","/")))</f>
        <v>45297</v>
      </c>
      <c r="H340" s="16">
        <f>DATE(YEAR(SUBSTITUTE(LEFT(Base_report!G339,10),"-","/")),MONTH(SUBSTITUTE(LEFT(Base_report!G339,10),"-","/")),DAY(SUBSTITUTE(LEFT(Base_report!G339,10),"-","/")))</f>
        <v>45297</v>
      </c>
      <c r="I340" s="17" t="str">
        <f t="shared" si="1"/>
        <v>OUI</v>
      </c>
      <c r="J340" s="18">
        <f>IF(L340="DS",DATE(RIGHT(B340,4),VLOOKUP(LEFT(B340,LEN(B340)-5),Feuil1!$E$3:$F$19,2,FALSE)+1,10),DATE(RIGHT(B340,4),VLOOKUP(LEFT(B340,LEN(B340)-5),Feuil1!$E$3:$F$19,2,FALSE)+1,7))</f>
        <v>45298</v>
      </c>
      <c r="K340" s="19">
        <f t="shared" si="2"/>
        <v>1</v>
      </c>
      <c r="L340" s="6" t="str">
        <f t="shared" si="3"/>
        <v>FS</v>
      </c>
    </row>
    <row r="341" ht="14.25" customHeight="1">
      <c r="A341" s="14" t="str">
        <f>Base_report!A340</f>
        <v>MORONOU</v>
      </c>
      <c r="B341" s="14" t="str">
        <f>Base_report!B340</f>
        <v>DECEMBRE 2023</v>
      </c>
      <c r="C341" s="15" t="str">
        <f>Base_report!C340</f>
        <v>C4054</v>
      </c>
      <c r="D341" s="14" t="str">
        <f>TRIM(IF(ISNUMBER(FIND("PNSME",Base_report!D340,1)),SUBSTITUTE(Base_report!D340,"PNSME",""),IF(ISNUMBER(FIND("PHG",Base_report!D340,1)),SUBSTITUTE(Base_report!D340,"PHG",""),IF(ISNUMBER(FIND("PCS",Base_report!D340,1)),SUBSTITUTE(Base_report!D340,"PCS",""),IF(ISNUMBER(FIND("CMU",Base_report!D340,1)),SUBSTITUTE(Base_report!D340,"CMU",""),Base_report!D340)))))</f>
        <v>HOPITAL GENERAL M'BATTO</v>
      </c>
      <c r="E341" s="14" t="str">
        <f>SUBSTITUTE(Base_report!E340,"-","/")</f>
        <v>PNLS/ANTIRETROVIRAUX ET IO</v>
      </c>
      <c r="F341" s="14" t="s">
        <v>788</v>
      </c>
      <c r="G341" s="16">
        <f>DATE(YEAR(SUBSTITUTE(LEFT(Base_report!F340,10),"-","/")),MONTH(SUBSTITUTE(LEFT(Base_report!F340,10),"-","/")),DAY(SUBSTITUTE(LEFT(Base_report!F340,10),"-","/")))</f>
        <v>45294</v>
      </c>
      <c r="H341" s="16">
        <f>DATE(YEAR(SUBSTITUTE(LEFT(Base_report!G340,10),"-","/")),MONTH(SUBSTITUTE(LEFT(Base_report!G340,10),"-","/")),DAY(SUBSTITUTE(LEFT(Base_report!G340,10),"-","/")))</f>
        <v>45295</v>
      </c>
      <c r="I341" s="17" t="str">
        <f t="shared" si="1"/>
        <v>OUI</v>
      </c>
      <c r="J341" s="18">
        <f>IF(L341="DS",DATE(RIGHT(B341,4),VLOOKUP(LEFT(B341,LEN(B341)-5),Feuil1!$E$3:$F$19,2,FALSE)+1,10),DATE(RIGHT(B341,4),VLOOKUP(LEFT(B341,LEN(B341)-5),Feuil1!$E$3:$F$19,2,FALSE)+1,7))</f>
        <v>45298</v>
      </c>
      <c r="K341" s="19">
        <f t="shared" si="2"/>
        <v>1</v>
      </c>
      <c r="L341" s="6" t="str">
        <f t="shared" si="3"/>
        <v>FS</v>
      </c>
    </row>
    <row r="342" ht="14.25" customHeight="1">
      <c r="A342" s="14" t="str">
        <f>Base_report!A341</f>
        <v>BOUNKANI</v>
      </c>
      <c r="B342" s="14" t="str">
        <f>Base_report!B341</f>
        <v>DECEMBRE 2023</v>
      </c>
      <c r="C342" s="15" t="str">
        <f>Base_report!C341</f>
        <v>C4088</v>
      </c>
      <c r="D342" s="14" t="str">
        <f>TRIM(IF(ISNUMBER(FIND("PNSME",Base_report!D341,1)),SUBSTITUTE(Base_report!D341,"PNSME",""),IF(ISNUMBER(FIND("PHG",Base_report!D341,1)),SUBSTITUTE(Base_report!D341,"PHG",""),IF(ISNUMBER(FIND("PCS",Base_report!D341,1)),SUBSTITUTE(Base_report!D341,"PCS",""),IF(ISNUMBER(FIND("CMU",Base_report!D341,1)),SUBSTITUTE(Base_report!D341,"CMU",""),Base_report!D341)))))</f>
        <v>HOPITAL GENERAL TEHINI</v>
      </c>
      <c r="E342" s="14" t="str">
        <f>SUBSTITUTE(Base_report!E341,"-","/")</f>
        <v>PNLP/MEDICAMENTS ET INTRANTS</v>
      </c>
      <c r="F342" s="14" t="s">
        <v>788</v>
      </c>
      <c r="G342" s="16">
        <f>DATE(YEAR(SUBSTITUTE(LEFT(Base_report!F341,10),"-","/")),MONTH(SUBSTITUTE(LEFT(Base_report!F341,10),"-","/")),DAY(SUBSTITUTE(LEFT(Base_report!F341,10),"-","/")))</f>
        <v>45298</v>
      </c>
      <c r="H342" s="16">
        <f>DATE(YEAR(SUBSTITUTE(LEFT(Base_report!G341,10),"-","/")),MONTH(SUBSTITUTE(LEFT(Base_report!G341,10),"-","/")),DAY(SUBSTITUTE(LEFT(Base_report!G341,10),"-","/")))</f>
        <v>45298</v>
      </c>
      <c r="I342" s="17" t="str">
        <f t="shared" si="1"/>
        <v>OUI</v>
      </c>
      <c r="J342" s="18">
        <f>IF(L342="DS",DATE(RIGHT(B342,4),VLOOKUP(LEFT(B342,LEN(B342)-5),Feuil1!$E$3:$F$19,2,FALSE)+1,10),DATE(RIGHT(B342,4),VLOOKUP(LEFT(B342,LEN(B342)-5),Feuil1!$E$3:$F$19,2,FALSE)+1,7))</f>
        <v>45298</v>
      </c>
      <c r="K342" s="19">
        <f t="shared" si="2"/>
        <v>1</v>
      </c>
      <c r="L342" s="6" t="str">
        <f t="shared" si="3"/>
        <v>FS</v>
      </c>
    </row>
    <row r="343" ht="14.25" customHeight="1">
      <c r="A343" s="14" t="str">
        <f>Base_report!A342</f>
        <v>GBEKE</v>
      </c>
      <c r="B343" s="14" t="str">
        <f>Base_report!B342</f>
        <v>DECEMBRE 2023</v>
      </c>
      <c r="C343" s="15" t="str">
        <f>Base_report!C342</f>
        <v>C2048</v>
      </c>
      <c r="D343" s="14" t="str">
        <f>TRIM(IF(ISNUMBER(FIND("PNSME",Base_report!D342,1)),SUBSTITUTE(Base_report!D342,"PNSME",""),IF(ISNUMBER(FIND("PHG",Base_report!D342,1)),SUBSTITUTE(Base_report!D342,"PHG",""),IF(ISNUMBER(FIND("PCS",Base_report!D342,1)),SUBSTITUTE(Base_report!D342,"PCS",""),IF(ISNUMBER(FIND("CMU",Base_report!D342,1)),SUBSTITUTE(Base_report!D342,"CMU",""),Base_report!D342)))))</f>
        <v>DISTRICT SANITAIRE BEOUMI</v>
      </c>
      <c r="E343" s="14" t="str">
        <f>SUBSTITUTE(Base_report!E342,"-","/")</f>
        <v>PNLS/TESTS RAPIDES ET CONSOMMABLES</v>
      </c>
      <c r="F343" s="14" t="s">
        <v>788</v>
      </c>
      <c r="G343" s="16">
        <f>DATE(YEAR(SUBSTITUTE(LEFT(Base_report!F342,10),"-","/")),MONTH(SUBSTITUTE(LEFT(Base_report!F342,10),"-","/")),DAY(SUBSTITUTE(LEFT(Base_report!F342,10),"-","/")))</f>
        <v>45301</v>
      </c>
      <c r="H343" s="16">
        <f>DATE(YEAR(SUBSTITUTE(LEFT(Base_report!G342,10),"-","/")),MONTH(SUBSTITUTE(LEFT(Base_report!G342,10),"-","/")),DAY(SUBSTITUTE(LEFT(Base_report!G342,10),"-","/")))</f>
        <v>45301</v>
      </c>
      <c r="I343" s="17" t="str">
        <f t="shared" si="1"/>
        <v>OUI</v>
      </c>
      <c r="J343" s="18">
        <f>IF(L343="DS",DATE(RIGHT(B343,4),VLOOKUP(LEFT(B343,LEN(B343)-5),Feuil1!$E$3:$F$19,2,FALSE)+1,10),DATE(RIGHT(B343,4),VLOOKUP(LEFT(B343,LEN(B343)-5),Feuil1!$E$3:$F$19,2,FALSE)+1,7))</f>
        <v>45301</v>
      </c>
      <c r="K343" s="19">
        <f t="shared" si="2"/>
        <v>1</v>
      </c>
      <c r="L343" s="6" t="str">
        <f t="shared" si="3"/>
        <v>DS</v>
      </c>
    </row>
    <row r="344" ht="14.25" customHeight="1">
      <c r="A344" s="14" t="str">
        <f>Base_report!A343</f>
        <v>SUD-COMOE</v>
      </c>
      <c r="B344" s="14" t="str">
        <f>Base_report!B343</f>
        <v>DECEMBRE 2023</v>
      </c>
      <c r="C344" s="15" t="str">
        <f>Base_report!C343</f>
        <v>C1003</v>
      </c>
      <c r="D344" s="14" t="str">
        <f>TRIM(IF(ISNUMBER(FIND("PNSME",Base_report!D343,1)),SUBSTITUTE(Base_report!D343,"PNSME",""),IF(ISNUMBER(FIND("PHG",Base_report!D343,1)),SUBSTITUTE(Base_report!D343,"PHG",""),IF(ISNUMBER(FIND("PCS",Base_report!D343,1)),SUBSTITUTE(Base_report!D343,"PCS",""),IF(ISNUMBER(FIND("CMU",Base_report!D343,1)),SUBSTITUTE(Base_report!D343,"CMU",""),Base_report!D343)))))</f>
        <v>CHR ABOISSO</v>
      </c>
      <c r="E344" s="14" t="str">
        <f>SUBSTITUTE(Base_report!E343,"-","/")</f>
        <v>PNLS/ANTIRETROVIRAUX ET IO</v>
      </c>
      <c r="F344" s="14" t="s">
        <v>788</v>
      </c>
      <c r="G344" s="16">
        <f>DATE(YEAR(SUBSTITUTE(LEFT(Base_report!F343,10),"-","/")),MONTH(SUBSTITUTE(LEFT(Base_report!F343,10),"-","/")),DAY(SUBSTITUTE(LEFT(Base_report!F343,10),"-","/")))</f>
        <v>45296</v>
      </c>
      <c r="H344" s="16">
        <f>DATE(YEAR(SUBSTITUTE(LEFT(Base_report!G343,10),"-","/")),MONTH(SUBSTITUTE(LEFT(Base_report!G343,10),"-","/")),DAY(SUBSTITUTE(LEFT(Base_report!G343,10),"-","/")))</f>
        <v>45296</v>
      </c>
      <c r="I344" s="17" t="str">
        <f t="shared" si="1"/>
        <v>OUI</v>
      </c>
      <c r="J344" s="18">
        <f>IF(L344="DS",DATE(RIGHT(B344,4),VLOOKUP(LEFT(B344,LEN(B344)-5),Feuil1!$E$3:$F$19,2,FALSE)+1,10),DATE(RIGHT(B344,4),VLOOKUP(LEFT(B344,LEN(B344)-5),Feuil1!$E$3:$F$19,2,FALSE)+1,7))</f>
        <v>45298</v>
      </c>
      <c r="K344" s="19">
        <f t="shared" si="2"/>
        <v>1</v>
      </c>
      <c r="L344" s="6" t="str">
        <f t="shared" si="3"/>
        <v>FS</v>
      </c>
    </row>
    <row r="345" ht="14.25" customHeight="1">
      <c r="A345" s="14" t="str">
        <f>Base_report!A344</f>
        <v>BOUNKANI</v>
      </c>
      <c r="B345" s="14" t="str">
        <f>Base_report!B344</f>
        <v>DECEMBRE 2023</v>
      </c>
      <c r="C345" s="15" t="str">
        <f>Base_report!C344</f>
        <v>C4050</v>
      </c>
      <c r="D345" s="14" t="str">
        <f>TRIM(IF(ISNUMBER(FIND("PNSME",Base_report!D344,1)),SUBSTITUTE(Base_report!D344,"PNSME",""),IF(ISNUMBER(FIND("PHG",Base_report!D344,1)),SUBSTITUTE(Base_report!D344,"PHG",""),IF(ISNUMBER(FIND("PCS",Base_report!D344,1)),SUBSTITUTE(Base_report!D344,"PCS",""),IF(ISNUMBER(FIND("CMU",Base_report!D344,1)),SUBSTITUTE(Base_report!D344,"CMU",""),Base_report!D344)))))</f>
        <v>DISTRICT SANITAIRE NASSIAN</v>
      </c>
      <c r="E345" s="14" t="str">
        <f>SUBSTITUTE(Base_report!E344,"-","/")</f>
        <v>PNN/MEDICAMENTS ET INTRANTS</v>
      </c>
      <c r="F345" s="14" t="s">
        <v>788</v>
      </c>
      <c r="G345" s="16">
        <f>DATE(YEAR(SUBSTITUTE(LEFT(Base_report!F344,10),"-","/")),MONTH(SUBSTITUTE(LEFT(Base_report!F344,10),"-","/")),DAY(SUBSTITUTE(LEFT(Base_report!F344,10),"-","/")))</f>
        <v>45271</v>
      </c>
      <c r="H345" s="16">
        <f>DATE(YEAR(SUBSTITUTE(LEFT(Base_report!G344,10),"-","/")),MONTH(SUBSTITUTE(LEFT(Base_report!G344,10),"-","/")),DAY(SUBSTITUTE(LEFT(Base_report!G344,10),"-","/")))</f>
        <v>45271</v>
      </c>
      <c r="I345" s="17" t="str">
        <f t="shared" si="1"/>
        <v>OUI</v>
      </c>
      <c r="J345" s="18">
        <f>IF(L345="DS",DATE(RIGHT(B345,4),VLOOKUP(LEFT(B345,LEN(B345)-5),Feuil1!$E$3:$F$19,2,FALSE)+1,10),DATE(RIGHT(B345,4),VLOOKUP(LEFT(B345,LEN(B345)-5),Feuil1!$E$3:$F$19,2,FALSE)+1,7))</f>
        <v>45301</v>
      </c>
      <c r="K345" s="19">
        <f t="shared" si="2"/>
        <v>1</v>
      </c>
      <c r="L345" s="6" t="str">
        <f t="shared" si="3"/>
        <v>DS</v>
      </c>
    </row>
    <row r="346" ht="14.25" customHeight="1">
      <c r="A346" s="14" t="str">
        <f>Base_report!A345</f>
        <v>BOUNKANI</v>
      </c>
      <c r="B346" s="14" t="str">
        <f>Base_report!B345</f>
        <v>DECEMBRE 2023</v>
      </c>
      <c r="C346" s="15" t="str">
        <f>Base_report!C345</f>
        <v>C4050</v>
      </c>
      <c r="D346" s="14" t="str">
        <f>TRIM(IF(ISNUMBER(FIND("PNSME",Base_report!D345,1)),SUBSTITUTE(Base_report!D345,"PNSME",""),IF(ISNUMBER(FIND("PHG",Base_report!D345,1)),SUBSTITUTE(Base_report!D345,"PHG",""),IF(ISNUMBER(FIND("PCS",Base_report!D345,1)),SUBSTITUTE(Base_report!D345,"PCS",""),IF(ISNUMBER(FIND("CMU",Base_report!D345,1)),SUBSTITUTE(Base_report!D345,"CMU",""),Base_report!D345)))))</f>
        <v>DISTRICT SANITAIRE NASSIAN</v>
      </c>
      <c r="E346" s="14" t="str">
        <f>SUBSTITUTE(Base_report!E345,"-","/")</f>
        <v>PNSME/MEDICAMENTS ET INTRANTS</v>
      </c>
      <c r="F346" s="14" t="s">
        <v>788</v>
      </c>
      <c r="G346" s="16">
        <f>DATE(YEAR(SUBSTITUTE(LEFT(Base_report!F345,10),"-","/")),MONTH(SUBSTITUTE(LEFT(Base_report!F345,10),"-","/")),DAY(SUBSTITUTE(LEFT(Base_report!F345,10),"-","/")))</f>
        <v>45271</v>
      </c>
      <c r="H346" s="16">
        <f>DATE(YEAR(SUBSTITUTE(LEFT(Base_report!G345,10),"-","/")),MONTH(SUBSTITUTE(LEFT(Base_report!G345,10),"-","/")),DAY(SUBSTITUTE(LEFT(Base_report!G345,10),"-","/")))</f>
        <v>45271</v>
      </c>
      <c r="I346" s="17" t="str">
        <f t="shared" si="1"/>
        <v>OUI</v>
      </c>
      <c r="J346" s="18">
        <f>IF(L346="DS",DATE(RIGHT(B346,4),VLOOKUP(LEFT(B346,LEN(B346)-5),Feuil1!$E$3:$F$19,2,FALSE)+1,10),DATE(RIGHT(B346,4),VLOOKUP(LEFT(B346,LEN(B346)-5),Feuil1!$E$3:$F$19,2,FALSE)+1,7))</f>
        <v>45301</v>
      </c>
      <c r="K346" s="19">
        <f t="shared" si="2"/>
        <v>1</v>
      </c>
      <c r="L346" s="6" t="str">
        <f t="shared" si="3"/>
        <v>DS</v>
      </c>
    </row>
    <row r="347" ht="14.25" customHeight="1">
      <c r="A347" s="14" t="str">
        <f>Base_report!A346</f>
        <v>ME</v>
      </c>
      <c r="B347" s="14" t="str">
        <f>Base_report!B346</f>
        <v>DECEMBRE 2023</v>
      </c>
      <c r="C347" s="15" t="str">
        <f>Base_report!C346</f>
        <v>C4036</v>
      </c>
      <c r="D347" s="14" t="str">
        <f>TRIM(IF(ISNUMBER(FIND("PNSME",Base_report!D346,1)),SUBSTITUTE(Base_report!D346,"PNSME",""),IF(ISNUMBER(FIND("PHG",Base_report!D346,1)),SUBSTITUTE(Base_report!D346,"PHG",""),IF(ISNUMBER(FIND("PCS",Base_report!D346,1)),SUBSTITUTE(Base_report!D346,"PCS",""),IF(ISNUMBER(FIND("CMU",Base_report!D346,1)),SUBSTITUTE(Base_report!D346,"CMU",""),Base_report!D346)))))</f>
        <v>DISTRICT SANITAIRE ADZOPE</v>
      </c>
      <c r="E347" s="14" t="str">
        <f>SUBSTITUTE(Base_report!E346,"-","/")</f>
        <v>PNSME/MEDICAMENTS ET INTRANTS</v>
      </c>
      <c r="F347" s="14" t="s">
        <v>788</v>
      </c>
      <c r="G347" s="16">
        <f>DATE(YEAR(SUBSTITUTE(LEFT(Base_report!F346,10),"-","/")),MONTH(SUBSTITUTE(LEFT(Base_report!F346,10),"-","/")),DAY(SUBSTITUTE(LEFT(Base_report!F346,10),"-","/")))</f>
        <v>45301</v>
      </c>
      <c r="H347" s="16">
        <f>DATE(YEAR(SUBSTITUTE(LEFT(Base_report!G346,10),"-","/")),MONTH(SUBSTITUTE(LEFT(Base_report!G346,10),"-","/")),DAY(SUBSTITUTE(LEFT(Base_report!G346,10),"-","/")))</f>
        <v>45301</v>
      </c>
      <c r="I347" s="17" t="str">
        <f t="shared" si="1"/>
        <v>OUI</v>
      </c>
      <c r="J347" s="18">
        <f>IF(L347="DS",DATE(RIGHT(B347,4),VLOOKUP(LEFT(B347,LEN(B347)-5),Feuil1!$E$3:$F$19,2,FALSE)+1,10),DATE(RIGHT(B347,4),VLOOKUP(LEFT(B347,LEN(B347)-5),Feuil1!$E$3:$F$19,2,FALSE)+1,7))</f>
        <v>45301</v>
      </c>
      <c r="K347" s="19">
        <f t="shared" si="2"/>
        <v>1</v>
      </c>
      <c r="L347" s="6" t="str">
        <f t="shared" si="3"/>
        <v>DS</v>
      </c>
    </row>
    <row r="348" ht="14.25" customHeight="1">
      <c r="A348" s="14" t="str">
        <f>Base_report!A347</f>
        <v>GBEKE</v>
      </c>
      <c r="B348" s="14" t="str">
        <f>Base_report!B347</f>
        <v>DECEMBRE 2023</v>
      </c>
      <c r="C348" s="15" t="str">
        <f>Base_report!C347</f>
        <v>C2024</v>
      </c>
      <c r="D348" s="14" t="str">
        <f>TRIM(IF(ISNUMBER(FIND("PNSME",Base_report!D347,1)),SUBSTITUTE(Base_report!D347,"PNSME",""),IF(ISNUMBER(FIND("PHG",Base_report!D347,1)),SUBSTITUTE(Base_report!D347,"PHG",""),IF(ISNUMBER(FIND("PCS",Base_report!D347,1)),SUBSTITUTE(Base_report!D347,"PCS",""),IF(ISNUMBER(FIND("CMU",Base_report!D347,1)),SUBSTITUTE(Base_report!D347,"CMU",""),Base_report!D347)))))</f>
        <v>DISTRICT SANITAIRE BOUAKE SUD</v>
      </c>
      <c r="E348" s="14" t="str">
        <f>SUBSTITUTE(Base_report!E347,"-","/")</f>
        <v>PNLP/MEDICAMENTS ET INTRANTS</v>
      </c>
      <c r="F348" s="14" t="s">
        <v>788</v>
      </c>
      <c r="G348" s="16">
        <f>DATE(YEAR(SUBSTITUTE(LEFT(Base_report!F347,10),"-","/")),MONTH(SUBSTITUTE(LEFT(Base_report!F347,10),"-","/")),DAY(SUBSTITUTE(LEFT(Base_report!F347,10),"-","/")))</f>
        <v>45300</v>
      </c>
      <c r="H348" s="16">
        <f>DATE(YEAR(SUBSTITUTE(LEFT(Base_report!G347,10),"-","/")),MONTH(SUBSTITUTE(LEFT(Base_report!G347,10),"-","/")),DAY(SUBSTITUTE(LEFT(Base_report!G347,10),"-","/")))</f>
        <v>45301</v>
      </c>
      <c r="I348" s="17" t="str">
        <f t="shared" si="1"/>
        <v>OUI</v>
      </c>
      <c r="J348" s="18">
        <f>IF(L348="DS",DATE(RIGHT(B348,4),VLOOKUP(LEFT(B348,LEN(B348)-5),Feuil1!$E$3:$F$19,2,FALSE)+1,10),DATE(RIGHT(B348,4),VLOOKUP(LEFT(B348,LEN(B348)-5),Feuil1!$E$3:$F$19,2,FALSE)+1,7))</f>
        <v>45301</v>
      </c>
      <c r="K348" s="19">
        <f t="shared" si="2"/>
        <v>1</v>
      </c>
      <c r="L348" s="6" t="str">
        <f t="shared" si="3"/>
        <v>DS</v>
      </c>
    </row>
    <row r="349" ht="14.25" customHeight="1">
      <c r="A349" s="14" t="str">
        <f>Base_report!A348</f>
        <v>GBEKE</v>
      </c>
      <c r="B349" s="14" t="str">
        <f>Base_report!B348</f>
        <v>DECEMBRE 2023</v>
      </c>
      <c r="C349" s="15" t="str">
        <f>Base_report!C348</f>
        <v>C2024</v>
      </c>
      <c r="D349" s="14" t="str">
        <f>TRIM(IF(ISNUMBER(FIND("PNSME",Base_report!D348,1)),SUBSTITUTE(Base_report!D348,"PNSME",""),IF(ISNUMBER(FIND("PHG",Base_report!D348,1)),SUBSTITUTE(Base_report!D348,"PHG",""),IF(ISNUMBER(FIND("PCS",Base_report!D348,1)),SUBSTITUTE(Base_report!D348,"PCS",""),IF(ISNUMBER(FIND("CMU",Base_report!D348,1)),SUBSTITUTE(Base_report!D348,"CMU",""),Base_report!D348)))))</f>
        <v>DISTRICT SANITAIRE BOUAKE SUD</v>
      </c>
      <c r="E349" s="14" t="str">
        <f>SUBSTITUTE(Base_report!E348,"-","/")</f>
        <v>PNLS/PRODUITS DE LABORATOIRE</v>
      </c>
      <c r="F349" s="14" t="s">
        <v>788</v>
      </c>
      <c r="G349" s="16">
        <f>DATE(YEAR(SUBSTITUTE(LEFT(Base_report!F348,10),"-","/")),MONTH(SUBSTITUTE(LEFT(Base_report!F348,10),"-","/")),DAY(SUBSTITUTE(LEFT(Base_report!F348,10),"-","/")))</f>
        <v>45299</v>
      </c>
      <c r="H349" s="16">
        <f>DATE(YEAR(SUBSTITUTE(LEFT(Base_report!G348,10),"-","/")),MONTH(SUBSTITUTE(LEFT(Base_report!G348,10),"-","/")),DAY(SUBSTITUTE(LEFT(Base_report!G348,10),"-","/")))</f>
        <v>45301</v>
      </c>
      <c r="I349" s="17" t="str">
        <f t="shared" si="1"/>
        <v>OUI</v>
      </c>
      <c r="J349" s="18">
        <f>IF(L349="DS",DATE(RIGHT(B349,4),VLOOKUP(LEFT(B349,LEN(B349)-5),Feuil1!$E$3:$F$19,2,FALSE)+1,10),DATE(RIGHT(B349,4),VLOOKUP(LEFT(B349,LEN(B349)-5),Feuil1!$E$3:$F$19,2,FALSE)+1,7))</f>
        <v>45301</v>
      </c>
      <c r="K349" s="19">
        <f t="shared" si="2"/>
        <v>1</v>
      </c>
      <c r="L349" s="6" t="str">
        <f t="shared" si="3"/>
        <v>DS</v>
      </c>
    </row>
    <row r="350" ht="14.25" customHeight="1">
      <c r="A350" s="14" t="str">
        <f>Base_report!A349</f>
        <v>GBEKE</v>
      </c>
      <c r="B350" s="14" t="str">
        <f>Base_report!B349</f>
        <v>DECEMBRE 2023</v>
      </c>
      <c r="C350" s="15" t="str">
        <f>Base_report!C349</f>
        <v>C2024</v>
      </c>
      <c r="D350" s="14" t="str">
        <f>TRIM(IF(ISNUMBER(FIND("PNSME",Base_report!D349,1)),SUBSTITUTE(Base_report!D349,"PNSME",""),IF(ISNUMBER(FIND("PHG",Base_report!D349,1)),SUBSTITUTE(Base_report!D349,"PHG",""),IF(ISNUMBER(FIND("PCS",Base_report!D349,1)),SUBSTITUTE(Base_report!D349,"PCS",""),IF(ISNUMBER(FIND("CMU",Base_report!D349,1)),SUBSTITUTE(Base_report!D349,"CMU",""),Base_report!D349)))))</f>
        <v>DISTRICT SANITAIRE BOUAKE SUD</v>
      </c>
      <c r="E350" s="14" t="str">
        <f>SUBSTITUTE(Base_report!E349,"-","/")</f>
        <v>PNSME/MEDICAMENTS ET INTRANTS</v>
      </c>
      <c r="F350" s="14" t="s">
        <v>788</v>
      </c>
      <c r="G350" s="16">
        <f>DATE(YEAR(SUBSTITUTE(LEFT(Base_report!F349,10),"-","/")),MONTH(SUBSTITUTE(LEFT(Base_report!F349,10),"-","/")),DAY(SUBSTITUTE(LEFT(Base_report!F349,10),"-","/")))</f>
        <v>45300</v>
      </c>
      <c r="H350" s="16">
        <f>DATE(YEAR(SUBSTITUTE(LEFT(Base_report!G349,10),"-","/")),MONTH(SUBSTITUTE(LEFT(Base_report!G349,10),"-","/")),DAY(SUBSTITUTE(LEFT(Base_report!G349,10),"-","/")))</f>
        <v>45301</v>
      </c>
      <c r="I350" s="17" t="str">
        <f t="shared" si="1"/>
        <v>OUI</v>
      </c>
      <c r="J350" s="18">
        <f>IF(L350="DS",DATE(RIGHT(B350,4),VLOOKUP(LEFT(B350,LEN(B350)-5),Feuil1!$E$3:$F$19,2,FALSE)+1,10),DATE(RIGHT(B350,4),VLOOKUP(LEFT(B350,LEN(B350)-5),Feuil1!$E$3:$F$19,2,FALSE)+1,7))</f>
        <v>45301</v>
      </c>
      <c r="K350" s="19">
        <f t="shared" si="2"/>
        <v>1</v>
      </c>
      <c r="L350" s="6" t="str">
        <f t="shared" si="3"/>
        <v>DS</v>
      </c>
    </row>
    <row r="351" ht="14.25" customHeight="1">
      <c r="A351" s="14" t="str">
        <f>Base_report!A350</f>
        <v>GBEKE</v>
      </c>
      <c r="B351" s="14" t="str">
        <f>Base_report!B350</f>
        <v>DECEMBRE 2023</v>
      </c>
      <c r="C351" s="15" t="str">
        <f>Base_report!C350</f>
        <v>C2024</v>
      </c>
      <c r="D351" s="14" t="str">
        <f>TRIM(IF(ISNUMBER(FIND("PNSME",Base_report!D350,1)),SUBSTITUTE(Base_report!D350,"PNSME",""),IF(ISNUMBER(FIND("PHG",Base_report!D350,1)),SUBSTITUTE(Base_report!D350,"PHG",""),IF(ISNUMBER(FIND("PCS",Base_report!D350,1)),SUBSTITUTE(Base_report!D350,"PCS",""),IF(ISNUMBER(FIND("CMU",Base_report!D350,1)),SUBSTITUTE(Base_report!D350,"CMU",""),Base_report!D350)))))</f>
        <v>DISTRICT SANITAIRE BOUAKE SUD</v>
      </c>
      <c r="E351" s="14" t="str">
        <f>SUBSTITUTE(Base_report!E350,"-","/")</f>
        <v>PNLS/ANTIRETROVIRAUX ET IO</v>
      </c>
      <c r="F351" s="14" t="s">
        <v>788</v>
      </c>
      <c r="G351" s="16">
        <f>DATE(YEAR(SUBSTITUTE(LEFT(Base_report!F350,10),"-","/")),MONTH(SUBSTITUTE(LEFT(Base_report!F350,10),"-","/")),DAY(SUBSTITUTE(LEFT(Base_report!F350,10),"-","/")))</f>
        <v>45300</v>
      </c>
      <c r="H351" s="16">
        <f>DATE(YEAR(SUBSTITUTE(LEFT(Base_report!G350,10),"-","/")),MONTH(SUBSTITUTE(LEFT(Base_report!G350,10),"-","/")),DAY(SUBSTITUTE(LEFT(Base_report!G350,10),"-","/")))</f>
        <v>45301</v>
      </c>
      <c r="I351" s="17" t="str">
        <f t="shared" si="1"/>
        <v>OUI</v>
      </c>
      <c r="J351" s="18">
        <f>IF(L351="DS",DATE(RIGHT(B351,4),VLOOKUP(LEFT(B351,LEN(B351)-5),Feuil1!$E$3:$F$19,2,FALSE)+1,10),DATE(RIGHT(B351,4),VLOOKUP(LEFT(B351,LEN(B351)-5),Feuil1!$E$3:$F$19,2,FALSE)+1,7))</f>
        <v>45301</v>
      </c>
      <c r="K351" s="19">
        <f t="shared" si="2"/>
        <v>1</v>
      </c>
      <c r="L351" s="6" t="str">
        <f t="shared" si="3"/>
        <v>DS</v>
      </c>
    </row>
    <row r="352" ht="14.25" customHeight="1">
      <c r="A352" s="14" t="str">
        <f>Base_report!A351</f>
        <v>GBEKE</v>
      </c>
      <c r="B352" s="14" t="str">
        <f>Base_report!B351</f>
        <v>DECEMBRE 2023</v>
      </c>
      <c r="C352" s="15" t="str">
        <f>Base_report!C351</f>
        <v>C2024</v>
      </c>
      <c r="D352" s="14" t="str">
        <f>TRIM(IF(ISNUMBER(FIND("PNSME",Base_report!D351,1)),SUBSTITUTE(Base_report!D351,"PNSME",""),IF(ISNUMBER(FIND("PHG",Base_report!D351,1)),SUBSTITUTE(Base_report!D351,"PHG",""),IF(ISNUMBER(FIND("PCS",Base_report!D351,1)),SUBSTITUTE(Base_report!D351,"PCS",""),IF(ISNUMBER(FIND("CMU",Base_report!D351,1)),SUBSTITUTE(Base_report!D351,"CMU",""),Base_report!D351)))))</f>
        <v>DISTRICT SANITAIRE BOUAKE SUD</v>
      </c>
      <c r="E352" s="14" t="str">
        <f>SUBSTITUTE(Base_report!E351,"-","/")</f>
        <v>PNLS/TESTS RAPIDES ET CONSOMMABLES</v>
      </c>
      <c r="F352" s="14" t="s">
        <v>788</v>
      </c>
      <c r="G352" s="16">
        <f>DATE(YEAR(SUBSTITUTE(LEFT(Base_report!F351,10),"-","/")),MONTH(SUBSTITUTE(LEFT(Base_report!F351,10),"-","/")),DAY(SUBSTITUTE(LEFT(Base_report!F351,10),"-","/")))</f>
        <v>45300</v>
      </c>
      <c r="H352" s="16">
        <f>DATE(YEAR(SUBSTITUTE(LEFT(Base_report!G351,10),"-","/")),MONTH(SUBSTITUTE(LEFT(Base_report!G351,10),"-","/")),DAY(SUBSTITUTE(LEFT(Base_report!G351,10),"-","/")))</f>
        <v>45301</v>
      </c>
      <c r="I352" s="17" t="str">
        <f t="shared" si="1"/>
        <v>OUI</v>
      </c>
      <c r="J352" s="18">
        <f>IF(L352="DS",DATE(RIGHT(B352,4),VLOOKUP(LEFT(B352,LEN(B352)-5),Feuil1!$E$3:$F$19,2,FALSE)+1,10),DATE(RIGHT(B352,4),VLOOKUP(LEFT(B352,LEN(B352)-5),Feuil1!$E$3:$F$19,2,FALSE)+1,7))</f>
        <v>45301</v>
      </c>
      <c r="K352" s="19">
        <f t="shared" si="2"/>
        <v>1</v>
      </c>
      <c r="L352" s="6" t="str">
        <f t="shared" si="3"/>
        <v>DS</v>
      </c>
    </row>
    <row r="353" ht="14.25" customHeight="1">
      <c r="A353" s="14" t="str">
        <f>Base_report!A352</f>
        <v>GBEKE</v>
      </c>
      <c r="B353" s="14" t="str">
        <f>Base_report!B352</f>
        <v>DECEMBRE 2023</v>
      </c>
      <c r="C353" s="15" t="str">
        <f>Base_report!C352</f>
        <v>C2022</v>
      </c>
      <c r="D353" s="14" t="str">
        <f>TRIM(IF(ISNUMBER(FIND("PNSME",Base_report!D352,1)),SUBSTITUTE(Base_report!D352,"PNSME",""),IF(ISNUMBER(FIND("PHG",Base_report!D352,1)),SUBSTITUTE(Base_report!D352,"PHG",""),IF(ISNUMBER(FIND("PCS",Base_report!D352,1)),SUBSTITUTE(Base_report!D352,"PCS",""),IF(ISNUMBER(FIND("CMU",Base_report!D352,1)),SUBSTITUTE(Base_report!D352,"CMU",""),Base_report!D352)))))</f>
        <v>DISTRICT SANITAIRE BOUAKE EST</v>
      </c>
      <c r="E353" s="14" t="str">
        <f>SUBSTITUTE(Base_report!E352,"-","/")</f>
        <v>PNLS/TESTS RAPIDES ET CONSOMMABLES</v>
      </c>
      <c r="F353" s="14" t="s">
        <v>788</v>
      </c>
      <c r="G353" s="16">
        <f>DATE(YEAR(SUBSTITUTE(LEFT(Base_report!F352,10),"-","/")),MONTH(SUBSTITUTE(LEFT(Base_report!F352,10),"-","/")),DAY(SUBSTITUTE(LEFT(Base_report!F352,10),"-","/")))</f>
        <v>45301</v>
      </c>
      <c r="H353" s="16">
        <f>DATE(YEAR(SUBSTITUTE(LEFT(Base_report!G352,10),"-","/")),MONTH(SUBSTITUTE(LEFT(Base_report!G352,10),"-","/")),DAY(SUBSTITUTE(LEFT(Base_report!G352,10),"-","/")))</f>
        <v>45301</v>
      </c>
      <c r="I353" s="17" t="str">
        <f t="shared" si="1"/>
        <v>OUI</v>
      </c>
      <c r="J353" s="18">
        <f>IF(L353="DS",DATE(RIGHT(B353,4),VLOOKUP(LEFT(B353,LEN(B353)-5),Feuil1!$E$3:$F$19,2,FALSE)+1,10),DATE(RIGHT(B353,4),VLOOKUP(LEFT(B353,LEN(B353)-5),Feuil1!$E$3:$F$19,2,FALSE)+1,7))</f>
        <v>45301</v>
      </c>
      <c r="K353" s="19">
        <f t="shared" si="2"/>
        <v>1</v>
      </c>
      <c r="L353" s="6" t="str">
        <f t="shared" si="3"/>
        <v>DS</v>
      </c>
    </row>
    <row r="354" ht="14.25" customHeight="1">
      <c r="A354" s="14" t="str">
        <f>Base_report!A353</f>
        <v>GOH</v>
      </c>
      <c r="B354" s="14" t="str">
        <f>Base_report!B353</f>
        <v>DECEMBRE 2023</v>
      </c>
      <c r="C354" s="15" t="str">
        <f>Base_report!C353</f>
        <v>C2088</v>
      </c>
      <c r="D354" s="14" t="str">
        <f>TRIM(IF(ISNUMBER(FIND("PNSME",Base_report!D353,1)),SUBSTITUTE(Base_report!D353,"PNSME",""),IF(ISNUMBER(FIND("PHG",Base_report!D353,1)),SUBSTITUTE(Base_report!D353,"PHG",""),IF(ISNUMBER(FIND("PCS",Base_report!D353,1)),SUBSTITUTE(Base_report!D353,"PCS",""),IF(ISNUMBER(FIND("CMU",Base_report!D353,1)),SUBSTITUTE(Base_report!D353,"CMU",""),Base_report!D353)))))</f>
        <v>DISTRICT SANITAIRE GAGNOA 2</v>
      </c>
      <c r="E354" s="14" t="str">
        <f>SUBSTITUTE(Base_report!E353,"-","/")</f>
        <v>PNLP/MEDICAMENTS ET INTRANTS</v>
      </c>
      <c r="F354" s="14" t="s">
        <v>788</v>
      </c>
      <c r="G354" s="16">
        <f>DATE(YEAR(SUBSTITUTE(LEFT(Base_report!F353,10),"-","/")),MONTH(SUBSTITUTE(LEFT(Base_report!F353,10),"-","/")),DAY(SUBSTITUTE(LEFT(Base_report!F353,10),"-","/")))</f>
        <v>45300</v>
      </c>
      <c r="H354" s="16">
        <f>DATE(YEAR(SUBSTITUTE(LEFT(Base_report!G353,10),"-","/")),MONTH(SUBSTITUTE(LEFT(Base_report!G353,10),"-","/")),DAY(SUBSTITUTE(LEFT(Base_report!G353,10),"-","/")))</f>
        <v>45300</v>
      </c>
      <c r="I354" s="17" t="str">
        <f t="shared" si="1"/>
        <v>OUI</v>
      </c>
      <c r="J354" s="18">
        <f>IF(L354="DS",DATE(RIGHT(B354,4),VLOOKUP(LEFT(B354,LEN(B354)-5),Feuil1!$E$3:$F$19,2,FALSE)+1,10),DATE(RIGHT(B354,4),VLOOKUP(LEFT(B354,LEN(B354)-5),Feuil1!$E$3:$F$19,2,FALSE)+1,7))</f>
        <v>45301</v>
      </c>
      <c r="K354" s="19">
        <f t="shared" si="2"/>
        <v>1</v>
      </c>
      <c r="L354" s="6" t="str">
        <f t="shared" si="3"/>
        <v>DS</v>
      </c>
    </row>
    <row r="355" ht="14.25" customHeight="1">
      <c r="A355" s="14" t="str">
        <f>Base_report!A354</f>
        <v>BELIER</v>
      </c>
      <c r="B355" s="14" t="str">
        <f>Base_report!B354</f>
        <v>DECEMBRE 2023</v>
      </c>
      <c r="C355" s="15" t="str">
        <f>Base_report!C354</f>
        <v>C2038</v>
      </c>
      <c r="D355" s="14" t="str">
        <f>TRIM(IF(ISNUMBER(FIND("PNSME",Base_report!D354,1)),SUBSTITUTE(Base_report!D354,"PNSME",""),IF(ISNUMBER(FIND("PHG",Base_report!D354,1)),SUBSTITUTE(Base_report!D354,"PHG",""),IF(ISNUMBER(FIND("PCS",Base_report!D354,1)),SUBSTITUTE(Base_report!D354,"PCS",""),IF(ISNUMBER(FIND("CMU",Base_report!D354,1)),SUBSTITUTE(Base_report!D354,"CMU",""),Base_report!D354)))))</f>
        <v>DISTRICT SANITAIRE TOUMODI</v>
      </c>
      <c r="E355" s="14" t="str">
        <f>SUBSTITUTE(Base_report!E354,"-","/")</f>
        <v>PNLP/MEDICAMENTS ET INTRANTS</v>
      </c>
      <c r="F355" s="14" t="s">
        <v>788</v>
      </c>
      <c r="G355" s="16">
        <f>DATE(YEAR(SUBSTITUTE(LEFT(Base_report!F354,10),"-","/")),MONTH(SUBSTITUTE(LEFT(Base_report!F354,10),"-","/")),DAY(SUBSTITUTE(LEFT(Base_report!F354,10),"-","/")))</f>
        <v>45301</v>
      </c>
      <c r="H355" s="16">
        <f>DATE(YEAR(SUBSTITUTE(LEFT(Base_report!G354,10),"-","/")),MONTH(SUBSTITUTE(LEFT(Base_report!G354,10),"-","/")),DAY(SUBSTITUTE(LEFT(Base_report!G354,10),"-","/")))</f>
        <v>45301</v>
      </c>
      <c r="I355" s="17" t="str">
        <f t="shared" si="1"/>
        <v>OUI</v>
      </c>
      <c r="J355" s="18">
        <f>IF(L355="DS",DATE(RIGHT(B355,4),VLOOKUP(LEFT(B355,LEN(B355)-5),Feuil1!$E$3:$F$19,2,FALSE)+1,10),DATE(RIGHT(B355,4),VLOOKUP(LEFT(B355,LEN(B355)-5),Feuil1!$E$3:$F$19,2,FALSE)+1,7))</f>
        <v>45301</v>
      </c>
      <c r="K355" s="19">
        <f t="shared" si="2"/>
        <v>1</v>
      </c>
      <c r="L355" s="6" t="str">
        <f t="shared" si="3"/>
        <v>DS</v>
      </c>
    </row>
    <row r="356" ht="14.25" customHeight="1">
      <c r="A356" s="14" t="str">
        <f>Base_report!A355</f>
        <v>HAMBOL</v>
      </c>
      <c r="B356" s="14" t="str">
        <f>Base_report!B355</f>
        <v>DECEMBRE 2023</v>
      </c>
      <c r="C356" s="15" t="str">
        <f>Base_report!C355</f>
        <v>C3005</v>
      </c>
      <c r="D356" s="14" t="str">
        <f>TRIM(IF(ISNUMBER(FIND("PNSME",Base_report!D355,1)),SUBSTITUTE(Base_report!D355,"PNSME",""),IF(ISNUMBER(FIND("PHG",Base_report!D355,1)),SUBSTITUTE(Base_report!D355,"PHG",""),IF(ISNUMBER(FIND("PCS",Base_report!D355,1)),SUBSTITUTE(Base_report!D355,"PCS",""),IF(ISNUMBER(FIND("CMU",Base_report!D355,1)),SUBSTITUTE(Base_report!D355,"CMU",""),Base_report!D355)))))</f>
        <v>DISTRICT SANITAIRE KATIOLA</v>
      </c>
      <c r="E356" s="14" t="str">
        <f>SUBSTITUTE(Base_report!E355,"-","/")</f>
        <v>PNLS/ANTIRETROVIRAUX ET IO</v>
      </c>
      <c r="F356" s="14" t="s">
        <v>788</v>
      </c>
      <c r="G356" s="16">
        <f>DATE(YEAR(SUBSTITUTE(LEFT(Base_report!F355,10),"-","/")),MONTH(SUBSTITUTE(LEFT(Base_report!F355,10),"-","/")),DAY(SUBSTITUTE(LEFT(Base_report!F355,10),"-","/")))</f>
        <v>45301</v>
      </c>
      <c r="H356" s="16">
        <f>DATE(YEAR(SUBSTITUTE(LEFT(Base_report!G355,10),"-","/")),MONTH(SUBSTITUTE(LEFT(Base_report!G355,10),"-","/")),DAY(SUBSTITUTE(LEFT(Base_report!G355,10),"-","/")))</f>
        <v>45301</v>
      </c>
      <c r="I356" s="17" t="str">
        <f t="shared" si="1"/>
        <v>OUI</v>
      </c>
      <c r="J356" s="18">
        <f>IF(L356="DS",DATE(RIGHT(B356,4),VLOOKUP(LEFT(B356,LEN(B356)-5),Feuil1!$E$3:$F$19,2,FALSE)+1,10),DATE(RIGHT(B356,4),VLOOKUP(LEFT(B356,LEN(B356)-5),Feuil1!$E$3:$F$19,2,FALSE)+1,7))</f>
        <v>45301</v>
      </c>
      <c r="K356" s="19">
        <f t="shared" si="2"/>
        <v>1</v>
      </c>
      <c r="L356" s="6" t="str">
        <f t="shared" si="3"/>
        <v>DS</v>
      </c>
    </row>
    <row r="357" ht="14.25" customHeight="1">
      <c r="A357" s="14" t="str">
        <f>Base_report!A356</f>
        <v>HAMBOL</v>
      </c>
      <c r="B357" s="14" t="str">
        <f>Base_report!B356</f>
        <v>DECEMBRE 2023</v>
      </c>
      <c r="C357" s="15" t="str">
        <f>Base_report!C356</f>
        <v>C3013</v>
      </c>
      <c r="D357" s="14" t="str">
        <f>TRIM(IF(ISNUMBER(FIND("PNSME",Base_report!D356,1)),SUBSTITUTE(Base_report!D356,"PNSME",""),IF(ISNUMBER(FIND("PHG",Base_report!D356,1)),SUBSTITUTE(Base_report!D356,"PHG",""),IF(ISNUMBER(FIND("PCS",Base_report!D356,1)),SUBSTITUTE(Base_report!D356,"PCS",""),IF(ISNUMBER(FIND("CMU",Base_report!D356,1)),SUBSTITUTE(Base_report!D356,"CMU",""),Base_report!D356)))))</f>
        <v>CHR KATIOLA</v>
      </c>
      <c r="E357" s="14" t="str">
        <f>SUBSTITUTE(Base_report!E356,"-","/")</f>
        <v>PNLS/ANTIRETROVIRAUX ET IO</v>
      </c>
      <c r="F357" s="14" t="s">
        <v>788</v>
      </c>
      <c r="G357" s="16">
        <f>DATE(YEAR(SUBSTITUTE(LEFT(Base_report!F356,10),"-","/")),MONTH(SUBSTITUTE(LEFT(Base_report!F356,10),"-","/")),DAY(SUBSTITUTE(LEFT(Base_report!F356,10),"-","/")))</f>
        <v>45298</v>
      </c>
      <c r="H357" s="16">
        <f>DATE(YEAR(SUBSTITUTE(LEFT(Base_report!G356,10),"-","/")),MONTH(SUBSTITUTE(LEFT(Base_report!G356,10),"-","/")),DAY(SUBSTITUTE(LEFT(Base_report!G356,10),"-","/")))</f>
        <v>45298</v>
      </c>
      <c r="I357" s="17" t="str">
        <f t="shared" si="1"/>
        <v>OUI</v>
      </c>
      <c r="J357" s="18">
        <f>IF(L357="DS",DATE(RIGHT(B357,4),VLOOKUP(LEFT(B357,LEN(B357)-5),Feuil1!$E$3:$F$19,2,FALSE)+1,10),DATE(RIGHT(B357,4),VLOOKUP(LEFT(B357,LEN(B357)-5),Feuil1!$E$3:$F$19,2,FALSE)+1,7))</f>
        <v>45298</v>
      </c>
      <c r="K357" s="19">
        <f t="shared" si="2"/>
        <v>1</v>
      </c>
      <c r="L357" s="6" t="str">
        <f t="shared" si="3"/>
        <v>FS</v>
      </c>
    </row>
    <row r="358" ht="14.25" customHeight="1">
      <c r="A358" s="14" t="str">
        <f>Base_report!A357</f>
        <v>AGNEBY-TIASSA</v>
      </c>
      <c r="B358" s="14" t="str">
        <f>Base_report!B357</f>
        <v>DECEMBRE 2023</v>
      </c>
      <c r="C358" s="15" t="str">
        <f>Base_report!C357</f>
        <v>C1112</v>
      </c>
      <c r="D358" s="14" t="str">
        <f>TRIM(IF(ISNUMBER(FIND("PNSME",Base_report!D357,1)),SUBSTITUTE(Base_report!D357,"PNSME",""),IF(ISNUMBER(FIND("PHG",Base_report!D357,1)),SUBSTITUTE(Base_report!D357,"PHG",""),IF(ISNUMBER(FIND("PCS",Base_report!D357,1)),SUBSTITUTE(Base_report!D357,"PCS",""),IF(ISNUMBER(FIND("CMU",Base_report!D357,1)),SUBSTITUTE(Base_report!D357,"CMU",""),Base_report!D357)))))</f>
        <v>HOPITAL GENERAL TIASSALE</v>
      </c>
      <c r="E358" s="14" t="str">
        <f>SUBSTITUTE(Base_report!E357,"-","/")</f>
        <v>PNLS/TESTS RAPIDES ET CONSOMMABLES</v>
      </c>
      <c r="F358" s="14" t="s">
        <v>788</v>
      </c>
      <c r="G358" s="16">
        <f>DATE(YEAR(SUBSTITUTE(LEFT(Base_report!F357,10),"-","/")),MONTH(SUBSTITUTE(LEFT(Base_report!F357,10),"-","/")),DAY(SUBSTITUTE(LEFT(Base_report!F357,10),"-","/")))</f>
        <v>45296</v>
      </c>
      <c r="H358" s="16">
        <f>DATE(YEAR(SUBSTITUTE(LEFT(Base_report!G357,10),"-","/")),MONTH(SUBSTITUTE(LEFT(Base_report!G357,10),"-","/")),DAY(SUBSTITUTE(LEFT(Base_report!G357,10),"-","/")))</f>
        <v>45296</v>
      </c>
      <c r="I358" s="17" t="str">
        <f t="shared" si="1"/>
        <v>OUI</v>
      </c>
      <c r="J358" s="18">
        <f>IF(L358="DS",DATE(RIGHT(B358,4),VLOOKUP(LEFT(B358,LEN(B358)-5),Feuil1!$E$3:$F$19,2,FALSE)+1,10),DATE(RIGHT(B358,4),VLOOKUP(LEFT(B358,LEN(B358)-5),Feuil1!$E$3:$F$19,2,FALSE)+1,7))</f>
        <v>45298</v>
      </c>
      <c r="K358" s="19">
        <f t="shared" si="2"/>
        <v>1</v>
      </c>
      <c r="L358" s="6" t="str">
        <f t="shared" si="3"/>
        <v>FS</v>
      </c>
    </row>
    <row r="359" ht="14.25" customHeight="1">
      <c r="A359" s="14" t="str">
        <f>Base_report!A358</f>
        <v>ABIDJAN 1</v>
      </c>
      <c r="B359" s="14" t="str">
        <f>Base_report!B358</f>
        <v>DECEMBRE 2023</v>
      </c>
      <c r="C359" s="15" t="str">
        <f>Base_report!C358</f>
        <v>C1065</v>
      </c>
      <c r="D359" s="14" t="str">
        <f>TRIM(IF(ISNUMBER(FIND("PNSME",Base_report!D358,1)),SUBSTITUTE(Base_report!D358,"PNSME",""),IF(ISNUMBER(FIND("PHG",Base_report!D358,1)),SUBSTITUTE(Base_report!D358,"PHG",""),IF(ISNUMBER(FIND("PCS",Base_report!D358,1)),SUBSTITUTE(Base_report!D358,"PCS",""),IF(ISNUMBER(FIND("CMU",Base_report!D358,1)),SUBSTITUTE(Base_report!D358,"CMU",""),Base_report!D358)))))</f>
        <v>FSU COM ABOBO SAGBE</v>
      </c>
      <c r="E359" s="14" t="str">
        <f>SUBSTITUTE(Base_report!E358,"-","/")</f>
        <v>PNLP/MEDICAMENTS ET INTRANTS</v>
      </c>
      <c r="F359" s="14" t="s">
        <v>788</v>
      </c>
      <c r="G359" s="16">
        <f>DATE(YEAR(SUBSTITUTE(LEFT(Base_report!F358,10),"-","/")),MONTH(SUBSTITUTE(LEFT(Base_report!F358,10),"-","/")),DAY(SUBSTITUTE(LEFT(Base_report!F358,10),"-","/")))</f>
        <v>45299</v>
      </c>
      <c r="H359" s="16">
        <f>DATE(YEAR(SUBSTITUTE(LEFT(Base_report!G358,10),"-","/")),MONTH(SUBSTITUTE(LEFT(Base_report!G358,10),"-","/")),DAY(SUBSTITUTE(LEFT(Base_report!G358,10),"-","/")))</f>
        <v>45299</v>
      </c>
      <c r="I359" s="17" t="str">
        <f t="shared" si="1"/>
        <v>OUI</v>
      </c>
      <c r="J359" s="18">
        <f>IF(L359="DS",DATE(RIGHT(B359,4),VLOOKUP(LEFT(B359,LEN(B359)-5),Feuil1!$E$3:$F$19,2,FALSE)+1,10),DATE(RIGHT(B359,4),VLOOKUP(LEFT(B359,LEN(B359)-5),Feuil1!$E$3:$F$19,2,FALSE)+1,7))</f>
        <v>45298</v>
      </c>
      <c r="K359" s="19">
        <f t="shared" si="2"/>
        <v>0</v>
      </c>
      <c r="L359" s="6" t="str">
        <f t="shared" si="3"/>
        <v>FS</v>
      </c>
    </row>
    <row r="360" ht="14.25" customHeight="1">
      <c r="A360" s="14" t="str">
        <f>Base_report!A359</f>
        <v>ABIDJAN 2</v>
      </c>
      <c r="B360" s="14" t="str">
        <f>Base_report!B359</f>
        <v>DECEMBRE 2023</v>
      </c>
      <c r="C360" s="15" t="str">
        <f>Base_report!C359</f>
        <v>C1051</v>
      </c>
      <c r="D360" s="14" t="str">
        <f>TRIM(IF(ISNUMBER(FIND("PNSME",Base_report!D359,1)),SUBSTITUTE(Base_report!D359,"PNSME",""),IF(ISNUMBER(FIND("PHG",Base_report!D359,1)),SUBSTITUTE(Base_report!D359,"PHG",""),IF(ISNUMBER(FIND("PCS",Base_report!D359,1)),SUBSTITUTE(Base_report!D359,"PCS",""),IF(ISNUMBER(FIND("CMU",Base_report!D359,1)),SUBSTITUTE(Base_report!D359,"CMU",""),Base_report!D359)))))</f>
        <v>FSU ABOBO DOUME</v>
      </c>
      <c r="E360" s="14" t="str">
        <f>SUBSTITUTE(Base_report!E359,"-","/")</f>
        <v>PNLP/MEDICAMENTS ET INTRANTS</v>
      </c>
      <c r="F360" s="14" t="s">
        <v>788</v>
      </c>
      <c r="G360" s="16">
        <f>DATE(YEAR(SUBSTITUTE(LEFT(Base_report!F359,10),"-","/")),MONTH(SUBSTITUTE(LEFT(Base_report!F359,10),"-","/")),DAY(SUBSTITUTE(LEFT(Base_report!F359,10),"-","/")))</f>
        <v>45294</v>
      </c>
      <c r="H360" s="16">
        <f>DATE(YEAR(SUBSTITUTE(LEFT(Base_report!G359,10),"-","/")),MONTH(SUBSTITUTE(LEFT(Base_report!G359,10),"-","/")),DAY(SUBSTITUTE(LEFT(Base_report!G359,10),"-","/")))</f>
        <v>45294</v>
      </c>
      <c r="I360" s="17" t="str">
        <f t="shared" si="1"/>
        <v>OUI</v>
      </c>
      <c r="J360" s="18">
        <f>IF(L360="DS",DATE(RIGHT(B360,4),VLOOKUP(LEFT(B360,LEN(B360)-5),Feuil1!$E$3:$F$19,2,FALSE)+1,10),DATE(RIGHT(B360,4),VLOOKUP(LEFT(B360,LEN(B360)-5),Feuil1!$E$3:$F$19,2,FALSE)+1,7))</f>
        <v>45298</v>
      </c>
      <c r="K360" s="19">
        <f t="shared" si="2"/>
        <v>1</v>
      </c>
      <c r="L360" s="6" t="str">
        <f t="shared" si="3"/>
        <v>FS</v>
      </c>
    </row>
    <row r="361" ht="14.25" customHeight="1">
      <c r="A361" s="14" t="str">
        <f>Base_report!A360</f>
        <v>ABIDJAN 2</v>
      </c>
      <c r="B361" s="14" t="str">
        <f>Base_report!B360</f>
        <v>DECEMBRE 2023</v>
      </c>
      <c r="C361" s="15" t="str">
        <f>Base_report!C360</f>
        <v>C1407</v>
      </c>
      <c r="D361" s="14" t="str">
        <f>TRIM(IF(ISNUMBER(FIND("PNSME",Base_report!D360,1)),SUBSTITUTE(Base_report!D360,"PNSME",""),IF(ISNUMBER(FIND("PHG",Base_report!D360,1)),SUBSTITUTE(Base_report!D360,"PHG",""),IF(ISNUMBER(FIND("PCS",Base_report!D360,1)),SUBSTITUTE(Base_report!D360,"PCS",""),IF(ISNUMBER(FIND("CMU",Base_report!D360,1)),SUBSTITUTE(Base_report!D360,"CMU",""),Base_report!D360)))))</f>
        <v>CIRBA</v>
      </c>
      <c r="E361" s="14" t="str">
        <f>SUBSTITUTE(Base_report!E360,"-","/")</f>
        <v>PNLS/CHARGES VIRALES</v>
      </c>
      <c r="F361" s="14" t="s">
        <v>788</v>
      </c>
      <c r="G361" s="16">
        <f>DATE(YEAR(SUBSTITUTE(LEFT(Base_report!F360,10),"-","/")),MONTH(SUBSTITUTE(LEFT(Base_report!F360,10),"-","/")),DAY(SUBSTITUTE(LEFT(Base_report!F360,10),"-","/")))</f>
        <v>45282</v>
      </c>
      <c r="H361" s="16">
        <f>DATE(YEAR(SUBSTITUTE(LEFT(Base_report!G360,10),"-","/")),MONTH(SUBSTITUTE(LEFT(Base_report!G360,10),"-","/")),DAY(SUBSTITUTE(LEFT(Base_report!G360,10),"-","/")))</f>
        <v>45295</v>
      </c>
      <c r="I361" s="17" t="str">
        <f t="shared" si="1"/>
        <v>OUI</v>
      </c>
      <c r="J361" s="18">
        <f>IF(L361="DS",DATE(RIGHT(B361,4),VLOOKUP(LEFT(B361,LEN(B361)-5),Feuil1!$E$3:$F$19,2,FALSE)+1,10),DATE(RIGHT(B361,4),VLOOKUP(LEFT(B361,LEN(B361)-5),Feuil1!$E$3:$F$19,2,FALSE)+1,7))</f>
        <v>45298</v>
      </c>
      <c r="K361" s="19">
        <f t="shared" si="2"/>
        <v>1</v>
      </c>
      <c r="L361" s="6" t="str">
        <f t="shared" si="3"/>
        <v>FS</v>
      </c>
    </row>
    <row r="362" ht="14.25" customHeight="1">
      <c r="A362" s="14" t="str">
        <f>Base_report!A361</f>
        <v>ABIDJAN 2</v>
      </c>
      <c r="B362" s="14" t="str">
        <f>Base_report!B361</f>
        <v>DECEMBRE 2023</v>
      </c>
      <c r="C362" s="15" t="str">
        <f>Base_report!C361</f>
        <v>C1407</v>
      </c>
      <c r="D362" s="14" t="str">
        <f>TRIM(IF(ISNUMBER(FIND("PNSME",Base_report!D361,1)),SUBSTITUTE(Base_report!D361,"PNSME",""),IF(ISNUMBER(FIND("PHG",Base_report!D361,1)),SUBSTITUTE(Base_report!D361,"PHG",""),IF(ISNUMBER(FIND("PCS",Base_report!D361,1)),SUBSTITUTE(Base_report!D361,"PCS",""),IF(ISNUMBER(FIND("CMU",Base_report!D361,1)),SUBSTITUTE(Base_report!D361,"CMU",""),Base_report!D361)))))</f>
        <v>CIRBA</v>
      </c>
      <c r="E362" s="14" t="str">
        <f>SUBSTITUTE(Base_report!E361,"-","/")</f>
        <v>PNLS/TESTS RAPIDES ET CONSOMMABLES</v>
      </c>
      <c r="F362" s="14" t="s">
        <v>788</v>
      </c>
      <c r="G362" s="16">
        <f>DATE(YEAR(SUBSTITUTE(LEFT(Base_report!F361,10),"-","/")),MONTH(SUBSTITUTE(LEFT(Base_report!F361,10),"-","/")),DAY(SUBSTITUTE(LEFT(Base_report!F361,10),"-","/")))</f>
        <v>45282</v>
      </c>
      <c r="H362" s="16">
        <f>DATE(YEAR(SUBSTITUTE(LEFT(Base_report!G361,10),"-","/")),MONTH(SUBSTITUTE(LEFT(Base_report!G361,10),"-","/")),DAY(SUBSTITUTE(LEFT(Base_report!G361,10),"-","/")))</f>
        <v>45295</v>
      </c>
      <c r="I362" s="17" t="str">
        <f t="shared" si="1"/>
        <v>OUI</v>
      </c>
      <c r="J362" s="18">
        <f>IF(L362="DS",DATE(RIGHT(B362,4),VLOOKUP(LEFT(B362,LEN(B362)-5),Feuil1!$E$3:$F$19,2,FALSE)+1,10),DATE(RIGHT(B362,4),VLOOKUP(LEFT(B362,LEN(B362)-5),Feuil1!$E$3:$F$19,2,FALSE)+1,7))</f>
        <v>45298</v>
      </c>
      <c r="K362" s="19">
        <f t="shared" si="2"/>
        <v>1</v>
      </c>
      <c r="L362" s="6" t="str">
        <f t="shared" si="3"/>
        <v>FS</v>
      </c>
    </row>
    <row r="363" ht="14.25" customHeight="1">
      <c r="A363" s="14" t="str">
        <f>Base_report!A362</f>
        <v>ABIDJAN 1</v>
      </c>
      <c r="B363" s="14" t="str">
        <f>Base_report!B362</f>
        <v>DECEMBRE 2023</v>
      </c>
      <c r="C363" s="15" t="str">
        <f>Base_report!C362</f>
        <v>C1023</v>
      </c>
      <c r="D363" s="14" t="str">
        <f>TRIM(IF(ISNUMBER(FIND("PNSME",Base_report!D362,1)),SUBSTITUTE(Base_report!D362,"PNSME",""),IF(ISNUMBER(FIND("PHG",Base_report!D362,1)),SUBSTITUTE(Base_report!D362,"PHG",""),IF(ISNUMBER(FIND("PCS",Base_report!D362,1)),SUBSTITUTE(Base_report!D362,"PCS",""),IF(ISNUMBER(FIND("CMU",Base_report!D362,1)),SUBSTITUTE(Base_report!D362,"CMU",""),Base_report!D362)))))</f>
        <v>CENTRE MEDICO-SOCIAL EL RAPHA</v>
      </c>
      <c r="E363" s="14" t="str">
        <f>SUBSTITUTE(Base_report!E362,"-","/")</f>
        <v>PNLS/TESTS RAPIDES ET CONSOMMABLES</v>
      </c>
      <c r="F363" s="14" t="s">
        <v>788</v>
      </c>
      <c r="G363" s="16">
        <f>DATE(YEAR(SUBSTITUTE(LEFT(Base_report!F362,10),"-","/")),MONTH(SUBSTITUTE(LEFT(Base_report!F362,10),"-","/")),DAY(SUBSTITUTE(LEFT(Base_report!F362,10),"-","/")))</f>
        <v>45294</v>
      </c>
      <c r="H363" s="16">
        <f>DATE(YEAR(SUBSTITUTE(LEFT(Base_report!G362,10),"-","/")),MONTH(SUBSTITUTE(LEFT(Base_report!G362,10),"-","/")),DAY(SUBSTITUTE(LEFT(Base_report!G362,10),"-","/")))</f>
        <v>45294</v>
      </c>
      <c r="I363" s="17" t="str">
        <f t="shared" si="1"/>
        <v>OUI</v>
      </c>
      <c r="J363" s="18">
        <f>IF(L363="DS",DATE(RIGHT(B363,4),VLOOKUP(LEFT(B363,LEN(B363)-5),Feuil1!$E$3:$F$19,2,FALSE)+1,10),DATE(RIGHT(B363,4),VLOOKUP(LEFT(B363,LEN(B363)-5),Feuil1!$E$3:$F$19,2,FALSE)+1,7))</f>
        <v>45298</v>
      </c>
      <c r="K363" s="19">
        <f t="shared" si="2"/>
        <v>1</v>
      </c>
      <c r="L363" s="6" t="str">
        <f t="shared" si="3"/>
        <v>FS</v>
      </c>
    </row>
    <row r="364" ht="14.25" customHeight="1">
      <c r="A364" s="14" t="str">
        <f>Base_report!A363</f>
        <v>CAVALLY</v>
      </c>
      <c r="B364" s="14" t="str">
        <f>Base_report!B363</f>
        <v>DECEMBRE 2023</v>
      </c>
      <c r="C364" s="15" t="str">
        <f>Base_report!C363</f>
        <v>C5045</v>
      </c>
      <c r="D364" s="14" t="str">
        <f>TRIM(IF(ISNUMBER(FIND("PNSME",Base_report!D363,1)),SUBSTITUTE(Base_report!D363,"PNSME",""),IF(ISNUMBER(FIND("PHG",Base_report!D363,1)),SUBSTITUTE(Base_report!D363,"PHG",""),IF(ISNUMBER(FIND("PCS",Base_report!D363,1)),SUBSTITUTE(Base_report!D363,"PCS",""),IF(ISNUMBER(FIND("CMU",Base_report!D363,1)),SUBSTITUTE(Base_report!D363,"CMU",""),Base_report!D363)))))</f>
        <v>DISTRICT SANITAIRE BLOLEQUIN</v>
      </c>
      <c r="E364" s="14" t="str">
        <f>SUBSTITUTE(Base_report!E363,"-","/")</f>
        <v>PNLS/ANTIRETROVIRAUX ET IO</v>
      </c>
      <c r="F364" s="14" t="s">
        <v>788</v>
      </c>
      <c r="G364" s="16">
        <f>DATE(YEAR(SUBSTITUTE(LEFT(Base_report!F363,10),"-","/")),MONTH(SUBSTITUTE(LEFT(Base_report!F363,10),"-","/")),DAY(SUBSTITUTE(LEFT(Base_report!F363,10),"-","/")))</f>
        <v>45301</v>
      </c>
      <c r="H364" s="16">
        <f>DATE(YEAR(SUBSTITUTE(LEFT(Base_report!G363,10),"-","/")),MONTH(SUBSTITUTE(LEFT(Base_report!G363,10),"-","/")),DAY(SUBSTITUTE(LEFT(Base_report!G363,10),"-","/")))</f>
        <v>45301</v>
      </c>
      <c r="I364" s="17" t="str">
        <f t="shared" si="1"/>
        <v>OUI</v>
      </c>
      <c r="J364" s="18">
        <f>IF(L364="DS",DATE(RIGHT(B364,4),VLOOKUP(LEFT(B364,LEN(B364)-5),Feuil1!$E$3:$F$19,2,FALSE)+1,10),DATE(RIGHT(B364,4),VLOOKUP(LEFT(B364,LEN(B364)-5),Feuil1!$E$3:$F$19,2,FALSE)+1,7))</f>
        <v>45301</v>
      </c>
      <c r="K364" s="19">
        <f t="shared" si="2"/>
        <v>1</v>
      </c>
      <c r="L364" s="6" t="str">
        <f t="shared" si="3"/>
        <v>DS</v>
      </c>
    </row>
    <row r="365" ht="14.25" customHeight="1">
      <c r="A365" s="14" t="str">
        <f>Base_report!A364</f>
        <v>GRANDS PONTS</v>
      </c>
      <c r="B365" s="14" t="str">
        <f>Base_report!B364</f>
        <v>DECEMBRE 2023</v>
      </c>
      <c r="C365" s="15" t="str">
        <f>Base_report!C364</f>
        <v>C1050</v>
      </c>
      <c r="D365" s="14" t="str">
        <f>TRIM(IF(ISNUMBER(FIND("PNSME",Base_report!D364,1)),SUBSTITUTE(Base_report!D364,"PNSME",""),IF(ISNUMBER(FIND("PHG",Base_report!D364,1)),SUBSTITUTE(Base_report!D364,"PHG",""),IF(ISNUMBER(FIND("PCS",Base_report!D364,1)),SUBSTITUTE(Base_report!D364,"PCS",""),IF(ISNUMBER(FIND("CMU",Base_report!D364,1)),SUBSTITUTE(Base_report!D364,"CMU",""),Base_report!D364)))))</f>
        <v>DISTRICT SANITAIRE JACQUEVILLE</v>
      </c>
      <c r="E365" s="14" t="str">
        <f>SUBSTITUTE(Base_report!E364,"-","/")</f>
        <v>PNN/MEDICAMENTS ET INTRANTS</v>
      </c>
      <c r="F365" s="14" t="s">
        <v>788</v>
      </c>
      <c r="G365" s="16">
        <f>DATE(YEAR(SUBSTITUTE(LEFT(Base_report!F364,10),"-","/")),MONTH(SUBSTITUTE(LEFT(Base_report!F364,10),"-","/")),DAY(SUBSTITUTE(LEFT(Base_report!F364,10),"-","/")))</f>
        <v>45300</v>
      </c>
      <c r="H365" s="16">
        <f>DATE(YEAR(SUBSTITUTE(LEFT(Base_report!G364,10),"-","/")),MONTH(SUBSTITUTE(LEFT(Base_report!G364,10),"-","/")),DAY(SUBSTITUTE(LEFT(Base_report!G364,10),"-","/")))</f>
        <v>45300</v>
      </c>
      <c r="I365" s="17" t="str">
        <f t="shared" si="1"/>
        <v>OUI</v>
      </c>
      <c r="J365" s="18">
        <f>IF(L365="DS",DATE(RIGHT(B365,4),VLOOKUP(LEFT(B365,LEN(B365)-5),Feuil1!$E$3:$F$19,2,FALSE)+1,10),DATE(RIGHT(B365,4),VLOOKUP(LEFT(B365,LEN(B365)-5),Feuil1!$E$3:$F$19,2,FALSE)+1,7))</f>
        <v>45301</v>
      </c>
      <c r="K365" s="19">
        <f t="shared" si="2"/>
        <v>1</v>
      </c>
      <c r="L365" s="6" t="str">
        <f t="shared" si="3"/>
        <v>DS</v>
      </c>
    </row>
    <row r="366" ht="14.25" customHeight="1">
      <c r="A366" s="14" t="str">
        <f>Base_report!A365</f>
        <v>ABIDJAN 1</v>
      </c>
      <c r="B366" s="14" t="str">
        <f>Base_report!B365</f>
        <v>DECEMBRE 2023</v>
      </c>
      <c r="C366" s="15" t="str">
        <f>Base_report!C365</f>
        <v>C1023</v>
      </c>
      <c r="D366" s="14" t="str">
        <f>TRIM(IF(ISNUMBER(FIND("PNSME",Base_report!D365,1)),SUBSTITUTE(Base_report!D365,"PNSME",""),IF(ISNUMBER(FIND("PHG",Base_report!D365,1)),SUBSTITUTE(Base_report!D365,"PHG",""),IF(ISNUMBER(FIND("PCS",Base_report!D365,1)),SUBSTITUTE(Base_report!D365,"PCS",""),IF(ISNUMBER(FIND("CMU",Base_report!D365,1)),SUBSTITUTE(Base_report!D365,"CMU",""),Base_report!D365)))))</f>
        <v>CENTRE MEDICO-SOCIAL EL RAPHA</v>
      </c>
      <c r="E366" s="14" t="str">
        <f>SUBSTITUTE(Base_report!E365,"-","/")</f>
        <v>PNLS/PRODUITS DE LABORATOIRE</v>
      </c>
      <c r="F366" s="14" t="s">
        <v>788</v>
      </c>
      <c r="G366" s="16">
        <f>DATE(YEAR(SUBSTITUTE(LEFT(Base_report!F365,10),"-","/")),MONTH(SUBSTITUTE(LEFT(Base_report!F365,10),"-","/")),DAY(SUBSTITUTE(LEFT(Base_report!F365,10),"-","/")))</f>
        <v>45294</v>
      </c>
      <c r="H366" s="16">
        <f>DATE(YEAR(SUBSTITUTE(LEFT(Base_report!G365,10),"-","/")),MONTH(SUBSTITUTE(LEFT(Base_report!G365,10),"-","/")),DAY(SUBSTITUTE(LEFT(Base_report!G365,10),"-","/")))</f>
        <v>45294</v>
      </c>
      <c r="I366" s="17" t="str">
        <f t="shared" si="1"/>
        <v>OUI</v>
      </c>
      <c r="J366" s="18">
        <f>IF(L366="DS",DATE(RIGHT(B366,4),VLOOKUP(LEFT(B366,LEN(B366)-5),Feuil1!$E$3:$F$19,2,FALSE)+1,10),DATE(RIGHT(B366,4),VLOOKUP(LEFT(B366,LEN(B366)-5),Feuil1!$E$3:$F$19,2,FALSE)+1,7))</f>
        <v>45298</v>
      </c>
      <c r="K366" s="19">
        <f t="shared" si="2"/>
        <v>1</v>
      </c>
      <c r="L366" s="6" t="str">
        <f t="shared" si="3"/>
        <v>FS</v>
      </c>
    </row>
    <row r="367" ht="14.25" customHeight="1">
      <c r="A367" s="14" t="str">
        <f>Base_report!A366</f>
        <v>ABIDJAN 2</v>
      </c>
      <c r="B367" s="14" t="str">
        <f>Base_report!B366</f>
        <v>DECEMBRE 2023</v>
      </c>
      <c r="C367" s="15" t="str">
        <f>Base_report!C366</f>
        <v>C1101</v>
      </c>
      <c r="D367" s="14" t="str">
        <f>TRIM(IF(ISNUMBER(FIND("PNSME",Base_report!D366,1)),SUBSTITUTE(Base_report!D366,"PNSME",""),IF(ISNUMBER(FIND("PHG",Base_report!D366,1)),SUBSTITUTE(Base_report!D366,"PHG",""),IF(ISNUMBER(FIND("PCS",Base_report!D366,1)),SUBSTITUTE(Base_report!D366,"PCS",""),IF(ISNUMBER(FIND("CMU",Base_report!D366,1)),SUBSTITUTE(Base_report!D366,"CMU",""),Base_report!D366)))))</f>
        <v>HOPITAL MUNICIPAL VRIDI CITE</v>
      </c>
      <c r="E367" s="14" t="str">
        <f>SUBSTITUTE(Base_report!E366,"-","/")</f>
        <v>PNLP/MEDICAMENTS ET INTRANTS</v>
      </c>
      <c r="F367" s="14" t="s">
        <v>788</v>
      </c>
      <c r="G367" s="16">
        <f>DATE(YEAR(SUBSTITUTE(LEFT(Base_report!F366,10),"-","/")),MONTH(SUBSTITUTE(LEFT(Base_report!F366,10),"-","/")),DAY(SUBSTITUTE(LEFT(Base_report!F366,10),"-","/")))</f>
        <v>45294</v>
      </c>
      <c r="H367" s="16">
        <f>DATE(YEAR(SUBSTITUTE(LEFT(Base_report!G366,10),"-","/")),MONTH(SUBSTITUTE(LEFT(Base_report!G366,10),"-","/")),DAY(SUBSTITUTE(LEFT(Base_report!G366,10),"-","/")))</f>
        <v>45294</v>
      </c>
      <c r="I367" s="17" t="str">
        <f t="shared" si="1"/>
        <v>OUI</v>
      </c>
      <c r="J367" s="18">
        <f>IF(L367="DS",DATE(RIGHT(B367,4),VLOOKUP(LEFT(B367,LEN(B367)-5),Feuil1!$E$3:$F$19,2,FALSE)+1,10),DATE(RIGHT(B367,4),VLOOKUP(LEFT(B367,LEN(B367)-5),Feuil1!$E$3:$F$19,2,FALSE)+1,7))</f>
        <v>45298</v>
      </c>
      <c r="K367" s="19">
        <f t="shared" si="2"/>
        <v>1</v>
      </c>
      <c r="L367" s="6" t="str">
        <f t="shared" si="3"/>
        <v>FS</v>
      </c>
    </row>
    <row r="368" ht="14.25" customHeight="1">
      <c r="A368" s="14" t="str">
        <f>Base_report!A367</f>
        <v>MARAHOUE</v>
      </c>
      <c r="B368" s="14" t="str">
        <f>Base_report!B367</f>
        <v>DECEMBRE 2023</v>
      </c>
      <c r="C368" s="15" t="str">
        <f>Base_report!C367</f>
        <v>C2063</v>
      </c>
      <c r="D368" s="14" t="str">
        <f>TRIM(IF(ISNUMBER(FIND("PNSME",Base_report!D367,1)),SUBSTITUTE(Base_report!D367,"PNSME",""),IF(ISNUMBER(FIND("PHG",Base_report!D367,1)),SUBSTITUTE(Base_report!D367,"PHG",""),IF(ISNUMBER(FIND("PCS",Base_report!D367,1)),SUBSTITUTE(Base_report!D367,"PCS",""),IF(ISNUMBER(FIND("CMU",Base_report!D367,1)),SUBSTITUTE(Base_report!D367,"CMU",""),Base_report!D367)))))</f>
        <v>HOPITAL GENERAL SINFRA</v>
      </c>
      <c r="E368" s="14" t="str">
        <f>SUBSTITUTE(Base_report!E367,"-","/")</f>
        <v>PNLP/MEDICAMENTS ET INTRANTS</v>
      </c>
      <c r="F368" s="14" t="s">
        <v>788</v>
      </c>
      <c r="G368" s="16">
        <f>DATE(YEAR(SUBSTITUTE(LEFT(Base_report!F367,10),"-","/")),MONTH(SUBSTITUTE(LEFT(Base_report!F367,10),"-","/")),DAY(SUBSTITUTE(LEFT(Base_report!F367,10),"-","/")))</f>
        <v>45296</v>
      </c>
      <c r="H368" s="16">
        <f>DATE(YEAR(SUBSTITUTE(LEFT(Base_report!G367,10),"-","/")),MONTH(SUBSTITUTE(LEFT(Base_report!G367,10),"-","/")),DAY(SUBSTITUTE(LEFT(Base_report!G367,10),"-","/")))</f>
        <v>45296</v>
      </c>
      <c r="I368" s="17" t="str">
        <f t="shared" si="1"/>
        <v>OUI</v>
      </c>
      <c r="J368" s="18">
        <f>IF(L368="DS",DATE(RIGHT(B368,4),VLOOKUP(LEFT(B368,LEN(B368)-5),Feuil1!$E$3:$F$19,2,FALSE)+1,10),DATE(RIGHT(B368,4),VLOOKUP(LEFT(B368,LEN(B368)-5),Feuil1!$E$3:$F$19,2,FALSE)+1,7))</f>
        <v>45298</v>
      </c>
      <c r="K368" s="19">
        <f t="shared" si="2"/>
        <v>1</v>
      </c>
      <c r="L368" s="6" t="str">
        <f t="shared" si="3"/>
        <v>FS</v>
      </c>
    </row>
    <row r="369" ht="14.25" customHeight="1">
      <c r="A369" s="14" t="str">
        <f>Base_report!A368</f>
        <v>NAWA</v>
      </c>
      <c r="B369" s="14" t="str">
        <f>Base_report!B368</f>
        <v>DECEMBRE 2023</v>
      </c>
      <c r="C369" s="15" t="str">
        <f>Base_report!C368</f>
        <v>C2131</v>
      </c>
      <c r="D369" s="14" t="str">
        <f>TRIM(IF(ISNUMBER(FIND("PNSME",Base_report!D368,1)),SUBSTITUTE(Base_report!D368,"PNSME",""),IF(ISNUMBER(FIND("PHG",Base_report!D368,1)),SUBSTITUTE(Base_report!D368,"PHG",""),IF(ISNUMBER(FIND("PCS",Base_report!D368,1)),SUBSTITUTE(Base_report!D368,"PCS",""),IF(ISNUMBER(FIND("CMU",Base_report!D368,1)),SUBSTITUTE(Base_report!D368,"CMU",""),Base_report!D368)))))</f>
        <v>HOPITAL GENERAL GUEYO</v>
      </c>
      <c r="E369" s="14" t="str">
        <f>SUBSTITUTE(Base_report!E368,"-","/")</f>
        <v>PNLP/MEDICAMENTS ET INTRANTS</v>
      </c>
      <c r="F369" s="14" t="s">
        <v>788</v>
      </c>
      <c r="G369" s="16">
        <f>DATE(YEAR(SUBSTITUTE(LEFT(Base_report!F368,10),"-","/")),MONTH(SUBSTITUTE(LEFT(Base_report!F368,10),"-","/")),DAY(SUBSTITUTE(LEFT(Base_report!F368,10),"-","/")))</f>
        <v>45295</v>
      </c>
      <c r="H369" s="16">
        <f>DATE(YEAR(SUBSTITUTE(LEFT(Base_report!G368,10),"-","/")),MONTH(SUBSTITUTE(LEFT(Base_report!G368,10),"-","/")),DAY(SUBSTITUTE(LEFT(Base_report!G368,10),"-","/")))</f>
        <v>45295</v>
      </c>
      <c r="I369" s="17" t="str">
        <f t="shared" si="1"/>
        <v>OUI</v>
      </c>
      <c r="J369" s="18">
        <f>IF(L369="DS",DATE(RIGHT(B369,4),VLOOKUP(LEFT(B369,LEN(B369)-5),Feuil1!$E$3:$F$19,2,FALSE)+1,10),DATE(RIGHT(B369,4),VLOOKUP(LEFT(B369,LEN(B369)-5),Feuil1!$E$3:$F$19,2,FALSE)+1,7))</f>
        <v>45298</v>
      </c>
      <c r="K369" s="19">
        <f t="shared" si="2"/>
        <v>1</v>
      </c>
      <c r="L369" s="6" t="str">
        <f t="shared" si="3"/>
        <v>FS</v>
      </c>
    </row>
    <row r="370" ht="14.25" customHeight="1">
      <c r="A370" s="14" t="str">
        <f>Base_report!A369</f>
        <v>LOH-DJIBOUA</v>
      </c>
      <c r="B370" s="14" t="str">
        <f>Base_report!B369</f>
        <v>DECEMBRE 2023</v>
      </c>
      <c r="C370" s="15" t="str">
        <f>Base_report!C369</f>
        <v>C2005</v>
      </c>
      <c r="D370" s="14" t="str">
        <f>TRIM(IF(ISNUMBER(FIND("PNSME",Base_report!D369,1)),SUBSTITUTE(Base_report!D369,"PNSME",""),IF(ISNUMBER(FIND("PHG",Base_report!D369,1)),SUBSTITUTE(Base_report!D369,"PHG",""),IF(ISNUMBER(FIND("PCS",Base_report!D369,1)),SUBSTITUTE(Base_report!D369,"PCS",""),IF(ISNUMBER(FIND("CMU",Base_report!D369,1)),SUBSTITUTE(Base_report!D369,"CMU",""),Base_report!D369)))))</f>
        <v>CHR DIVO</v>
      </c>
      <c r="E370" s="14" t="str">
        <f>SUBSTITUTE(Base_report!E369,"-","/")</f>
        <v>PNLP/MEDICAMENTS ET INTRANTS</v>
      </c>
      <c r="F370" s="14" t="s">
        <v>788</v>
      </c>
      <c r="G370" s="16">
        <f>DATE(YEAR(SUBSTITUTE(LEFT(Base_report!F369,10),"-","/")),MONTH(SUBSTITUTE(LEFT(Base_report!F369,10),"-","/")),DAY(SUBSTITUTE(LEFT(Base_report!F369,10),"-","/")))</f>
        <v>45296</v>
      </c>
      <c r="H370" s="16">
        <f>DATE(YEAR(SUBSTITUTE(LEFT(Base_report!G369,10),"-","/")),MONTH(SUBSTITUTE(LEFT(Base_report!G369,10),"-","/")),DAY(SUBSTITUTE(LEFT(Base_report!G369,10),"-","/")))</f>
        <v>45298</v>
      </c>
      <c r="I370" s="17" t="str">
        <f t="shared" si="1"/>
        <v>OUI</v>
      </c>
      <c r="J370" s="18">
        <f>IF(L370="DS",DATE(RIGHT(B370,4),VLOOKUP(LEFT(B370,LEN(B370)-5),Feuil1!$E$3:$F$19,2,FALSE)+1,10),DATE(RIGHT(B370,4),VLOOKUP(LEFT(B370,LEN(B370)-5),Feuil1!$E$3:$F$19,2,FALSE)+1,7))</f>
        <v>45298</v>
      </c>
      <c r="K370" s="19">
        <f t="shared" si="2"/>
        <v>1</v>
      </c>
      <c r="L370" s="6" t="str">
        <f t="shared" si="3"/>
        <v>FS</v>
      </c>
    </row>
    <row r="371" ht="14.25" customHeight="1">
      <c r="A371" s="14" t="str">
        <f>Base_report!A370</f>
        <v>CAVALLY</v>
      </c>
      <c r="B371" s="14" t="str">
        <f>Base_report!B370</f>
        <v>DECEMBRE 2023</v>
      </c>
      <c r="C371" s="15" t="str">
        <f>Base_report!C370</f>
        <v>C5070</v>
      </c>
      <c r="D371" s="14" t="str">
        <f>TRIM(IF(ISNUMBER(FIND("PNSME",Base_report!D370,1)),SUBSTITUTE(Base_report!D370,"PNSME",""),IF(ISNUMBER(FIND("PHG",Base_report!D370,1)),SUBSTITUTE(Base_report!D370,"PHG",""),IF(ISNUMBER(FIND("PCS",Base_report!D370,1)),SUBSTITUTE(Base_report!D370,"PCS",""),IF(ISNUMBER(FIND("CMU",Base_report!D370,1)),SUBSTITUTE(Base_report!D370,"CMU",""),Base_report!D370)))))</f>
        <v>DISTRICT SANITAIRE TAI</v>
      </c>
      <c r="E371" s="14" t="str">
        <f>SUBSTITUTE(Base_report!E370,"-","/")</f>
        <v>PNLP/MEDICAMENTS ET INTRANTS</v>
      </c>
      <c r="F371" s="14" t="s">
        <v>788</v>
      </c>
      <c r="G371" s="16">
        <f>DATE(YEAR(SUBSTITUTE(LEFT(Base_report!F370,10),"-","/")),MONTH(SUBSTITUTE(LEFT(Base_report!F370,10),"-","/")),DAY(SUBSTITUTE(LEFT(Base_report!F370,10),"-","/")))</f>
        <v>45300</v>
      </c>
      <c r="H371" s="16">
        <f>DATE(YEAR(SUBSTITUTE(LEFT(Base_report!G370,10),"-","/")),MONTH(SUBSTITUTE(LEFT(Base_report!G370,10),"-","/")),DAY(SUBSTITUTE(LEFT(Base_report!G370,10),"-","/")))</f>
        <v>45300</v>
      </c>
      <c r="I371" s="17" t="str">
        <f t="shared" si="1"/>
        <v>OUI</v>
      </c>
      <c r="J371" s="18">
        <f>IF(L371="DS",DATE(RIGHT(B371,4),VLOOKUP(LEFT(B371,LEN(B371)-5),Feuil1!$E$3:$F$19,2,FALSE)+1,10),DATE(RIGHT(B371,4),VLOOKUP(LEFT(B371,LEN(B371)-5),Feuil1!$E$3:$F$19,2,FALSE)+1,7))</f>
        <v>45301</v>
      </c>
      <c r="K371" s="19">
        <f t="shared" si="2"/>
        <v>1</v>
      </c>
      <c r="L371" s="6" t="str">
        <f t="shared" si="3"/>
        <v>DS</v>
      </c>
    </row>
    <row r="372" ht="14.25" customHeight="1">
      <c r="A372" s="14" t="str">
        <f>Base_report!A371</f>
        <v>SAN PEDRO</v>
      </c>
      <c r="B372" s="14" t="str">
        <f>Base_report!B371</f>
        <v>DECEMBRE 2023</v>
      </c>
      <c r="C372" s="15" t="str">
        <f>Base_report!C371</f>
        <v>C2040</v>
      </c>
      <c r="D372" s="14" t="str">
        <f>TRIM(IF(ISNUMBER(FIND("PNSME",Base_report!D371,1)),SUBSTITUTE(Base_report!D371,"PNSME",""),IF(ISNUMBER(FIND("PHG",Base_report!D371,1)),SUBSTITUTE(Base_report!D371,"PHG",""),IF(ISNUMBER(FIND("PCS",Base_report!D371,1)),SUBSTITUTE(Base_report!D371,"PCS",""),IF(ISNUMBER(FIND("CMU",Base_report!D371,1)),SUBSTITUTE(Base_report!D371,"CMU",""),Base_report!D371)))))</f>
        <v>DISTRICT SANITAIRE TABOU</v>
      </c>
      <c r="E372" s="14" t="str">
        <f>SUBSTITUTE(Base_report!E371,"-","/")</f>
        <v>PNN/MEDICAMENTS ET INTRANTS</v>
      </c>
      <c r="F372" s="14" t="s">
        <v>788</v>
      </c>
      <c r="G372" s="16">
        <f>DATE(YEAR(SUBSTITUTE(LEFT(Base_report!F371,10),"-","/")),MONTH(SUBSTITUTE(LEFT(Base_report!F371,10),"-","/")),DAY(SUBSTITUTE(LEFT(Base_report!F371,10),"-","/")))</f>
        <v>45300</v>
      </c>
      <c r="H372" s="16">
        <f>DATE(YEAR(SUBSTITUTE(LEFT(Base_report!G371,10),"-","/")),MONTH(SUBSTITUTE(LEFT(Base_report!G371,10),"-","/")),DAY(SUBSTITUTE(LEFT(Base_report!G371,10),"-","/")))</f>
        <v>45301</v>
      </c>
      <c r="I372" s="17" t="str">
        <f t="shared" si="1"/>
        <v>OUI</v>
      </c>
      <c r="J372" s="18">
        <f>IF(L372="DS",DATE(RIGHT(B372,4),VLOOKUP(LEFT(B372,LEN(B372)-5),Feuil1!$E$3:$F$19,2,FALSE)+1,10),DATE(RIGHT(B372,4),VLOOKUP(LEFT(B372,LEN(B372)-5),Feuil1!$E$3:$F$19,2,FALSE)+1,7))</f>
        <v>45301</v>
      </c>
      <c r="K372" s="19">
        <f t="shared" si="2"/>
        <v>1</v>
      </c>
      <c r="L372" s="6" t="str">
        <f t="shared" si="3"/>
        <v>DS</v>
      </c>
    </row>
    <row r="373" ht="14.25" customHeight="1">
      <c r="A373" s="14" t="str">
        <f>Base_report!A372</f>
        <v>PORO</v>
      </c>
      <c r="B373" s="14" t="str">
        <f>Base_report!B372</f>
        <v>DECEMBRE 2023</v>
      </c>
      <c r="C373" s="15" t="str">
        <f>Base_report!C372</f>
        <v>C3018</v>
      </c>
      <c r="D373" s="14" t="str">
        <f>TRIM(IF(ISNUMBER(FIND("PNSME",Base_report!D372,1)),SUBSTITUTE(Base_report!D372,"PNSME",""),IF(ISNUMBER(FIND("PHG",Base_report!D372,1)),SUBSTITUTE(Base_report!D372,"PHG",""),IF(ISNUMBER(FIND("PCS",Base_report!D372,1)),SUBSTITUTE(Base_report!D372,"PCS",""),IF(ISNUMBER(FIND("CMU",Base_report!D372,1)),SUBSTITUTE(Base_report!D372,"CMU",""),Base_report!D372)))))</f>
        <v>CSU NAPIE</v>
      </c>
      <c r="E373" s="14" t="str">
        <f>SUBSTITUTE(Base_report!E372,"-","/")</f>
        <v>PNLP/MEDICAMENTS ET INTRANTS</v>
      </c>
      <c r="F373" s="14" t="s">
        <v>788</v>
      </c>
      <c r="G373" s="16">
        <f>DATE(YEAR(SUBSTITUTE(LEFT(Base_report!F372,10),"-","/")),MONTH(SUBSTITUTE(LEFT(Base_report!F372,10),"-","/")),DAY(SUBSTITUTE(LEFT(Base_report!F372,10),"-","/")))</f>
        <v>45292</v>
      </c>
      <c r="H373" s="16">
        <f>DATE(YEAR(SUBSTITUTE(LEFT(Base_report!G372,10),"-","/")),MONTH(SUBSTITUTE(LEFT(Base_report!G372,10),"-","/")),DAY(SUBSTITUTE(LEFT(Base_report!G372,10),"-","/")))</f>
        <v>45296</v>
      </c>
      <c r="I373" s="17" t="str">
        <f t="shared" si="1"/>
        <v>OUI</v>
      </c>
      <c r="J373" s="18">
        <f>IF(L373="DS",DATE(RIGHT(B373,4),VLOOKUP(LEFT(B373,LEN(B373)-5),Feuil1!$E$3:$F$19,2,FALSE)+1,10),DATE(RIGHT(B373,4),VLOOKUP(LEFT(B373,LEN(B373)-5),Feuil1!$E$3:$F$19,2,FALSE)+1,7))</f>
        <v>45298</v>
      </c>
      <c r="K373" s="19">
        <f t="shared" si="2"/>
        <v>1</v>
      </c>
      <c r="L373" s="6" t="str">
        <f t="shared" si="3"/>
        <v>FS</v>
      </c>
    </row>
    <row r="374" ht="14.25" customHeight="1">
      <c r="A374" s="14" t="str">
        <f>Base_report!A373</f>
        <v>NAWA</v>
      </c>
      <c r="B374" s="14" t="str">
        <f>Base_report!B373</f>
        <v>DECEMBRE 2023</v>
      </c>
      <c r="C374" s="15" t="str">
        <f>Base_report!C373</f>
        <v>C2211</v>
      </c>
      <c r="D374" s="14" t="str">
        <f>TRIM(IF(ISNUMBER(FIND("PNSME",Base_report!D373,1)),SUBSTITUTE(Base_report!D373,"PNSME",""),IF(ISNUMBER(FIND("PHG",Base_report!D373,1)),SUBSTITUTE(Base_report!D373,"PHG",""),IF(ISNUMBER(FIND("PCS",Base_report!D373,1)),SUBSTITUTE(Base_report!D373,"PCS",""),IF(ISNUMBER(FIND("CMU",Base_report!D373,1)),SUBSTITUTE(Base_report!D373,"CMU",""),Base_report!D373)))))</f>
        <v>DISTRICT SANITAIRE MEAGUI</v>
      </c>
      <c r="E374" s="14" t="str">
        <f>SUBSTITUTE(Base_report!E373,"-","/")</f>
        <v>PNLP/MEDICAMENTS ET INTRANTS</v>
      </c>
      <c r="F374" s="14" t="s">
        <v>788</v>
      </c>
      <c r="G374" s="16">
        <f>DATE(YEAR(SUBSTITUTE(LEFT(Base_report!F373,10),"-","/")),MONTH(SUBSTITUTE(LEFT(Base_report!F373,10),"-","/")),DAY(SUBSTITUTE(LEFT(Base_report!F373,10),"-","/")))</f>
        <v>45298</v>
      </c>
      <c r="H374" s="16">
        <f>DATE(YEAR(SUBSTITUTE(LEFT(Base_report!G373,10),"-","/")),MONTH(SUBSTITUTE(LEFT(Base_report!G373,10),"-","/")),DAY(SUBSTITUTE(LEFT(Base_report!G373,10),"-","/")))</f>
        <v>45299</v>
      </c>
      <c r="I374" s="17" t="str">
        <f t="shared" si="1"/>
        <v>OUI</v>
      </c>
      <c r="J374" s="18">
        <f>IF(L374="DS",DATE(RIGHT(B374,4),VLOOKUP(LEFT(B374,LEN(B374)-5),Feuil1!$E$3:$F$19,2,FALSE)+1,10),DATE(RIGHT(B374,4),VLOOKUP(LEFT(B374,LEN(B374)-5),Feuil1!$E$3:$F$19,2,FALSE)+1,7))</f>
        <v>45301</v>
      </c>
      <c r="K374" s="19">
        <f t="shared" si="2"/>
        <v>1</v>
      </c>
      <c r="L374" s="6" t="str">
        <f t="shared" si="3"/>
        <v>DS</v>
      </c>
    </row>
    <row r="375" ht="14.25" customHeight="1">
      <c r="A375" s="14" t="str">
        <f>Base_report!A374</f>
        <v>NAWA</v>
      </c>
      <c r="B375" s="14" t="str">
        <f>Base_report!B374</f>
        <v>DECEMBRE 2023</v>
      </c>
      <c r="C375" s="15" t="str">
        <f>Base_report!C374</f>
        <v>C2211</v>
      </c>
      <c r="D375" s="14" t="str">
        <f>TRIM(IF(ISNUMBER(FIND("PNSME",Base_report!D374,1)),SUBSTITUTE(Base_report!D374,"PNSME",""),IF(ISNUMBER(FIND("PHG",Base_report!D374,1)),SUBSTITUTE(Base_report!D374,"PHG",""),IF(ISNUMBER(FIND("PCS",Base_report!D374,1)),SUBSTITUTE(Base_report!D374,"PCS",""),IF(ISNUMBER(FIND("CMU",Base_report!D374,1)),SUBSTITUTE(Base_report!D374,"CMU",""),Base_report!D374)))))</f>
        <v>DISTRICT SANITAIRE MEAGUI</v>
      </c>
      <c r="E375" s="14" t="str">
        <f>SUBSTITUTE(Base_report!E374,"-","/")</f>
        <v>PNSME/MEDICAMENTS ET INTRANTS</v>
      </c>
      <c r="F375" s="14" t="s">
        <v>788</v>
      </c>
      <c r="G375" s="16">
        <f>DATE(YEAR(SUBSTITUTE(LEFT(Base_report!F374,10),"-","/")),MONTH(SUBSTITUTE(LEFT(Base_report!F374,10),"-","/")),DAY(SUBSTITUTE(LEFT(Base_report!F374,10),"-","/")))</f>
        <v>45298</v>
      </c>
      <c r="H375" s="16">
        <f>DATE(YEAR(SUBSTITUTE(LEFT(Base_report!G374,10),"-","/")),MONTH(SUBSTITUTE(LEFT(Base_report!G374,10),"-","/")),DAY(SUBSTITUTE(LEFT(Base_report!G374,10),"-","/")))</f>
        <v>45299</v>
      </c>
      <c r="I375" s="17" t="str">
        <f t="shared" si="1"/>
        <v>OUI</v>
      </c>
      <c r="J375" s="18">
        <f>IF(L375="DS",DATE(RIGHT(B375,4),VLOOKUP(LEFT(B375,LEN(B375)-5),Feuil1!$E$3:$F$19,2,FALSE)+1,10),DATE(RIGHT(B375,4),VLOOKUP(LEFT(B375,LEN(B375)-5),Feuil1!$E$3:$F$19,2,FALSE)+1,7))</f>
        <v>45301</v>
      </c>
      <c r="K375" s="19">
        <f t="shared" si="2"/>
        <v>1</v>
      </c>
      <c r="L375" s="6" t="str">
        <f t="shared" si="3"/>
        <v>DS</v>
      </c>
    </row>
    <row r="376" ht="14.25" customHeight="1">
      <c r="A376" s="14" t="str">
        <f>Base_report!A375</f>
        <v>BERE</v>
      </c>
      <c r="B376" s="14" t="str">
        <f>Base_report!B375</f>
        <v>DECEMBRE 2023</v>
      </c>
      <c r="C376" s="15" t="str">
        <f>Base_report!C375</f>
        <v>C5080</v>
      </c>
      <c r="D376" s="14" t="str">
        <f>TRIM(IF(ISNUMBER(FIND("PNSME",Base_report!D375,1)),SUBSTITUTE(Base_report!D375,"PNSME",""),IF(ISNUMBER(FIND("PHG",Base_report!D375,1)),SUBSTITUTE(Base_report!D375,"PHG",""),IF(ISNUMBER(FIND("PCS",Base_report!D375,1)),SUBSTITUTE(Base_report!D375,"PCS",""),IF(ISNUMBER(FIND("CMU",Base_report!D375,1)),SUBSTITUTE(Base_report!D375,"CMU",""),Base_report!D375)))))</f>
        <v>DISTRICT SANITAIRE KOUNAHIRI</v>
      </c>
      <c r="E376" s="14" t="str">
        <f>SUBSTITUTE(Base_report!E375,"-","/")</f>
        <v>PNLP/MEDICAMENTS ET INTRANTS</v>
      </c>
      <c r="F376" s="14" t="s">
        <v>788</v>
      </c>
      <c r="G376" s="16">
        <f>DATE(YEAR(SUBSTITUTE(LEFT(Base_report!F375,10),"-","/")),MONTH(SUBSTITUTE(LEFT(Base_report!F375,10),"-","/")),DAY(SUBSTITUTE(LEFT(Base_report!F375,10),"-","/")))</f>
        <v>45299</v>
      </c>
      <c r="H376" s="16">
        <f>DATE(YEAR(SUBSTITUTE(LEFT(Base_report!G375,10),"-","/")),MONTH(SUBSTITUTE(LEFT(Base_report!G375,10),"-","/")),DAY(SUBSTITUTE(LEFT(Base_report!G375,10),"-","/")))</f>
        <v>45300</v>
      </c>
      <c r="I376" s="17" t="str">
        <f t="shared" si="1"/>
        <v>OUI</v>
      </c>
      <c r="J376" s="18">
        <f>IF(L376="DS",DATE(RIGHT(B376,4),VLOOKUP(LEFT(B376,LEN(B376)-5),Feuil1!$E$3:$F$19,2,FALSE)+1,10),DATE(RIGHT(B376,4),VLOOKUP(LEFT(B376,LEN(B376)-5),Feuil1!$E$3:$F$19,2,FALSE)+1,7))</f>
        <v>45301</v>
      </c>
      <c r="K376" s="19">
        <f t="shared" si="2"/>
        <v>1</v>
      </c>
      <c r="L376" s="6" t="str">
        <f t="shared" si="3"/>
        <v>DS</v>
      </c>
    </row>
    <row r="377" ht="14.25" customHeight="1">
      <c r="A377" s="14" t="str">
        <f>Base_report!A376</f>
        <v>GOH</v>
      </c>
      <c r="B377" s="14" t="str">
        <f>Base_report!B376</f>
        <v>DECEMBRE 2023</v>
      </c>
      <c r="C377" s="15" t="str">
        <f>Base_report!C376</f>
        <v>C2006</v>
      </c>
      <c r="D377" s="14" t="str">
        <f>TRIM(IF(ISNUMBER(FIND("PNSME",Base_report!D376,1)),SUBSTITUTE(Base_report!D376,"PNSME",""),IF(ISNUMBER(FIND("PHG",Base_report!D376,1)),SUBSTITUTE(Base_report!D376,"PHG",""),IF(ISNUMBER(FIND("PCS",Base_report!D376,1)),SUBSTITUTE(Base_report!D376,"PCS",""),IF(ISNUMBER(FIND("CMU",Base_report!D376,1)),SUBSTITUTE(Base_report!D376,"CMU",""),Base_report!D376)))))</f>
        <v>CHR GAGNOA</v>
      </c>
      <c r="E377" s="14" t="str">
        <f>SUBSTITUTE(Base_report!E376,"-","/")</f>
        <v>PNLS/CHARGES VIRALES</v>
      </c>
      <c r="F377" s="14" t="s">
        <v>788</v>
      </c>
      <c r="G377" s="16">
        <f>DATE(YEAR(SUBSTITUTE(LEFT(Base_report!F376,10),"-","/")),MONTH(SUBSTITUTE(LEFT(Base_report!F376,10),"-","/")),DAY(SUBSTITUTE(LEFT(Base_report!F376,10),"-","/")))</f>
        <v>45298</v>
      </c>
      <c r="H377" s="16">
        <f>DATE(YEAR(SUBSTITUTE(LEFT(Base_report!G376,10),"-","/")),MONTH(SUBSTITUTE(LEFT(Base_report!G376,10),"-","/")),DAY(SUBSTITUTE(LEFT(Base_report!G376,10),"-","/")))</f>
        <v>45298</v>
      </c>
      <c r="I377" s="17" t="str">
        <f t="shared" si="1"/>
        <v>OUI</v>
      </c>
      <c r="J377" s="18">
        <f>IF(L377="DS",DATE(RIGHT(B377,4),VLOOKUP(LEFT(B377,LEN(B377)-5),Feuil1!$E$3:$F$19,2,FALSE)+1,10),DATE(RIGHT(B377,4),VLOOKUP(LEFT(B377,LEN(B377)-5),Feuil1!$E$3:$F$19,2,FALSE)+1,7))</f>
        <v>45298</v>
      </c>
      <c r="K377" s="19">
        <f t="shared" si="2"/>
        <v>1</v>
      </c>
      <c r="L377" s="6" t="str">
        <f t="shared" si="3"/>
        <v>FS</v>
      </c>
    </row>
    <row r="378" ht="14.25" customHeight="1">
      <c r="A378" s="14" t="str">
        <f>Base_report!A377</f>
        <v>GOH</v>
      </c>
      <c r="B378" s="14" t="str">
        <f>Base_report!B377</f>
        <v>DECEMBRE 2023</v>
      </c>
      <c r="C378" s="15" t="str">
        <f>Base_report!C377</f>
        <v>C2006</v>
      </c>
      <c r="D378" s="14" t="str">
        <f>TRIM(IF(ISNUMBER(FIND("PNSME",Base_report!D377,1)),SUBSTITUTE(Base_report!D377,"PNSME",""),IF(ISNUMBER(FIND("PHG",Base_report!D377,1)),SUBSTITUTE(Base_report!D377,"PHG",""),IF(ISNUMBER(FIND("PCS",Base_report!D377,1)),SUBSTITUTE(Base_report!D377,"PCS",""),IF(ISNUMBER(FIND("CMU",Base_report!D377,1)),SUBSTITUTE(Base_report!D377,"CMU",""),Base_report!D377)))))</f>
        <v>CHR GAGNOA</v>
      </c>
      <c r="E378" s="14" t="str">
        <f>SUBSTITUTE(Base_report!E377,"-","/")</f>
        <v>PNLS/PRODUITS DE LABORATOIRE</v>
      </c>
      <c r="F378" s="14" t="s">
        <v>788</v>
      </c>
      <c r="G378" s="16">
        <f>DATE(YEAR(SUBSTITUTE(LEFT(Base_report!F377,10),"-","/")),MONTH(SUBSTITUTE(LEFT(Base_report!F377,10),"-","/")),DAY(SUBSTITUTE(LEFT(Base_report!F377,10),"-","/")))</f>
        <v>45298</v>
      </c>
      <c r="H378" s="16">
        <f>DATE(YEAR(SUBSTITUTE(LEFT(Base_report!G377,10),"-","/")),MONTH(SUBSTITUTE(LEFT(Base_report!G377,10),"-","/")),DAY(SUBSTITUTE(LEFT(Base_report!G377,10),"-","/")))</f>
        <v>45298</v>
      </c>
      <c r="I378" s="17" t="str">
        <f t="shared" si="1"/>
        <v>OUI</v>
      </c>
      <c r="J378" s="18">
        <f>IF(L378="DS",DATE(RIGHT(B378,4),VLOOKUP(LEFT(B378,LEN(B378)-5),Feuil1!$E$3:$F$19,2,FALSE)+1,10),DATE(RIGHT(B378,4),VLOOKUP(LEFT(B378,LEN(B378)-5),Feuil1!$E$3:$F$19,2,FALSE)+1,7))</f>
        <v>45298</v>
      </c>
      <c r="K378" s="19">
        <f t="shared" si="2"/>
        <v>1</v>
      </c>
      <c r="L378" s="6" t="str">
        <f t="shared" si="3"/>
        <v>FS</v>
      </c>
    </row>
    <row r="379" ht="14.25" customHeight="1">
      <c r="A379" s="14" t="str">
        <f>Base_report!A378</f>
        <v>LOH-DJIBOUA</v>
      </c>
      <c r="B379" s="14" t="str">
        <f>Base_report!B378</f>
        <v>DECEMBRE 2023</v>
      </c>
      <c r="C379" s="15" t="str">
        <f>Base_report!C378</f>
        <v>C2231</v>
      </c>
      <c r="D379" s="14" t="str">
        <f>TRIM(IF(ISNUMBER(FIND("PNSME",Base_report!D378,1)),SUBSTITUTE(Base_report!D378,"PNSME",""),IF(ISNUMBER(FIND("PHG",Base_report!D378,1)),SUBSTITUTE(Base_report!D378,"PHG",""),IF(ISNUMBER(FIND("PCS",Base_report!D378,1)),SUBSTITUTE(Base_report!D378,"PCS",""),IF(ISNUMBER(FIND("CMU",Base_report!D378,1)),SUBSTITUTE(Base_report!D378,"CMU",""),Base_report!D378)))))</f>
        <v>CSU ZIKISSO</v>
      </c>
      <c r="E379" s="14" t="str">
        <f>SUBSTITUTE(Base_report!E378,"-","/")</f>
        <v>PNSME/MEDICAMENTS ET INTRANTS</v>
      </c>
      <c r="F379" s="14" t="s">
        <v>788</v>
      </c>
      <c r="G379" s="16">
        <f>DATE(YEAR(SUBSTITUTE(LEFT(Base_report!F378,10),"-","/")),MONTH(SUBSTITUTE(LEFT(Base_report!F378,10),"-","/")),DAY(SUBSTITUTE(LEFT(Base_report!F378,10),"-","/")))</f>
        <v>45283</v>
      </c>
      <c r="H379" s="16">
        <f>DATE(YEAR(SUBSTITUTE(LEFT(Base_report!G378,10),"-","/")),MONTH(SUBSTITUTE(LEFT(Base_report!G378,10),"-","/")),DAY(SUBSTITUTE(LEFT(Base_report!G378,10),"-","/")))</f>
        <v>45283</v>
      </c>
      <c r="I379" s="17" t="str">
        <f t="shared" si="1"/>
        <v>OUI</v>
      </c>
      <c r="J379" s="18">
        <f>IF(L379="DS",DATE(RIGHT(B379,4),VLOOKUP(LEFT(B379,LEN(B379)-5),Feuil1!$E$3:$F$19,2,FALSE)+1,10),DATE(RIGHT(B379,4),VLOOKUP(LEFT(B379,LEN(B379)-5),Feuil1!$E$3:$F$19,2,FALSE)+1,7))</f>
        <v>45298</v>
      </c>
      <c r="K379" s="19">
        <f t="shared" si="2"/>
        <v>1</v>
      </c>
      <c r="L379" s="6" t="str">
        <f t="shared" si="3"/>
        <v>FS</v>
      </c>
    </row>
    <row r="380" ht="14.25" customHeight="1">
      <c r="A380" s="14" t="str">
        <f>Base_report!A379</f>
        <v>NAWA</v>
      </c>
      <c r="B380" s="14" t="str">
        <f>Base_report!B379</f>
        <v>DECEMBRE 2023</v>
      </c>
      <c r="C380" s="15" t="str">
        <f>Base_report!C379</f>
        <v>C2211</v>
      </c>
      <c r="D380" s="14" t="str">
        <f>TRIM(IF(ISNUMBER(FIND("PNSME",Base_report!D379,1)),SUBSTITUTE(Base_report!D379,"PNSME",""),IF(ISNUMBER(FIND("PHG",Base_report!D379,1)),SUBSTITUTE(Base_report!D379,"PHG",""),IF(ISNUMBER(FIND("PCS",Base_report!D379,1)),SUBSTITUTE(Base_report!D379,"PCS",""),IF(ISNUMBER(FIND("CMU",Base_report!D379,1)),SUBSTITUTE(Base_report!D379,"CMU",""),Base_report!D379)))))</f>
        <v>DISTRICT SANITAIRE MEAGUI</v>
      </c>
      <c r="E380" s="14" t="str">
        <f>SUBSTITUTE(Base_report!E379,"-","/")</f>
        <v>PNLS/TESTS RAPIDES ET CONSOMMABLES</v>
      </c>
      <c r="F380" s="14" t="s">
        <v>788</v>
      </c>
      <c r="G380" s="16">
        <f>DATE(YEAR(SUBSTITUTE(LEFT(Base_report!F379,10),"-","/")),MONTH(SUBSTITUTE(LEFT(Base_report!F379,10),"-","/")),DAY(SUBSTITUTE(LEFT(Base_report!F379,10),"-","/")))</f>
        <v>45298</v>
      </c>
      <c r="H380" s="16">
        <f>DATE(YEAR(SUBSTITUTE(LEFT(Base_report!G379,10),"-","/")),MONTH(SUBSTITUTE(LEFT(Base_report!G379,10),"-","/")),DAY(SUBSTITUTE(LEFT(Base_report!G379,10),"-","/")))</f>
        <v>45299</v>
      </c>
      <c r="I380" s="17" t="str">
        <f t="shared" si="1"/>
        <v>OUI</v>
      </c>
      <c r="J380" s="18">
        <f>IF(L380="DS",DATE(RIGHT(B380,4),VLOOKUP(LEFT(B380,LEN(B380)-5),Feuil1!$E$3:$F$19,2,FALSE)+1,10),DATE(RIGHT(B380,4),VLOOKUP(LEFT(B380,LEN(B380)-5),Feuil1!$E$3:$F$19,2,FALSE)+1,7))</f>
        <v>45301</v>
      </c>
      <c r="K380" s="19">
        <f t="shared" si="2"/>
        <v>1</v>
      </c>
      <c r="L380" s="6" t="str">
        <f t="shared" si="3"/>
        <v>DS</v>
      </c>
    </row>
    <row r="381" ht="14.25" customHeight="1">
      <c r="A381" s="14" t="str">
        <f>Base_report!A380</f>
        <v>NAWA</v>
      </c>
      <c r="B381" s="14" t="str">
        <f>Base_report!B380</f>
        <v>DECEMBRE 2023</v>
      </c>
      <c r="C381" s="15" t="str">
        <f>Base_report!C380</f>
        <v>C2211</v>
      </c>
      <c r="D381" s="14" t="str">
        <f>TRIM(IF(ISNUMBER(FIND("PNSME",Base_report!D380,1)),SUBSTITUTE(Base_report!D380,"PNSME",""),IF(ISNUMBER(FIND("PHG",Base_report!D380,1)),SUBSTITUTE(Base_report!D380,"PHG",""),IF(ISNUMBER(FIND("PCS",Base_report!D380,1)),SUBSTITUTE(Base_report!D380,"PCS",""),IF(ISNUMBER(FIND("CMU",Base_report!D380,1)),SUBSTITUTE(Base_report!D380,"CMU",""),Base_report!D380)))))</f>
        <v>DISTRICT SANITAIRE MEAGUI</v>
      </c>
      <c r="E381" s="14" t="str">
        <f>SUBSTITUTE(Base_report!E380,"-","/")</f>
        <v>PNLS/ANTIRETROVIRAUX ET IO</v>
      </c>
      <c r="F381" s="14" t="s">
        <v>788</v>
      </c>
      <c r="G381" s="16">
        <f>DATE(YEAR(SUBSTITUTE(LEFT(Base_report!F380,10),"-","/")),MONTH(SUBSTITUTE(LEFT(Base_report!F380,10),"-","/")),DAY(SUBSTITUTE(LEFT(Base_report!F380,10),"-","/")))</f>
        <v>45298</v>
      </c>
      <c r="H381" s="16">
        <f>DATE(YEAR(SUBSTITUTE(LEFT(Base_report!G380,10),"-","/")),MONTH(SUBSTITUTE(LEFT(Base_report!G380,10),"-","/")),DAY(SUBSTITUTE(LEFT(Base_report!G380,10),"-","/")))</f>
        <v>45299</v>
      </c>
      <c r="I381" s="17" t="str">
        <f t="shared" si="1"/>
        <v>OUI</v>
      </c>
      <c r="J381" s="18">
        <f>IF(L381="DS",DATE(RIGHT(B381,4),VLOOKUP(LEFT(B381,LEN(B381)-5),Feuil1!$E$3:$F$19,2,FALSE)+1,10),DATE(RIGHT(B381,4),VLOOKUP(LEFT(B381,LEN(B381)-5),Feuil1!$E$3:$F$19,2,FALSE)+1,7))</f>
        <v>45301</v>
      </c>
      <c r="K381" s="19">
        <f t="shared" si="2"/>
        <v>1</v>
      </c>
      <c r="L381" s="6" t="str">
        <f t="shared" si="3"/>
        <v>DS</v>
      </c>
    </row>
    <row r="382" ht="14.25" customHeight="1">
      <c r="A382" s="14" t="str">
        <f>Base_report!A381</f>
        <v>BERE</v>
      </c>
      <c r="B382" s="14" t="str">
        <f>Base_report!B381</f>
        <v>DECEMBRE 2023</v>
      </c>
      <c r="C382" s="15" t="str">
        <f>Base_report!C381</f>
        <v>C5080</v>
      </c>
      <c r="D382" s="14" t="str">
        <f>TRIM(IF(ISNUMBER(FIND("PNSME",Base_report!D381,1)),SUBSTITUTE(Base_report!D381,"PNSME",""),IF(ISNUMBER(FIND("PHG",Base_report!D381,1)),SUBSTITUTE(Base_report!D381,"PHG",""),IF(ISNUMBER(FIND("PCS",Base_report!D381,1)),SUBSTITUTE(Base_report!D381,"PCS",""),IF(ISNUMBER(FIND("CMU",Base_report!D381,1)),SUBSTITUTE(Base_report!D381,"CMU",""),Base_report!D381)))))</f>
        <v>DISTRICT SANITAIRE KOUNAHIRI</v>
      </c>
      <c r="E382" s="14" t="str">
        <f>SUBSTITUTE(Base_report!E381,"-","/")</f>
        <v>PNN/MEDICAMENTS ET INTRANTS</v>
      </c>
      <c r="F382" s="14" t="s">
        <v>788</v>
      </c>
      <c r="G382" s="16">
        <f>DATE(YEAR(SUBSTITUTE(LEFT(Base_report!F381,10),"-","/")),MONTH(SUBSTITUTE(LEFT(Base_report!F381,10),"-","/")),DAY(SUBSTITUTE(LEFT(Base_report!F381,10),"-","/")))</f>
        <v>45299</v>
      </c>
      <c r="H382" s="16">
        <f>DATE(YEAR(SUBSTITUTE(LEFT(Base_report!G381,10),"-","/")),MONTH(SUBSTITUTE(LEFT(Base_report!G381,10),"-","/")),DAY(SUBSTITUTE(LEFT(Base_report!G381,10),"-","/")))</f>
        <v>45300</v>
      </c>
      <c r="I382" s="17" t="str">
        <f t="shared" si="1"/>
        <v>OUI</v>
      </c>
      <c r="J382" s="18">
        <f>IF(L382="DS",DATE(RIGHT(B382,4),VLOOKUP(LEFT(B382,LEN(B382)-5),Feuil1!$E$3:$F$19,2,FALSE)+1,10),DATE(RIGHT(B382,4),VLOOKUP(LEFT(B382,LEN(B382)-5),Feuil1!$E$3:$F$19,2,FALSE)+1,7))</f>
        <v>45301</v>
      </c>
      <c r="K382" s="19">
        <f t="shared" si="2"/>
        <v>1</v>
      </c>
      <c r="L382" s="6" t="str">
        <f t="shared" si="3"/>
        <v>DS</v>
      </c>
    </row>
    <row r="383" ht="14.25" customHeight="1">
      <c r="A383" s="14" t="str">
        <f>Base_report!A382</f>
        <v>BELIER</v>
      </c>
      <c r="B383" s="14" t="str">
        <f>Base_report!B382</f>
        <v>DECEMBRE 2023</v>
      </c>
      <c r="C383" s="15" t="str">
        <f>Base_report!C382</f>
        <v>C2045</v>
      </c>
      <c r="D383" s="14" t="str">
        <f>TRIM(IF(ISNUMBER(FIND("PNSME",Base_report!D382,1)),SUBSTITUTE(Base_report!D382,"PNSME",""),IF(ISNUMBER(FIND("PHG",Base_report!D382,1)),SUBSTITUTE(Base_report!D382,"PHG",""),IF(ISNUMBER(FIND("PCS",Base_report!D382,1)),SUBSTITUTE(Base_report!D382,"PCS",""),IF(ISNUMBER(FIND("CMU",Base_report!D382,1)),SUBSTITUTE(Base_report!D382,"CMU",""),Base_report!D382)))))</f>
        <v>DISTRICT SANITAIRE YAMOUSSOUKRO</v>
      </c>
      <c r="E383" s="14" t="str">
        <f>SUBSTITUTE(Base_report!E382,"-","/")</f>
        <v>PNLS/ANTIRETROVIRAUX ET IO</v>
      </c>
      <c r="F383" s="14" t="s">
        <v>788</v>
      </c>
      <c r="G383" s="16">
        <f>DATE(YEAR(SUBSTITUTE(LEFT(Base_report!F382,10),"-","/")),MONTH(SUBSTITUTE(LEFT(Base_report!F382,10),"-","/")),DAY(SUBSTITUTE(LEFT(Base_report!F382,10),"-","/")))</f>
        <v>45300</v>
      </c>
      <c r="H383" s="16">
        <f>DATE(YEAR(SUBSTITUTE(LEFT(Base_report!G382,10),"-","/")),MONTH(SUBSTITUTE(LEFT(Base_report!G382,10),"-","/")),DAY(SUBSTITUTE(LEFT(Base_report!G382,10),"-","/")))</f>
        <v>45300</v>
      </c>
      <c r="I383" s="17" t="str">
        <f t="shared" si="1"/>
        <v>OUI</v>
      </c>
      <c r="J383" s="18">
        <f>IF(L383="DS",DATE(RIGHT(B383,4),VLOOKUP(LEFT(B383,LEN(B383)-5),Feuil1!$E$3:$F$19,2,FALSE)+1,10),DATE(RIGHT(B383,4),VLOOKUP(LEFT(B383,LEN(B383)-5),Feuil1!$E$3:$F$19,2,FALSE)+1,7))</f>
        <v>45301</v>
      </c>
      <c r="K383" s="19">
        <f t="shared" si="2"/>
        <v>1</v>
      </c>
      <c r="L383" s="6" t="str">
        <f t="shared" si="3"/>
        <v>DS</v>
      </c>
    </row>
    <row r="384" ht="14.25" customHeight="1">
      <c r="A384" s="14" t="str">
        <f>Base_report!A383</f>
        <v>TONKPI</v>
      </c>
      <c r="B384" s="14" t="str">
        <f>Base_report!B383</f>
        <v>DECEMBRE 2023</v>
      </c>
      <c r="C384" s="15" t="str">
        <f>Base_report!C383</f>
        <v>C5018</v>
      </c>
      <c r="D384" s="14" t="str">
        <f>TRIM(IF(ISNUMBER(FIND("PNSME",Base_report!D383,1)),SUBSTITUTE(Base_report!D383,"PNSME",""),IF(ISNUMBER(FIND("PHG",Base_report!D383,1)),SUBSTITUTE(Base_report!D383,"PHG",""),IF(ISNUMBER(FIND("PCS",Base_report!D383,1)),SUBSTITUTE(Base_report!D383,"PCS",""),IF(ISNUMBER(FIND("CMU",Base_report!D383,1)),SUBSTITUTE(Base_report!D383,"CMU",""),Base_report!D383)))))</f>
        <v>HOPITAL GENERAL DANANE</v>
      </c>
      <c r="E384" s="14" t="str">
        <f>SUBSTITUTE(Base_report!E383,"-","/")</f>
        <v>PNN/MEDICAMENTS ET INTRANTS</v>
      </c>
      <c r="F384" s="14" t="s">
        <v>788</v>
      </c>
      <c r="G384" s="16">
        <f>DATE(YEAR(SUBSTITUTE(LEFT(Base_report!F383,10),"-","/")),MONTH(SUBSTITUTE(LEFT(Base_report!F383,10),"-","/")),DAY(SUBSTITUTE(LEFT(Base_report!F383,10),"-","/")))</f>
        <v>45298</v>
      </c>
      <c r="H384" s="16">
        <f>DATE(YEAR(SUBSTITUTE(LEFT(Base_report!G383,10),"-","/")),MONTH(SUBSTITUTE(LEFT(Base_report!G383,10),"-","/")),DAY(SUBSTITUTE(LEFT(Base_report!G383,10),"-","/")))</f>
        <v>45298</v>
      </c>
      <c r="I384" s="17" t="str">
        <f t="shared" si="1"/>
        <v>OUI</v>
      </c>
      <c r="J384" s="18">
        <f>IF(L384="DS",DATE(RIGHT(B384,4),VLOOKUP(LEFT(B384,LEN(B384)-5),Feuil1!$E$3:$F$19,2,FALSE)+1,10),DATE(RIGHT(B384,4),VLOOKUP(LEFT(B384,LEN(B384)-5),Feuil1!$E$3:$F$19,2,FALSE)+1,7))</f>
        <v>45298</v>
      </c>
      <c r="K384" s="19">
        <f t="shared" si="2"/>
        <v>1</v>
      </c>
      <c r="L384" s="6" t="str">
        <f t="shared" si="3"/>
        <v>FS</v>
      </c>
    </row>
    <row r="385" ht="14.25" customHeight="1">
      <c r="A385" s="14" t="str">
        <f>Base_report!A384</f>
        <v>TONKPI</v>
      </c>
      <c r="B385" s="14" t="str">
        <f>Base_report!B384</f>
        <v>DECEMBRE 2023</v>
      </c>
      <c r="C385" s="15" t="str">
        <f>Base_report!C384</f>
        <v>C5018</v>
      </c>
      <c r="D385" s="14" t="str">
        <f>TRIM(IF(ISNUMBER(FIND("PNSME",Base_report!D384,1)),SUBSTITUTE(Base_report!D384,"PNSME",""),IF(ISNUMBER(FIND("PHG",Base_report!D384,1)),SUBSTITUTE(Base_report!D384,"PHG",""),IF(ISNUMBER(FIND("PCS",Base_report!D384,1)),SUBSTITUTE(Base_report!D384,"PCS",""),IF(ISNUMBER(FIND("CMU",Base_report!D384,1)),SUBSTITUTE(Base_report!D384,"CMU",""),Base_report!D384)))))</f>
        <v>HOPITAL GENERAL DANANE</v>
      </c>
      <c r="E385" s="14" t="str">
        <f>SUBSTITUTE(Base_report!E384,"-","/")</f>
        <v>PNLP/MEDICAMENTS ET INTRANTS</v>
      </c>
      <c r="F385" s="14" t="s">
        <v>788</v>
      </c>
      <c r="G385" s="16">
        <f>DATE(YEAR(SUBSTITUTE(LEFT(Base_report!F384,10),"-","/")),MONTH(SUBSTITUTE(LEFT(Base_report!F384,10),"-","/")),DAY(SUBSTITUTE(LEFT(Base_report!F384,10),"-","/")))</f>
        <v>45298</v>
      </c>
      <c r="H385" s="16">
        <f>DATE(YEAR(SUBSTITUTE(LEFT(Base_report!G384,10),"-","/")),MONTH(SUBSTITUTE(LEFT(Base_report!G384,10),"-","/")),DAY(SUBSTITUTE(LEFT(Base_report!G384,10),"-","/")))</f>
        <v>45298</v>
      </c>
      <c r="I385" s="17" t="str">
        <f t="shared" si="1"/>
        <v>OUI</v>
      </c>
      <c r="J385" s="18">
        <f>IF(L385="DS",DATE(RIGHT(B385,4),VLOOKUP(LEFT(B385,LEN(B385)-5),Feuil1!$E$3:$F$19,2,FALSE)+1,10),DATE(RIGHT(B385,4),VLOOKUP(LEFT(B385,LEN(B385)-5),Feuil1!$E$3:$F$19,2,FALSE)+1,7))</f>
        <v>45298</v>
      </c>
      <c r="K385" s="19">
        <f t="shared" si="2"/>
        <v>1</v>
      </c>
      <c r="L385" s="6" t="str">
        <f t="shared" si="3"/>
        <v>FS</v>
      </c>
    </row>
    <row r="386" ht="14.25" customHeight="1">
      <c r="A386" s="14" t="str">
        <f>Base_report!A385</f>
        <v>TONKPI</v>
      </c>
      <c r="B386" s="14" t="str">
        <f>Base_report!B385</f>
        <v>DECEMBRE 2023</v>
      </c>
      <c r="C386" s="15" t="str">
        <f>Base_report!C385</f>
        <v>C5018</v>
      </c>
      <c r="D386" s="14" t="str">
        <f>TRIM(IF(ISNUMBER(FIND("PNSME",Base_report!D385,1)),SUBSTITUTE(Base_report!D385,"PNSME",""),IF(ISNUMBER(FIND("PHG",Base_report!D385,1)),SUBSTITUTE(Base_report!D385,"PHG",""),IF(ISNUMBER(FIND("PCS",Base_report!D385,1)),SUBSTITUTE(Base_report!D385,"PCS",""),IF(ISNUMBER(FIND("CMU",Base_report!D385,1)),SUBSTITUTE(Base_report!D385,"CMU",""),Base_report!D385)))))</f>
        <v>HOPITAL GENERAL DANANE</v>
      </c>
      <c r="E386" s="14" t="str">
        <f>SUBSTITUTE(Base_report!E385,"-","/")</f>
        <v>PNLS/TESTS RAPIDES ET CONSOMMABLES</v>
      </c>
      <c r="F386" s="14" t="s">
        <v>788</v>
      </c>
      <c r="G386" s="16">
        <f>DATE(YEAR(SUBSTITUTE(LEFT(Base_report!F385,10),"-","/")),MONTH(SUBSTITUTE(LEFT(Base_report!F385,10),"-","/")),DAY(SUBSTITUTE(LEFT(Base_report!F385,10),"-","/")))</f>
        <v>45298</v>
      </c>
      <c r="H386" s="16">
        <f>DATE(YEAR(SUBSTITUTE(LEFT(Base_report!G385,10),"-","/")),MONTH(SUBSTITUTE(LEFT(Base_report!G385,10),"-","/")),DAY(SUBSTITUTE(LEFT(Base_report!G385,10),"-","/")))</f>
        <v>45298</v>
      </c>
      <c r="I386" s="17" t="str">
        <f t="shared" si="1"/>
        <v>OUI</v>
      </c>
      <c r="J386" s="18">
        <f>IF(L386="DS",DATE(RIGHT(B386,4),VLOOKUP(LEFT(B386,LEN(B386)-5),Feuil1!$E$3:$F$19,2,FALSE)+1,10),DATE(RIGHT(B386,4),VLOOKUP(LEFT(B386,LEN(B386)-5),Feuil1!$E$3:$F$19,2,FALSE)+1,7))</f>
        <v>45298</v>
      </c>
      <c r="K386" s="19">
        <f t="shared" si="2"/>
        <v>1</v>
      </c>
      <c r="L386" s="6" t="str">
        <f t="shared" si="3"/>
        <v>FS</v>
      </c>
    </row>
    <row r="387" ht="14.25" customHeight="1">
      <c r="A387" s="14" t="str">
        <f>Base_report!A386</f>
        <v>TONKPI</v>
      </c>
      <c r="B387" s="14" t="str">
        <f>Base_report!B386</f>
        <v>DECEMBRE 2023</v>
      </c>
      <c r="C387" s="15" t="str">
        <f>Base_report!C386</f>
        <v>C5018</v>
      </c>
      <c r="D387" s="14" t="str">
        <f>TRIM(IF(ISNUMBER(FIND("PNSME",Base_report!D386,1)),SUBSTITUTE(Base_report!D386,"PNSME",""),IF(ISNUMBER(FIND("PHG",Base_report!D386,1)),SUBSTITUTE(Base_report!D386,"PHG",""),IF(ISNUMBER(FIND("PCS",Base_report!D386,1)),SUBSTITUTE(Base_report!D386,"PCS",""),IF(ISNUMBER(FIND("CMU",Base_report!D386,1)),SUBSTITUTE(Base_report!D386,"CMU",""),Base_report!D386)))))</f>
        <v>HOPITAL GENERAL DANANE</v>
      </c>
      <c r="E387" s="14" t="str">
        <f>SUBSTITUTE(Base_report!E386,"-","/")</f>
        <v>PNLS/ANTIRETROVIRAUX ET IO</v>
      </c>
      <c r="F387" s="14" t="s">
        <v>788</v>
      </c>
      <c r="G387" s="16">
        <f>DATE(YEAR(SUBSTITUTE(LEFT(Base_report!F386,10),"-","/")),MONTH(SUBSTITUTE(LEFT(Base_report!F386,10),"-","/")),DAY(SUBSTITUTE(LEFT(Base_report!F386,10),"-","/")))</f>
        <v>45298</v>
      </c>
      <c r="H387" s="16">
        <f>DATE(YEAR(SUBSTITUTE(LEFT(Base_report!G386,10),"-","/")),MONTH(SUBSTITUTE(LEFT(Base_report!G386,10),"-","/")),DAY(SUBSTITUTE(LEFT(Base_report!G386,10),"-","/")))</f>
        <v>45298</v>
      </c>
      <c r="I387" s="17" t="str">
        <f t="shared" si="1"/>
        <v>OUI</v>
      </c>
      <c r="J387" s="18">
        <f>IF(L387="DS",DATE(RIGHT(B387,4),VLOOKUP(LEFT(B387,LEN(B387)-5),Feuil1!$E$3:$F$19,2,FALSE)+1,10),DATE(RIGHT(B387,4),VLOOKUP(LEFT(B387,LEN(B387)-5),Feuil1!$E$3:$F$19,2,FALSE)+1,7))</f>
        <v>45298</v>
      </c>
      <c r="K387" s="19">
        <f t="shared" si="2"/>
        <v>1</v>
      </c>
      <c r="L387" s="6" t="str">
        <f t="shared" si="3"/>
        <v>FS</v>
      </c>
    </row>
    <row r="388" ht="14.25" customHeight="1">
      <c r="A388" s="14" t="str">
        <f>Base_report!A387</f>
        <v>SUD-COMOE</v>
      </c>
      <c r="B388" s="14" t="str">
        <f>Base_report!B387</f>
        <v>DECEMBRE 2023</v>
      </c>
      <c r="C388" s="15" t="str">
        <f>Base_report!C387</f>
        <v>C1085</v>
      </c>
      <c r="D388" s="14" t="str">
        <f>TRIM(IF(ISNUMBER(FIND("PNSME",Base_report!D387,1)),SUBSTITUTE(Base_report!D387,"PNSME",""),IF(ISNUMBER(FIND("PHG",Base_report!D387,1)),SUBSTITUTE(Base_report!D387,"PHG",""),IF(ISNUMBER(FIND("PCS",Base_report!D387,1)),SUBSTITUTE(Base_report!D387,"PCS",""),IF(ISNUMBER(FIND("CMU",Base_report!D387,1)),SUBSTITUTE(Base_report!D387,"CMU",""),Base_report!D387)))))</f>
        <v>HOPITAL GENERAL AYAME</v>
      </c>
      <c r="E388" s="14" t="str">
        <f>SUBSTITUTE(Base_report!E387,"-","/")</f>
        <v>PNLS/PRODUITS DE LABORATOIRE</v>
      </c>
      <c r="F388" s="14" t="s">
        <v>788</v>
      </c>
      <c r="G388" s="16">
        <f>DATE(YEAR(SUBSTITUTE(LEFT(Base_report!F387,10),"-","/")),MONTH(SUBSTITUTE(LEFT(Base_report!F387,10),"-","/")),DAY(SUBSTITUTE(LEFT(Base_report!F387,10),"-","/")))</f>
        <v>45295</v>
      </c>
      <c r="H388" s="16">
        <f>DATE(YEAR(SUBSTITUTE(LEFT(Base_report!G387,10),"-","/")),MONTH(SUBSTITUTE(LEFT(Base_report!G387,10),"-","/")),DAY(SUBSTITUTE(LEFT(Base_report!G387,10),"-","/")))</f>
        <v>45295</v>
      </c>
      <c r="I388" s="17" t="str">
        <f t="shared" si="1"/>
        <v>OUI</v>
      </c>
      <c r="J388" s="18">
        <f>IF(L388="DS",DATE(RIGHT(B388,4),VLOOKUP(LEFT(B388,LEN(B388)-5),Feuil1!$E$3:$F$19,2,FALSE)+1,10),DATE(RIGHT(B388,4),VLOOKUP(LEFT(B388,LEN(B388)-5),Feuil1!$E$3:$F$19,2,FALSE)+1,7))</f>
        <v>45298</v>
      </c>
      <c r="K388" s="19">
        <f t="shared" si="2"/>
        <v>1</v>
      </c>
      <c r="L388" s="6" t="str">
        <f t="shared" si="3"/>
        <v>FS</v>
      </c>
    </row>
    <row r="389" ht="14.25" customHeight="1">
      <c r="A389" s="14" t="str">
        <f>Base_report!A388</f>
        <v>HAUT-SASSANDRA</v>
      </c>
      <c r="B389" s="14" t="str">
        <f>Base_report!B388</f>
        <v>DECEMBRE 2023</v>
      </c>
      <c r="C389" s="15" t="str">
        <f>Base_report!C388</f>
        <v>C2031</v>
      </c>
      <c r="D389" s="14" t="str">
        <f>TRIM(IF(ISNUMBER(FIND("PNSME",Base_report!D388,1)),SUBSTITUTE(Base_report!D388,"PNSME",""),IF(ISNUMBER(FIND("PHG",Base_report!D388,1)),SUBSTITUTE(Base_report!D388,"PHG",""),IF(ISNUMBER(FIND("PCS",Base_report!D388,1)),SUBSTITUTE(Base_report!D388,"PCS",""),IF(ISNUMBER(FIND("CMU",Base_report!D388,1)),SUBSTITUTE(Base_report!D388,"CMU",""),Base_report!D388)))))</f>
        <v>DISTRICT SANITAIRE ISSIA</v>
      </c>
      <c r="E389" s="14" t="str">
        <f>SUBSTITUTE(Base_report!E388,"-","/")</f>
        <v>PNLS/ANTIRETROVIRAUX ET IO</v>
      </c>
      <c r="F389" s="14" t="s">
        <v>788</v>
      </c>
      <c r="G389" s="16">
        <f>DATE(YEAR(SUBSTITUTE(LEFT(Base_report!F388,10),"-","/")),MONTH(SUBSTITUTE(LEFT(Base_report!F388,10),"-","/")),DAY(SUBSTITUTE(LEFT(Base_report!F388,10),"-","/")))</f>
        <v>45301</v>
      </c>
      <c r="H389" s="16">
        <f>DATE(YEAR(SUBSTITUTE(LEFT(Base_report!G388,10),"-","/")),MONTH(SUBSTITUTE(LEFT(Base_report!G388,10),"-","/")),DAY(SUBSTITUTE(LEFT(Base_report!G388,10),"-","/")))</f>
        <v>45301</v>
      </c>
      <c r="I389" s="17" t="str">
        <f t="shared" si="1"/>
        <v>OUI</v>
      </c>
      <c r="J389" s="18">
        <f>IF(L389="DS",DATE(RIGHT(B389,4),VLOOKUP(LEFT(B389,LEN(B389)-5),Feuil1!$E$3:$F$19,2,FALSE)+1,10),DATE(RIGHT(B389,4),VLOOKUP(LEFT(B389,LEN(B389)-5),Feuil1!$E$3:$F$19,2,FALSE)+1,7))</f>
        <v>45301</v>
      </c>
      <c r="K389" s="19">
        <f t="shared" si="2"/>
        <v>1</v>
      </c>
      <c r="L389" s="6" t="str">
        <f t="shared" si="3"/>
        <v>DS</v>
      </c>
    </row>
    <row r="390" ht="14.25" customHeight="1">
      <c r="A390" s="14" t="str">
        <f>Base_report!A389</f>
        <v>PORO</v>
      </c>
      <c r="B390" s="14" t="str">
        <f>Base_report!B389</f>
        <v>DECEMBRE 2023</v>
      </c>
      <c r="C390" s="15" t="str">
        <f>Base_report!C389</f>
        <v>C2127</v>
      </c>
      <c r="D390" s="14" t="str">
        <f>TRIM(IF(ISNUMBER(FIND("PNSME",Base_report!D389,1)),SUBSTITUTE(Base_report!D389,"PNSME",""),IF(ISNUMBER(FIND("PHG",Base_report!D389,1)),SUBSTITUTE(Base_report!D389,"PHG",""),IF(ISNUMBER(FIND("PCS",Base_report!D389,1)),SUBSTITUTE(Base_report!D389,"PCS",""),IF(ISNUMBER(FIND("CMU",Base_report!D389,1)),SUBSTITUTE(Base_report!D389,"CMU",""),Base_report!D389)))))</f>
        <v>CHR KORHOGO</v>
      </c>
      <c r="E390" s="14" t="str">
        <f>SUBSTITUTE(Base_report!E389,"-","/")</f>
        <v>PNSME/MEDICAMENTS ET INTRANTS</v>
      </c>
      <c r="F390" s="14" t="s">
        <v>788</v>
      </c>
      <c r="G390" s="16">
        <f>DATE(YEAR(SUBSTITUTE(LEFT(Base_report!F389,10),"-","/")),MONTH(SUBSTITUTE(LEFT(Base_report!F389,10),"-","/")),DAY(SUBSTITUTE(LEFT(Base_report!F389,10),"-","/")))</f>
        <v>45294</v>
      </c>
      <c r="H390" s="16">
        <f>DATE(YEAR(SUBSTITUTE(LEFT(Base_report!G389,10),"-","/")),MONTH(SUBSTITUTE(LEFT(Base_report!G389,10),"-","/")),DAY(SUBSTITUTE(LEFT(Base_report!G389,10),"-","/")))</f>
        <v>45294</v>
      </c>
      <c r="I390" s="17" t="str">
        <f t="shared" si="1"/>
        <v>OUI</v>
      </c>
      <c r="J390" s="18">
        <f>IF(L390="DS",DATE(RIGHT(B390,4),VLOOKUP(LEFT(B390,LEN(B390)-5),Feuil1!$E$3:$F$19,2,FALSE)+1,10),DATE(RIGHT(B390,4),VLOOKUP(LEFT(B390,LEN(B390)-5),Feuil1!$E$3:$F$19,2,FALSE)+1,7))</f>
        <v>45298</v>
      </c>
      <c r="K390" s="19">
        <f t="shared" si="2"/>
        <v>1</v>
      </c>
      <c r="L390" s="6" t="str">
        <f t="shared" si="3"/>
        <v>FS</v>
      </c>
    </row>
    <row r="391" ht="14.25" customHeight="1">
      <c r="A391" s="14" t="str">
        <f>Base_report!A390</f>
        <v>MORONOU</v>
      </c>
      <c r="B391" s="14" t="str">
        <f>Base_report!B390</f>
        <v>DECEMBRE 2023</v>
      </c>
      <c r="C391" s="15" t="str">
        <f>Base_report!C390</f>
        <v>C4016</v>
      </c>
      <c r="D391" s="14" t="str">
        <f>TRIM(IF(ISNUMBER(FIND("PNSME",Base_report!D390,1)),SUBSTITUTE(Base_report!D390,"PNSME",""),IF(ISNUMBER(FIND("PHG",Base_report!D390,1)),SUBSTITUTE(Base_report!D390,"PHG",""),IF(ISNUMBER(FIND("PCS",Base_report!D390,1)),SUBSTITUTE(Base_report!D390,"PCS",""),IF(ISNUMBER(FIND("CMU",Base_report!D390,1)),SUBSTITUTE(Base_report!D390,"CMU",""),Base_report!D390)))))</f>
        <v>HOPITAL GENERAL ARRAH</v>
      </c>
      <c r="E391" s="14" t="str">
        <f>SUBSTITUTE(Base_report!E390,"-","/")</f>
        <v>PNN/MEDICAMENTS ET INTRANTS</v>
      </c>
      <c r="F391" s="14" t="s">
        <v>788</v>
      </c>
      <c r="G391" s="16">
        <f>DATE(YEAR(SUBSTITUTE(LEFT(Base_report!F390,10),"-","/")),MONTH(SUBSTITUTE(LEFT(Base_report!F390,10),"-","/")),DAY(SUBSTITUTE(LEFT(Base_report!F390,10),"-","/")))</f>
        <v>45295</v>
      </c>
      <c r="H391" s="16">
        <f>DATE(YEAR(SUBSTITUTE(LEFT(Base_report!G390,10),"-","/")),MONTH(SUBSTITUTE(LEFT(Base_report!G390,10),"-","/")),DAY(SUBSTITUTE(LEFT(Base_report!G390,10),"-","/")))</f>
        <v>45296</v>
      </c>
      <c r="I391" s="17" t="str">
        <f t="shared" si="1"/>
        <v>OUI</v>
      </c>
      <c r="J391" s="18">
        <f>IF(L391="DS",DATE(RIGHT(B391,4),VLOOKUP(LEFT(B391,LEN(B391)-5),Feuil1!$E$3:$F$19,2,FALSE)+1,10),DATE(RIGHT(B391,4),VLOOKUP(LEFT(B391,LEN(B391)-5),Feuil1!$E$3:$F$19,2,FALSE)+1,7))</f>
        <v>45298</v>
      </c>
      <c r="K391" s="19">
        <f t="shared" si="2"/>
        <v>1</v>
      </c>
      <c r="L391" s="6" t="str">
        <f t="shared" si="3"/>
        <v>FS</v>
      </c>
    </row>
    <row r="392" ht="14.25" customHeight="1">
      <c r="A392" s="14" t="str">
        <f>Base_report!A391</f>
        <v>PORO</v>
      </c>
      <c r="B392" s="14" t="str">
        <f>Base_report!B391</f>
        <v>DECEMBRE 2023</v>
      </c>
      <c r="C392" s="15" t="str">
        <f>Base_report!C391</f>
        <v>C2127</v>
      </c>
      <c r="D392" s="14" t="str">
        <f>TRIM(IF(ISNUMBER(FIND("PNSME",Base_report!D391,1)),SUBSTITUTE(Base_report!D391,"PNSME",""),IF(ISNUMBER(FIND("PHG",Base_report!D391,1)),SUBSTITUTE(Base_report!D391,"PHG",""),IF(ISNUMBER(FIND("PCS",Base_report!D391,1)),SUBSTITUTE(Base_report!D391,"PCS",""),IF(ISNUMBER(FIND("CMU",Base_report!D391,1)),SUBSTITUTE(Base_report!D391,"CMU",""),Base_report!D391)))))</f>
        <v>CHR KORHOGO</v>
      </c>
      <c r="E392" s="14" t="str">
        <f>SUBSTITUTE(Base_report!E391,"-","/")</f>
        <v>PNLP/MEDICAMENTS ET INTRANTS</v>
      </c>
      <c r="F392" s="14" t="s">
        <v>788</v>
      </c>
      <c r="G392" s="16">
        <f>DATE(YEAR(SUBSTITUTE(LEFT(Base_report!F391,10),"-","/")),MONTH(SUBSTITUTE(LEFT(Base_report!F391,10),"-","/")),DAY(SUBSTITUTE(LEFT(Base_report!F391,10),"-","/")))</f>
        <v>45294</v>
      </c>
      <c r="H392" s="16">
        <f>DATE(YEAR(SUBSTITUTE(LEFT(Base_report!G391,10),"-","/")),MONTH(SUBSTITUTE(LEFT(Base_report!G391,10),"-","/")),DAY(SUBSTITUTE(LEFT(Base_report!G391,10),"-","/")))</f>
        <v>45294</v>
      </c>
      <c r="I392" s="17" t="str">
        <f t="shared" si="1"/>
        <v>OUI</v>
      </c>
      <c r="J392" s="18">
        <f>IF(L392="DS",DATE(RIGHT(B392,4),VLOOKUP(LEFT(B392,LEN(B392)-5),Feuil1!$E$3:$F$19,2,FALSE)+1,10),DATE(RIGHT(B392,4),VLOOKUP(LEFT(B392,LEN(B392)-5),Feuil1!$E$3:$F$19,2,FALSE)+1,7))</f>
        <v>45298</v>
      </c>
      <c r="K392" s="19">
        <f t="shared" si="2"/>
        <v>1</v>
      </c>
      <c r="L392" s="6" t="str">
        <f t="shared" si="3"/>
        <v>FS</v>
      </c>
    </row>
    <row r="393" ht="14.25" customHeight="1">
      <c r="A393" s="14" t="str">
        <f>Base_report!A392</f>
        <v>MORONOU</v>
      </c>
      <c r="B393" s="14" t="str">
        <f>Base_report!B392</f>
        <v>DECEMBRE 2023</v>
      </c>
      <c r="C393" s="15" t="str">
        <f>Base_report!C392</f>
        <v>C4016</v>
      </c>
      <c r="D393" s="14" t="str">
        <f>TRIM(IF(ISNUMBER(FIND("PNSME",Base_report!D392,1)),SUBSTITUTE(Base_report!D392,"PNSME",""),IF(ISNUMBER(FIND("PHG",Base_report!D392,1)),SUBSTITUTE(Base_report!D392,"PHG",""),IF(ISNUMBER(FIND("PCS",Base_report!D392,1)),SUBSTITUTE(Base_report!D392,"PCS",""),IF(ISNUMBER(FIND("CMU",Base_report!D392,1)),SUBSTITUTE(Base_report!D392,"CMU",""),Base_report!D392)))))</f>
        <v>HOPITAL GENERAL ARRAH</v>
      </c>
      <c r="E393" s="14" t="str">
        <f>SUBSTITUTE(Base_report!E392,"-","/")</f>
        <v>PNLP/MEDICAMENTS ET INTRANTS</v>
      </c>
      <c r="F393" s="14" t="s">
        <v>788</v>
      </c>
      <c r="G393" s="16">
        <f>DATE(YEAR(SUBSTITUTE(LEFT(Base_report!F392,10),"-","/")),MONTH(SUBSTITUTE(LEFT(Base_report!F392,10),"-","/")),DAY(SUBSTITUTE(LEFT(Base_report!F392,10),"-","/")))</f>
        <v>45296</v>
      </c>
      <c r="H393" s="16">
        <f>DATE(YEAR(SUBSTITUTE(LEFT(Base_report!G392,10),"-","/")),MONTH(SUBSTITUTE(LEFT(Base_report!G392,10),"-","/")),DAY(SUBSTITUTE(LEFT(Base_report!G392,10),"-","/")))</f>
        <v>45296</v>
      </c>
      <c r="I393" s="17" t="str">
        <f t="shared" si="1"/>
        <v>OUI</v>
      </c>
      <c r="J393" s="18">
        <f>IF(L393="DS",DATE(RIGHT(B393,4),VLOOKUP(LEFT(B393,LEN(B393)-5),Feuil1!$E$3:$F$19,2,FALSE)+1,10),DATE(RIGHT(B393,4),VLOOKUP(LEFT(B393,LEN(B393)-5),Feuil1!$E$3:$F$19,2,FALSE)+1,7))</f>
        <v>45298</v>
      </c>
      <c r="K393" s="19">
        <f t="shared" si="2"/>
        <v>1</v>
      </c>
      <c r="L393" s="6" t="str">
        <f t="shared" si="3"/>
        <v>FS</v>
      </c>
    </row>
    <row r="394" ht="14.25" customHeight="1">
      <c r="A394" s="14" t="str">
        <f>Base_report!A393</f>
        <v>PORO</v>
      </c>
      <c r="B394" s="14" t="str">
        <f>Base_report!B393</f>
        <v>DECEMBRE 2023</v>
      </c>
      <c r="C394" s="15" t="str">
        <f>Base_report!C393</f>
        <v>C2127</v>
      </c>
      <c r="D394" s="14" t="str">
        <f>TRIM(IF(ISNUMBER(FIND("PNSME",Base_report!D393,1)),SUBSTITUTE(Base_report!D393,"PNSME",""),IF(ISNUMBER(FIND("PHG",Base_report!D393,1)),SUBSTITUTE(Base_report!D393,"PHG",""),IF(ISNUMBER(FIND("PCS",Base_report!D393,1)),SUBSTITUTE(Base_report!D393,"PCS",""),IF(ISNUMBER(FIND("CMU",Base_report!D393,1)),SUBSTITUTE(Base_report!D393,"CMU",""),Base_report!D393)))))</f>
        <v>CHR KORHOGO</v>
      </c>
      <c r="E394" s="14" t="str">
        <f>SUBSTITUTE(Base_report!E393,"-","/")</f>
        <v>PNN/MEDICAMENTS ET INTRANTS</v>
      </c>
      <c r="F394" s="14" t="s">
        <v>788</v>
      </c>
      <c r="G394" s="16">
        <f>DATE(YEAR(SUBSTITUTE(LEFT(Base_report!F393,10),"-","/")),MONTH(SUBSTITUTE(LEFT(Base_report!F393,10),"-","/")),DAY(SUBSTITUTE(LEFT(Base_report!F393,10),"-","/")))</f>
        <v>45294</v>
      </c>
      <c r="H394" s="16">
        <f>DATE(YEAR(SUBSTITUTE(LEFT(Base_report!G393,10),"-","/")),MONTH(SUBSTITUTE(LEFT(Base_report!G393,10),"-","/")),DAY(SUBSTITUTE(LEFT(Base_report!G393,10),"-","/")))</f>
        <v>45294</v>
      </c>
      <c r="I394" s="17" t="str">
        <f t="shared" si="1"/>
        <v>OUI</v>
      </c>
      <c r="J394" s="18">
        <f>IF(L394="DS",DATE(RIGHT(B394,4),VLOOKUP(LEFT(B394,LEN(B394)-5),Feuil1!$E$3:$F$19,2,FALSE)+1,10),DATE(RIGHT(B394,4),VLOOKUP(LEFT(B394,LEN(B394)-5),Feuil1!$E$3:$F$19,2,FALSE)+1,7))</f>
        <v>45298</v>
      </c>
      <c r="K394" s="19">
        <f t="shared" si="2"/>
        <v>1</v>
      </c>
      <c r="L394" s="6" t="str">
        <f t="shared" si="3"/>
        <v>FS</v>
      </c>
    </row>
    <row r="395" ht="14.25" customHeight="1">
      <c r="A395" s="14" t="str">
        <f>Base_report!A394</f>
        <v>ABIDJAN 1</v>
      </c>
      <c r="B395" s="14" t="str">
        <f>Base_report!B394</f>
        <v>DECEMBRE 2023</v>
      </c>
      <c r="C395" s="15" t="str">
        <f>Base_report!C394</f>
        <v>C1023</v>
      </c>
      <c r="D395" s="14" t="str">
        <f>TRIM(IF(ISNUMBER(FIND("PNSME",Base_report!D394,1)),SUBSTITUTE(Base_report!D394,"PNSME",""),IF(ISNUMBER(FIND("PHG",Base_report!D394,1)),SUBSTITUTE(Base_report!D394,"PHG",""),IF(ISNUMBER(FIND("PCS",Base_report!D394,1)),SUBSTITUTE(Base_report!D394,"PCS",""),IF(ISNUMBER(FIND("CMU",Base_report!D394,1)),SUBSTITUTE(Base_report!D394,"CMU",""),Base_report!D394)))))</f>
        <v>CENTRE MEDICO-SOCIAL EL RAPHA</v>
      </c>
      <c r="E395" s="14" t="str">
        <f>SUBSTITUTE(Base_report!E394,"-","/")</f>
        <v>PNLS/ANTIRETROVIRAUX ET IO</v>
      </c>
      <c r="F395" s="14" t="s">
        <v>788</v>
      </c>
      <c r="G395" s="16">
        <f>DATE(YEAR(SUBSTITUTE(LEFT(Base_report!F394,10),"-","/")),MONTH(SUBSTITUTE(LEFT(Base_report!F394,10),"-","/")),DAY(SUBSTITUTE(LEFT(Base_report!F394,10),"-","/")))</f>
        <v>45294</v>
      </c>
      <c r="H395" s="16">
        <f>DATE(YEAR(SUBSTITUTE(LEFT(Base_report!G394,10),"-","/")),MONTH(SUBSTITUTE(LEFT(Base_report!G394,10),"-","/")),DAY(SUBSTITUTE(LEFT(Base_report!G394,10),"-","/")))</f>
        <v>45294</v>
      </c>
      <c r="I395" s="17" t="str">
        <f t="shared" si="1"/>
        <v>OUI</v>
      </c>
      <c r="J395" s="18">
        <f>IF(L395="DS",DATE(RIGHT(B395,4),VLOOKUP(LEFT(B395,LEN(B395)-5),Feuil1!$E$3:$F$19,2,FALSE)+1,10),DATE(RIGHT(B395,4),VLOOKUP(LEFT(B395,LEN(B395)-5),Feuil1!$E$3:$F$19,2,FALSE)+1,7))</f>
        <v>45298</v>
      </c>
      <c r="K395" s="19">
        <f t="shared" si="2"/>
        <v>1</v>
      </c>
      <c r="L395" s="6" t="str">
        <f t="shared" si="3"/>
        <v>FS</v>
      </c>
    </row>
    <row r="396" ht="14.25" customHeight="1">
      <c r="A396" s="14" t="str">
        <f>Base_report!A395</f>
        <v>NAWA</v>
      </c>
      <c r="B396" s="14" t="str">
        <f>Base_report!B395</f>
        <v>DECEMBRE 2023</v>
      </c>
      <c r="C396" s="15" t="str">
        <f>Base_report!C395</f>
        <v>C2039</v>
      </c>
      <c r="D396" s="14" t="str">
        <f>TRIM(IF(ISNUMBER(FIND("PNSME",Base_report!D395,1)),SUBSTITUTE(Base_report!D395,"PNSME",""),IF(ISNUMBER(FIND("PHG",Base_report!D395,1)),SUBSTITUTE(Base_report!D395,"PHG",""),IF(ISNUMBER(FIND("PCS",Base_report!D395,1)),SUBSTITUTE(Base_report!D395,"PCS",""),IF(ISNUMBER(FIND("CMU",Base_report!D395,1)),SUBSTITUTE(Base_report!D395,"CMU",""),Base_report!D395)))))</f>
        <v>DISTRICT SANITAIRE SOUBRE</v>
      </c>
      <c r="E396" s="14" t="str">
        <f>SUBSTITUTE(Base_report!E395,"-","/")</f>
        <v>PNN/MEDICAMENTS ET INTRANTS</v>
      </c>
      <c r="F396" s="14" t="s">
        <v>788</v>
      </c>
      <c r="G396" s="16">
        <f>DATE(YEAR(SUBSTITUTE(LEFT(Base_report!F395,10),"-","/")),MONTH(SUBSTITUTE(LEFT(Base_report!F395,10),"-","/")),DAY(SUBSTITUTE(LEFT(Base_report!F395,10),"-","/")))</f>
        <v>45301</v>
      </c>
      <c r="H396" s="16">
        <f>DATE(YEAR(SUBSTITUTE(LEFT(Base_report!G395,10),"-","/")),MONTH(SUBSTITUTE(LEFT(Base_report!G395,10),"-","/")),DAY(SUBSTITUTE(LEFT(Base_report!G395,10),"-","/")))</f>
        <v>45301</v>
      </c>
      <c r="I396" s="17" t="str">
        <f t="shared" si="1"/>
        <v>OUI</v>
      </c>
      <c r="J396" s="18">
        <f>IF(L396="DS",DATE(RIGHT(B396,4),VLOOKUP(LEFT(B396,LEN(B396)-5),Feuil1!$E$3:$F$19,2,FALSE)+1,10),DATE(RIGHT(B396,4),VLOOKUP(LEFT(B396,LEN(B396)-5),Feuil1!$E$3:$F$19,2,FALSE)+1,7))</f>
        <v>45301</v>
      </c>
      <c r="K396" s="19">
        <f t="shared" si="2"/>
        <v>1</v>
      </c>
      <c r="L396" s="6" t="str">
        <f t="shared" si="3"/>
        <v>DS</v>
      </c>
    </row>
    <row r="397" ht="14.25" customHeight="1">
      <c r="A397" s="14" t="str">
        <f>Base_report!A396</f>
        <v>BERE</v>
      </c>
      <c r="B397" s="14" t="str">
        <f>Base_report!B396</f>
        <v>DECEMBRE 2023</v>
      </c>
      <c r="C397" s="15" t="str">
        <f>Base_report!C396</f>
        <v>C5084</v>
      </c>
      <c r="D397" s="14" t="str">
        <f>TRIM(IF(ISNUMBER(FIND("PNSME",Base_report!D396,1)),SUBSTITUTE(Base_report!D396,"PNSME",""),IF(ISNUMBER(FIND("PHG",Base_report!D396,1)),SUBSTITUTE(Base_report!D396,"PHG",""),IF(ISNUMBER(FIND("PCS",Base_report!D396,1)),SUBSTITUTE(Base_report!D396,"PCS",""),IF(ISNUMBER(FIND("CMU",Base_report!D396,1)),SUBSTITUTE(Base_report!D396,"CMU",""),Base_report!D396)))))</f>
        <v>HOPITAL GENERAL KOUNAHIRI</v>
      </c>
      <c r="E397" s="14" t="str">
        <f>SUBSTITUTE(Base_report!E396,"-","/")</f>
        <v>PNSME/MEDICAMENTS ET INTRANTS</v>
      </c>
      <c r="F397" s="14" t="s">
        <v>788</v>
      </c>
      <c r="G397" s="16">
        <f>DATE(YEAR(SUBSTITUTE(LEFT(Base_report!F396,10),"-","/")),MONTH(SUBSTITUTE(LEFT(Base_report!F396,10),"-","/")),DAY(SUBSTITUTE(LEFT(Base_report!F396,10),"-","/")))</f>
        <v>45295</v>
      </c>
      <c r="H397" s="16">
        <f>DATE(YEAR(SUBSTITUTE(LEFT(Base_report!G396,10),"-","/")),MONTH(SUBSTITUTE(LEFT(Base_report!G396,10),"-","/")),DAY(SUBSTITUTE(LEFT(Base_report!G396,10),"-","/")))</f>
        <v>45296</v>
      </c>
      <c r="I397" s="17" t="str">
        <f t="shared" si="1"/>
        <v>OUI</v>
      </c>
      <c r="J397" s="18">
        <f>IF(L397="DS",DATE(RIGHT(B397,4),VLOOKUP(LEFT(B397,LEN(B397)-5),Feuil1!$E$3:$F$19,2,FALSE)+1,10),DATE(RIGHT(B397,4),VLOOKUP(LEFT(B397,LEN(B397)-5),Feuil1!$E$3:$F$19,2,FALSE)+1,7))</f>
        <v>45298</v>
      </c>
      <c r="K397" s="19">
        <f t="shared" si="2"/>
        <v>1</v>
      </c>
      <c r="L397" s="6" t="str">
        <f t="shared" si="3"/>
        <v>FS</v>
      </c>
    </row>
    <row r="398" ht="14.25" customHeight="1">
      <c r="A398" s="14" t="str">
        <f>Base_report!A397</f>
        <v>GBOKLE</v>
      </c>
      <c r="B398" s="14" t="str">
        <f>Base_report!B397</f>
        <v>DECEMBRE 2023</v>
      </c>
      <c r="C398" s="15" t="str">
        <f>Base_report!C397</f>
        <v>C1095</v>
      </c>
      <c r="D398" s="14" t="str">
        <f>TRIM(IF(ISNUMBER(FIND("PNSME",Base_report!D397,1)),SUBSTITUTE(Base_report!D397,"PNSME",""),IF(ISNUMBER(FIND("PHG",Base_report!D397,1)),SUBSTITUTE(Base_report!D397,"PHG",""),IF(ISNUMBER(FIND("PCS",Base_report!D397,1)),SUBSTITUTE(Base_report!D397,"PCS",""),IF(ISNUMBER(FIND("CMU",Base_report!D397,1)),SUBSTITUTE(Base_report!D397,"CMU",""),Base_report!D397)))))</f>
        <v>HOPITAL GENERAL SASSANDRA</v>
      </c>
      <c r="E398" s="14" t="str">
        <f>SUBSTITUTE(Base_report!E397,"-","/")</f>
        <v>PNSME/MEDICAMENTS ET INTRANTS</v>
      </c>
      <c r="F398" s="14" t="s">
        <v>788</v>
      </c>
      <c r="G398" s="16">
        <f>DATE(YEAR(SUBSTITUTE(LEFT(Base_report!F397,10),"-","/")),MONTH(SUBSTITUTE(LEFT(Base_report!F397,10),"-","/")),DAY(SUBSTITUTE(LEFT(Base_report!F397,10),"-","/")))</f>
        <v>45296</v>
      </c>
      <c r="H398" s="16">
        <f>DATE(YEAR(SUBSTITUTE(LEFT(Base_report!G397,10),"-","/")),MONTH(SUBSTITUTE(LEFT(Base_report!G397,10),"-","/")),DAY(SUBSTITUTE(LEFT(Base_report!G397,10),"-","/")))</f>
        <v>45297</v>
      </c>
      <c r="I398" s="17" t="str">
        <f t="shared" si="1"/>
        <v>OUI</v>
      </c>
      <c r="J398" s="18">
        <f>IF(L398="DS",DATE(RIGHT(B398,4),VLOOKUP(LEFT(B398,LEN(B398)-5),Feuil1!$E$3:$F$19,2,FALSE)+1,10),DATE(RIGHT(B398,4),VLOOKUP(LEFT(B398,LEN(B398)-5),Feuil1!$E$3:$F$19,2,FALSE)+1,7))</f>
        <v>45298</v>
      </c>
      <c r="K398" s="19">
        <f t="shared" si="2"/>
        <v>1</v>
      </c>
      <c r="L398" s="6" t="str">
        <f t="shared" si="3"/>
        <v>FS</v>
      </c>
    </row>
    <row r="399" ht="14.25" customHeight="1">
      <c r="A399" s="14" t="str">
        <f>Base_report!A398</f>
        <v>GOH</v>
      </c>
      <c r="B399" s="14" t="str">
        <f>Base_report!B398</f>
        <v>DECEMBRE 2023</v>
      </c>
      <c r="C399" s="15" t="str">
        <f>Base_report!C398</f>
        <v>C2060</v>
      </c>
      <c r="D399" s="14" t="str">
        <f>TRIM(IF(ISNUMBER(FIND("PNSME",Base_report!D398,1)),SUBSTITUTE(Base_report!D398,"PNSME",""),IF(ISNUMBER(FIND("PHG",Base_report!D398,1)),SUBSTITUTE(Base_report!D398,"PHG",""),IF(ISNUMBER(FIND("PCS",Base_report!D398,1)),SUBSTITUTE(Base_report!D398,"PCS",""),IF(ISNUMBER(FIND("CMU",Base_report!D398,1)),SUBSTITUTE(Base_report!D398,"CMU",""),Base_report!D398)))))</f>
        <v>HOPITAL GENERAL OUME</v>
      </c>
      <c r="E399" s="14" t="str">
        <f>SUBSTITUTE(Base_report!E398,"-","/")</f>
        <v>PNSME/MEDICAMENTS ET INTRANTS</v>
      </c>
      <c r="F399" s="14" t="s">
        <v>788</v>
      </c>
      <c r="G399" s="16">
        <f>DATE(YEAR(SUBSTITUTE(LEFT(Base_report!F398,10),"-","/")),MONTH(SUBSTITUTE(LEFT(Base_report!F398,10),"-","/")),DAY(SUBSTITUTE(LEFT(Base_report!F398,10),"-","/")))</f>
        <v>45296</v>
      </c>
      <c r="H399" s="16">
        <f>DATE(YEAR(SUBSTITUTE(LEFT(Base_report!G398,10),"-","/")),MONTH(SUBSTITUTE(LEFT(Base_report!G398,10),"-","/")),DAY(SUBSTITUTE(LEFT(Base_report!G398,10),"-","/")))</f>
        <v>45296</v>
      </c>
      <c r="I399" s="17" t="str">
        <f t="shared" si="1"/>
        <v>OUI</v>
      </c>
      <c r="J399" s="18">
        <f>IF(L399="DS",DATE(RIGHT(B399,4),VLOOKUP(LEFT(B399,LEN(B399)-5),Feuil1!$E$3:$F$19,2,FALSE)+1,10),DATE(RIGHT(B399,4),VLOOKUP(LEFT(B399,LEN(B399)-5),Feuil1!$E$3:$F$19,2,FALSE)+1,7))</f>
        <v>45298</v>
      </c>
      <c r="K399" s="19">
        <f t="shared" si="2"/>
        <v>1</v>
      </c>
      <c r="L399" s="6" t="str">
        <f t="shared" si="3"/>
        <v>FS</v>
      </c>
    </row>
    <row r="400" ht="14.25" customHeight="1">
      <c r="A400" s="14" t="str">
        <f>Base_report!A399</f>
        <v>ABIDJAN 2</v>
      </c>
      <c r="B400" s="14" t="str">
        <f>Base_report!B399</f>
        <v>DECEMBRE 2023</v>
      </c>
      <c r="C400" s="15" t="str">
        <f>Base_report!C399</f>
        <v>C1407</v>
      </c>
      <c r="D400" s="14" t="str">
        <f>TRIM(IF(ISNUMBER(FIND("PNSME",Base_report!D399,1)),SUBSTITUTE(Base_report!D399,"PNSME",""),IF(ISNUMBER(FIND("PHG",Base_report!D399,1)),SUBSTITUTE(Base_report!D399,"PHG",""),IF(ISNUMBER(FIND("PCS",Base_report!D399,1)),SUBSTITUTE(Base_report!D399,"PCS",""),IF(ISNUMBER(FIND("CMU",Base_report!D399,1)),SUBSTITUTE(Base_report!D399,"CMU",""),Base_report!D399)))))</f>
        <v>CIRBA</v>
      </c>
      <c r="E400" s="14" t="str">
        <f>SUBSTITUTE(Base_report!E399,"-","/")</f>
        <v>PNLS/PRODUITS DE LABORATOIRE</v>
      </c>
      <c r="F400" s="14" t="s">
        <v>788</v>
      </c>
      <c r="G400" s="16">
        <f>DATE(YEAR(SUBSTITUTE(LEFT(Base_report!F399,10),"-","/")),MONTH(SUBSTITUTE(LEFT(Base_report!F399,10),"-","/")),DAY(SUBSTITUTE(LEFT(Base_report!F399,10),"-","/")))</f>
        <v>45282</v>
      </c>
      <c r="H400" s="16">
        <f>DATE(YEAR(SUBSTITUTE(LEFT(Base_report!G399,10),"-","/")),MONTH(SUBSTITUTE(LEFT(Base_report!G399,10),"-","/")),DAY(SUBSTITUTE(LEFT(Base_report!G399,10),"-","/")))</f>
        <v>45295</v>
      </c>
      <c r="I400" s="17" t="str">
        <f t="shared" si="1"/>
        <v>OUI</v>
      </c>
      <c r="J400" s="18">
        <f>IF(L400="DS",DATE(RIGHT(B400,4),VLOOKUP(LEFT(B400,LEN(B400)-5),Feuil1!$E$3:$F$19,2,FALSE)+1,10),DATE(RIGHT(B400,4),VLOOKUP(LEFT(B400,LEN(B400)-5),Feuil1!$E$3:$F$19,2,FALSE)+1,7))</f>
        <v>45298</v>
      </c>
      <c r="K400" s="19">
        <f t="shared" si="2"/>
        <v>1</v>
      </c>
      <c r="L400" s="6" t="str">
        <f t="shared" si="3"/>
        <v>FS</v>
      </c>
    </row>
    <row r="401" ht="14.25" customHeight="1">
      <c r="A401" s="14" t="str">
        <f>Base_report!A400</f>
        <v>MARAHOUE</v>
      </c>
      <c r="B401" s="14" t="str">
        <f>Base_report!B400</f>
        <v>DECEMBRE 2023</v>
      </c>
      <c r="C401" s="15" t="str">
        <f>Base_report!C400</f>
        <v>C2037</v>
      </c>
      <c r="D401" s="14" t="str">
        <f>TRIM(IF(ISNUMBER(FIND("PNSME",Base_report!D400,1)),SUBSTITUTE(Base_report!D400,"PNSME",""),IF(ISNUMBER(FIND("PHG",Base_report!D400,1)),SUBSTITUTE(Base_report!D400,"PHG",""),IF(ISNUMBER(FIND("PCS",Base_report!D400,1)),SUBSTITUTE(Base_report!D400,"PCS",""),IF(ISNUMBER(FIND("CMU",Base_report!D400,1)),SUBSTITUTE(Base_report!D400,"CMU",""),Base_report!D400)))))</f>
        <v>DISTRICT SANITAIRE SINFRA</v>
      </c>
      <c r="E401" s="14" t="str">
        <f>SUBSTITUTE(Base_report!E400,"-","/")</f>
        <v>PNN/MEDICAMENTS ET INTRANTS</v>
      </c>
      <c r="F401" s="14" t="s">
        <v>788</v>
      </c>
      <c r="G401" s="16">
        <f>DATE(YEAR(SUBSTITUTE(LEFT(Base_report!F400,10),"-","/")),MONTH(SUBSTITUTE(LEFT(Base_report!F400,10),"-","/")),DAY(SUBSTITUTE(LEFT(Base_report!F400,10),"-","/")))</f>
        <v>45301</v>
      </c>
      <c r="H401" s="16">
        <f>DATE(YEAR(SUBSTITUTE(LEFT(Base_report!G400,10),"-","/")),MONTH(SUBSTITUTE(LEFT(Base_report!G400,10),"-","/")),DAY(SUBSTITUTE(LEFT(Base_report!G400,10),"-","/")))</f>
        <v>45301</v>
      </c>
      <c r="I401" s="17" t="str">
        <f t="shared" si="1"/>
        <v>OUI</v>
      </c>
      <c r="J401" s="18">
        <f>IF(L401="DS",DATE(RIGHT(B401,4),VLOOKUP(LEFT(B401,LEN(B401)-5),Feuil1!$E$3:$F$19,2,FALSE)+1,10),DATE(RIGHT(B401,4),VLOOKUP(LEFT(B401,LEN(B401)-5),Feuil1!$E$3:$F$19,2,FALSE)+1,7))</f>
        <v>45301</v>
      </c>
      <c r="K401" s="19">
        <f t="shared" si="2"/>
        <v>1</v>
      </c>
      <c r="L401" s="6" t="str">
        <f t="shared" si="3"/>
        <v>DS</v>
      </c>
    </row>
    <row r="402" ht="14.25" customHeight="1">
      <c r="A402" s="14" t="str">
        <f>Base_report!A401</f>
        <v>MARAHOUE</v>
      </c>
      <c r="B402" s="14" t="str">
        <f>Base_report!B401</f>
        <v>DECEMBRE 2023</v>
      </c>
      <c r="C402" s="15" t="str">
        <f>Base_report!C401</f>
        <v>C2020</v>
      </c>
      <c r="D402" s="14" t="str">
        <f>TRIM(IF(ISNUMBER(FIND("PNSME",Base_report!D401,1)),SUBSTITUTE(Base_report!D401,"PNSME",""),IF(ISNUMBER(FIND("PHG",Base_report!D401,1)),SUBSTITUTE(Base_report!D401,"PHG",""),IF(ISNUMBER(FIND("PCS",Base_report!D401,1)),SUBSTITUTE(Base_report!D401,"PCS",""),IF(ISNUMBER(FIND("CMU",Base_report!D401,1)),SUBSTITUTE(Base_report!D401,"CMU",""),Base_report!D401)))))</f>
        <v>DISTRICT SANITAIRE BOUAFLE</v>
      </c>
      <c r="E402" s="14" t="str">
        <f>SUBSTITUTE(Base_report!E401,"-","/")</f>
        <v>PNLS/ANTIRETROVIRAUX ET IO</v>
      </c>
      <c r="F402" s="14" t="s">
        <v>788</v>
      </c>
      <c r="G402" s="16">
        <f>DATE(YEAR(SUBSTITUTE(LEFT(Base_report!F401,10),"-","/")),MONTH(SUBSTITUTE(LEFT(Base_report!F401,10),"-","/")),DAY(SUBSTITUTE(LEFT(Base_report!F401,10),"-","/")))</f>
        <v>45301</v>
      </c>
      <c r="H402" s="16">
        <f>DATE(YEAR(SUBSTITUTE(LEFT(Base_report!G401,10),"-","/")),MONTH(SUBSTITUTE(LEFT(Base_report!G401,10),"-","/")),DAY(SUBSTITUTE(LEFT(Base_report!G401,10),"-","/")))</f>
        <v>45301</v>
      </c>
      <c r="I402" s="17" t="str">
        <f t="shared" si="1"/>
        <v>OUI</v>
      </c>
      <c r="J402" s="18">
        <f>IF(L402="DS",DATE(RIGHT(B402,4),VLOOKUP(LEFT(B402,LEN(B402)-5),Feuil1!$E$3:$F$19,2,FALSE)+1,10),DATE(RIGHT(B402,4),VLOOKUP(LEFT(B402,LEN(B402)-5),Feuil1!$E$3:$F$19,2,FALSE)+1,7))</f>
        <v>45301</v>
      </c>
      <c r="K402" s="19">
        <f t="shared" si="2"/>
        <v>1</v>
      </c>
      <c r="L402" s="6" t="str">
        <f t="shared" si="3"/>
        <v>DS</v>
      </c>
    </row>
    <row r="403" ht="14.25" customHeight="1">
      <c r="A403" s="14" t="str">
        <f>Base_report!A402</f>
        <v>WORODOUGOU</v>
      </c>
      <c r="B403" s="14" t="str">
        <f>Base_report!B402</f>
        <v>DECEMBRE 2023</v>
      </c>
      <c r="C403" s="15" t="str">
        <f>Base_report!C402</f>
        <v>C2008</v>
      </c>
      <c r="D403" s="14" t="str">
        <f>TRIM(IF(ISNUMBER(FIND("PNSME",Base_report!D402,1)),SUBSTITUTE(Base_report!D402,"PNSME",""),IF(ISNUMBER(FIND("PHG",Base_report!D402,1)),SUBSTITUTE(Base_report!D402,"PHG",""),IF(ISNUMBER(FIND("PCS",Base_report!D402,1)),SUBSTITUTE(Base_report!D402,"PCS",""),IF(ISNUMBER(FIND("CMU",Base_report!D402,1)),SUBSTITUTE(Base_report!D402,"CMU",""),Base_report!D402)))))</f>
        <v>CHR SEGUELA</v>
      </c>
      <c r="E403" s="14" t="str">
        <f>SUBSTITUTE(Base_report!E402,"-","/")</f>
        <v>PNLS/ANTIRETROVIRAUX ET IO</v>
      </c>
      <c r="F403" s="14" t="s">
        <v>788</v>
      </c>
      <c r="G403" s="16">
        <f>DATE(YEAR(SUBSTITUTE(LEFT(Base_report!F402,10),"-","/")),MONTH(SUBSTITUTE(LEFT(Base_report!F402,10),"-","/")),DAY(SUBSTITUTE(LEFT(Base_report!F402,10),"-","/")))</f>
        <v>45296</v>
      </c>
      <c r="H403" s="16">
        <f>DATE(YEAR(SUBSTITUTE(LEFT(Base_report!G402,10),"-","/")),MONTH(SUBSTITUTE(LEFT(Base_report!G402,10),"-","/")),DAY(SUBSTITUTE(LEFT(Base_report!G402,10),"-","/")))</f>
        <v>45296</v>
      </c>
      <c r="I403" s="17" t="str">
        <f t="shared" si="1"/>
        <v>OUI</v>
      </c>
      <c r="J403" s="18">
        <f>IF(L403="DS",DATE(RIGHT(B403,4),VLOOKUP(LEFT(B403,LEN(B403)-5),Feuil1!$E$3:$F$19,2,FALSE)+1,10),DATE(RIGHT(B403,4),VLOOKUP(LEFT(B403,LEN(B403)-5),Feuil1!$E$3:$F$19,2,FALSE)+1,7))</f>
        <v>45298</v>
      </c>
      <c r="K403" s="19">
        <f t="shared" si="2"/>
        <v>1</v>
      </c>
      <c r="L403" s="6" t="str">
        <f t="shared" si="3"/>
        <v>FS</v>
      </c>
    </row>
    <row r="404" ht="14.25" customHeight="1">
      <c r="A404" s="14" t="str">
        <f>Base_report!A403</f>
        <v>MARAHOUE</v>
      </c>
      <c r="B404" s="14" t="str">
        <f>Base_report!B403</f>
        <v>DECEMBRE 2023</v>
      </c>
      <c r="C404" s="15" t="str">
        <f>Base_report!C403</f>
        <v>C2020</v>
      </c>
      <c r="D404" s="14" t="str">
        <f>TRIM(IF(ISNUMBER(FIND("PNSME",Base_report!D403,1)),SUBSTITUTE(Base_report!D403,"PNSME",""),IF(ISNUMBER(FIND("PHG",Base_report!D403,1)),SUBSTITUTE(Base_report!D403,"PHG",""),IF(ISNUMBER(FIND("PCS",Base_report!D403,1)),SUBSTITUTE(Base_report!D403,"PCS",""),IF(ISNUMBER(FIND("CMU",Base_report!D403,1)),SUBSTITUTE(Base_report!D403,"CMU",""),Base_report!D403)))))</f>
        <v>DISTRICT SANITAIRE BOUAFLE</v>
      </c>
      <c r="E404" s="14" t="str">
        <f>SUBSTITUTE(Base_report!E403,"-","/")</f>
        <v>PNLP/MEDICAMENTS ET INTRANTS</v>
      </c>
      <c r="F404" s="14" t="s">
        <v>788</v>
      </c>
      <c r="G404" s="16">
        <f>DATE(YEAR(SUBSTITUTE(LEFT(Base_report!F403,10),"-","/")),MONTH(SUBSTITUTE(LEFT(Base_report!F403,10),"-","/")),DAY(SUBSTITUTE(LEFT(Base_report!F403,10),"-","/")))</f>
        <v>45301</v>
      </c>
      <c r="H404" s="16">
        <f>DATE(YEAR(SUBSTITUTE(LEFT(Base_report!G403,10),"-","/")),MONTH(SUBSTITUTE(LEFT(Base_report!G403,10),"-","/")),DAY(SUBSTITUTE(LEFT(Base_report!G403,10),"-","/")))</f>
        <v>45301</v>
      </c>
      <c r="I404" s="17" t="str">
        <f t="shared" si="1"/>
        <v>OUI</v>
      </c>
      <c r="J404" s="18">
        <f>IF(L404="DS",DATE(RIGHT(B404,4),VLOOKUP(LEFT(B404,LEN(B404)-5),Feuil1!$E$3:$F$19,2,FALSE)+1,10),DATE(RIGHT(B404,4),VLOOKUP(LEFT(B404,LEN(B404)-5),Feuil1!$E$3:$F$19,2,FALSE)+1,7))</f>
        <v>45301</v>
      </c>
      <c r="K404" s="19">
        <f t="shared" si="2"/>
        <v>1</v>
      </c>
      <c r="L404" s="6" t="str">
        <f t="shared" si="3"/>
        <v>DS</v>
      </c>
    </row>
    <row r="405" ht="14.25" customHeight="1">
      <c r="A405" s="14" t="str">
        <f>Base_report!A404</f>
        <v>MARAHOUE</v>
      </c>
      <c r="B405" s="14" t="str">
        <f>Base_report!B404</f>
        <v>DECEMBRE 2023</v>
      </c>
      <c r="C405" s="15" t="str">
        <f>Base_report!C404</f>
        <v>C2020</v>
      </c>
      <c r="D405" s="14" t="str">
        <f>TRIM(IF(ISNUMBER(FIND("PNSME",Base_report!D404,1)),SUBSTITUTE(Base_report!D404,"PNSME",""),IF(ISNUMBER(FIND("PHG",Base_report!D404,1)),SUBSTITUTE(Base_report!D404,"PHG",""),IF(ISNUMBER(FIND("PCS",Base_report!D404,1)),SUBSTITUTE(Base_report!D404,"PCS",""),IF(ISNUMBER(FIND("CMU",Base_report!D404,1)),SUBSTITUTE(Base_report!D404,"CMU",""),Base_report!D404)))))</f>
        <v>DISTRICT SANITAIRE BOUAFLE</v>
      </c>
      <c r="E405" s="14" t="str">
        <f>SUBSTITUTE(Base_report!E404,"-","/")</f>
        <v>PNLS/PRODUITS DE LABORATOIRE</v>
      </c>
      <c r="F405" s="14" t="s">
        <v>788</v>
      </c>
      <c r="G405" s="16">
        <f>DATE(YEAR(SUBSTITUTE(LEFT(Base_report!F404,10),"-","/")),MONTH(SUBSTITUTE(LEFT(Base_report!F404,10),"-","/")),DAY(SUBSTITUTE(LEFT(Base_report!F404,10),"-","/")))</f>
        <v>45301</v>
      </c>
      <c r="H405" s="16">
        <f>DATE(YEAR(SUBSTITUTE(LEFT(Base_report!G404,10),"-","/")),MONTH(SUBSTITUTE(LEFT(Base_report!G404,10),"-","/")),DAY(SUBSTITUTE(LEFT(Base_report!G404,10),"-","/")))</f>
        <v>45301</v>
      </c>
      <c r="I405" s="17" t="str">
        <f t="shared" si="1"/>
        <v>OUI</v>
      </c>
      <c r="J405" s="18">
        <f>IF(L405="DS",DATE(RIGHT(B405,4),VLOOKUP(LEFT(B405,LEN(B405)-5),Feuil1!$E$3:$F$19,2,FALSE)+1,10),DATE(RIGHT(B405,4),VLOOKUP(LEFT(B405,LEN(B405)-5),Feuil1!$E$3:$F$19,2,FALSE)+1,7))</f>
        <v>45301</v>
      </c>
      <c r="K405" s="19">
        <f t="shared" si="2"/>
        <v>1</v>
      </c>
      <c r="L405" s="6" t="str">
        <f t="shared" si="3"/>
        <v>DS</v>
      </c>
    </row>
    <row r="406" ht="14.25" customHeight="1">
      <c r="A406" s="14" t="str">
        <f>Base_report!A405</f>
        <v>MARAHOUE</v>
      </c>
      <c r="B406" s="14" t="str">
        <f>Base_report!B405</f>
        <v>DECEMBRE 2023</v>
      </c>
      <c r="C406" s="15" t="str">
        <f>Base_report!C405</f>
        <v>C2020</v>
      </c>
      <c r="D406" s="14" t="str">
        <f>TRIM(IF(ISNUMBER(FIND("PNSME",Base_report!D405,1)),SUBSTITUTE(Base_report!D405,"PNSME",""),IF(ISNUMBER(FIND("PHG",Base_report!D405,1)),SUBSTITUTE(Base_report!D405,"PHG",""),IF(ISNUMBER(FIND("PCS",Base_report!D405,1)),SUBSTITUTE(Base_report!D405,"PCS",""),IF(ISNUMBER(FIND("CMU",Base_report!D405,1)),SUBSTITUTE(Base_report!D405,"CMU",""),Base_report!D405)))))</f>
        <v>DISTRICT SANITAIRE BOUAFLE</v>
      </c>
      <c r="E406" s="14" t="str">
        <f>SUBSTITUTE(Base_report!E405,"-","/")</f>
        <v>PNLS/TESTS RAPIDES ET CONSOMMABLES</v>
      </c>
      <c r="F406" s="14" t="s">
        <v>788</v>
      </c>
      <c r="G406" s="16">
        <f>DATE(YEAR(SUBSTITUTE(LEFT(Base_report!F405,10),"-","/")),MONTH(SUBSTITUTE(LEFT(Base_report!F405,10),"-","/")),DAY(SUBSTITUTE(LEFT(Base_report!F405,10),"-","/")))</f>
        <v>45301</v>
      </c>
      <c r="H406" s="16">
        <f>DATE(YEAR(SUBSTITUTE(LEFT(Base_report!G405,10),"-","/")),MONTH(SUBSTITUTE(LEFT(Base_report!G405,10),"-","/")),DAY(SUBSTITUTE(LEFT(Base_report!G405,10),"-","/")))</f>
        <v>45301</v>
      </c>
      <c r="I406" s="17" t="str">
        <f t="shared" si="1"/>
        <v>OUI</v>
      </c>
      <c r="J406" s="18">
        <f>IF(L406="DS",DATE(RIGHT(B406,4),VLOOKUP(LEFT(B406,LEN(B406)-5),Feuil1!$E$3:$F$19,2,FALSE)+1,10),DATE(RIGHT(B406,4),VLOOKUP(LEFT(B406,LEN(B406)-5),Feuil1!$E$3:$F$19,2,FALSE)+1,7))</f>
        <v>45301</v>
      </c>
      <c r="K406" s="19">
        <f t="shared" si="2"/>
        <v>1</v>
      </c>
      <c r="L406" s="6" t="str">
        <f t="shared" si="3"/>
        <v>DS</v>
      </c>
    </row>
    <row r="407" ht="14.25" customHeight="1">
      <c r="A407" s="14" t="str">
        <f>Base_report!A406</f>
        <v>MARAHOUE</v>
      </c>
      <c r="B407" s="14" t="str">
        <f>Base_report!B406</f>
        <v>DECEMBRE 2023</v>
      </c>
      <c r="C407" s="15" t="str">
        <f>Base_report!C406</f>
        <v>C2020</v>
      </c>
      <c r="D407" s="14" t="str">
        <f>TRIM(IF(ISNUMBER(FIND("PNSME",Base_report!D406,1)),SUBSTITUTE(Base_report!D406,"PNSME",""),IF(ISNUMBER(FIND("PHG",Base_report!D406,1)),SUBSTITUTE(Base_report!D406,"PHG",""),IF(ISNUMBER(FIND("PCS",Base_report!D406,1)),SUBSTITUTE(Base_report!D406,"PCS",""),IF(ISNUMBER(FIND("CMU",Base_report!D406,1)),SUBSTITUTE(Base_report!D406,"CMU",""),Base_report!D406)))))</f>
        <v>DISTRICT SANITAIRE BOUAFLE</v>
      </c>
      <c r="E407" s="14" t="str">
        <f>SUBSTITUTE(Base_report!E406,"-","/")</f>
        <v>PNN/MEDICAMENTS ET INTRANTS</v>
      </c>
      <c r="F407" s="14" t="s">
        <v>788</v>
      </c>
      <c r="G407" s="16">
        <f>DATE(YEAR(SUBSTITUTE(LEFT(Base_report!F406,10),"-","/")),MONTH(SUBSTITUTE(LEFT(Base_report!F406,10),"-","/")),DAY(SUBSTITUTE(LEFT(Base_report!F406,10),"-","/")))</f>
        <v>45301</v>
      </c>
      <c r="H407" s="16">
        <f>DATE(YEAR(SUBSTITUTE(LEFT(Base_report!G406,10),"-","/")),MONTH(SUBSTITUTE(LEFT(Base_report!G406,10),"-","/")),DAY(SUBSTITUTE(LEFT(Base_report!G406,10),"-","/")))</f>
        <v>45301</v>
      </c>
      <c r="I407" s="17" t="str">
        <f t="shared" si="1"/>
        <v>OUI</v>
      </c>
      <c r="J407" s="18">
        <f>IF(L407="DS",DATE(RIGHT(B407,4),VLOOKUP(LEFT(B407,LEN(B407)-5),Feuil1!$E$3:$F$19,2,FALSE)+1,10),DATE(RIGHT(B407,4),VLOOKUP(LEFT(B407,LEN(B407)-5),Feuil1!$E$3:$F$19,2,FALSE)+1,7))</f>
        <v>45301</v>
      </c>
      <c r="K407" s="19">
        <f t="shared" si="2"/>
        <v>1</v>
      </c>
      <c r="L407" s="6" t="str">
        <f t="shared" si="3"/>
        <v>DS</v>
      </c>
    </row>
    <row r="408" ht="14.25" customHeight="1">
      <c r="A408" s="14" t="str">
        <f>Base_report!A407</f>
        <v>MARAHOUE</v>
      </c>
      <c r="B408" s="14" t="str">
        <f>Base_report!B407</f>
        <v>DECEMBRE 2023</v>
      </c>
      <c r="C408" s="15" t="str">
        <f>Base_report!C407</f>
        <v>C2020</v>
      </c>
      <c r="D408" s="14" t="str">
        <f>TRIM(IF(ISNUMBER(FIND("PNSME",Base_report!D407,1)),SUBSTITUTE(Base_report!D407,"PNSME",""),IF(ISNUMBER(FIND("PHG",Base_report!D407,1)),SUBSTITUTE(Base_report!D407,"PHG",""),IF(ISNUMBER(FIND("PCS",Base_report!D407,1)),SUBSTITUTE(Base_report!D407,"PCS",""),IF(ISNUMBER(FIND("CMU",Base_report!D407,1)),SUBSTITUTE(Base_report!D407,"CMU",""),Base_report!D407)))))</f>
        <v>DISTRICT SANITAIRE BOUAFLE</v>
      </c>
      <c r="E408" s="14" t="str">
        <f>SUBSTITUTE(Base_report!E407,"-","/")</f>
        <v>PNSME/MEDICAMENTS ET INTRANTS</v>
      </c>
      <c r="F408" s="14" t="s">
        <v>788</v>
      </c>
      <c r="G408" s="16">
        <f>DATE(YEAR(SUBSTITUTE(LEFT(Base_report!F407,10),"-","/")),MONTH(SUBSTITUTE(LEFT(Base_report!F407,10),"-","/")),DAY(SUBSTITUTE(LEFT(Base_report!F407,10),"-","/")))</f>
        <v>45300</v>
      </c>
      <c r="H408" s="16">
        <f>DATE(YEAR(SUBSTITUTE(LEFT(Base_report!G407,10),"-","/")),MONTH(SUBSTITUTE(LEFT(Base_report!G407,10),"-","/")),DAY(SUBSTITUTE(LEFT(Base_report!G407,10),"-","/")))</f>
        <v>45301</v>
      </c>
      <c r="I408" s="17" t="str">
        <f t="shared" si="1"/>
        <v>OUI</v>
      </c>
      <c r="J408" s="18">
        <f>IF(L408="DS",DATE(RIGHT(B408,4),VLOOKUP(LEFT(B408,LEN(B408)-5),Feuil1!$E$3:$F$19,2,FALSE)+1,10),DATE(RIGHT(B408,4),VLOOKUP(LEFT(B408,LEN(B408)-5),Feuil1!$E$3:$F$19,2,FALSE)+1,7))</f>
        <v>45301</v>
      </c>
      <c r="K408" s="19">
        <f t="shared" si="2"/>
        <v>1</v>
      </c>
      <c r="L408" s="6" t="str">
        <f t="shared" si="3"/>
        <v>DS</v>
      </c>
    </row>
    <row r="409" ht="14.25" customHeight="1">
      <c r="A409" s="14" t="str">
        <f>Base_report!A408</f>
        <v>WORODOUGOU</v>
      </c>
      <c r="B409" s="14" t="str">
        <f>Base_report!B408</f>
        <v>DECEMBRE 2023</v>
      </c>
      <c r="C409" s="15" t="str">
        <f>Base_report!C408</f>
        <v>C2041</v>
      </c>
      <c r="D409" s="14" t="str">
        <f>TRIM(IF(ISNUMBER(FIND("PNSME",Base_report!D408,1)),SUBSTITUTE(Base_report!D408,"PNSME",""),IF(ISNUMBER(FIND("PHG",Base_report!D408,1)),SUBSTITUTE(Base_report!D408,"PHG",""),IF(ISNUMBER(FIND("PCS",Base_report!D408,1)),SUBSTITUTE(Base_report!D408,"PCS",""),IF(ISNUMBER(FIND("CMU",Base_report!D408,1)),SUBSTITUTE(Base_report!D408,"CMU",""),Base_report!D408)))))</f>
        <v>HOPITAL GENERAL KANI</v>
      </c>
      <c r="E409" s="14" t="str">
        <f>SUBSTITUTE(Base_report!E408,"-","/")</f>
        <v>PNLP/MEDICAMENTS ET INTRANTS</v>
      </c>
      <c r="F409" s="14" t="s">
        <v>788</v>
      </c>
      <c r="G409" s="16">
        <f>DATE(YEAR(SUBSTITUTE(LEFT(Base_report!F408,10),"-","/")),MONTH(SUBSTITUTE(LEFT(Base_report!F408,10),"-","/")),DAY(SUBSTITUTE(LEFT(Base_report!F408,10),"-","/")))</f>
        <v>45297</v>
      </c>
      <c r="H409" s="16">
        <f>DATE(YEAR(SUBSTITUTE(LEFT(Base_report!G408,10),"-","/")),MONTH(SUBSTITUTE(LEFT(Base_report!G408,10),"-","/")),DAY(SUBSTITUTE(LEFT(Base_report!G408,10),"-","/")))</f>
        <v>45297</v>
      </c>
      <c r="I409" s="17" t="str">
        <f t="shared" si="1"/>
        <v>OUI</v>
      </c>
      <c r="J409" s="18">
        <f>IF(L409="DS",DATE(RIGHT(B409,4),VLOOKUP(LEFT(B409,LEN(B409)-5),Feuil1!$E$3:$F$19,2,FALSE)+1,10),DATE(RIGHT(B409,4),VLOOKUP(LEFT(B409,LEN(B409)-5),Feuil1!$E$3:$F$19,2,FALSE)+1,7))</f>
        <v>45298</v>
      </c>
      <c r="K409" s="19">
        <f t="shared" si="2"/>
        <v>1</v>
      </c>
      <c r="L409" s="6" t="str">
        <f t="shared" si="3"/>
        <v>FS</v>
      </c>
    </row>
    <row r="410" ht="14.25" customHeight="1">
      <c r="A410" s="14" t="str">
        <f>Base_report!A409</f>
        <v>WORODOUGOU</v>
      </c>
      <c r="B410" s="14" t="str">
        <f>Base_report!B409</f>
        <v>DECEMBRE 2023</v>
      </c>
      <c r="C410" s="15" t="str">
        <f>Base_report!C409</f>
        <v>C2041</v>
      </c>
      <c r="D410" s="14" t="str">
        <f>TRIM(IF(ISNUMBER(FIND("PNSME",Base_report!D409,1)),SUBSTITUTE(Base_report!D409,"PNSME",""),IF(ISNUMBER(FIND("PHG",Base_report!D409,1)),SUBSTITUTE(Base_report!D409,"PHG",""),IF(ISNUMBER(FIND("PCS",Base_report!D409,1)),SUBSTITUTE(Base_report!D409,"PCS",""),IF(ISNUMBER(FIND("CMU",Base_report!D409,1)),SUBSTITUTE(Base_report!D409,"CMU",""),Base_report!D409)))))</f>
        <v>HOPITAL GENERAL KANI</v>
      </c>
      <c r="E410" s="14" t="str">
        <f>SUBSTITUTE(Base_report!E409,"-","/")</f>
        <v>PNLS/ANTIRETROVIRAUX ET IO</v>
      </c>
      <c r="F410" s="14" t="s">
        <v>788</v>
      </c>
      <c r="G410" s="16">
        <f>DATE(YEAR(SUBSTITUTE(LEFT(Base_report!F409,10),"-","/")),MONTH(SUBSTITUTE(LEFT(Base_report!F409,10),"-","/")),DAY(SUBSTITUTE(LEFT(Base_report!F409,10),"-","/")))</f>
        <v>45296</v>
      </c>
      <c r="H410" s="16">
        <f>DATE(YEAR(SUBSTITUTE(LEFT(Base_report!G409,10),"-","/")),MONTH(SUBSTITUTE(LEFT(Base_report!G409,10),"-","/")),DAY(SUBSTITUTE(LEFT(Base_report!G409,10),"-","/")))</f>
        <v>45296</v>
      </c>
      <c r="I410" s="17" t="str">
        <f t="shared" si="1"/>
        <v>OUI</v>
      </c>
      <c r="J410" s="18">
        <f>IF(L410="DS",DATE(RIGHT(B410,4),VLOOKUP(LEFT(B410,LEN(B410)-5),Feuil1!$E$3:$F$19,2,FALSE)+1,10),DATE(RIGHT(B410,4),VLOOKUP(LEFT(B410,LEN(B410)-5),Feuil1!$E$3:$F$19,2,FALSE)+1,7))</f>
        <v>45298</v>
      </c>
      <c r="K410" s="19">
        <f t="shared" si="2"/>
        <v>1</v>
      </c>
      <c r="L410" s="6" t="str">
        <f t="shared" si="3"/>
        <v>FS</v>
      </c>
    </row>
    <row r="411" ht="14.25" customHeight="1">
      <c r="A411" s="14" t="str">
        <f>Base_report!A410</f>
        <v>WORODOUGOU</v>
      </c>
      <c r="B411" s="14" t="str">
        <f>Base_report!B410</f>
        <v>DECEMBRE 2023</v>
      </c>
      <c r="C411" s="15" t="str">
        <f>Base_report!C410</f>
        <v>C2041</v>
      </c>
      <c r="D411" s="14" t="str">
        <f>TRIM(IF(ISNUMBER(FIND("PNSME",Base_report!D410,1)),SUBSTITUTE(Base_report!D410,"PNSME",""),IF(ISNUMBER(FIND("PHG",Base_report!D410,1)),SUBSTITUTE(Base_report!D410,"PHG",""),IF(ISNUMBER(FIND("PCS",Base_report!D410,1)),SUBSTITUTE(Base_report!D410,"PCS",""),IF(ISNUMBER(FIND("CMU",Base_report!D410,1)),SUBSTITUTE(Base_report!D410,"CMU",""),Base_report!D410)))))</f>
        <v>HOPITAL GENERAL KANI</v>
      </c>
      <c r="E411" s="14" t="str">
        <f>SUBSTITUTE(Base_report!E410,"-","/")</f>
        <v>PNSME/MEDICAMENTS ET INTRANTS</v>
      </c>
      <c r="F411" s="14" t="s">
        <v>788</v>
      </c>
      <c r="G411" s="16">
        <f>DATE(YEAR(SUBSTITUTE(LEFT(Base_report!F410,10),"-","/")),MONTH(SUBSTITUTE(LEFT(Base_report!F410,10),"-","/")),DAY(SUBSTITUTE(LEFT(Base_report!F410,10),"-","/")))</f>
        <v>45294</v>
      </c>
      <c r="H411" s="16">
        <f>DATE(YEAR(SUBSTITUTE(LEFT(Base_report!G410,10),"-","/")),MONTH(SUBSTITUTE(LEFT(Base_report!G410,10),"-","/")),DAY(SUBSTITUTE(LEFT(Base_report!G410,10),"-","/")))</f>
        <v>45294</v>
      </c>
      <c r="I411" s="17" t="str">
        <f t="shared" si="1"/>
        <v>OUI</v>
      </c>
      <c r="J411" s="18">
        <f>IF(L411="DS",DATE(RIGHT(B411,4),VLOOKUP(LEFT(B411,LEN(B411)-5),Feuil1!$E$3:$F$19,2,FALSE)+1,10),DATE(RIGHT(B411,4),VLOOKUP(LEFT(B411,LEN(B411)-5),Feuil1!$E$3:$F$19,2,FALSE)+1,7))</f>
        <v>45298</v>
      </c>
      <c r="K411" s="19">
        <f t="shared" si="2"/>
        <v>1</v>
      </c>
      <c r="L411" s="6" t="str">
        <f t="shared" si="3"/>
        <v>FS</v>
      </c>
    </row>
    <row r="412" ht="14.25" customHeight="1">
      <c r="A412" s="14" t="str">
        <f>Base_report!A411</f>
        <v>MORONOU</v>
      </c>
      <c r="B412" s="14" t="str">
        <f>Base_report!B411</f>
        <v>DECEMBRE 2023</v>
      </c>
      <c r="C412" s="15" t="str">
        <f>Base_report!C411</f>
        <v>C4017</v>
      </c>
      <c r="D412" s="14" t="str">
        <f>TRIM(IF(ISNUMBER(FIND("PNSME",Base_report!D411,1)),SUBSTITUTE(Base_report!D411,"PNSME",""),IF(ISNUMBER(FIND("PHG",Base_report!D411,1)),SUBSTITUTE(Base_report!D411,"PHG",""),IF(ISNUMBER(FIND("PCS",Base_report!D411,1)),SUBSTITUTE(Base_report!D411,"PCS",""),IF(ISNUMBER(FIND("CMU",Base_report!D411,1)),SUBSTITUTE(Base_report!D411,"CMU",""),Base_report!D411)))))</f>
        <v>HOPITAL GENERAL BONGOUANOU</v>
      </c>
      <c r="E412" s="14" t="str">
        <f>SUBSTITUTE(Base_report!E411,"-","/")</f>
        <v>PNLS/TESTS RAPIDES ET CONSOMMABLES</v>
      </c>
      <c r="F412" s="14" t="s">
        <v>788</v>
      </c>
      <c r="G412" s="16">
        <f>DATE(YEAR(SUBSTITUTE(LEFT(Base_report!F411,10),"-","/")),MONTH(SUBSTITUTE(LEFT(Base_report!F411,10),"-","/")),DAY(SUBSTITUTE(LEFT(Base_report!F411,10),"-","/")))</f>
        <v>45297</v>
      </c>
      <c r="H412" s="16">
        <f>DATE(YEAR(SUBSTITUTE(LEFT(Base_report!G411,10),"-","/")),MONTH(SUBSTITUTE(LEFT(Base_report!G411,10),"-","/")),DAY(SUBSTITUTE(LEFT(Base_report!G411,10),"-","/")))</f>
        <v>45298</v>
      </c>
      <c r="I412" s="17" t="str">
        <f t="shared" si="1"/>
        <v>OUI</v>
      </c>
      <c r="J412" s="18">
        <f>IF(L412="DS",DATE(RIGHT(B412,4),VLOOKUP(LEFT(B412,LEN(B412)-5),Feuil1!$E$3:$F$19,2,FALSE)+1,10),DATE(RIGHT(B412,4),VLOOKUP(LEFT(B412,LEN(B412)-5),Feuil1!$E$3:$F$19,2,FALSE)+1,7))</f>
        <v>45298</v>
      </c>
      <c r="K412" s="19">
        <f t="shared" si="2"/>
        <v>1</v>
      </c>
      <c r="L412" s="6" t="str">
        <f t="shared" si="3"/>
        <v>FS</v>
      </c>
    </row>
    <row r="413" ht="14.25" customHeight="1">
      <c r="A413" s="14" t="str">
        <f>Base_report!A412</f>
        <v>BERE</v>
      </c>
      <c r="B413" s="14" t="str">
        <f>Base_report!B412</f>
        <v>DECEMBRE 2023</v>
      </c>
      <c r="C413" s="15" t="str">
        <f>Base_report!C412</f>
        <v>C5084</v>
      </c>
      <c r="D413" s="14" t="str">
        <f>TRIM(IF(ISNUMBER(FIND("PNSME",Base_report!D412,1)),SUBSTITUTE(Base_report!D412,"PNSME",""),IF(ISNUMBER(FIND("PHG",Base_report!D412,1)),SUBSTITUTE(Base_report!D412,"PHG",""),IF(ISNUMBER(FIND("PCS",Base_report!D412,1)),SUBSTITUTE(Base_report!D412,"PCS",""),IF(ISNUMBER(FIND("CMU",Base_report!D412,1)),SUBSTITUTE(Base_report!D412,"CMU",""),Base_report!D412)))))</f>
        <v>HOPITAL GENERAL KOUNAHIRI</v>
      </c>
      <c r="E413" s="14" t="str">
        <f>SUBSTITUTE(Base_report!E412,"-","/")</f>
        <v>PNLS/TESTS RAPIDES ET CONSOMMABLES</v>
      </c>
      <c r="F413" s="14" t="s">
        <v>788</v>
      </c>
      <c r="G413" s="16">
        <f>DATE(YEAR(SUBSTITUTE(LEFT(Base_report!F412,10),"-","/")),MONTH(SUBSTITUTE(LEFT(Base_report!F412,10),"-","/")),DAY(SUBSTITUTE(LEFT(Base_report!F412,10),"-","/")))</f>
        <v>45295</v>
      </c>
      <c r="H413" s="16">
        <f>DATE(YEAR(SUBSTITUTE(LEFT(Base_report!G412,10),"-","/")),MONTH(SUBSTITUTE(LEFT(Base_report!G412,10),"-","/")),DAY(SUBSTITUTE(LEFT(Base_report!G412,10),"-","/")))</f>
        <v>45296</v>
      </c>
      <c r="I413" s="17" t="str">
        <f t="shared" si="1"/>
        <v>OUI</v>
      </c>
      <c r="J413" s="18">
        <f>IF(L413="DS",DATE(RIGHT(B413,4),VLOOKUP(LEFT(B413,LEN(B413)-5),Feuil1!$E$3:$F$19,2,FALSE)+1,10),DATE(RIGHT(B413,4),VLOOKUP(LEFT(B413,LEN(B413)-5),Feuil1!$E$3:$F$19,2,FALSE)+1,7))</f>
        <v>45298</v>
      </c>
      <c r="K413" s="19">
        <f t="shared" si="2"/>
        <v>1</v>
      </c>
      <c r="L413" s="6" t="str">
        <f t="shared" si="3"/>
        <v>FS</v>
      </c>
    </row>
    <row r="414" ht="14.25" customHeight="1">
      <c r="A414" s="14" t="str">
        <f>Base_report!A413</f>
        <v>BERE</v>
      </c>
      <c r="B414" s="14" t="str">
        <f>Base_report!B413</f>
        <v>DECEMBRE 2023</v>
      </c>
      <c r="C414" s="15" t="str">
        <f>Base_report!C413</f>
        <v>C5084</v>
      </c>
      <c r="D414" s="14" t="str">
        <f>TRIM(IF(ISNUMBER(FIND("PNSME",Base_report!D413,1)),SUBSTITUTE(Base_report!D413,"PNSME",""),IF(ISNUMBER(FIND("PHG",Base_report!D413,1)),SUBSTITUTE(Base_report!D413,"PHG",""),IF(ISNUMBER(FIND("PCS",Base_report!D413,1)),SUBSTITUTE(Base_report!D413,"PCS",""),IF(ISNUMBER(FIND("CMU",Base_report!D413,1)),SUBSTITUTE(Base_report!D413,"CMU",""),Base_report!D413)))))</f>
        <v>HOPITAL GENERAL KOUNAHIRI</v>
      </c>
      <c r="E414" s="14" t="str">
        <f>SUBSTITUTE(Base_report!E413,"-","/")</f>
        <v>PNLP/MEDICAMENTS ET INTRANTS</v>
      </c>
      <c r="F414" s="14" t="s">
        <v>788</v>
      </c>
      <c r="G414" s="16">
        <f>DATE(YEAR(SUBSTITUTE(LEFT(Base_report!F413,10),"-","/")),MONTH(SUBSTITUTE(LEFT(Base_report!F413,10),"-","/")),DAY(SUBSTITUTE(LEFT(Base_report!F413,10),"-","/")))</f>
        <v>45295</v>
      </c>
      <c r="H414" s="16">
        <f>DATE(YEAR(SUBSTITUTE(LEFT(Base_report!G413,10),"-","/")),MONTH(SUBSTITUTE(LEFT(Base_report!G413,10),"-","/")),DAY(SUBSTITUTE(LEFT(Base_report!G413,10),"-","/")))</f>
        <v>45296</v>
      </c>
      <c r="I414" s="17" t="str">
        <f t="shared" si="1"/>
        <v>OUI</v>
      </c>
      <c r="J414" s="18">
        <f>IF(L414="DS",DATE(RIGHT(B414,4),VLOOKUP(LEFT(B414,LEN(B414)-5),Feuil1!$E$3:$F$19,2,FALSE)+1,10),DATE(RIGHT(B414,4),VLOOKUP(LEFT(B414,LEN(B414)-5),Feuil1!$E$3:$F$19,2,FALSE)+1,7))</f>
        <v>45298</v>
      </c>
      <c r="K414" s="19">
        <f t="shared" si="2"/>
        <v>1</v>
      </c>
      <c r="L414" s="6" t="str">
        <f t="shared" si="3"/>
        <v>FS</v>
      </c>
    </row>
    <row r="415" ht="14.25" customHeight="1">
      <c r="A415" s="14" t="str">
        <f>Base_report!A414</f>
        <v>GBEKE</v>
      </c>
      <c r="B415" s="14" t="str">
        <f>Base_report!B414</f>
        <v>DECEMBRE 2023</v>
      </c>
      <c r="C415" s="15" t="str">
        <f>Base_report!C414</f>
        <v>C2023</v>
      </c>
      <c r="D415" s="14" t="str">
        <f>TRIM(IF(ISNUMBER(FIND("PNSME",Base_report!D414,1)),SUBSTITUTE(Base_report!D414,"PNSME",""),IF(ISNUMBER(FIND("PHG",Base_report!D414,1)),SUBSTITUTE(Base_report!D414,"PHG",""),IF(ISNUMBER(FIND("PCS",Base_report!D414,1)),SUBSTITUTE(Base_report!D414,"PCS",""),IF(ISNUMBER(FIND("CMU",Base_report!D414,1)),SUBSTITUTE(Base_report!D414,"CMU",""),Base_report!D414)))))</f>
        <v>DISTRICT SANITAIRE BOUAKE NORD-OUEST</v>
      </c>
      <c r="E415" s="14" t="str">
        <f>SUBSTITUTE(Base_report!E414,"-","/")</f>
        <v>PNLP/MEDICAMENTS ET INTRANTS</v>
      </c>
      <c r="F415" s="14" t="s">
        <v>788</v>
      </c>
      <c r="G415" s="16">
        <f>DATE(YEAR(SUBSTITUTE(LEFT(Base_report!F414,10),"-","/")),MONTH(SUBSTITUTE(LEFT(Base_report!F414,10),"-","/")),DAY(SUBSTITUTE(LEFT(Base_report!F414,10),"-","/")))</f>
        <v>45300</v>
      </c>
      <c r="H415" s="16">
        <f>DATE(YEAR(SUBSTITUTE(LEFT(Base_report!G414,10),"-","/")),MONTH(SUBSTITUTE(LEFT(Base_report!G414,10),"-","/")),DAY(SUBSTITUTE(LEFT(Base_report!G414,10),"-","/")))</f>
        <v>45302</v>
      </c>
      <c r="I415" s="17" t="str">
        <f t="shared" si="1"/>
        <v>OUI</v>
      </c>
      <c r="J415" s="18">
        <f>IF(L415="DS",DATE(RIGHT(B415,4),VLOOKUP(LEFT(B415,LEN(B415)-5),Feuil1!$E$3:$F$19,2,FALSE)+1,10),DATE(RIGHT(B415,4),VLOOKUP(LEFT(B415,LEN(B415)-5),Feuil1!$E$3:$F$19,2,FALSE)+1,7))</f>
        <v>45301</v>
      </c>
      <c r="K415" s="19">
        <f t="shared" si="2"/>
        <v>0</v>
      </c>
      <c r="L415" s="6" t="str">
        <f t="shared" si="3"/>
        <v>DS</v>
      </c>
    </row>
    <row r="416" ht="14.25" customHeight="1">
      <c r="A416" s="14" t="str">
        <f>Base_report!A415</f>
        <v>GBEKE</v>
      </c>
      <c r="B416" s="14" t="str">
        <f>Base_report!B415</f>
        <v>DECEMBRE 2023</v>
      </c>
      <c r="C416" s="15" t="str">
        <f>Base_report!C415</f>
        <v>C2023</v>
      </c>
      <c r="D416" s="14" t="str">
        <f>TRIM(IF(ISNUMBER(FIND("PNSME",Base_report!D415,1)),SUBSTITUTE(Base_report!D415,"PNSME",""),IF(ISNUMBER(FIND("PHG",Base_report!D415,1)),SUBSTITUTE(Base_report!D415,"PHG",""),IF(ISNUMBER(FIND("PCS",Base_report!D415,1)),SUBSTITUTE(Base_report!D415,"PCS",""),IF(ISNUMBER(FIND("CMU",Base_report!D415,1)),SUBSTITUTE(Base_report!D415,"CMU",""),Base_report!D415)))))</f>
        <v>DISTRICT SANITAIRE BOUAKE NORD-OUEST</v>
      </c>
      <c r="E416" s="14" t="str">
        <f>SUBSTITUTE(Base_report!E415,"-","/")</f>
        <v>PNLS/TESTS RAPIDES ET CONSOMMABLES</v>
      </c>
      <c r="F416" s="14" t="s">
        <v>788</v>
      </c>
      <c r="G416" s="16">
        <f>DATE(YEAR(SUBSTITUTE(LEFT(Base_report!F415,10),"-","/")),MONTH(SUBSTITUTE(LEFT(Base_report!F415,10),"-","/")),DAY(SUBSTITUTE(LEFT(Base_report!F415,10),"-","/")))</f>
        <v>45300</v>
      </c>
      <c r="H416" s="16">
        <f>DATE(YEAR(SUBSTITUTE(LEFT(Base_report!G415,10),"-","/")),MONTH(SUBSTITUTE(LEFT(Base_report!G415,10),"-","/")),DAY(SUBSTITUTE(LEFT(Base_report!G415,10),"-","/")))</f>
        <v>45302</v>
      </c>
      <c r="I416" s="17" t="str">
        <f t="shared" si="1"/>
        <v>OUI</v>
      </c>
      <c r="J416" s="18">
        <f>IF(L416="DS",DATE(RIGHT(B416,4),VLOOKUP(LEFT(B416,LEN(B416)-5),Feuil1!$E$3:$F$19,2,FALSE)+1,10),DATE(RIGHT(B416,4),VLOOKUP(LEFT(B416,LEN(B416)-5),Feuil1!$E$3:$F$19,2,FALSE)+1,7))</f>
        <v>45301</v>
      </c>
      <c r="K416" s="19">
        <f t="shared" si="2"/>
        <v>0</v>
      </c>
      <c r="L416" s="6" t="str">
        <f t="shared" si="3"/>
        <v>DS</v>
      </c>
    </row>
    <row r="417" ht="14.25" customHeight="1">
      <c r="A417" s="14" t="str">
        <f>Base_report!A416</f>
        <v>GBEKE</v>
      </c>
      <c r="B417" s="14" t="str">
        <f>Base_report!B416</f>
        <v>DECEMBRE 2023</v>
      </c>
      <c r="C417" s="15" t="str">
        <f>Base_report!C416</f>
        <v>C2023</v>
      </c>
      <c r="D417" s="14" t="str">
        <f>TRIM(IF(ISNUMBER(FIND("PNSME",Base_report!D416,1)),SUBSTITUTE(Base_report!D416,"PNSME",""),IF(ISNUMBER(FIND("PHG",Base_report!D416,1)),SUBSTITUTE(Base_report!D416,"PHG",""),IF(ISNUMBER(FIND("PCS",Base_report!D416,1)),SUBSTITUTE(Base_report!D416,"PCS",""),IF(ISNUMBER(FIND("CMU",Base_report!D416,1)),SUBSTITUTE(Base_report!D416,"CMU",""),Base_report!D416)))))</f>
        <v>DISTRICT SANITAIRE BOUAKE NORD-OUEST</v>
      </c>
      <c r="E417" s="14" t="str">
        <f>SUBSTITUTE(Base_report!E416,"-","/")</f>
        <v>PNLS/ANTIRETROVIRAUX ET IO</v>
      </c>
      <c r="F417" s="14" t="s">
        <v>788</v>
      </c>
      <c r="G417" s="16">
        <f>DATE(YEAR(SUBSTITUTE(LEFT(Base_report!F416,10),"-","/")),MONTH(SUBSTITUTE(LEFT(Base_report!F416,10),"-","/")),DAY(SUBSTITUTE(LEFT(Base_report!F416,10),"-","/")))</f>
        <v>45300</v>
      </c>
      <c r="H417" s="16">
        <f>DATE(YEAR(SUBSTITUTE(LEFT(Base_report!G416,10),"-","/")),MONTH(SUBSTITUTE(LEFT(Base_report!G416,10),"-","/")),DAY(SUBSTITUTE(LEFT(Base_report!G416,10),"-","/")))</f>
        <v>45302</v>
      </c>
      <c r="I417" s="17" t="str">
        <f t="shared" si="1"/>
        <v>OUI</v>
      </c>
      <c r="J417" s="18">
        <f>IF(L417="DS",DATE(RIGHT(B417,4),VLOOKUP(LEFT(B417,LEN(B417)-5),Feuil1!$E$3:$F$19,2,FALSE)+1,10),DATE(RIGHT(B417,4),VLOOKUP(LEFT(B417,LEN(B417)-5),Feuil1!$E$3:$F$19,2,FALSE)+1,7))</f>
        <v>45301</v>
      </c>
      <c r="K417" s="19">
        <f t="shared" si="2"/>
        <v>0</v>
      </c>
      <c r="L417" s="6" t="str">
        <f t="shared" si="3"/>
        <v>DS</v>
      </c>
    </row>
    <row r="418" ht="14.25" customHeight="1">
      <c r="A418" s="14" t="str">
        <f>Base_report!A417</f>
        <v>GBEKE</v>
      </c>
      <c r="B418" s="14" t="str">
        <f>Base_report!B417</f>
        <v>DECEMBRE 2023</v>
      </c>
      <c r="C418" s="15" t="str">
        <f>Base_report!C417</f>
        <v>C2023</v>
      </c>
      <c r="D418" s="14" t="str">
        <f>TRIM(IF(ISNUMBER(FIND("PNSME",Base_report!D417,1)),SUBSTITUTE(Base_report!D417,"PNSME",""),IF(ISNUMBER(FIND("PHG",Base_report!D417,1)),SUBSTITUTE(Base_report!D417,"PHG",""),IF(ISNUMBER(FIND("PCS",Base_report!D417,1)),SUBSTITUTE(Base_report!D417,"PCS",""),IF(ISNUMBER(FIND("CMU",Base_report!D417,1)),SUBSTITUTE(Base_report!D417,"CMU",""),Base_report!D417)))))</f>
        <v>DISTRICT SANITAIRE BOUAKE NORD-OUEST</v>
      </c>
      <c r="E418" s="14" t="str">
        <f>SUBSTITUTE(Base_report!E417,"-","/")</f>
        <v>PNLS/PRODUITS DE LABORATOIRE</v>
      </c>
      <c r="F418" s="14" t="s">
        <v>788</v>
      </c>
      <c r="G418" s="16">
        <f>DATE(YEAR(SUBSTITUTE(LEFT(Base_report!F417,10),"-","/")),MONTH(SUBSTITUTE(LEFT(Base_report!F417,10),"-","/")),DAY(SUBSTITUTE(LEFT(Base_report!F417,10),"-","/")))</f>
        <v>45301</v>
      </c>
      <c r="H418" s="16">
        <f>DATE(YEAR(SUBSTITUTE(LEFT(Base_report!G417,10),"-","/")),MONTH(SUBSTITUTE(LEFT(Base_report!G417,10),"-","/")),DAY(SUBSTITUTE(LEFT(Base_report!G417,10),"-","/")))</f>
        <v>45302</v>
      </c>
      <c r="I418" s="17" t="str">
        <f t="shared" si="1"/>
        <v>OUI</v>
      </c>
      <c r="J418" s="18">
        <f>IF(L418="DS",DATE(RIGHT(B418,4),VLOOKUP(LEFT(B418,LEN(B418)-5),Feuil1!$E$3:$F$19,2,FALSE)+1,10),DATE(RIGHT(B418,4),VLOOKUP(LEFT(B418,LEN(B418)-5),Feuil1!$E$3:$F$19,2,FALSE)+1,7))</f>
        <v>45301</v>
      </c>
      <c r="K418" s="19">
        <f t="shared" si="2"/>
        <v>0</v>
      </c>
      <c r="L418" s="6" t="str">
        <f t="shared" si="3"/>
        <v>DS</v>
      </c>
    </row>
    <row r="419" ht="14.25" customHeight="1">
      <c r="A419" s="14" t="str">
        <f>Base_report!A418</f>
        <v>GBEKE</v>
      </c>
      <c r="B419" s="14" t="str">
        <f>Base_report!B418</f>
        <v>DECEMBRE 2023</v>
      </c>
      <c r="C419" s="15" t="str">
        <f>Base_report!C418</f>
        <v>C2023</v>
      </c>
      <c r="D419" s="14" t="str">
        <f>TRIM(IF(ISNUMBER(FIND("PNSME",Base_report!D418,1)),SUBSTITUTE(Base_report!D418,"PNSME",""),IF(ISNUMBER(FIND("PHG",Base_report!D418,1)),SUBSTITUTE(Base_report!D418,"PHG",""),IF(ISNUMBER(FIND("PCS",Base_report!D418,1)),SUBSTITUTE(Base_report!D418,"PCS",""),IF(ISNUMBER(FIND("CMU",Base_report!D418,1)),SUBSTITUTE(Base_report!D418,"CMU",""),Base_report!D418)))))</f>
        <v>DISTRICT SANITAIRE BOUAKE NORD-OUEST</v>
      </c>
      <c r="E419" s="14" t="str">
        <f>SUBSTITUTE(Base_report!E418,"-","/")</f>
        <v>PNLS/CHARGES VIRALES</v>
      </c>
      <c r="F419" s="14" t="s">
        <v>788</v>
      </c>
      <c r="G419" s="16">
        <f>DATE(YEAR(SUBSTITUTE(LEFT(Base_report!F418,10),"-","/")),MONTH(SUBSTITUTE(LEFT(Base_report!F418,10),"-","/")),DAY(SUBSTITUTE(LEFT(Base_report!F418,10),"-","/")))</f>
        <v>45301</v>
      </c>
      <c r="H419" s="16">
        <f>DATE(YEAR(SUBSTITUTE(LEFT(Base_report!G418,10),"-","/")),MONTH(SUBSTITUTE(LEFT(Base_report!G418,10),"-","/")),DAY(SUBSTITUTE(LEFT(Base_report!G418,10),"-","/")))</f>
        <v>45302</v>
      </c>
      <c r="I419" s="17" t="str">
        <f t="shared" si="1"/>
        <v>OUI</v>
      </c>
      <c r="J419" s="18">
        <f>IF(L419="DS",DATE(RIGHT(B419,4),VLOOKUP(LEFT(B419,LEN(B419)-5),Feuil1!$E$3:$F$19,2,FALSE)+1,10),DATE(RIGHT(B419,4),VLOOKUP(LEFT(B419,LEN(B419)-5),Feuil1!$E$3:$F$19,2,FALSE)+1,7))</f>
        <v>45301</v>
      </c>
      <c r="K419" s="19">
        <f t="shared" si="2"/>
        <v>0</v>
      </c>
      <c r="L419" s="6" t="str">
        <f t="shared" si="3"/>
        <v>DS</v>
      </c>
    </row>
    <row r="420" ht="14.25" customHeight="1">
      <c r="A420" s="14" t="str">
        <f>Base_report!A419</f>
        <v>BOUNKANI</v>
      </c>
      <c r="B420" s="14" t="str">
        <f>Base_report!B419</f>
        <v>DECEMBRE 2023</v>
      </c>
      <c r="C420" s="15" t="str">
        <f>Base_report!C419</f>
        <v>C4003</v>
      </c>
      <c r="D420" s="14" t="str">
        <f>TRIM(IF(ISNUMBER(FIND("PNSME",Base_report!D419,1)),SUBSTITUTE(Base_report!D419,"PNSME",""),IF(ISNUMBER(FIND("PHG",Base_report!D419,1)),SUBSTITUTE(Base_report!D419,"PHG",""),IF(ISNUMBER(FIND("PCS",Base_report!D419,1)),SUBSTITUTE(Base_report!D419,"PCS",""),IF(ISNUMBER(FIND("CMU",Base_report!D419,1)),SUBSTITUTE(Base_report!D419,"CMU",""),Base_report!D419)))))</f>
        <v>HOPITAL GENERAL NASSIAN</v>
      </c>
      <c r="E420" s="14" t="str">
        <f>SUBSTITUTE(Base_report!E419,"-","/")</f>
        <v>PNLP/MEDICAMENTS ET INTRANTS</v>
      </c>
      <c r="F420" s="14" t="s">
        <v>788</v>
      </c>
      <c r="G420" s="16">
        <f>DATE(YEAR(SUBSTITUTE(LEFT(Base_report!F419,10),"-","/")),MONTH(SUBSTITUTE(LEFT(Base_report!F419,10),"-","/")),DAY(SUBSTITUTE(LEFT(Base_report!F419,10),"-","/")))</f>
        <v>45296</v>
      </c>
      <c r="H420" s="16">
        <f>DATE(YEAR(SUBSTITUTE(LEFT(Base_report!G419,10),"-","/")),MONTH(SUBSTITUTE(LEFT(Base_report!G419,10),"-","/")),DAY(SUBSTITUTE(LEFT(Base_report!G419,10),"-","/")))</f>
        <v>45297</v>
      </c>
      <c r="I420" s="17" t="str">
        <f t="shared" si="1"/>
        <v>OUI</v>
      </c>
      <c r="J420" s="18">
        <f>IF(L420="DS",DATE(RIGHT(B420,4),VLOOKUP(LEFT(B420,LEN(B420)-5),Feuil1!$E$3:$F$19,2,FALSE)+1,10),DATE(RIGHT(B420,4),VLOOKUP(LEFT(B420,LEN(B420)-5),Feuil1!$E$3:$F$19,2,FALSE)+1,7))</f>
        <v>45298</v>
      </c>
      <c r="K420" s="19">
        <f t="shared" si="2"/>
        <v>1</v>
      </c>
      <c r="L420" s="6" t="str">
        <f t="shared" si="3"/>
        <v>FS</v>
      </c>
    </row>
    <row r="421" ht="14.25" customHeight="1">
      <c r="A421" s="14" t="str">
        <f>Base_report!A420</f>
        <v>HAUT-SASSANDRA</v>
      </c>
      <c r="B421" s="14" t="str">
        <f>Base_report!B420</f>
        <v>DECEMBRE 2023</v>
      </c>
      <c r="C421" s="15" t="str">
        <f>Base_report!C420</f>
        <v>C2025</v>
      </c>
      <c r="D421" s="14" t="str">
        <f>TRIM(IF(ISNUMBER(FIND("PNSME",Base_report!D420,1)),SUBSTITUTE(Base_report!D420,"PNSME",""),IF(ISNUMBER(FIND("PHG",Base_report!D420,1)),SUBSTITUTE(Base_report!D420,"PHG",""),IF(ISNUMBER(FIND("PCS",Base_report!D420,1)),SUBSTITUTE(Base_report!D420,"PCS",""),IF(ISNUMBER(FIND("CMU",Base_report!D420,1)),SUBSTITUTE(Base_report!D420,"CMU",""),Base_report!D420)))))</f>
        <v>DISTRICT SANITAIRE DALOA</v>
      </c>
      <c r="E421" s="14" t="str">
        <f>SUBSTITUTE(Base_report!E420,"-","/")</f>
        <v>PNSME/MEDICAMENTS ET INTRANTS</v>
      </c>
      <c r="F421" s="14" t="s">
        <v>788</v>
      </c>
      <c r="G421" s="16">
        <f>DATE(YEAR(SUBSTITUTE(LEFT(Base_report!F420,10),"-","/")),MONTH(SUBSTITUTE(LEFT(Base_report!F420,10),"-","/")),DAY(SUBSTITUTE(LEFT(Base_report!F420,10),"-","/")))</f>
        <v>45302</v>
      </c>
      <c r="H421" s="16">
        <f>DATE(YEAR(SUBSTITUTE(LEFT(Base_report!G420,10),"-","/")),MONTH(SUBSTITUTE(LEFT(Base_report!G420,10),"-","/")),DAY(SUBSTITUTE(LEFT(Base_report!G420,10),"-","/")))</f>
        <v>45302</v>
      </c>
      <c r="I421" s="17" t="str">
        <f t="shared" si="1"/>
        <v>OUI</v>
      </c>
      <c r="J421" s="18">
        <f>IF(L421="DS",DATE(RIGHT(B421,4),VLOOKUP(LEFT(B421,LEN(B421)-5),Feuil1!$E$3:$F$19,2,FALSE)+1,10),DATE(RIGHT(B421,4),VLOOKUP(LEFT(B421,LEN(B421)-5),Feuil1!$E$3:$F$19,2,FALSE)+1,7))</f>
        <v>45301</v>
      </c>
      <c r="K421" s="19">
        <f t="shared" si="2"/>
        <v>0</v>
      </c>
      <c r="L421" s="6" t="str">
        <f t="shared" si="3"/>
        <v>DS</v>
      </c>
    </row>
    <row r="422" ht="14.25" customHeight="1">
      <c r="A422" s="14" t="str">
        <f>Base_report!A421</f>
        <v>ABIDJAN 1</v>
      </c>
      <c r="B422" s="14" t="str">
        <f>Base_report!B421</f>
        <v>DECEMBRE 2023</v>
      </c>
      <c r="C422" s="15" t="str">
        <f>Base_report!C421</f>
        <v>C1076</v>
      </c>
      <c r="D422" s="14" t="str">
        <f>TRIM(IF(ISNUMBER(FIND("PNSME",Base_report!D421,1)),SUBSTITUTE(Base_report!D421,"PNSME",""),IF(ISNUMBER(FIND("PHG",Base_report!D421,1)),SUBSTITUTE(Base_report!D421,"PHG",""),IF(ISNUMBER(FIND("PCS",Base_report!D421,1)),SUBSTITUTE(Base_report!D421,"PCS",""),IF(ISNUMBER(FIND("CMU",Base_report!D421,1)),SUBSTITUTE(Base_report!D421,"CMU",""),Base_report!D421)))))</f>
        <v>FSU COM YOPOUGON NIANGON</v>
      </c>
      <c r="E422" s="14" t="str">
        <f>SUBSTITUTE(Base_report!E421,"-","/")</f>
        <v>PNLS/ANTIRETROVIRAUX ET IO</v>
      </c>
      <c r="F422" s="14" t="s">
        <v>788</v>
      </c>
      <c r="G422" s="16">
        <f>DATE(YEAR(SUBSTITUTE(LEFT(Base_report!F421,10),"-","/")),MONTH(SUBSTITUTE(LEFT(Base_report!F421,10),"-","/")),DAY(SUBSTITUTE(LEFT(Base_report!F421,10),"-","/")))</f>
        <v>45296</v>
      </c>
      <c r="H422" s="16">
        <f>DATE(YEAR(SUBSTITUTE(LEFT(Base_report!G421,10),"-","/")),MONTH(SUBSTITUTE(LEFT(Base_report!G421,10),"-","/")),DAY(SUBSTITUTE(LEFT(Base_report!G421,10),"-","/")))</f>
        <v>45296</v>
      </c>
      <c r="I422" s="17" t="str">
        <f t="shared" si="1"/>
        <v>OUI</v>
      </c>
      <c r="J422" s="18">
        <f>IF(L422="DS",DATE(RIGHT(B422,4),VLOOKUP(LEFT(B422,LEN(B422)-5),Feuil1!$E$3:$F$19,2,FALSE)+1,10),DATE(RIGHT(B422,4),VLOOKUP(LEFT(B422,LEN(B422)-5),Feuil1!$E$3:$F$19,2,FALSE)+1,7))</f>
        <v>45298</v>
      </c>
      <c r="K422" s="19">
        <f t="shared" si="2"/>
        <v>1</v>
      </c>
      <c r="L422" s="6" t="str">
        <f t="shared" si="3"/>
        <v>FS</v>
      </c>
    </row>
    <row r="423" ht="14.25" customHeight="1">
      <c r="A423" s="14" t="str">
        <f>Base_report!A422</f>
        <v>PORO</v>
      </c>
      <c r="B423" s="14" t="str">
        <f>Base_report!B422</f>
        <v>DECEMBRE 2023</v>
      </c>
      <c r="C423" s="15" t="str">
        <f>Base_report!C422</f>
        <v>C3043</v>
      </c>
      <c r="D423" s="14" t="str">
        <f>TRIM(IF(ISNUMBER(FIND("PNSME",Base_report!D422,1)),SUBSTITUTE(Base_report!D422,"PNSME",""),IF(ISNUMBER(FIND("PHG",Base_report!D422,1)),SUBSTITUTE(Base_report!D422,"PHG",""),IF(ISNUMBER(FIND("PCS",Base_report!D422,1)),SUBSTITUTE(Base_report!D422,"PCS",""),IF(ISNUMBER(FIND("CMU",Base_report!D422,1)),SUBSTITUTE(Base_report!D422,"CMU",""),Base_report!D422)))))</f>
        <v>HOPITAL GENERAL DIKODOUGOU</v>
      </c>
      <c r="E423" s="14" t="str">
        <f>SUBSTITUTE(Base_report!E422,"-","/")</f>
        <v>PNLP/MEDICAMENTS ET INTRANTS</v>
      </c>
      <c r="F423" s="14" t="s">
        <v>788</v>
      </c>
      <c r="G423" s="16">
        <f>DATE(YEAR(SUBSTITUTE(LEFT(Base_report!F422,10),"-","/")),MONTH(SUBSTITUTE(LEFT(Base_report!F422,10),"-","/")),DAY(SUBSTITUTE(LEFT(Base_report!F422,10),"-","/")))</f>
        <v>45296</v>
      </c>
      <c r="H423" s="16">
        <f>DATE(YEAR(SUBSTITUTE(LEFT(Base_report!G422,10),"-","/")),MONTH(SUBSTITUTE(LEFT(Base_report!G422,10),"-","/")),DAY(SUBSTITUTE(LEFT(Base_report!G422,10),"-","/")))</f>
        <v>45298</v>
      </c>
      <c r="I423" s="17" t="str">
        <f t="shared" si="1"/>
        <v>OUI</v>
      </c>
      <c r="J423" s="18">
        <f>IF(L423="DS",DATE(RIGHT(B423,4),VLOOKUP(LEFT(B423,LEN(B423)-5),Feuil1!$E$3:$F$19,2,FALSE)+1,10),DATE(RIGHT(B423,4),VLOOKUP(LEFT(B423,LEN(B423)-5),Feuil1!$E$3:$F$19,2,FALSE)+1,7))</f>
        <v>45298</v>
      </c>
      <c r="K423" s="19">
        <f t="shared" si="2"/>
        <v>1</v>
      </c>
      <c r="L423" s="6" t="str">
        <f t="shared" si="3"/>
        <v>FS</v>
      </c>
    </row>
    <row r="424" ht="14.25" customHeight="1">
      <c r="A424" s="14" t="str">
        <f>Base_report!A423</f>
        <v>ABIDJAN 1</v>
      </c>
      <c r="B424" s="14" t="str">
        <f>Base_report!B423</f>
        <v>DECEMBRE 2023</v>
      </c>
      <c r="C424" s="15" t="str">
        <f>Base_report!C423</f>
        <v>C1076</v>
      </c>
      <c r="D424" s="14" t="str">
        <f>TRIM(IF(ISNUMBER(FIND("PNSME",Base_report!D423,1)),SUBSTITUTE(Base_report!D423,"PNSME",""),IF(ISNUMBER(FIND("PHG",Base_report!D423,1)),SUBSTITUTE(Base_report!D423,"PHG",""),IF(ISNUMBER(FIND("PCS",Base_report!D423,1)),SUBSTITUTE(Base_report!D423,"PCS",""),IF(ISNUMBER(FIND("CMU",Base_report!D423,1)),SUBSTITUTE(Base_report!D423,"CMU",""),Base_report!D423)))))</f>
        <v>FSU COM YOPOUGON NIANGON</v>
      </c>
      <c r="E424" s="14" t="str">
        <f>SUBSTITUTE(Base_report!E423,"-","/")</f>
        <v>PNLS/TESTS RAPIDES ET CONSOMMABLES</v>
      </c>
      <c r="F424" s="14" t="s">
        <v>788</v>
      </c>
      <c r="G424" s="16">
        <f>DATE(YEAR(SUBSTITUTE(LEFT(Base_report!F423,10),"-","/")),MONTH(SUBSTITUTE(LEFT(Base_report!F423,10),"-","/")),DAY(SUBSTITUTE(LEFT(Base_report!F423,10),"-","/")))</f>
        <v>45296</v>
      </c>
      <c r="H424" s="16">
        <f>DATE(YEAR(SUBSTITUTE(LEFT(Base_report!G423,10),"-","/")),MONTH(SUBSTITUTE(LEFT(Base_report!G423,10),"-","/")),DAY(SUBSTITUTE(LEFT(Base_report!G423,10),"-","/")))</f>
        <v>45296</v>
      </c>
      <c r="I424" s="17" t="str">
        <f t="shared" si="1"/>
        <v>OUI</v>
      </c>
      <c r="J424" s="18">
        <f>IF(L424="DS",DATE(RIGHT(B424,4),VLOOKUP(LEFT(B424,LEN(B424)-5),Feuil1!$E$3:$F$19,2,FALSE)+1,10),DATE(RIGHT(B424,4),VLOOKUP(LEFT(B424,LEN(B424)-5),Feuil1!$E$3:$F$19,2,FALSE)+1,7))</f>
        <v>45298</v>
      </c>
      <c r="K424" s="19">
        <f t="shared" si="2"/>
        <v>1</v>
      </c>
      <c r="L424" s="6" t="str">
        <f t="shared" si="3"/>
        <v>FS</v>
      </c>
    </row>
    <row r="425" ht="14.25" customHeight="1">
      <c r="A425" s="14" t="str">
        <f>Base_report!A424</f>
        <v>ABIDJAN 1</v>
      </c>
      <c r="B425" s="14" t="str">
        <f>Base_report!B424</f>
        <v>DECEMBRE 2023</v>
      </c>
      <c r="C425" s="15" t="str">
        <f>Base_report!C424</f>
        <v>C1076</v>
      </c>
      <c r="D425" s="14" t="str">
        <f>TRIM(IF(ISNUMBER(FIND("PNSME",Base_report!D424,1)),SUBSTITUTE(Base_report!D424,"PNSME",""),IF(ISNUMBER(FIND("PHG",Base_report!D424,1)),SUBSTITUTE(Base_report!D424,"PHG",""),IF(ISNUMBER(FIND("PCS",Base_report!D424,1)),SUBSTITUTE(Base_report!D424,"PCS",""),IF(ISNUMBER(FIND("CMU",Base_report!D424,1)),SUBSTITUTE(Base_report!D424,"CMU",""),Base_report!D424)))))</f>
        <v>FSU COM YOPOUGON NIANGON</v>
      </c>
      <c r="E425" s="14" t="str">
        <f>SUBSTITUTE(Base_report!E424,"-","/")</f>
        <v>PNLS/CHARGES VIRALES</v>
      </c>
      <c r="F425" s="14" t="s">
        <v>788</v>
      </c>
      <c r="G425" s="16">
        <f>DATE(YEAR(SUBSTITUTE(LEFT(Base_report!F424,10),"-","/")),MONTH(SUBSTITUTE(LEFT(Base_report!F424,10),"-","/")),DAY(SUBSTITUTE(LEFT(Base_report!F424,10),"-","/")))</f>
        <v>45296</v>
      </c>
      <c r="H425" s="16">
        <f>DATE(YEAR(SUBSTITUTE(LEFT(Base_report!G424,10),"-","/")),MONTH(SUBSTITUTE(LEFT(Base_report!G424,10),"-","/")),DAY(SUBSTITUTE(LEFT(Base_report!G424,10),"-","/")))</f>
        <v>45296</v>
      </c>
      <c r="I425" s="17" t="str">
        <f t="shared" si="1"/>
        <v>OUI</v>
      </c>
      <c r="J425" s="18">
        <f>IF(L425="DS",DATE(RIGHT(B425,4),VLOOKUP(LEFT(B425,LEN(B425)-5),Feuil1!$E$3:$F$19,2,FALSE)+1,10),DATE(RIGHT(B425,4),VLOOKUP(LEFT(B425,LEN(B425)-5),Feuil1!$E$3:$F$19,2,FALSE)+1,7))</f>
        <v>45298</v>
      </c>
      <c r="K425" s="19">
        <f t="shared" si="2"/>
        <v>1</v>
      </c>
      <c r="L425" s="6" t="str">
        <f t="shared" si="3"/>
        <v>FS</v>
      </c>
    </row>
    <row r="426" ht="14.25" customHeight="1">
      <c r="A426" s="14" t="str">
        <f>Base_report!A425</f>
        <v>BOUNKANI</v>
      </c>
      <c r="B426" s="14" t="str">
        <f>Base_report!B425</f>
        <v>DECEMBRE 2023</v>
      </c>
      <c r="C426" s="15" t="str">
        <f>Base_report!C425</f>
        <v>C4003</v>
      </c>
      <c r="D426" s="14" t="str">
        <f>TRIM(IF(ISNUMBER(FIND("PNSME",Base_report!D425,1)),SUBSTITUTE(Base_report!D425,"PNSME",""),IF(ISNUMBER(FIND("PHG",Base_report!D425,1)),SUBSTITUTE(Base_report!D425,"PHG",""),IF(ISNUMBER(FIND("PCS",Base_report!D425,1)),SUBSTITUTE(Base_report!D425,"PCS",""),IF(ISNUMBER(FIND("CMU",Base_report!D425,1)),SUBSTITUTE(Base_report!D425,"CMU",""),Base_report!D425)))))</f>
        <v>HOPITAL GENERAL NASSIAN</v>
      </c>
      <c r="E426" s="14" t="str">
        <f>SUBSTITUTE(Base_report!E425,"-","/")</f>
        <v>PNLS/ANTIRETROVIRAUX ET IO</v>
      </c>
      <c r="F426" s="14" t="s">
        <v>788</v>
      </c>
      <c r="G426" s="16">
        <f>DATE(YEAR(SUBSTITUTE(LEFT(Base_report!F425,10),"-","/")),MONTH(SUBSTITUTE(LEFT(Base_report!F425,10),"-","/")),DAY(SUBSTITUTE(LEFT(Base_report!F425,10),"-","/")))</f>
        <v>45297</v>
      </c>
      <c r="H426" s="16">
        <f>DATE(YEAR(SUBSTITUTE(LEFT(Base_report!G425,10),"-","/")),MONTH(SUBSTITUTE(LEFT(Base_report!G425,10),"-","/")),DAY(SUBSTITUTE(LEFT(Base_report!G425,10),"-","/")))</f>
        <v>45297</v>
      </c>
      <c r="I426" s="17" t="str">
        <f t="shared" si="1"/>
        <v>OUI</v>
      </c>
      <c r="J426" s="18">
        <f>IF(L426="DS",DATE(RIGHT(B426,4),VLOOKUP(LEFT(B426,LEN(B426)-5),Feuil1!$E$3:$F$19,2,FALSE)+1,10),DATE(RIGHT(B426,4),VLOOKUP(LEFT(B426,LEN(B426)-5),Feuil1!$E$3:$F$19,2,FALSE)+1,7))</f>
        <v>45298</v>
      </c>
      <c r="K426" s="19">
        <f t="shared" si="2"/>
        <v>1</v>
      </c>
      <c r="L426" s="6" t="str">
        <f t="shared" si="3"/>
        <v>FS</v>
      </c>
    </row>
    <row r="427" ht="14.25" customHeight="1">
      <c r="A427" s="14" t="str">
        <f>Base_report!A426</f>
        <v>ME</v>
      </c>
      <c r="B427" s="14" t="str">
        <f>Base_report!B426</f>
        <v>DECEMBRE 2023</v>
      </c>
      <c r="C427" s="15" t="str">
        <f>Base_report!C426</f>
        <v>C1046</v>
      </c>
      <c r="D427" s="14" t="str">
        <f>TRIM(IF(ISNUMBER(FIND("PNSME",Base_report!D426,1)),SUBSTITUTE(Base_report!D426,"PNSME",""),IF(ISNUMBER(FIND("PHG",Base_report!D426,1)),SUBSTITUTE(Base_report!D426,"PHG",""),IF(ISNUMBER(FIND("PCS",Base_report!D426,1)),SUBSTITUTE(Base_report!D426,"PCS",""),IF(ISNUMBER(FIND("CMU",Base_report!D426,1)),SUBSTITUTE(Base_report!D426,"CMU",""),Base_report!D426)))))</f>
        <v>DISTRICT SANITAIRE ALEPE</v>
      </c>
      <c r="E427" s="14" t="str">
        <f>SUBSTITUTE(Base_report!E426,"-","/")</f>
        <v>PNLS/ANTIRETROVIRAUX ET IO</v>
      </c>
      <c r="F427" s="14" t="s">
        <v>788</v>
      </c>
      <c r="G427" s="16">
        <f>DATE(YEAR(SUBSTITUTE(LEFT(Base_report!F426,10),"-","/")),MONTH(SUBSTITUTE(LEFT(Base_report!F426,10),"-","/")),DAY(SUBSTITUTE(LEFT(Base_report!F426,10),"-","/")))</f>
        <v>45301</v>
      </c>
      <c r="H427" s="16">
        <f>DATE(YEAR(SUBSTITUTE(LEFT(Base_report!G426,10),"-","/")),MONTH(SUBSTITUTE(LEFT(Base_report!G426,10),"-","/")),DAY(SUBSTITUTE(LEFT(Base_report!G426,10),"-","/")))</f>
        <v>45301</v>
      </c>
      <c r="I427" s="17" t="str">
        <f t="shared" si="1"/>
        <v>OUI</v>
      </c>
      <c r="J427" s="18">
        <f>IF(L427="DS",DATE(RIGHT(B427,4),VLOOKUP(LEFT(B427,LEN(B427)-5),Feuil1!$E$3:$F$19,2,FALSE)+1,10),DATE(RIGHT(B427,4),VLOOKUP(LEFT(B427,LEN(B427)-5),Feuil1!$E$3:$F$19,2,FALSE)+1,7))</f>
        <v>45301</v>
      </c>
      <c r="K427" s="19">
        <f t="shared" si="2"/>
        <v>1</v>
      </c>
      <c r="L427" s="6" t="str">
        <f t="shared" si="3"/>
        <v>DS</v>
      </c>
    </row>
    <row r="428" ht="14.25" customHeight="1">
      <c r="A428" s="14" t="str">
        <f>Base_report!A427</f>
        <v>NAWA</v>
      </c>
      <c r="B428" s="14" t="str">
        <f>Base_report!B427</f>
        <v>DECEMBRE 2023</v>
      </c>
      <c r="C428" s="15" t="str">
        <f>Base_report!C427</f>
        <v>C2211</v>
      </c>
      <c r="D428" s="14" t="str">
        <f>TRIM(IF(ISNUMBER(FIND("PNSME",Base_report!D427,1)),SUBSTITUTE(Base_report!D427,"PNSME",""),IF(ISNUMBER(FIND("PHG",Base_report!D427,1)),SUBSTITUTE(Base_report!D427,"PHG",""),IF(ISNUMBER(FIND("PCS",Base_report!D427,1)),SUBSTITUTE(Base_report!D427,"PCS",""),IF(ISNUMBER(FIND("CMU",Base_report!D427,1)),SUBSTITUTE(Base_report!D427,"CMU",""),Base_report!D427)))))</f>
        <v>DISTRICT SANITAIRE MEAGUI</v>
      </c>
      <c r="E428" s="14" t="str">
        <f>SUBSTITUTE(Base_report!E427,"-","/")</f>
        <v>PNLS/PRODUITS DE LABORATOIRE</v>
      </c>
      <c r="F428" s="14" t="s">
        <v>788</v>
      </c>
      <c r="G428" s="16">
        <f>DATE(YEAR(SUBSTITUTE(LEFT(Base_report!F427,10),"-","/")),MONTH(SUBSTITUTE(LEFT(Base_report!F427,10),"-","/")),DAY(SUBSTITUTE(LEFT(Base_report!F427,10),"-","/")))</f>
        <v>45298</v>
      </c>
      <c r="H428" s="16">
        <f>DATE(YEAR(SUBSTITUTE(LEFT(Base_report!G427,10),"-","/")),MONTH(SUBSTITUTE(LEFT(Base_report!G427,10),"-","/")),DAY(SUBSTITUTE(LEFT(Base_report!G427,10),"-","/")))</f>
        <v>45299</v>
      </c>
      <c r="I428" s="17" t="str">
        <f t="shared" si="1"/>
        <v>OUI</v>
      </c>
      <c r="J428" s="18">
        <f>IF(L428="DS",DATE(RIGHT(B428,4),VLOOKUP(LEFT(B428,LEN(B428)-5),Feuil1!$E$3:$F$19,2,FALSE)+1,10),DATE(RIGHT(B428,4),VLOOKUP(LEFT(B428,LEN(B428)-5),Feuil1!$E$3:$F$19,2,FALSE)+1,7))</f>
        <v>45301</v>
      </c>
      <c r="K428" s="19">
        <f t="shared" si="2"/>
        <v>1</v>
      </c>
      <c r="L428" s="6" t="str">
        <f t="shared" si="3"/>
        <v>DS</v>
      </c>
    </row>
    <row r="429" ht="14.25" customHeight="1">
      <c r="A429" s="14" t="str">
        <f>Base_report!A428</f>
        <v>GOH</v>
      </c>
      <c r="B429" s="14" t="str">
        <f>Base_report!B428</f>
        <v>DECEMBRE 2023</v>
      </c>
      <c r="C429" s="15" t="str">
        <f>Base_report!C428</f>
        <v>C2060</v>
      </c>
      <c r="D429" s="14" t="str">
        <f>TRIM(IF(ISNUMBER(FIND("PNSME",Base_report!D428,1)),SUBSTITUTE(Base_report!D428,"PNSME",""),IF(ISNUMBER(FIND("PHG",Base_report!D428,1)),SUBSTITUTE(Base_report!D428,"PHG",""),IF(ISNUMBER(FIND("PCS",Base_report!D428,1)),SUBSTITUTE(Base_report!D428,"PCS",""),IF(ISNUMBER(FIND("CMU",Base_report!D428,1)),SUBSTITUTE(Base_report!D428,"CMU",""),Base_report!D428)))))</f>
        <v>HOPITAL GENERAL OUME</v>
      </c>
      <c r="E429" s="14" t="str">
        <f>SUBSTITUTE(Base_report!E428,"-","/")</f>
        <v>PNLP/MEDICAMENTS ET INTRANTS</v>
      </c>
      <c r="F429" s="14" t="s">
        <v>788</v>
      </c>
      <c r="G429" s="16">
        <f>DATE(YEAR(SUBSTITUTE(LEFT(Base_report!F428,10),"-","/")),MONTH(SUBSTITUTE(LEFT(Base_report!F428,10),"-","/")),DAY(SUBSTITUTE(LEFT(Base_report!F428,10),"-","/")))</f>
        <v>45295</v>
      </c>
      <c r="H429" s="16">
        <f>DATE(YEAR(SUBSTITUTE(LEFT(Base_report!G428,10),"-","/")),MONTH(SUBSTITUTE(LEFT(Base_report!G428,10),"-","/")),DAY(SUBSTITUTE(LEFT(Base_report!G428,10),"-","/")))</f>
        <v>45296</v>
      </c>
      <c r="I429" s="17" t="str">
        <f t="shared" si="1"/>
        <v>OUI</v>
      </c>
      <c r="J429" s="18">
        <f>IF(L429="DS",DATE(RIGHT(B429,4),VLOOKUP(LEFT(B429,LEN(B429)-5),Feuil1!$E$3:$F$19,2,FALSE)+1,10),DATE(RIGHT(B429,4),VLOOKUP(LEFT(B429,LEN(B429)-5),Feuil1!$E$3:$F$19,2,FALSE)+1,7))</f>
        <v>45298</v>
      </c>
      <c r="K429" s="19">
        <f t="shared" si="2"/>
        <v>1</v>
      </c>
      <c r="L429" s="6" t="str">
        <f t="shared" si="3"/>
        <v>FS</v>
      </c>
    </row>
    <row r="430" ht="14.25" customHeight="1">
      <c r="A430" s="14" t="str">
        <f>Base_report!A429</f>
        <v>BOUNKANI</v>
      </c>
      <c r="B430" s="14" t="str">
        <f>Base_report!B429</f>
        <v>DECEMBRE 2023</v>
      </c>
      <c r="C430" s="15" t="str">
        <f>Base_report!C429</f>
        <v>C4003</v>
      </c>
      <c r="D430" s="14" t="str">
        <f>TRIM(IF(ISNUMBER(FIND("PNSME",Base_report!D429,1)),SUBSTITUTE(Base_report!D429,"PNSME",""),IF(ISNUMBER(FIND("PHG",Base_report!D429,1)),SUBSTITUTE(Base_report!D429,"PHG",""),IF(ISNUMBER(FIND("PCS",Base_report!D429,1)),SUBSTITUTE(Base_report!D429,"PCS",""),IF(ISNUMBER(FIND("CMU",Base_report!D429,1)),SUBSTITUTE(Base_report!D429,"CMU",""),Base_report!D429)))))</f>
        <v>HOPITAL GENERAL NASSIAN</v>
      </c>
      <c r="E430" s="14" t="str">
        <f>SUBSTITUTE(Base_report!E429,"-","/")</f>
        <v>PNN/MEDICAMENTS ET INTRANTS</v>
      </c>
      <c r="F430" s="14" t="s">
        <v>788</v>
      </c>
      <c r="G430" s="16">
        <f>DATE(YEAR(SUBSTITUTE(LEFT(Base_report!F429,10),"-","/")),MONTH(SUBSTITUTE(LEFT(Base_report!F429,10),"-","/")),DAY(SUBSTITUTE(LEFT(Base_report!F429,10),"-","/")))</f>
        <v>45296</v>
      </c>
      <c r="H430" s="16">
        <f>DATE(YEAR(SUBSTITUTE(LEFT(Base_report!G429,10),"-","/")),MONTH(SUBSTITUTE(LEFT(Base_report!G429,10),"-","/")),DAY(SUBSTITUTE(LEFT(Base_report!G429,10),"-","/")))</f>
        <v>45297</v>
      </c>
      <c r="I430" s="17" t="str">
        <f t="shared" si="1"/>
        <v>OUI</v>
      </c>
      <c r="J430" s="18">
        <f>IF(L430="DS",DATE(RIGHT(B430,4),VLOOKUP(LEFT(B430,LEN(B430)-5),Feuil1!$E$3:$F$19,2,FALSE)+1,10),DATE(RIGHT(B430,4),VLOOKUP(LEFT(B430,LEN(B430)-5),Feuil1!$E$3:$F$19,2,FALSE)+1,7))</f>
        <v>45298</v>
      </c>
      <c r="K430" s="19">
        <f t="shared" si="2"/>
        <v>1</v>
      </c>
      <c r="L430" s="6" t="str">
        <f t="shared" si="3"/>
        <v>FS</v>
      </c>
    </row>
    <row r="431" ht="14.25" customHeight="1">
      <c r="A431" s="14" t="str">
        <f>Base_report!A430</f>
        <v>BOUNKANI</v>
      </c>
      <c r="B431" s="14" t="str">
        <f>Base_report!B430</f>
        <v>DECEMBRE 2023</v>
      </c>
      <c r="C431" s="15" t="str">
        <f>Base_report!C430</f>
        <v>C4003</v>
      </c>
      <c r="D431" s="14" t="str">
        <f>TRIM(IF(ISNUMBER(FIND("PNSME",Base_report!D430,1)),SUBSTITUTE(Base_report!D430,"PNSME",""),IF(ISNUMBER(FIND("PHG",Base_report!D430,1)),SUBSTITUTE(Base_report!D430,"PHG",""),IF(ISNUMBER(FIND("PCS",Base_report!D430,1)),SUBSTITUTE(Base_report!D430,"PCS",""),IF(ISNUMBER(FIND("CMU",Base_report!D430,1)),SUBSTITUTE(Base_report!D430,"CMU",""),Base_report!D430)))))</f>
        <v>HOPITAL GENERAL NASSIAN</v>
      </c>
      <c r="E431" s="14" t="str">
        <f>SUBSTITUTE(Base_report!E430,"-","/")</f>
        <v>PNSME/MEDICAMENTS ET INTRANTS</v>
      </c>
      <c r="F431" s="14" t="s">
        <v>788</v>
      </c>
      <c r="G431" s="16">
        <f>DATE(YEAR(SUBSTITUTE(LEFT(Base_report!F430,10),"-","/")),MONTH(SUBSTITUTE(LEFT(Base_report!F430,10),"-","/")),DAY(SUBSTITUTE(LEFT(Base_report!F430,10),"-","/")))</f>
        <v>45296</v>
      </c>
      <c r="H431" s="16">
        <f>DATE(YEAR(SUBSTITUTE(LEFT(Base_report!G430,10),"-","/")),MONTH(SUBSTITUTE(LEFT(Base_report!G430,10),"-","/")),DAY(SUBSTITUTE(LEFT(Base_report!G430,10),"-","/")))</f>
        <v>45297</v>
      </c>
      <c r="I431" s="17" t="str">
        <f t="shared" si="1"/>
        <v>OUI</v>
      </c>
      <c r="J431" s="18">
        <f>IF(L431="DS",DATE(RIGHT(B431,4),VLOOKUP(LEFT(B431,LEN(B431)-5),Feuil1!$E$3:$F$19,2,FALSE)+1,10),DATE(RIGHT(B431,4),VLOOKUP(LEFT(B431,LEN(B431)-5),Feuil1!$E$3:$F$19,2,FALSE)+1,7))</f>
        <v>45298</v>
      </c>
      <c r="K431" s="19">
        <f t="shared" si="2"/>
        <v>1</v>
      </c>
      <c r="L431" s="6" t="str">
        <f t="shared" si="3"/>
        <v>FS</v>
      </c>
    </row>
    <row r="432" ht="14.25" customHeight="1">
      <c r="A432" s="14" t="str">
        <f>Base_report!A431</f>
        <v>GUEMON</v>
      </c>
      <c r="B432" s="14" t="str">
        <f>Base_report!B431</f>
        <v>DECEMBRE 2023</v>
      </c>
      <c r="C432" s="15" t="str">
        <f>Base_report!C431</f>
        <v>C5015</v>
      </c>
      <c r="D432" s="14" t="str">
        <f>TRIM(IF(ISNUMBER(FIND("PNSME",Base_report!D431,1)),SUBSTITUTE(Base_report!D431,"PNSME",""),IF(ISNUMBER(FIND("PHG",Base_report!D431,1)),SUBSTITUTE(Base_report!D431,"PHG",""),IF(ISNUMBER(FIND("PCS",Base_report!D431,1)),SUBSTITUTE(Base_report!D431,"PCS",""),IF(ISNUMBER(FIND("CMU",Base_report!D431,1)),SUBSTITUTE(Base_report!D431,"CMU",""),Base_report!D431)))))</f>
        <v>HOPITAL GENERAL BANGOLO</v>
      </c>
      <c r="E432" s="14" t="str">
        <f>SUBSTITUTE(Base_report!E431,"-","/")</f>
        <v>PNSME/MEDICAMENTS ET INTRANTS</v>
      </c>
      <c r="F432" s="14" t="s">
        <v>788</v>
      </c>
      <c r="G432" s="16">
        <f>DATE(YEAR(SUBSTITUTE(LEFT(Base_report!F431,10),"-","/")),MONTH(SUBSTITUTE(LEFT(Base_report!F431,10),"-","/")),DAY(SUBSTITUTE(LEFT(Base_report!F431,10),"-","/")))</f>
        <v>45298</v>
      </c>
      <c r="H432" s="16">
        <f>DATE(YEAR(SUBSTITUTE(LEFT(Base_report!G431,10),"-","/")),MONTH(SUBSTITUTE(LEFT(Base_report!G431,10),"-","/")),DAY(SUBSTITUTE(LEFT(Base_report!G431,10),"-","/")))</f>
        <v>45298</v>
      </c>
      <c r="I432" s="17" t="str">
        <f t="shared" si="1"/>
        <v>OUI</v>
      </c>
      <c r="J432" s="18">
        <f>IF(L432="DS",DATE(RIGHT(B432,4),VLOOKUP(LEFT(B432,LEN(B432)-5),Feuil1!$E$3:$F$19,2,FALSE)+1,10),DATE(RIGHT(B432,4),VLOOKUP(LEFT(B432,LEN(B432)-5),Feuil1!$E$3:$F$19,2,FALSE)+1,7))</f>
        <v>45298</v>
      </c>
      <c r="K432" s="19">
        <f t="shared" si="2"/>
        <v>1</v>
      </c>
      <c r="L432" s="6" t="str">
        <f t="shared" si="3"/>
        <v>FS</v>
      </c>
    </row>
    <row r="433" ht="14.25" customHeight="1">
      <c r="A433" s="14" t="str">
        <f>Base_report!A432</f>
        <v>ABIDJAN 1</v>
      </c>
      <c r="B433" s="14" t="str">
        <f>Base_report!B432</f>
        <v>DECEMBRE 2023</v>
      </c>
      <c r="C433" s="15" t="str">
        <f>Base_report!C432</f>
        <v>C1028</v>
      </c>
      <c r="D433" s="14" t="str">
        <f>TRIM(IF(ISNUMBER(FIND("PNSME",Base_report!D432,1)),SUBSTITUTE(Base_report!D432,"PNSME",""),IF(ISNUMBER(FIND("PHG",Base_report!D432,1)),SUBSTITUTE(Base_report!D432,"PHG",""),IF(ISNUMBER(FIND("PCS",Base_report!D432,1)),SUBSTITUTE(Base_report!D432,"PCS",""),IF(ISNUMBER(FIND("CMU",Base_report!D432,1)),SUBSTITUTE(Base_report!D432,"CMU",""),Base_report!D432)))))</f>
        <v>CSU COM NIANGON LOKOA</v>
      </c>
      <c r="E433" s="14" t="str">
        <f>SUBSTITUTE(Base_report!E432,"-","/")</f>
        <v>PNSME/MEDICAMENTS ET INTRANTS</v>
      </c>
      <c r="F433" s="14" t="s">
        <v>788</v>
      </c>
      <c r="G433" s="16">
        <f>DATE(YEAR(SUBSTITUTE(LEFT(Base_report!F432,10),"-","/")),MONTH(SUBSTITUTE(LEFT(Base_report!F432,10),"-","/")),DAY(SUBSTITUTE(LEFT(Base_report!F432,10),"-","/")))</f>
        <v>45287</v>
      </c>
      <c r="H433" s="16">
        <f>DATE(YEAR(SUBSTITUTE(LEFT(Base_report!G432,10),"-","/")),MONTH(SUBSTITUTE(LEFT(Base_report!G432,10),"-","/")),DAY(SUBSTITUTE(LEFT(Base_report!G432,10),"-","/")))</f>
        <v>45299</v>
      </c>
      <c r="I433" s="17" t="str">
        <f t="shared" si="1"/>
        <v>OUI</v>
      </c>
      <c r="J433" s="18">
        <f>IF(L433="DS",DATE(RIGHT(B433,4),VLOOKUP(LEFT(B433,LEN(B433)-5),Feuil1!$E$3:$F$19,2,FALSE)+1,10),DATE(RIGHT(B433,4),VLOOKUP(LEFT(B433,LEN(B433)-5),Feuil1!$E$3:$F$19,2,FALSE)+1,7))</f>
        <v>45298</v>
      </c>
      <c r="K433" s="19">
        <f t="shared" si="2"/>
        <v>0</v>
      </c>
      <c r="L433" s="6" t="str">
        <f t="shared" si="3"/>
        <v>FS</v>
      </c>
    </row>
    <row r="434" ht="14.25" customHeight="1">
      <c r="A434" s="14" t="str">
        <f>Base_report!A433</f>
        <v>GUEMON</v>
      </c>
      <c r="B434" s="14" t="str">
        <f>Base_report!B433</f>
        <v>DECEMBRE 2023</v>
      </c>
      <c r="C434" s="15" t="str">
        <f>Base_report!C433</f>
        <v>C5015</v>
      </c>
      <c r="D434" s="14" t="str">
        <f>TRIM(IF(ISNUMBER(FIND("PNSME",Base_report!D433,1)),SUBSTITUTE(Base_report!D433,"PNSME",""),IF(ISNUMBER(FIND("PHG",Base_report!D433,1)),SUBSTITUTE(Base_report!D433,"PHG",""),IF(ISNUMBER(FIND("PCS",Base_report!D433,1)),SUBSTITUTE(Base_report!D433,"PCS",""),IF(ISNUMBER(FIND("CMU",Base_report!D433,1)),SUBSTITUTE(Base_report!D433,"CMU",""),Base_report!D433)))))</f>
        <v>HOPITAL GENERAL BANGOLO</v>
      </c>
      <c r="E434" s="14" t="str">
        <f>SUBSTITUTE(Base_report!E433,"-","/")</f>
        <v>PNN/MEDICAMENTS ET INTRANTS</v>
      </c>
      <c r="F434" s="14" t="s">
        <v>788</v>
      </c>
      <c r="G434" s="16">
        <f>DATE(YEAR(SUBSTITUTE(LEFT(Base_report!F433,10),"-","/")),MONTH(SUBSTITUTE(LEFT(Base_report!F433,10),"-","/")),DAY(SUBSTITUTE(LEFT(Base_report!F433,10),"-","/")))</f>
        <v>45298</v>
      </c>
      <c r="H434" s="16">
        <f>DATE(YEAR(SUBSTITUTE(LEFT(Base_report!G433,10),"-","/")),MONTH(SUBSTITUTE(LEFT(Base_report!G433,10),"-","/")),DAY(SUBSTITUTE(LEFT(Base_report!G433,10),"-","/")))</f>
        <v>45298</v>
      </c>
      <c r="I434" s="17" t="str">
        <f t="shared" si="1"/>
        <v>OUI</v>
      </c>
      <c r="J434" s="18">
        <f>IF(L434="DS",DATE(RIGHT(B434,4),VLOOKUP(LEFT(B434,LEN(B434)-5),Feuil1!$E$3:$F$19,2,FALSE)+1,10),DATE(RIGHT(B434,4),VLOOKUP(LEFT(B434,LEN(B434)-5),Feuil1!$E$3:$F$19,2,FALSE)+1,7))</f>
        <v>45298</v>
      </c>
      <c r="K434" s="19">
        <f t="shared" si="2"/>
        <v>1</v>
      </c>
      <c r="L434" s="6" t="str">
        <f t="shared" si="3"/>
        <v>FS</v>
      </c>
    </row>
    <row r="435" ht="14.25" customHeight="1">
      <c r="A435" s="14" t="str">
        <f>Base_report!A434</f>
        <v>GUEMON</v>
      </c>
      <c r="B435" s="14" t="str">
        <f>Base_report!B434</f>
        <v>DECEMBRE 2023</v>
      </c>
      <c r="C435" s="15" t="str">
        <f>Base_report!C434</f>
        <v>C5015</v>
      </c>
      <c r="D435" s="14" t="str">
        <f>TRIM(IF(ISNUMBER(FIND("PNSME",Base_report!D434,1)),SUBSTITUTE(Base_report!D434,"PNSME",""),IF(ISNUMBER(FIND("PHG",Base_report!D434,1)),SUBSTITUTE(Base_report!D434,"PHG",""),IF(ISNUMBER(FIND("PCS",Base_report!D434,1)),SUBSTITUTE(Base_report!D434,"PCS",""),IF(ISNUMBER(FIND("CMU",Base_report!D434,1)),SUBSTITUTE(Base_report!D434,"CMU",""),Base_report!D434)))))</f>
        <v>HOPITAL GENERAL BANGOLO</v>
      </c>
      <c r="E435" s="14" t="str">
        <f>SUBSTITUTE(Base_report!E434,"-","/")</f>
        <v>PNLS/CHARGES VIRALES</v>
      </c>
      <c r="F435" s="14" t="s">
        <v>788</v>
      </c>
      <c r="G435" s="16">
        <f>DATE(YEAR(SUBSTITUTE(LEFT(Base_report!F434,10),"-","/")),MONTH(SUBSTITUTE(LEFT(Base_report!F434,10),"-","/")),DAY(SUBSTITUTE(LEFT(Base_report!F434,10),"-","/")))</f>
        <v>45298</v>
      </c>
      <c r="H435" s="16">
        <f>DATE(YEAR(SUBSTITUTE(LEFT(Base_report!G434,10),"-","/")),MONTH(SUBSTITUTE(LEFT(Base_report!G434,10),"-","/")),DAY(SUBSTITUTE(LEFT(Base_report!G434,10),"-","/")))</f>
        <v>45298</v>
      </c>
      <c r="I435" s="17" t="str">
        <f t="shared" si="1"/>
        <v>OUI</v>
      </c>
      <c r="J435" s="18">
        <f>IF(L435="DS",DATE(RIGHT(B435,4),VLOOKUP(LEFT(B435,LEN(B435)-5),Feuil1!$E$3:$F$19,2,FALSE)+1,10),DATE(RIGHT(B435,4),VLOOKUP(LEFT(B435,LEN(B435)-5),Feuil1!$E$3:$F$19,2,FALSE)+1,7))</f>
        <v>45298</v>
      </c>
      <c r="K435" s="19">
        <f t="shared" si="2"/>
        <v>1</v>
      </c>
      <c r="L435" s="6" t="str">
        <f t="shared" si="3"/>
        <v>FS</v>
      </c>
    </row>
    <row r="436" ht="14.25" customHeight="1">
      <c r="A436" s="14" t="str">
        <f>Base_report!A435</f>
        <v>BELIER</v>
      </c>
      <c r="B436" s="14" t="str">
        <f>Base_report!B435</f>
        <v>DECEMBRE 2023</v>
      </c>
      <c r="C436" s="15" t="str">
        <f>Base_report!C435</f>
        <v>C2045</v>
      </c>
      <c r="D436" s="14" t="str">
        <f>TRIM(IF(ISNUMBER(FIND("PNSME",Base_report!D435,1)),SUBSTITUTE(Base_report!D435,"PNSME",""),IF(ISNUMBER(FIND("PHG",Base_report!D435,1)),SUBSTITUTE(Base_report!D435,"PHG",""),IF(ISNUMBER(FIND("PCS",Base_report!D435,1)),SUBSTITUTE(Base_report!D435,"PCS",""),IF(ISNUMBER(FIND("CMU",Base_report!D435,1)),SUBSTITUTE(Base_report!D435,"CMU",""),Base_report!D435)))))</f>
        <v>DISTRICT SANITAIRE YAMOUSSOUKRO</v>
      </c>
      <c r="E436" s="14" t="str">
        <f>SUBSTITUTE(Base_report!E435,"-","/")</f>
        <v>PNLP/MEDICAMENTS ET INTRANTS</v>
      </c>
      <c r="F436" s="14" t="s">
        <v>788</v>
      </c>
      <c r="G436" s="16">
        <f>DATE(YEAR(SUBSTITUTE(LEFT(Base_report!F435,10),"-","/")),MONTH(SUBSTITUTE(LEFT(Base_report!F435,10),"-","/")),DAY(SUBSTITUTE(LEFT(Base_report!F435,10),"-","/")))</f>
        <v>45301</v>
      </c>
      <c r="H436" s="16">
        <f>DATE(YEAR(SUBSTITUTE(LEFT(Base_report!G435,10),"-","/")),MONTH(SUBSTITUTE(LEFT(Base_report!G435,10),"-","/")),DAY(SUBSTITUTE(LEFT(Base_report!G435,10),"-","/")))</f>
        <v>45301</v>
      </c>
      <c r="I436" s="17" t="str">
        <f t="shared" si="1"/>
        <v>OUI</v>
      </c>
      <c r="J436" s="18">
        <f>IF(L436="DS",DATE(RIGHT(B436,4),VLOOKUP(LEFT(B436,LEN(B436)-5),Feuil1!$E$3:$F$19,2,FALSE)+1,10),DATE(RIGHT(B436,4),VLOOKUP(LEFT(B436,LEN(B436)-5),Feuil1!$E$3:$F$19,2,FALSE)+1,7))</f>
        <v>45301</v>
      </c>
      <c r="K436" s="19">
        <f t="shared" si="2"/>
        <v>1</v>
      </c>
      <c r="L436" s="6" t="str">
        <f t="shared" si="3"/>
        <v>DS</v>
      </c>
    </row>
    <row r="437" ht="14.25" customHeight="1">
      <c r="A437" s="14" t="str">
        <f>Base_report!A436</f>
        <v>GUEMON</v>
      </c>
      <c r="B437" s="14" t="str">
        <f>Base_report!B436</f>
        <v>DECEMBRE 2023</v>
      </c>
      <c r="C437" s="15" t="str">
        <f>Base_report!C436</f>
        <v>C5015</v>
      </c>
      <c r="D437" s="14" t="str">
        <f>TRIM(IF(ISNUMBER(FIND("PNSME",Base_report!D436,1)),SUBSTITUTE(Base_report!D436,"PNSME",""),IF(ISNUMBER(FIND("PHG",Base_report!D436,1)),SUBSTITUTE(Base_report!D436,"PHG",""),IF(ISNUMBER(FIND("PCS",Base_report!D436,1)),SUBSTITUTE(Base_report!D436,"PCS",""),IF(ISNUMBER(FIND("CMU",Base_report!D436,1)),SUBSTITUTE(Base_report!D436,"CMU",""),Base_report!D436)))))</f>
        <v>HOPITAL GENERAL BANGOLO</v>
      </c>
      <c r="E437" s="14" t="str">
        <f>SUBSTITUTE(Base_report!E436,"-","/")</f>
        <v>PNLS/PRODUITS DE LABORATOIRE</v>
      </c>
      <c r="F437" s="14" t="s">
        <v>788</v>
      </c>
      <c r="G437" s="16">
        <f>DATE(YEAR(SUBSTITUTE(LEFT(Base_report!F436,10),"-","/")),MONTH(SUBSTITUTE(LEFT(Base_report!F436,10),"-","/")),DAY(SUBSTITUTE(LEFT(Base_report!F436,10),"-","/")))</f>
        <v>45298</v>
      </c>
      <c r="H437" s="16">
        <f>DATE(YEAR(SUBSTITUTE(LEFT(Base_report!G436,10),"-","/")),MONTH(SUBSTITUTE(LEFT(Base_report!G436,10),"-","/")),DAY(SUBSTITUTE(LEFT(Base_report!G436,10),"-","/")))</f>
        <v>45298</v>
      </c>
      <c r="I437" s="17" t="str">
        <f t="shared" si="1"/>
        <v>OUI</v>
      </c>
      <c r="J437" s="18">
        <f>IF(L437="DS",DATE(RIGHT(B437,4),VLOOKUP(LEFT(B437,LEN(B437)-5),Feuil1!$E$3:$F$19,2,FALSE)+1,10),DATE(RIGHT(B437,4),VLOOKUP(LEFT(B437,LEN(B437)-5),Feuil1!$E$3:$F$19,2,FALSE)+1,7))</f>
        <v>45298</v>
      </c>
      <c r="K437" s="19">
        <f t="shared" si="2"/>
        <v>1</v>
      </c>
      <c r="L437" s="6" t="str">
        <f t="shared" si="3"/>
        <v>FS</v>
      </c>
    </row>
    <row r="438" ht="14.25" customHeight="1">
      <c r="A438" s="14" t="str">
        <f>Base_report!A437</f>
        <v>GUEMON</v>
      </c>
      <c r="B438" s="14" t="str">
        <f>Base_report!B437</f>
        <v>DECEMBRE 2023</v>
      </c>
      <c r="C438" s="15" t="str">
        <f>Base_report!C437</f>
        <v>C5015</v>
      </c>
      <c r="D438" s="14" t="str">
        <f>TRIM(IF(ISNUMBER(FIND("PNSME",Base_report!D437,1)),SUBSTITUTE(Base_report!D437,"PNSME",""),IF(ISNUMBER(FIND("PHG",Base_report!D437,1)),SUBSTITUTE(Base_report!D437,"PHG",""),IF(ISNUMBER(FIND("PCS",Base_report!D437,1)),SUBSTITUTE(Base_report!D437,"PCS",""),IF(ISNUMBER(FIND("CMU",Base_report!D437,1)),SUBSTITUTE(Base_report!D437,"CMU",""),Base_report!D437)))))</f>
        <v>HOPITAL GENERAL BANGOLO</v>
      </c>
      <c r="E438" s="14" t="str">
        <f>SUBSTITUTE(Base_report!E437,"-","/")</f>
        <v>PNLS/TESTS RAPIDES ET CONSOMMABLES</v>
      </c>
      <c r="F438" s="14" t="s">
        <v>788</v>
      </c>
      <c r="G438" s="16">
        <f>DATE(YEAR(SUBSTITUTE(LEFT(Base_report!F437,10),"-","/")),MONTH(SUBSTITUTE(LEFT(Base_report!F437,10),"-","/")),DAY(SUBSTITUTE(LEFT(Base_report!F437,10),"-","/")))</f>
        <v>45298</v>
      </c>
      <c r="H438" s="16">
        <f>DATE(YEAR(SUBSTITUTE(LEFT(Base_report!G437,10),"-","/")),MONTH(SUBSTITUTE(LEFT(Base_report!G437,10),"-","/")),DAY(SUBSTITUTE(LEFT(Base_report!G437,10),"-","/")))</f>
        <v>45298</v>
      </c>
      <c r="I438" s="17" t="str">
        <f t="shared" si="1"/>
        <v>OUI</v>
      </c>
      <c r="J438" s="18">
        <f>IF(L438="DS",DATE(RIGHT(B438,4),VLOOKUP(LEFT(B438,LEN(B438)-5),Feuil1!$E$3:$F$19,2,FALSE)+1,10),DATE(RIGHT(B438,4),VLOOKUP(LEFT(B438,LEN(B438)-5),Feuil1!$E$3:$F$19,2,FALSE)+1,7))</f>
        <v>45298</v>
      </c>
      <c r="K438" s="19">
        <f t="shared" si="2"/>
        <v>1</v>
      </c>
      <c r="L438" s="6" t="str">
        <f t="shared" si="3"/>
        <v>FS</v>
      </c>
    </row>
    <row r="439" ht="14.25" customHeight="1">
      <c r="A439" s="14" t="str">
        <f>Base_report!A438</f>
        <v>GUEMON</v>
      </c>
      <c r="B439" s="14" t="str">
        <f>Base_report!B438</f>
        <v>DECEMBRE 2023</v>
      </c>
      <c r="C439" s="15" t="str">
        <f>Base_report!C438</f>
        <v>C5015</v>
      </c>
      <c r="D439" s="14" t="str">
        <f>TRIM(IF(ISNUMBER(FIND("PNSME",Base_report!D438,1)),SUBSTITUTE(Base_report!D438,"PNSME",""),IF(ISNUMBER(FIND("PHG",Base_report!D438,1)),SUBSTITUTE(Base_report!D438,"PHG",""),IF(ISNUMBER(FIND("PCS",Base_report!D438,1)),SUBSTITUTE(Base_report!D438,"PCS",""),IF(ISNUMBER(FIND("CMU",Base_report!D438,1)),SUBSTITUTE(Base_report!D438,"CMU",""),Base_report!D438)))))</f>
        <v>HOPITAL GENERAL BANGOLO</v>
      </c>
      <c r="E439" s="14" t="str">
        <f>SUBSTITUTE(Base_report!E438,"-","/")</f>
        <v>PNLP/MEDICAMENTS ET INTRANTS</v>
      </c>
      <c r="F439" s="14" t="s">
        <v>788</v>
      </c>
      <c r="G439" s="16">
        <f>DATE(YEAR(SUBSTITUTE(LEFT(Base_report!F438,10),"-","/")),MONTH(SUBSTITUTE(LEFT(Base_report!F438,10),"-","/")),DAY(SUBSTITUTE(LEFT(Base_report!F438,10),"-","/")))</f>
        <v>45298</v>
      </c>
      <c r="H439" s="16">
        <f>DATE(YEAR(SUBSTITUTE(LEFT(Base_report!G438,10),"-","/")),MONTH(SUBSTITUTE(LEFT(Base_report!G438,10),"-","/")),DAY(SUBSTITUTE(LEFT(Base_report!G438,10),"-","/")))</f>
        <v>45298</v>
      </c>
      <c r="I439" s="17" t="str">
        <f t="shared" si="1"/>
        <v>OUI</v>
      </c>
      <c r="J439" s="18">
        <f>IF(L439="DS",DATE(RIGHT(B439,4),VLOOKUP(LEFT(B439,LEN(B439)-5),Feuil1!$E$3:$F$19,2,FALSE)+1,10),DATE(RIGHT(B439,4),VLOOKUP(LEFT(B439,LEN(B439)-5),Feuil1!$E$3:$F$19,2,FALSE)+1,7))</f>
        <v>45298</v>
      </c>
      <c r="K439" s="19">
        <f t="shared" si="2"/>
        <v>1</v>
      </c>
      <c r="L439" s="6" t="str">
        <f t="shared" si="3"/>
        <v>FS</v>
      </c>
    </row>
    <row r="440" ht="14.25" customHeight="1">
      <c r="A440" s="14" t="str">
        <f>Base_report!A439</f>
        <v>ABIDJAN 1</v>
      </c>
      <c r="B440" s="14" t="str">
        <f>Base_report!B439</f>
        <v>DECEMBRE 2023</v>
      </c>
      <c r="C440" s="15" t="str">
        <f>Base_report!C439</f>
        <v>C1416</v>
      </c>
      <c r="D440" s="14" t="str">
        <f>TRIM(IF(ISNUMBER(FIND("PNSME",Base_report!D439,1)),SUBSTITUTE(Base_report!D439,"PNSME",""),IF(ISNUMBER(FIND("PHG",Base_report!D439,1)),SUBSTITUTE(Base_report!D439,"PHG",""),IF(ISNUMBER(FIND("PCS",Base_report!D439,1)),SUBSTITUTE(Base_report!D439,"PCS",""),IF(ISNUMBER(FIND("CMU",Base_report!D439,1)),SUBSTITUTE(Base_report!D439,"CMU",""),Base_report!D439)))))</f>
        <v>DISTRICT SANITAIRE YOPOUGON OUEST SONGON</v>
      </c>
      <c r="E440" s="14" t="str">
        <f>SUBSTITUTE(Base_report!E439,"-","/")</f>
        <v>PNLS/ANTIRETROVIRAUX ET IO</v>
      </c>
      <c r="F440" s="14" t="s">
        <v>788</v>
      </c>
      <c r="G440" s="16">
        <f>DATE(YEAR(SUBSTITUTE(LEFT(Base_report!F439,10),"-","/")),MONTH(SUBSTITUTE(LEFT(Base_report!F439,10),"-","/")),DAY(SUBSTITUTE(LEFT(Base_report!F439,10),"-","/")))</f>
        <v>45301</v>
      </c>
      <c r="H440" s="16">
        <f>DATE(YEAR(SUBSTITUTE(LEFT(Base_report!G439,10),"-","/")),MONTH(SUBSTITUTE(LEFT(Base_report!G439,10),"-","/")),DAY(SUBSTITUTE(LEFT(Base_report!G439,10),"-","/")))</f>
        <v>45301</v>
      </c>
      <c r="I440" s="17" t="str">
        <f t="shared" si="1"/>
        <v>OUI</v>
      </c>
      <c r="J440" s="18">
        <f>IF(L440="DS",DATE(RIGHT(B440,4),VLOOKUP(LEFT(B440,LEN(B440)-5),Feuil1!$E$3:$F$19,2,FALSE)+1,10),DATE(RIGHT(B440,4),VLOOKUP(LEFT(B440,LEN(B440)-5),Feuil1!$E$3:$F$19,2,FALSE)+1,7))</f>
        <v>45301</v>
      </c>
      <c r="K440" s="19">
        <f t="shared" si="2"/>
        <v>1</v>
      </c>
      <c r="L440" s="6" t="str">
        <f t="shared" si="3"/>
        <v>DS</v>
      </c>
    </row>
    <row r="441" ht="14.25" customHeight="1">
      <c r="A441" s="14" t="str">
        <f>Base_report!A440</f>
        <v>GUEMON</v>
      </c>
      <c r="B441" s="14" t="str">
        <f>Base_report!B440</f>
        <v>DECEMBRE 2023</v>
      </c>
      <c r="C441" s="15" t="str">
        <f>Base_report!C440</f>
        <v>C5015</v>
      </c>
      <c r="D441" s="14" t="str">
        <f>TRIM(IF(ISNUMBER(FIND("PNSME",Base_report!D440,1)),SUBSTITUTE(Base_report!D440,"PNSME",""),IF(ISNUMBER(FIND("PHG",Base_report!D440,1)),SUBSTITUTE(Base_report!D440,"PHG",""),IF(ISNUMBER(FIND("PCS",Base_report!D440,1)),SUBSTITUTE(Base_report!D440,"PCS",""),IF(ISNUMBER(FIND("CMU",Base_report!D440,1)),SUBSTITUTE(Base_report!D440,"CMU",""),Base_report!D440)))))</f>
        <v>HOPITAL GENERAL BANGOLO</v>
      </c>
      <c r="E441" s="14" t="str">
        <f>SUBSTITUTE(Base_report!E440,"-","/")</f>
        <v>PNLS/ANTIRETROVIRAUX ET IO</v>
      </c>
      <c r="F441" s="14" t="s">
        <v>788</v>
      </c>
      <c r="G441" s="16">
        <f>DATE(YEAR(SUBSTITUTE(LEFT(Base_report!F440,10),"-","/")),MONTH(SUBSTITUTE(LEFT(Base_report!F440,10),"-","/")),DAY(SUBSTITUTE(LEFT(Base_report!F440,10),"-","/")))</f>
        <v>45298</v>
      </c>
      <c r="H441" s="16">
        <f>DATE(YEAR(SUBSTITUTE(LEFT(Base_report!G440,10),"-","/")),MONTH(SUBSTITUTE(LEFT(Base_report!G440,10),"-","/")),DAY(SUBSTITUTE(LEFT(Base_report!G440,10),"-","/")))</f>
        <v>45298</v>
      </c>
      <c r="I441" s="17" t="str">
        <f t="shared" si="1"/>
        <v>OUI</v>
      </c>
      <c r="J441" s="18">
        <f>IF(L441="DS",DATE(RIGHT(B441,4),VLOOKUP(LEFT(B441,LEN(B441)-5),Feuil1!$E$3:$F$19,2,FALSE)+1,10),DATE(RIGHT(B441,4),VLOOKUP(LEFT(B441,LEN(B441)-5),Feuil1!$E$3:$F$19,2,FALSE)+1,7))</f>
        <v>45298</v>
      </c>
      <c r="K441" s="19">
        <f t="shared" si="2"/>
        <v>1</v>
      </c>
      <c r="L441" s="6" t="str">
        <f t="shared" si="3"/>
        <v>FS</v>
      </c>
    </row>
    <row r="442" ht="14.25" customHeight="1">
      <c r="A442" s="14" t="str">
        <f>Base_report!A441</f>
        <v>ABIDJAN 1</v>
      </c>
      <c r="B442" s="14" t="str">
        <f>Base_report!B441</f>
        <v>DECEMBRE 2023</v>
      </c>
      <c r="C442" s="15" t="str">
        <f>Base_report!C441</f>
        <v>C1416</v>
      </c>
      <c r="D442" s="14" t="str">
        <f>TRIM(IF(ISNUMBER(FIND("PNSME",Base_report!D441,1)),SUBSTITUTE(Base_report!D441,"PNSME",""),IF(ISNUMBER(FIND("PHG",Base_report!D441,1)),SUBSTITUTE(Base_report!D441,"PHG",""),IF(ISNUMBER(FIND("PCS",Base_report!D441,1)),SUBSTITUTE(Base_report!D441,"PCS",""),IF(ISNUMBER(FIND("CMU",Base_report!D441,1)),SUBSTITUTE(Base_report!D441,"CMU",""),Base_report!D441)))))</f>
        <v>DISTRICT SANITAIRE YOPOUGON OUEST SONGON</v>
      </c>
      <c r="E442" s="14" t="str">
        <f>SUBSTITUTE(Base_report!E441,"-","/")</f>
        <v>PNLS/TESTS RAPIDES ET CONSOMMABLES</v>
      </c>
      <c r="F442" s="14" t="s">
        <v>788</v>
      </c>
      <c r="G442" s="16">
        <f>DATE(YEAR(SUBSTITUTE(LEFT(Base_report!F441,10),"-","/")),MONTH(SUBSTITUTE(LEFT(Base_report!F441,10),"-","/")),DAY(SUBSTITUTE(LEFT(Base_report!F441,10),"-","/")))</f>
        <v>45301</v>
      </c>
      <c r="H442" s="16">
        <f>DATE(YEAR(SUBSTITUTE(LEFT(Base_report!G441,10),"-","/")),MONTH(SUBSTITUTE(LEFT(Base_report!G441,10),"-","/")),DAY(SUBSTITUTE(LEFT(Base_report!G441,10),"-","/")))</f>
        <v>45301</v>
      </c>
      <c r="I442" s="17" t="str">
        <f t="shared" si="1"/>
        <v>OUI</v>
      </c>
      <c r="J442" s="18">
        <f>IF(L442="DS",DATE(RIGHT(B442,4),VLOOKUP(LEFT(B442,LEN(B442)-5),Feuil1!$E$3:$F$19,2,FALSE)+1,10),DATE(RIGHT(B442,4),VLOOKUP(LEFT(B442,LEN(B442)-5),Feuil1!$E$3:$F$19,2,FALSE)+1,7))</f>
        <v>45301</v>
      </c>
      <c r="K442" s="19">
        <f t="shared" si="2"/>
        <v>1</v>
      </c>
      <c r="L442" s="6" t="str">
        <f t="shared" si="3"/>
        <v>DS</v>
      </c>
    </row>
    <row r="443" ht="14.25" customHeight="1">
      <c r="A443" s="14" t="str">
        <f>Base_report!A442</f>
        <v>ABIDJAN 1</v>
      </c>
      <c r="B443" s="14" t="str">
        <f>Base_report!B442</f>
        <v>DECEMBRE 2023</v>
      </c>
      <c r="C443" s="15" t="str">
        <f>Base_report!C442</f>
        <v>C1416</v>
      </c>
      <c r="D443" s="14" t="str">
        <f>TRIM(IF(ISNUMBER(FIND("PNSME",Base_report!D442,1)),SUBSTITUTE(Base_report!D442,"PNSME",""),IF(ISNUMBER(FIND("PHG",Base_report!D442,1)),SUBSTITUTE(Base_report!D442,"PHG",""),IF(ISNUMBER(FIND("PCS",Base_report!D442,1)),SUBSTITUTE(Base_report!D442,"PCS",""),IF(ISNUMBER(FIND("CMU",Base_report!D442,1)),SUBSTITUTE(Base_report!D442,"CMU",""),Base_report!D442)))))</f>
        <v>DISTRICT SANITAIRE YOPOUGON OUEST SONGON</v>
      </c>
      <c r="E443" s="14" t="str">
        <f>SUBSTITUTE(Base_report!E442,"-","/")</f>
        <v>PNLS/PRODUITS DE LABORATOIRE</v>
      </c>
      <c r="F443" s="14" t="s">
        <v>788</v>
      </c>
      <c r="G443" s="16">
        <f>DATE(YEAR(SUBSTITUTE(LEFT(Base_report!F442,10),"-","/")),MONTH(SUBSTITUTE(LEFT(Base_report!F442,10),"-","/")),DAY(SUBSTITUTE(LEFT(Base_report!F442,10),"-","/")))</f>
        <v>45301</v>
      </c>
      <c r="H443" s="16">
        <f>DATE(YEAR(SUBSTITUTE(LEFT(Base_report!G442,10),"-","/")),MONTH(SUBSTITUTE(LEFT(Base_report!G442,10),"-","/")),DAY(SUBSTITUTE(LEFT(Base_report!G442,10),"-","/")))</f>
        <v>45301</v>
      </c>
      <c r="I443" s="17" t="str">
        <f t="shared" si="1"/>
        <v>OUI</v>
      </c>
      <c r="J443" s="18">
        <f>IF(L443="DS",DATE(RIGHT(B443,4),VLOOKUP(LEFT(B443,LEN(B443)-5),Feuil1!$E$3:$F$19,2,FALSE)+1,10),DATE(RIGHT(B443,4),VLOOKUP(LEFT(B443,LEN(B443)-5),Feuil1!$E$3:$F$19,2,FALSE)+1,7))</f>
        <v>45301</v>
      </c>
      <c r="K443" s="19">
        <f t="shared" si="2"/>
        <v>1</v>
      </c>
      <c r="L443" s="6" t="str">
        <f t="shared" si="3"/>
        <v>DS</v>
      </c>
    </row>
    <row r="444" ht="14.25" customHeight="1">
      <c r="A444" s="14" t="str">
        <f>Base_report!A443</f>
        <v>ABIDJAN 1</v>
      </c>
      <c r="B444" s="14" t="str">
        <f>Base_report!B443</f>
        <v>DECEMBRE 2023</v>
      </c>
      <c r="C444" s="15" t="str">
        <f>Base_report!C443</f>
        <v>C1416</v>
      </c>
      <c r="D444" s="14" t="str">
        <f>TRIM(IF(ISNUMBER(FIND("PNSME",Base_report!D443,1)),SUBSTITUTE(Base_report!D443,"PNSME",""),IF(ISNUMBER(FIND("PHG",Base_report!D443,1)),SUBSTITUTE(Base_report!D443,"PHG",""),IF(ISNUMBER(FIND("PCS",Base_report!D443,1)),SUBSTITUTE(Base_report!D443,"PCS",""),IF(ISNUMBER(FIND("CMU",Base_report!D443,1)),SUBSTITUTE(Base_report!D443,"CMU",""),Base_report!D443)))))</f>
        <v>DISTRICT SANITAIRE YOPOUGON OUEST SONGON</v>
      </c>
      <c r="E444" s="14" t="str">
        <f>SUBSTITUTE(Base_report!E443,"-","/")</f>
        <v>PNLS/CHARGES VIRALES</v>
      </c>
      <c r="F444" s="14" t="s">
        <v>788</v>
      </c>
      <c r="G444" s="16">
        <f>DATE(YEAR(SUBSTITUTE(LEFT(Base_report!F443,10),"-","/")),MONTH(SUBSTITUTE(LEFT(Base_report!F443,10),"-","/")),DAY(SUBSTITUTE(LEFT(Base_report!F443,10),"-","/")))</f>
        <v>45301</v>
      </c>
      <c r="H444" s="16">
        <f>DATE(YEAR(SUBSTITUTE(LEFT(Base_report!G443,10),"-","/")),MONTH(SUBSTITUTE(LEFT(Base_report!G443,10),"-","/")),DAY(SUBSTITUTE(LEFT(Base_report!G443,10),"-","/")))</f>
        <v>45301</v>
      </c>
      <c r="I444" s="17" t="str">
        <f t="shared" si="1"/>
        <v>OUI</v>
      </c>
      <c r="J444" s="18">
        <f>IF(L444="DS",DATE(RIGHT(B444,4),VLOOKUP(LEFT(B444,LEN(B444)-5),Feuil1!$E$3:$F$19,2,FALSE)+1,10),DATE(RIGHT(B444,4),VLOOKUP(LEFT(B444,LEN(B444)-5),Feuil1!$E$3:$F$19,2,FALSE)+1,7))</f>
        <v>45301</v>
      </c>
      <c r="K444" s="19">
        <f t="shared" si="2"/>
        <v>1</v>
      </c>
      <c r="L444" s="6" t="str">
        <f t="shared" si="3"/>
        <v>DS</v>
      </c>
    </row>
    <row r="445" ht="14.25" customHeight="1">
      <c r="A445" s="14" t="str">
        <f>Base_report!A444</f>
        <v>INDENIE-DJUABLIN</v>
      </c>
      <c r="B445" s="14" t="str">
        <f>Base_report!B444</f>
        <v>DECEMBRE 2023</v>
      </c>
      <c r="C445" s="15" t="str">
        <f>Base_report!C444</f>
        <v>C4004</v>
      </c>
      <c r="D445" s="14" t="str">
        <f>TRIM(IF(ISNUMBER(FIND("PNSME",Base_report!D444,1)),SUBSTITUTE(Base_report!D444,"PNSME",""),IF(ISNUMBER(FIND("PHG",Base_report!D444,1)),SUBSTITUTE(Base_report!D444,"PHG",""),IF(ISNUMBER(FIND("PCS",Base_report!D444,1)),SUBSTITUTE(Base_report!D444,"PCS",""),IF(ISNUMBER(FIND("CMU",Base_report!D444,1)),SUBSTITUTE(Base_report!D444,"CMU",""),Base_report!D444)))))</f>
        <v>DISTRICT SANITAIRE ABENGOUROU</v>
      </c>
      <c r="E445" s="14" t="str">
        <f>SUBSTITUTE(Base_report!E444,"-","/")</f>
        <v>PNLS/ANTIRETROVIRAUX ET IO</v>
      </c>
      <c r="F445" s="14" t="s">
        <v>788</v>
      </c>
      <c r="G445" s="16">
        <f>DATE(YEAR(SUBSTITUTE(LEFT(Base_report!F444,10),"-","/")),MONTH(SUBSTITUTE(LEFT(Base_report!F444,10),"-","/")),DAY(SUBSTITUTE(LEFT(Base_report!F444,10),"-","/")))</f>
        <v>45301</v>
      </c>
      <c r="H445" s="16">
        <f>DATE(YEAR(SUBSTITUTE(LEFT(Base_report!G444,10),"-","/")),MONTH(SUBSTITUTE(LEFT(Base_report!G444,10),"-","/")),DAY(SUBSTITUTE(LEFT(Base_report!G444,10),"-","/")))</f>
        <v>45301</v>
      </c>
      <c r="I445" s="17" t="str">
        <f t="shared" si="1"/>
        <v>OUI</v>
      </c>
      <c r="J445" s="18">
        <f>IF(L445="DS",DATE(RIGHT(B445,4),VLOOKUP(LEFT(B445,LEN(B445)-5),Feuil1!$E$3:$F$19,2,FALSE)+1,10),DATE(RIGHT(B445,4),VLOOKUP(LEFT(B445,LEN(B445)-5),Feuil1!$E$3:$F$19,2,FALSE)+1,7))</f>
        <v>45301</v>
      </c>
      <c r="K445" s="19">
        <f t="shared" si="2"/>
        <v>1</v>
      </c>
      <c r="L445" s="6" t="str">
        <f t="shared" si="3"/>
        <v>DS</v>
      </c>
    </row>
    <row r="446" ht="14.25" customHeight="1">
      <c r="A446" s="14" t="str">
        <f>Base_report!A445</f>
        <v>HAUT-SASSANDRA</v>
      </c>
      <c r="B446" s="14" t="str">
        <f>Base_report!B445</f>
        <v>DECEMBRE 2023</v>
      </c>
      <c r="C446" s="15" t="str">
        <f>Base_report!C445</f>
        <v>C2056</v>
      </c>
      <c r="D446" s="14" t="str">
        <f>TRIM(IF(ISNUMBER(FIND("PNSME",Base_report!D445,1)),SUBSTITUTE(Base_report!D445,"PNSME",""),IF(ISNUMBER(FIND("PHG",Base_report!D445,1)),SUBSTITUTE(Base_report!D445,"PHG",""),IF(ISNUMBER(FIND("PCS",Base_report!D445,1)),SUBSTITUTE(Base_report!D445,"PCS",""),IF(ISNUMBER(FIND("CMU",Base_report!D445,1)),SUBSTITUTE(Base_report!D445,"CMU",""),Base_report!D445)))))</f>
        <v>HOPITAL GENERAL ISSIA</v>
      </c>
      <c r="E446" s="14" t="str">
        <f>SUBSTITUTE(Base_report!E445,"-","/")</f>
        <v>PNLP/MEDICAMENTS ET INTRANTS</v>
      </c>
      <c r="F446" s="14" t="s">
        <v>788</v>
      </c>
      <c r="G446" s="16">
        <f>DATE(YEAR(SUBSTITUTE(LEFT(Base_report!F445,10),"-","/")),MONTH(SUBSTITUTE(LEFT(Base_report!F445,10),"-","/")),DAY(SUBSTITUTE(LEFT(Base_report!F445,10),"-","/")))</f>
        <v>45296</v>
      </c>
      <c r="H446" s="16">
        <f>DATE(YEAR(SUBSTITUTE(LEFT(Base_report!G445,10),"-","/")),MONTH(SUBSTITUTE(LEFT(Base_report!G445,10),"-","/")),DAY(SUBSTITUTE(LEFT(Base_report!G445,10),"-","/")))</f>
        <v>45296</v>
      </c>
      <c r="I446" s="17" t="str">
        <f t="shared" si="1"/>
        <v>OUI</v>
      </c>
      <c r="J446" s="18">
        <f>IF(L446="DS",DATE(RIGHT(B446,4),VLOOKUP(LEFT(B446,LEN(B446)-5),Feuil1!$E$3:$F$19,2,FALSE)+1,10),DATE(RIGHT(B446,4),VLOOKUP(LEFT(B446,LEN(B446)-5),Feuil1!$E$3:$F$19,2,FALSE)+1,7))</f>
        <v>45298</v>
      </c>
      <c r="K446" s="19">
        <f t="shared" si="2"/>
        <v>1</v>
      </c>
      <c r="L446" s="6" t="str">
        <f t="shared" si="3"/>
        <v>FS</v>
      </c>
    </row>
    <row r="447" ht="14.25" customHeight="1">
      <c r="A447" s="14" t="str">
        <f>Base_report!A446</f>
        <v>ABIDJAN 1</v>
      </c>
      <c r="B447" s="14" t="str">
        <f>Base_report!B446</f>
        <v>DECEMBRE 2023</v>
      </c>
      <c r="C447" s="15" t="str">
        <f>Base_report!C446</f>
        <v>C1416</v>
      </c>
      <c r="D447" s="14" t="str">
        <f>TRIM(IF(ISNUMBER(FIND("PNSME",Base_report!D446,1)),SUBSTITUTE(Base_report!D446,"PNSME",""),IF(ISNUMBER(FIND("PHG",Base_report!D446,1)),SUBSTITUTE(Base_report!D446,"PHG",""),IF(ISNUMBER(FIND("PCS",Base_report!D446,1)),SUBSTITUTE(Base_report!D446,"PCS",""),IF(ISNUMBER(FIND("CMU",Base_report!D446,1)),SUBSTITUTE(Base_report!D446,"CMU",""),Base_report!D446)))))</f>
        <v>DISTRICT SANITAIRE YOPOUGON OUEST SONGON</v>
      </c>
      <c r="E447" s="14" t="str">
        <f>SUBSTITUTE(Base_report!E446,"-","/")</f>
        <v>PNLP/MEDICAMENTS ET INTRANTS</v>
      </c>
      <c r="F447" s="14" t="s">
        <v>788</v>
      </c>
      <c r="G447" s="16">
        <f>DATE(YEAR(SUBSTITUTE(LEFT(Base_report!F446,10),"-","/")),MONTH(SUBSTITUTE(LEFT(Base_report!F446,10),"-","/")),DAY(SUBSTITUTE(LEFT(Base_report!F446,10),"-","/")))</f>
        <v>45301</v>
      </c>
      <c r="H447" s="16">
        <f>DATE(YEAR(SUBSTITUTE(LEFT(Base_report!G446,10),"-","/")),MONTH(SUBSTITUTE(LEFT(Base_report!G446,10),"-","/")),DAY(SUBSTITUTE(LEFT(Base_report!G446,10),"-","/")))</f>
        <v>45301</v>
      </c>
      <c r="I447" s="17" t="str">
        <f t="shared" si="1"/>
        <v>OUI</v>
      </c>
      <c r="J447" s="18">
        <f>IF(L447="DS",DATE(RIGHT(B447,4),VLOOKUP(LEFT(B447,LEN(B447)-5),Feuil1!$E$3:$F$19,2,FALSE)+1,10),DATE(RIGHT(B447,4),VLOOKUP(LEFT(B447,LEN(B447)-5),Feuil1!$E$3:$F$19,2,FALSE)+1,7))</f>
        <v>45301</v>
      </c>
      <c r="K447" s="19">
        <f t="shared" si="2"/>
        <v>1</v>
      </c>
      <c r="L447" s="6" t="str">
        <f t="shared" si="3"/>
        <v>DS</v>
      </c>
    </row>
    <row r="448" ht="14.25" customHeight="1">
      <c r="A448" s="14" t="str">
        <f>Base_report!A447</f>
        <v>INDENIE-DJUABLIN</v>
      </c>
      <c r="B448" s="14" t="str">
        <f>Base_report!B447</f>
        <v>DECEMBRE 2023</v>
      </c>
      <c r="C448" s="15" t="str">
        <f>Base_report!C447</f>
        <v>C4004</v>
      </c>
      <c r="D448" s="14" t="str">
        <f>TRIM(IF(ISNUMBER(FIND("PNSME",Base_report!D447,1)),SUBSTITUTE(Base_report!D447,"PNSME",""),IF(ISNUMBER(FIND("PHG",Base_report!D447,1)),SUBSTITUTE(Base_report!D447,"PHG",""),IF(ISNUMBER(FIND("PCS",Base_report!D447,1)),SUBSTITUTE(Base_report!D447,"PCS",""),IF(ISNUMBER(FIND("CMU",Base_report!D447,1)),SUBSTITUTE(Base_report!D447,"CMU",""),Base_report!D447)))))</f>
        <v>DISTRICT SANITAIRE ABENGOUROU</v>
      </c>
      <c r="E448" s="14" t="str">
        <f>SUBSTITUTE(Base_report!E447,"-","/")</f>
        <v>PNSME/MEDICAMENTS ET INTRANTS</v>
      </c>
      <c r="F448" s="14" t="s">
        <v>788</v>
      </c>
      <c r="G448" s="16">
        <f>DATE(YEAR(SUBSTITUTE(LEFT(Base_report!F447,10),"-","/")),MONTH(SUBSTITUTE(LEFT(Base_report!F447,10),"-","/")),DAY(SUBSTITUTE(LEFT(Base_report!F447,10),"-","/")))</f>
        <v>45301</v>
      </c>
      <c r="H448" s="16">
        <f>DATE(YEAR(SUBSTITUTE(LEFT(Base_report!G447,10),"-","/")),MONTH(SUBSTITUTE(LEFT(Base_report!G447,10),"-","/")),DAY(SUBSTITUTE(LEFT(Base_report!G447,10),"-","/")))</f>
        <v>45301</v>
      </c>
      <c r="I448" s="17" t="str">
        <f t="shared" si="1"/>
        <v>OUI</v>
      </c>
      <c r="J448" s="18">
        <f>IF(L448="DS",DATE(RIGHT(B448,4),VLOOKUP(LEFT(B448,LEN(B448)-5),Feuil1!$E$3:$F$19,2,FALSE)+1,10),DATE(RIGHT(B448,4),VLOOKUP(LEFT(B448,LEN(B448)-5),Feuil1!$E$3:$F$19,2,FALSE)+1,7))</f>
        <v>45301</v>
      </c>
      <c r="K448" s="19">
        <f t="shared" si="2"/>
        <v>1</v>
      </c>
      <c r="L448" s="6" t="str">
        <f t="shared" si="3"/>
        <v>DS</v>
      </c>
    </row>
    <row r="449" ht="14.25" customHeight="1">
      <c r="A449" s="14" t="str">
        <f>Base_report!A448</f>
        <v>INDENIE-DJUABLIN</v>
      </c>
      <c r="B449" s="14" t="str">
        <f>Base_report!B448</f>
        <v>DECEMBRE 2023</v>
      </c>
      <c r="C449" s="15" t="str">
        <f>Base_report!C448</f>
        <v>C4004</v>
      </c>
      <c r="D449" s="14" t="str">
        <f>TRIM(IF(ISNUMBER(FIND("PNSME",Base_report!D448,1)),SUBSTITUTE(Base_report!D448,"PNSME",""),IF(ISNUMBER(FIND("PHG",Base_report!D448,1)),SUBSTITUTE(Base_report!D448,"PHG",""),IF(ISNUMBER(FIND("PCS",Base_report!D448,1)),SUBSTITUTE(Base_report!D448,"PCS",""),IF(ISNUMBER(FIND("CMU",Base_report!D448,1)),SUBSTITUTE(Base_report!D448,"CMU",""),Base_report!D448)))))</f>
        <v>DISTRICT SANITAIRE ABENGOUROU</v>
      </c>
      <c r="E449" s="14" t="str">
        <f>SUBSTITUTE(Base_report!E448,"-","/")</f>
        <v>PNLP/MEDICAMENTS ET INTRANTS</v>
      </c>
      <c r="F449" s="14" t="s">
        <v>788</v>
      </c>
      <c r="G449" s="16">
        <f>DATE(YEAR(SUBSTITUTE(LEFT(Base_report!F448,10),"-","/")),MONTH(SUBSTITUTE(LEFT(Base_report!F448,10),"-","/")),DAY(SUBSTITUTE(LEFT(Base_report!F448,10),"-","/")))</f>
        <v>45301</v>
      </c>
      <c r="H449" s="16">
        <f>DATE(YEAR(SUBSTITUTE(LEFT(Base_report!G448,10),"-","/")),MONTH(SUBSTITUTE(LEFT(Base_report!G448,10),"-","/")),DAY(SUBSTITUTE(LEFT(Base_report!G448,10),"-","/")))</f>
        <v>45301</v>
      </c>
      <c r="I449" s="17" t="str">
        <f t="shared" si="1"/>
        <v>OUI</v>
      </c>
      <c r="J449" s="18">
        <f>IF(L449="DS",DATE(RIGHT(B449,4),VLOOKUP(LEFT(B449,LEN(B449)-5),Feuil1!$E$3:$F$19,2,FALSE)+1,10),DATE(RIGHT(B449,4),VLOOKUP(LEFT(B449,LEN(B449)-5),Feuil1!$E$3:$F$19,2,FALSE)+1,7))</f>
        <v>45301</v>
      </c>
      <c r="K449" s="19">
        <f t="shared" si="2"/>
        <v>1</v>
      </c>
      <c r="L449" s="6" t="str">
        <f t="shared" si="3"/>
        <v>DS</v>
      </c>
    </row>
    <row r="450" ht="14.25" customHeight="1">
      <c r="A450" s="14" t="str">
        <f>Base_report!A449</f>
        <v>HAUT-SASSANDRA</v>
      </c>
      <c r="B450" s="14" t="str">
        <f>Base_report!B449</f>
        <v>DECEMBRE 2023</v>
      </c>
      <c r="C450" s="15" t="str">
        <f>Base_report!C449</f>
        <v>C2056</v>
      </c>
      <c r="D450" s="14" t="str">
        <f>TRIM(IF(ISNUMBER(FIND("PNSME",Base_report!D449,1)),SUBSTITUTE(Base_report!D449,"PNSME",""),IF(ISNUMBER(FIND("PHG",Base_report!D449,1)),SUBSTITUTE(Base_report!D449,"PHG",""),IF(ISNUMBER(FIND("PCS",Base_report!D449,1)),SUBSTITUTE(Base_report!D449,"PCS",""),IF(ISNUMBER(FIND("CMU",Base_report!D449,1)),SUBSTITUTE(Base_report!D449,"CMU",""),Base_report!D449)))))</f>
        <v>HOPITAL GENERAL ISSIA</v>
      </c>
      <c r="E450" s="14" t="str">
        <f>SUBSTITUTE(Base_report!E449,"-","/")</f>
        <v>PNLS/CHARGES VIRALES</v>
      </c>
      <c r="F450" s="14" t="s">
        <v>788</v>
      </c>
      <c r="G450" s="16">
        <f>DATE(YEAR(SUBSTITUTE(LEFT(Base_report!F449,10),"-","/")),MONTH(SUBSTITUTE(LEFT(Base_report!F449,10),"-","/")),DAY(SUBSTITUTE(LEFT(Base_report!F449,10),"-","/")))</f>
        <v>45296</v>
      </c>
      <c r="H450" s="16">
        <f>DATE(YEAR(SUBSTITUTE(LEFT(Base_report!G449,10),"-","/")),MONTH(SUBSTITUTE(LEFT(Base_report!G449,10),"-","/")),DAY(SUBSTITUTE(LEFT(Base_report!G449,10),"-","/")))</f>
        <v>45296</v>
      </c>
      <c r="I450" s="17" t="str">
        <f t="shared" si="1"/>
        <v>OUI</v>
      </c>
      <c r="J450" s="18">
        <f>IF(L450="DS",DATE(RIGHT(B450,4),VLOOKUP(LEFT(B450,LEN(B450)-5),Feuil1!$E$3:$F$19,2,FALSE)+1,10),DATE(RIGHT(B450,4),VLOOKUP(LEFT(B450,LEN(B450)-5),Feuil1!$E$3:$F$19,2,FALSE)+1,7))</f>
        <v>45298</v>
      </c>
      <c r="K450" s="19">
        <f t="shared" si="2"/>
        <v>1</v>
      </c>
      <c r="L450" s="6" t="str">
        <f t="shared" si="3"/>
        <v>FS</v>
      </c>
    </row>
    <row r="451" ht="14.25" customHeight="1">
      <c r="A451" s="14" t="str">
        <f>Base_report!A450</f>
        <v>INDENIE-DJUABLIN</v>
      </c>
      <c r="B451" s="14" t="str">
        <f>Base_report!B450</f>
        <v>DECEMBRE 2023</v>
      </c>
      <c r="C451" s="15" t="str">
        <f>Base_report!C450</f>
        <v>C4004</v>
      </c>
      <c r="D451" s="14" t="str">
        <f>TRIM(IF(ISNUMBER(FIND("PNSME",Base_report!D450,1)),SUBSTITUTE(Base_report!D450,"PNSME",""),IF(ISNUMBER(FIND("PHG",Base_report!D450,1)),SUBSTITUTE(Base_report!D450,"PHG",""),IF(ISNUMBER(FIND("PCS",Base_report!D450,1)),SUBSTITUTE(Base_report!D450,"PCS",""),IF(ISNUMBER(FIND("CMU",Base_report!D450,1)),SUBSTITUTE(Base_report!D450,"CMU",""),Base_report!D450)))))</f>
        <v>DISTRICT SANITAIRE ABENGOUROU</v>
      </c>
      <c r="E451" s="14" t="str">
        <f>SUBSTITUTE(Base_report!E450,"-","/")</f>
        <v>PNLS/PRODUITS DE LABORATOIRE</v>
      </c>
      <c r="F451" s="14" t="s">
        <v>788</v>
      </c>
      <c r="G451" s="16">
        <f>DATE(YEAR(SUBSTITUTE(LEFT(Base_report!F450,10),"-","/")),MONTH(SUBSTITUTE(LEFT(Base_report!F450,10),"-","/")),DAY(SUBSTITUTE(LEFT(Base_report!F450,10),"-","/")))</f>
        <v>45301</v>
      </c>
      <c r="H451" s="16">
        <f>DATE(YEAR(SUBSTITUTE(LEFT(Base_report!G450,10),"-","/")),MONTH(SUBSTITUTE(LEFT(Base_report!G450,10),"-","/")),DAY(SUBSTITUTE(LEFT(Base_report!G450,10),"-","/")))</f>
        <v>45301</v>
      </c>
      <c r="I451" s="17" t="str">
        <f t="shared" si="1"/>
        <v>OUI</v>
      </c>
      <c r="J451" s="18">
        <f>IF(L451="DS",DATE(RIGHT(B451,4),VLOOKUP(LEFT(B451,LEN(B451)-5),Feuil1!$E$3:$F$19,2,FALSE)+1,10),DATE(RIGHT(B451,4),VLOOKUP(LEFT(B451,LEN(B451)-5),Feuil1!$E$3:$F$19,2,FALSE)+1,7))</f>
        <v>45301</v>
      </c>
      <c r="K451" s="19">
        <f t="shared" si="2"/>
        <v>1</v>
      </c>
      <c r="L451" s="6" t="str">
        <f t="shared" si="3"/>
        <v>DS</v>
      </c>
    </row>
    <row r="452" ht="14.25" customHeight="1">
      <c r="A452" s="14" t="str">
        <f>Base_report!A451</f>
        <v>GOH</v>
      </c>
      <c r="B452" s="14" t="str">
        <f>Base_report!B451</f>
        <v>DECEMBRE 2023</v>
      </c>
      <c r="C452" s="15" t="str">
        <f>Base_report!C451</f>
        <v>C2017</v>
      </c>
      <c r="D452" s="14" t="str">
        <f>TRIM(IF(ISNUMBER(FIND("PNSME",Base_report!D451,1)),SUBSTITUTE(Base_report!D451,"PNSME",""),IF(ISNUMBER(FIND("PHG",Base_report!D451,1)),SUBSTITUTE(Base_report!D451,"PHG",""),IF(ISNUMBER(FIND("PCS",Base_report!D451,1)),SUBSTITUTE(Base_report!D451,"PCS",""),IF(ISNUMBER(FIND("CMU",Base_report!D451,1)),SUBSTITUTE(Base_report!D451,"CMU",""),Base_report!D451)))))</f>
        <v>CSU OURAGAHIO</v>
      </c>
      <c r="E452" s="14" t="str">
        <f>SUBSTITUTE(Base_report!E451,"-","/")</f>
        <v>PNLP/MEDICAMENTS ET INTRANTS</v>
      </c>
      <c r="F452" s="14" t="s">
        <v>788</v>
      </c>
      <c r="G452" s="16">
        <f>DATE(YEAR(SUBSTITUTE(LEFT(Base_report!F451,10),"-","/")),MONTH(SUBSTITUTE(LEFT(Base_report!F451,10),"-","/")),DAY(SUBSTITUTE(LEFT(Base_report!F451,10),"-","/")))</f>
        <v>45295</v>
      </c>
      <c r="H452" s="16">
        <f>DATE(YEAR(SUBSTITUTE(LEFT(Base_report!G451,10),"-","/")),MONTH(SUBSTITUTE(LEFT(Base_report!G451,10),"-","/")),DAY(SUBSTITUTE(LEFT(Base_report!G451,10),"-","/")))</f>
        <v>45299</v>
      </c>
      <c r="I452" s="17" t="str">
        <f t="shared" si="1"/>
        <v>OUI</v>
      </c>
      <c r="J452" s="18">
        <f>IF(L452="DS",DATE(RIGHT(B452,4),VLOOKUP(LEFT(B452,LEN(B452)-5),Feuil1!$E$3:$F$19,2,FALSE)+1,10),DATE(RIGHT(B452,4),VLOOKUP(LEFT(B452,LEN(B452)-5),Feuil1!$E$3:$F$19,2,FALSE)+1,7))</f>
        <v>45298</v>
      </c>
      <c r="K452" s="19">
        <f t="shared" si="2"/>
        <v>0</v>
      </c>
      <c r="L452" s="6" t="str">
        <f t="shared" si="3"/>
        <v>FS</v>
      </c>
    </row>
    <row r="453" ht="14.25" customHeight="1">
      <c r="A453" s="14" t="str">
        <f>Base_report!A452</f>
        <v>GOH</v>
      </c>
      <c r="B453" s="14" t="str">
        <f>Base_report!B452</f>
        <v>DECEMBRE 2023</v>
      </c>
      <c r="C453" s="15" t="str">
        <f>Base_report!C452</f>
        <v>C2017</v>
      </c>
      <c r="D453" s="14" t="str">
        <f>TRIM(IF(ISNUMBER(FIND("PNSME",Base_report!D452,1)),SUBSTITUTE(Base_report!D452,"PNSME",""),IF(ISNUMBER(FIND("PHG",Base_report!D452,1)),SUBSTITUTE(Base_report!D452,"PHG",""),IF(ISNUMBER(FIND("PCS",Base_report!D452,1)),SUBSTITUTE(Base_report!D452,"PCS",""),IF(ISNUMBER(FIND("CMU",Base_report!D452,1)),SUBSTITUTE(Base_report!D452,"CMU",""),Base_report!D452)))))</f>
        <v>CSU OURAGAHIO</v>
      </c>
      <c r="E453" s="14" t="str">
        <f>SUBSTITUTE(Base_report!E452,"-","/")</f>
        <v>PNSME/MEDICAMENTS ET INTRANTS</v>
      </c>
      <c r="F453" s="14" t="s">
        <v>788</v>
      </c>
      <c r="G453" s="16">
        <f>DATE(YEAR(SUBSTITUTE(LEFT(Base_report!F452,10),"-","/")),MONTH(SUBSTITUTE(LEFT(Base_report!F452,10),"-","/")),DAY(SUBSTITUTE(LEFT(Base_report!F452,10),"-","/")))</f>
        <v>45295</v>
      </c>
      <c r="H453" s="16">
        <f>DATE(YEAR(SUBSTITUTE(LEFT(Base_report!G452,10),"-","/")),MONTH(SUBSTITUTE(LEFT(Base_report!G452,10),"-","/")),DAY(SUBSTITUTE(LEFT(Base_report!G452,10),"-","/")))</f>
        <v>45299</v>
      </c>
      <c r="I453" s="17" t="str">
        <f t="shared" si="1"/>
        <v>OUI</v>
      </c>
      <c r="J453" s="18">
        <f>IF(L453="DS",DATE(RIGHT(B453,4),VLOOKUP(LEFT(B453,LEN(B453)-5),Feuil1!$E$3:$F$19,2,FALSE)+1,10),DATE(RIGHT(B453,4),VLOOKUP(LEFT(B453,LEN(B453)-5),Feuil1!$E$3:$F$19,2,FALSE)+1,7))</f>
        <v>45298</v>
      </c>
      <c r="K453" s="19">
        <f t="shared" si="2"/>
        <v>0</v>
      </c>
      <c r="L453" s="6" t="str">
        <f t="shared" si="3"/>
        <v>FS</v>
      </c>
    </row>
    <row r="454" ht="14.25" customHeight="1">
      <c r="A454" s="14" t="str">
        <f>Base_report!A453</f>
        <v>GRANDS PONTS</v>
      </c>
      <c r="B454" s="14" t="str">
        <f>Base_report!B453</f>
        <v>DECEMBRE 2023</v>
      </c>
      <c r="C454" s="15" t="str">
        <f>Base_report!C453</f>
        <v>C1091</v>
      </c>
      <c r="D454" s="14" t="str">
        <f>TRIM(IF(ISNUMBER(FIND("PNSME",Base_report!D453,1)),SUBSTITUTE(Base_report!D453,"PNSME",""),IF(ISNUMBER(FIND("PHG",Base_report!D453,1)),SUBSTITUTE(Base_report!D453,"PHG",""),IF(ISNUMBER(FIND("PCS",Base_report!D453,1)),SUBSTITUTE(Base_report!D453,"PCS",""),IF(ISNUMBER(FIND("CMU",Base_report!D453,1)),SUBSTITUTE(Base_report!D453,"CMU",""),Base_report!D453)))))</f>
        <v>HOPITAL GENERAL GRAND-LAHOU</v>
      </c>
      <c r="E454" s="14" t="str">
        <f>SUBSTITUTE(Base_report!E453,"-","/")</f>
        <v>PNLS/TESTS RAPIDES ET CONSOMMABLES</v>
      </c>
      <c r="F454" s="14" t="s">
        <v>788</v>
      </c>
      <c r="G454" s="16">
        <f>DATE(YEAR(SUBSTITUTE(LEFT(Base_report!F453,10),"-","/")),MONTH(SUBSTITUTE(LEFT(Base_report!F453,10),"-","/")),DAY(SUBSTITUTE(LEFT(Base_report!F453,10),"-","/")))</f>
        <v>45295</v>
      </c>
      <c r="H454" s="16">
        <f>DATE(YEAR(SUBSTITUTE(LEFT(Base_report!G453,10),"-","/")),MONTH(SUBSTITUTE(LEFT(Base_report!G453,10),"-","/")),DAY(SUBSTITUTE(LEFT(Base_report!G453,10),"-","/")))</f>
        <v>45295</v>
      </c>
      <c r="I454" s="17" t="str">
        <f t="shared" si="1"/>
        <v>OUI</v>
      </c>
      <c r="J454" s="18">
        <f>IF(L454="DS",DATE(RIGHT(B454,4),VLOOKUP(LEFT(B454,LEN(B454)-5),Feuil1!$E$3:$F$19,2,FALSE)+1,10),DATE(RIGHT(B454,4),VLOOKUP(LEFT(B454,LEN(B454)-5),Feuil1!$E$3:$F$19,2,FALSE)+1,7))</f>
        <v>45298</v>
      </c>
      <c r="K454" s="19">
        <f t="shared" si="2"/>
        <v>1</v>
      </c>
      <c r="L454" s="6" t="str">
        <f t="shared" si="3"/>
        <v>FS</v>
      </c>
    </row>
    <row r="455" ht="14.25" customHeight="1">
      <c r="A455" s="14" t="str">
        <f>Base_report!A454</f>
        <v>BOUNKANI</v>
      </c>
      <c r="B455" s="14" t="str">
        <f>Base_report!B454</f>
        <v>DECEMBRE 2023</v>
      </c>
      <c r="C455" s="15" t="str">
        <f>Base_report!C454</f>
        <v>C4003</v>
      </c>
      <c r="D455" s="14" t="str">
        <f>TRIM(IF(ISNUMBER(FIND("PNSME",Base_report!D454,1)),SUBSTITUTE(Base_report!D454,"PNSME",""),IF(ISNUMBER(FIND("PHG",Base_report!D454,1)),SUBSTITUTE(Base_report!D454,"PHG",""),IF(ISNUMBER(FIND("PCS",Base_report!D454,1)),SUBSTITUTE(Base_report!D454,"PCS",""),IF(ISNUMBER(FIND("CMU",Base_report!D454,1)),SUBSTITUTE(Base_report!D454,"CMU",""),Base_report!D454)))))</f>
        <v>HOPITAL GENERAL NASSIAN</v>
      </c>
      <c r="E455" s="14" t="str">
        <f>SUBSTITUTE(Base_report!E454,"-","/")</f>
        <v>PNLS/PRODUITS DE LABORATOIRE</v>
      </c>
      <c r="F455" s="14" t="s">
        <v>788</v>
      </c>
      <c r="G455" s="16">
        <f>DATE(YEAR(SUBSTITUTE(LEFT(Base_report!F454,10),"-","/")),MONTH(SUBSTITUTE(LEFT(Base_report!F454,10),"-","/")),DAY(SUBSTITUTE(LEFT(Base_report!F454,10),"-","/")))</f>
        <v>45297</v>
      </c>
      <c r="H455" s="16">
        <f>DATE(YEAR(SUBSTITUTE(LEFT(Base_report!G454,10),"-","/")),MONTH(SUBSTITUTE(LEFT(Base_report!G454,10),"-","/")),DAY(SUBSTITUTE(LEFT(Base_report!G454,10),"-","/")))</f>
        <v>45297</v>
      </c>
      <c r="I455" s="17" t="str">
        <f t="shared" si="1"/>
        <v>OUI</v>
      </c>
      <c r="J455" s="18">
        <f>IF(L455="DS",DATE(RIGHT(B455,4),VLOOKUP(LEFT(B455,LEN(B455)-5),Feuil1!$E$3:$F$19,2,FALSE)+1,10),DATE(RIGHT(B455,4),VLOOKUP(LEFT(B455,LEN(B455)-5),Feuil1!$E$3:$F$19,2,FALSE)+1,7))</f>
        <v>45298</v>
      </c>
      <c r="K455" s="19">
        <f t="shared" si="2"/>
        <v>1</v>
      </c>
      <c r="L455" s="6" t="str">
        <f t="shared" si="3"/>
        <v>FS</v>
      </c>
    </row>
    <row r="456" ht="14.25" customHeight="1">
      <c r="A456" s="14" t="str">
        <f>Base_report!A455</f>
        <v>HAUT-SASSANDRA</v>
      </c>
      <c r="B456" s="14" t="str">
        <f>Base_report!B455</f>
        <v>DECEMBRE 2023</v>
      </c>
      <c r="C456" s="15" t="str">
        <f>Base_report!C455</f>
        <v>C2003</v>
      </c>
      <c r="D456" s="14" t="str">
        <f>TRIM(IF(ISNUMBER(FIND("PNSME",Base_report!D455,1)),SUBSTITUTE(Base_report!D455,"PNSME",""),IF(ISNUMBER(FIND("PHG",Base_report!D455,1)),SUBSTITUTE(Base_report!D455,"PHG",""),IF(ISNUMBER(FIND("PCS",Base_report!D455,1)),SUBSTITUTE(Base_report!D455,"PCS",""),IF(ISNUMBER(FIND("CMU",Base_report!D455,1)),SUBSTITUTE(Base_report!D455,"CMU",""),Base_report!D455)))))</f>
        <v>CHR DALOA</v>
      </c>
      <c r="E456" s="14" t="str">
        <f>SUBSTITUTE(Base_report!E455,"-","/")</f>
        <v>PNLP/MEDICAMENTS ET INTRANTS</v>
      </c>
      <c r="F456" s="14" t="s">
        <v>788</v>
      </c>
      <c r="G456" s="16">
        <f>DATE(YEAR(SUBSTITUTE(LEFT(Base_report!F455,10),"-","/")),MONTH(SUBSTITUTE(LEFT(Base_report!F455,10),"-","/")),DAY(SUBSTITUTE(LEFT(Base_report!F455,10),"-","/")))</f>
        <v>45295</v>
      </c>
      <c r="H456" s="16">
        <f>DATE(YEAR(SUBSTITUTE(LEFT(Base_report!G455,10),"-","/")),MONTH(SUBSTITUTE(LEFT(Base_report!G455,10),"-","/")),DAY(SUBSTITUTE(LEFT(Base_report!G455,10),"-","/")))</f>
        <v>45298</v>
      </c>
      <c r="I456" s="17" t="str">
        <f t="shared" si="1"/>
        <v>OUI</v>
      </c>
      <c r="J456" s="18">
        <f>IF(L456="DS",DATE(RIGHT(B456,4),VLOOKUP(LEFT(B456,LEN(B456)-5),Feuil1!$E$3:$F$19,2,FALSE)+1,10),DATE(RIGHT(B456,4),VLOOKUP(LEFT(B456,LEN(B456)-5),Feuil1!$E$3:$F$19,2,FALSE)+1,7))</f>
        <v>45298</v>
      </c>
      <c r="K456" s="19">
        <f t="shared" si="2"/>
        <v>1</v>
      </c>
      <c r="L456" s="6" t="str">
        <f t="shared" si="3"/>
        <v>FS</v>
      </c>
    </row>
    <row r="457" ht="14.25" customHeight="1">
      <c r="A457" s="14" t="str">
        <f>Base_report!A456</f>
        <v>GRANDS PONTS</v>
      </c>
      <c r="B457" s="14" t="str">
        <f>Base_report!B456</f>
        <v>DECEMBRE 2023</v>
      </c>
      <c r="C457" s="15" t="str">
        <f>Base_report!C456</f>
        <v>C1091</v>
      </c>
      <c r="D457" s="14" t="str">
        <f>TRIM(IF(ISNUMBER(FIND("PNSME",Base_report!D456,1)),SUBSTITUTE(Base_report!D456,"PNSME",""),IF(ISNUMBER(FIND("PHG",Base_report!D456,1)),SUBSTITUTE(Base_report!D456,"PHG",""),IF(ISNUMBER(FIND("PCS",Base_report!D456,1)),SUBSTITUTE(Base_report!D456,"PCS",""),IF(ISNUMBER(FIND("CMU",Base_report!D456,1)),SUBSTITUTE(Base_report!D456,"CMU",""),Base_report!D456)))))</f>
        <v>HOPITAL GENERAL GRAND-LAHOU</v>
      </c>
      <c r="E457" s="14" t="str">
        <f>SUBSTITUTE(Base_report!E456,"-","/")</f>
        <v>PNLS/CHARGES VIRALES</v>
      </c>
      <c r="F457" s="14" t="s">
        <v>788</v>
      </c>
      <c r="G457" s="16">
        <f>DATE(YEAR(SUBSTITUTE(LEFT(Base_report!F456,10),"-","/")),MONTH(SUBSTITUTE(LEFT(Base_report!F456,10),"-","/")),DAY(SUBSTITUTE(LEFT(Base_report!F456,10),"-","/")))</f>
        <v>45295</v>
      </c>
      <c r="H457" s="16">
        <f>DATE(YEAR(SUBSTITUTE(LEFT(Base_report!G456,10),"-","/")),MONTH(SUBSTITUTE(LEFT(Base_report!G456,10),"-","/")),DAY(SUBSTITUTE(LEFT(Base_report!G456,10),"-","/")))</f>
        <v>45296</v>
      </c>
      <c r="I457" s="17" t="str">
        <f t="shared" si="1"/>
        <v>OUI</v>
      </c>
      <c r="J457" s="18">
        <f>IF(L457="DS",DATE(RIGHT(B457,4),VLOOKUP(LEFT(B457,LEN(B457)-5),Feuil1!$E$3:$F$19,2,FALSE)+1,10),DATE(RIGHT(B457,4),VLOOKUP(LEFT(B457,LEN(B457)-5),Feuil1!$E$3:$F$19,2,FALSE)+1,7))</f>
        <v>45298</v>
      </c>
      <c r="K457" s="19">
        <f t="shared" si="2"/>
        <v>1</v>
      </c>
      <c r="L457" s="6" t="str">
        <f t="shared" si="3"/>
        <v>FS</v>
      </c>
    </row>
    <row r="458" ht="14.25" customHeight="1">
      <c r="A458" s="14" t="str">
        <f>Base_report!A457</f>
        <v>NAWA</v>
      </c>
      <c r="B458" s="14" t="str">
        <f>Base_report!B457</f>
        <v>DECEMBRE 2023</v>
      </c>
      <c r="C458" s="15" t="str">
        <f>Base_report!C457</f>
        <v>C2039</v>
      </c>
      <c r="D458" s="14" t="str">
        <f>TRIM(IF(ISNUMBER(FIND("PNSME",Base_report!D457,1)),SUBSTITUTE(Base_report!D457,"PNSME",""),IF(ISNUMBER(FIND("PHG",Base_report!D457,1)),SUBSTITUTE(Base_report!D457,"PHG",""),IF(ISNUMBER(FIND("PCS",Base_report!D457,1)),SUBSTITUTE(Base_report!D457,"PCS",""),IF(ISNUMBER(FIND("CMU",Base_report!D457,1)),SUBSTITUTE(Base_report!D457,"CMU",""),Base_report!D457)))))</f>
        <v>DISTRICT SANITAIRE SOUBRE</v>
      </c>
      <c r="E458" s="14" t="str">
        <f>SUBSTITUTE(Base_report!E457,"-","/")</f>
        <v>PNLP/MEDICAMENTS ET INTRANTS</v>
      </c>
      <c r="F458" s="14" t="s">
        <v>788</v>
      </c>
      <c r="G458" s="16">
        <f>DATE(YEAR(SUBSTITUTE(LEFT(Base_report!F457,10),"-","/")),MONTH(SUBSTITUTE(LEFT(Base_report!F457,10),"-","/")),DAY(SUBSTITUTE(LEFT(Base_report!F457,10),"-","/")))</f>
        <v>45301</v>
      </c>
      <c r="H458" s="16">
        <f>DATE(YEAR(SUBSTITUTE(LEFT(Base_report!G457,10),"-","/")),MONTH(SUBSTITUTE(LEFT(Base_report!G457,10),"-","/")),DAY(SUBSTITUTE(LEFT(Base_report!G457,10),"-","/")))</f>
        <v>45301</v>
      </c>
      <c r="I458" s="17" t="str">
        <f t="shared" si="1"/>
        <v>OUI</v>
      </c>
      <c r="J458" s="18">
        <f>IF(L458="DS",DATE(RIGHT(B458,4),VLOOKUP(LEFT(B458,LEN(B458)-5),Feuil1!$E$3:$F$19,2,FALSE)+1,10),DATE(RIGHT(B458,4),VLOOKUP(LEFT(B458,LEN(B458)-5),Feuil1!$E$3:$F$19,2,FALSE)+1,7))</f>
        <v>45301</v>
      </c>
      <c r="K458" s="19">
        <f t="shared" si="2"/>
        <v>1</v>
      </c>
      <c r="L458" s="6" t="str">
        <f t="shared" si="3"/>
        <v>DS</v>
      </c>
    </row>
    <row r="459" ht="14.25" customHeight="1">
      <c r="A459" s="14" t="str">
        <f>Base_report!A458</f>
        <v>HAMBOL</v>
      </c>
      <c r="B459" s="14" t="str">
        <f>Base_report!B458</f>
        <v>DECEMBRE 2023</v>
      </c>
      <c r="C459" s="15" t="str">
        <f>Base_report!C458</f>
        <v>C3013</v>
      </c>
      <c r="D459" s="14" t="str">
        <f>TRIM(IF(ISNUMBER(FIND("PNSME",Base_report!D458,1)),SUBSTITUTE(Base_report!D458,"PNSME",""),IF(ISNUMBER(FIND("PHG",Base_report!D458,1)),SUBSTITUTE(Base_report!D458,"PHG",""),IF(ISNUMBER(FIND("PCS",Base_report!D458,1)),SUBSTITUTE(Base_report!D458,"PCS",""),IF(ISNUMBER(FIND("CMU",Base_report!D458,1)),SUBSTITUTE(Base_report!D458,"CMU",""),Base_report!D458)))))</f>
        <v>CHR KATIOLA</v>
      </c>
      <c r="E459" s="14" t="str">
        <f>SUBSTITUTE(Base_report!E458,"-","/")</f>
        <v>PNN/MEDICAMENTS ET INTRANTS</v>
      </c>
      <c r="F459" s="14" t="s">
        <v>788</v>
      </c>
      <c r="G459" s="16">
        <f>DATE(YEAR(SUBSTITUTE(LEFT(Base_report!F458,10),"-","/")),MONTH(SUBSTITUTE(LEFT(Base_report!F458,10),"-","/")),DAY(SUBSTITUTE(LEFT(Base_report!F458,10),"-","/")))</f>
        <v>45298</v>
      </c>
      <c r="H459" s="16">
        <f>DATE(YEAR(SUBSTITUTE(LEFT(Base_report!G458,10),"-","/")),MONTH(SUBSTITUTE(LEFT(Base_report!G458,10),"-","/")),DAY(SUBSTITUTE(LEFT(Base_report!G458,10),"-","/")))</f>
        <v>45298</v>
      </c>
      <c r="I459" s="17" t="str">
        <f t="shared" si="1"/>
        <v>OUI</v>
      </c>
      <c r="J459" s="18">
        <f>IF(L459="DS",DATE(RIGHT(B459,4),VLOOKUP(LEFT(B459,LEN(B459)-5),Feuil1!$E$3:$F$19,2,FALSE)+1,10),DATE(RIGHT(B459,4),VLOOKUP(LEFT(B459,LEN(B459)-5),Feuil1!$E$3:$F$19,2,FALSE)+1,7))</f>
        <v>45298</v>
      </c>
      <c r="K459" s="19">
        <f t="shared" si="2"/>
        <v>1</v>
      </c>
      <c r="L459" s="6" t="str">
        <f t="shared" si="3"/>
        <v>FS</v>
      </c>
    </row>
    <row r="460" ht="14.25" customHeight="1">
      <c r="A460" s="14" t="str">
        <f>Base_report!A459</f>
        <v>TONKPI</v>
      </c>
      <c r="B460" s="14" t="str">
        <f>Base_report!B459</f>
        <v>DECEMBRE 2023</v>
      </c>
      <c r="C460" s="15" t="str">
        <f>Base_report!C459</f>
        <v>C5012</v>
      </c>
      <c r="D460" s="14" t="str">
        <f>TRIM(IF(ISNUMBER(FIND("PNSME",Base_report!D459,1)),SUBSTITUTE(Base_report!D459,"PNSME",""),IF(ISNUMBER(FIND("PHG",Base_report!D459,1)),SUBSTITUTE(Base_report!D459,"PHG",""),IF(ISNUMBER(FIND("PCS",Base_report!D459,1)),SUBSTITUTE(Base_report!D459,"PCS",""),IF(ISNUMBER(FIND("CMU",Base_report!D459,1)),SUBSTITUTE(Base_report!D459,"CMU",""),Base_report!D459)))))</f>
        <v>DISTRICT SANITAIRE MAN</v>
      </c>
      <c r="E460" s="14" t="str">
        <f>SUBSTITUTE(Base_report!E459,"-","/")</f>
        <v>PNLS/ANTIRETROVIRAUX ET IO</v>
      </c>
      <c r="F460" s="14" t="s">
        <v>788</v>
      </c>
      <c r="G460" s="16">
        <f>DATE(YEAR(SUBSTITUTE(LEFT(Base_report!F459,10),"-","/")),MONTH(SUBSTITUTE(LEFT(Base_report!F459,10),"-","/")),DAY(SUBSTITUTE(LEFT(Base_report!F459,10),"-","/")))</f>
        <v>45300</v>
      </c>
      <c r="H460" s="16">
        <f>DATE(YEAR(SUBSTITUTE(LEFT(Base_report!G459,10),"-","/")),MONTH(SUBSTITUTE(LEFT(Base_report!G459,10),"-","/")),DAY(SUBSTITUTE(LEFT(Base_report!G459,10),"-","/")))</f>
        <v>45300</v>
      </c>
      <c r="I460" s="17" t="str">
        <f t="shared" si="1"/>
        <v>OUI</v>
      </c>
      <c r="J460" s="18">
        <f>IF(L460="DS",DATE(RIGHT(B460,4),VLOOKUP(LEFT(B460,LEN(B460)-5),Feuil1!$E$3:$F$19,2,FALSE)+1,10),DATE(RIGHT(B460,4),VLOOKUP(LEFT(B460,LEN(B460)-5),Feuil1!$E$3:$F$19,2,FALSE)+1,7))</f>
        <v>45301</v>
      </c>
      <c r="K460" s="19">
        <f t="shared" si="2"/>
        <v>1</v>
      </c>
      <c r="L460" s="6" t="str">
        <f t="shared" si="3"/>
        <v>DS</v>
      </c>
    </row>
    <row r="461" ht="14.25" customHeight="1">
      <c r="A461" s="14" t="str">
        <f>Base_report!A460</f>
        <v>NAWA</v>
      </c>
      <c r="B461" s="14" t="str">
        <f>Base_report!B460</f>
        <v>DECEMBRE 2023</v>
      </c>
      <c r="C461" s="15" t="str">
        <f>Base_report!C460</f>
        <v>C2039</v>
      </c>
      <c r="D461" s="14" t="str">
        <f>TRIM(IF(ISNUMBER(FIND("PNSME",Base_report!D460,1)),SUBSTITUTE(Base_report!D460,"PNSME",""),IF(ISNUMBER(FIND("PHG",Base_report!D460,1)),SUBSTITUTE(Base_report!D460,"PHG",""),IF(ISNUMBER(FIND("PCS",Base_report!D460,1)),SUBSTITUTE(Base_report!D460,"PCS",""),IF(ISNUMBER(FIND("CMU",Base_report!D460,1)),SUBSTITUTE(Base_report!D460,"CMU",""),Base_report!D460)))))</f>
        <v>DISTRICT SANITAIRE SOUBRE</v>
      </c>
      <c r="E461" s="14" t="str">
        <f>SUBSTITUTE(Base_report!E460,"-","/")</f>
        <v>PNLS/TESTS RAPIDES ET CONSOMMABLES</v>
      </c>
      <c r="F461" s="14" t="s">
        <v>788</v>
      </c>
      <c r="G461" s="16">
        <f>DATE(YEAR(SUBSTITUTE(LEFT(Base_report!F460,10),"-","/")),MONTH(SUBSTITUTE(LEFT(Base_report!F460,10),"-","/")),DAY(SUBSTITUTE(LEFT(Base_report!F460,10),"-","/")))</f>
        <v>45300</v>
      </c>
      <c r="H461" s="16">
        <f>DATE(YEAR(SUBSTITUTE(LEFT(Base_report!G460,10),"-","/")),MONTH(SUBSTITUTE(LEFT(Base_report!G460,10),"-","/")),DAY(SUBSTITUTE(LEFT(Base_report!G460,10),"-","/")))</f>
        <v>45301</v>
      </c>
      <c r="I461" s="17" t="str">
        <f t="shared" si="1"/>
        <v>OUI</v>
      </c>
      <c r="J461" s="18">
        <f>IF(L461="DS",DATE(RIGHT(B461,4),VLOOKUP(LEFT(B461,LEN(B461)-5),Feuil1!$E$3:$F$19,2,FALSE)+1,10),DATE(RIGHT(B461,4),VLOOKUP(LEFT(B461,LEN(B461)-5),Feuil1!$E$3:$F$19,2,FALSE)+1,7))</f>
        <v>45301</v>
      </c>
      <c r="K461" s="19">
        <f t="shared" si="2"/>
        <v>1</v>
      </c>
      <c r="L461" s="6" t="str">
        <f t="shared" si="3"/>
        <v>DS</v>
      </c>
    </row>
    <row r="462" ht="14.25" customHeight="1">
      <c r="A462" s="14" t="str">
        <f>Base_report!A461</f>
        <v>NAWA</v>
      </c>
      <c r="B462" s="14" t="str">
        <f>Base_report!B461</f>
        <v>DECEMBRE 2023</v>
      </c>
      <c r="C462" s="15" t="str">
        <f>Base_report!C461</f>
        <v>C2039</v>
      </c>
      <c r="D462" s="14" t="str">
        <f>TRIM(IF(ISNUMBER(FIND("PNSME",Base_report!D461,1)),SUBSTITUTE(Base_report!D461,"PNSME",""),IF(ISNUMBER(FIND("PHG",Base_report!D461,1)),SUBSTITUTE(Base_report!D461,"PHG",""),IF(ISNUMBER(FIND("PCS",Base_report!D461,1)),SUBSTITUTE(Base_report!D461,"PCS",""),IF(ISNUMBER(FIND("CMU",Base_report!D461,1)),SUBSTITUTE(Base_report!D461,"CMU",""),Base_report!D461)))))</f>
        <v>DISTRICT SANITAIRE SOUBRE</v>
      </c>
      <c r="E462" s="14" t="str">
        <f>SUBSTITUTE(Base_report!E461,"-","/")</f>
        <v>PNLS/PRODUITS DE LABORATOIRE</v>
      </c>
      <c r="F462" s="14" t="s">
        <v>788</v>
      </c>
      <c r="G462" s="16">
        <f>DATE(YEAR(SUBSTITUTE(LEFT(Base_report!F461,10),"-","/")),MONTH(SUBSTITUTE(LEFT(Base_report!F461,10),"-","/")),DAY(SUBSTITUTE(LEFT(Base_report!F461,10),"-","/")))</f>
        <v>45300</v>
      </c>
      <c r="H462" s="16">
        <f>DATE(YEAR(SUBSTITUTE(LEFT(Base_report!G461,10),"-","/")),MONTH(SUBSTITUTE(LEFT(Base_report!G461,10),"-","/")),DAY(SUBSTITUTE(LEFT(Base_report!G461,10),"-","/")))</f>
        <v>45301</v>
      </c>
      <c r="I462" s="17" t="str">
        <f t="shared" si="1"/>
        <v>OUI</v>
      </c>
      <c r="J462" s="18">
        <f>IF(L462="DS",DATE(RIGHT(B462,4),VLOOKUP(LEFT(B462,LEN(B462)-5),Feuil1!$E$3:$F$19,2,FALSE)+1,10),DATE(RIGHT(B462,4),VLOOKUP(LEFT(B462,LEN(B462)-5),Feuil1!$E$3:$F$19,2,FALSE)+1,7))</f>
        <v>45301</v>
      </c>
      <c r="K462" s="19">
        <f t="shared" si="2"/>
        <v>1</v>
      </c>
      <c r="L462" s="6" t="str">
        <f t="shared" si="3"/>
        <v>DS</v>
      </c>
    </row>
    <row r="463" ht="14.25" customHeight="1">
      <c r="A463" s="14" t="str">
        <f>Base_report!A462</f>
        <v>NAWA</v>
      </c>
      <c r="B463" s="14" t="str">
        <f>Base_report!B462</f>
        <v>DECEMBRE 2023</v>
      </c>
      <c r="C463" s="15" t="str">
        <f>Base_report!C462</f>
        <v>C2039</v>
      </c>
      <c r="D463" s="14" t="str">
        <f>TRIM(IF(ISNUMBER(FIND("PNSME",Base_report!D462,1)),SUBSTITUTE(Base_report!D462,"PNSME",""),IF(ISNUMBER(FIND("PHG",Base_report!D462,1)),SUBSTITUTE(Base_report!D462,"PHG",""),IF(ISNUMBER(FIND("PCS",Base_report!D462,1)),SUBSTITUTE(Base_report!D462,"PCS",""),IF(ISNUMBER(FIND("CMU",Base_report!D462,1)),SUBSTITUTE(Base_report!D462,"CMU",""),Base_report!D462)))))</f>
        <v>DISTRICT SANITAIRE SOUBRE</v>
      </c>
      <c r="E463" s="14" t="str">
        <f>SUBSTITUTE(Base_report!E462,"-","/")</f>
        <v>PNLS/ANTIRETROVIRAUX ET IO</v>
      </c>
      <c r="F463" s="14" t="s">
        <v>788</v>
      </c>
      <c r="G463" s="16">
        <f>DATE(YEAR(SUBSTITUTE(LEFT(Base_report!F462,10),"-","/")),MONTH(SUBSTITUTE(LEFT(Base_report!F462,10),"-","/")),DAY(SUBSTITUTE(LEFT(Base_report!F462,10),"-","/")))</f>
        <v>45301</v>
      </c>
      <c r="H463" s="16">
        <f>DATE(YEAR(SUBSTITUTE(LEFT(Base_report!G462,10),"-","/")),MONTH(SUBSTITUTE(LEFT(Base_report!G462,10),"-","/")),DAY(SUBSTITUTE(LEFT(Base_report!G462,10),"-","/")))</f>
        <v>45301</v>
      </c>
      <c r="I463" s="17" t="str">
        <f t="shared" si="1"/>
        <v>OUI</v>
      </c>
      <c r="J463" s="18">
        <f>IF(L463="DS",DATE(RIGHT(B463,4),VLOOKUP(LEFT(B463,LEN(B463)-5),Feuil1!$E$3:$F$19,2,FALSE)+1,10),DATE(RIGHT(B463,4),VLOOKUP(LEFT(B463,LEN(B463)-5),Feuil1!$E$3:$F$19,2,FALSE)+1,7))</f>
        <v>45301</v>
      </c>
      <c r="K463" s="19">
        <f t="shared" si="2"/>
        <v>1</v>
      </c>
      <c r="L463" s="6" t="str">
        <f t="shared" si="3"/>
        <v>DS</v>
      </c>
    </row>
    <row r="464" ht="14.25" customHeight="1">
      <c r="A464" s="14" t="str">
        <f>Base_report!A463</f>
        <v>SUD-COMOE</v>
      </c>
      <c r="B464" s="14" t="str">
        <f>Base_report!B463</f>
        <v>DECEMBRE 2023</v>
      </c>
      <c r="C464" s="15" t="str">
        <f>Base_report!C463</f>
        <v>C1087</v>
      </c>
      <c r="D464" s="14" t="str">
        <f>TRIM(IF(ISNUMBER(FIND("PNSME",Base_report!D463,1)),SUBSTITUTE(Base_report!D463,"PNSME",""),IF(ISNUMBER(FIND("PHG",Base_report!D463,1)),SUBSTITUTE(Base_report!D463,"PHG",""),IF(ISNUMBER(FIND("PCS",Base_report!D463,1)),SUBSTITUTE(Base_report!D463,"PCS",""),IF(ISNUMBER(FIND("CMU",Base_report!D463,1)),SUBSTITUTE(Base_report!D463,"CMU",""),Base_report!D463)))))</f>
        <v>HOPITAL GENERAL BONOUA</v>
      </c>
      <c r="E464" s="14" t="str">
        <f>SUBSTITUTE(Base_report!E463,"-","/")</f>
        <v>PNLP/MEDICAMENTS ET INTRANTS</v>
      </c>
      <c r="F464" s="14" t="s">
        <v>788</v>
      </c>
      <c r="G464" s="16">
        <f>DATE(YEAR(SUBSTITUTE(LEFT(Base_report!F463,10),"-","/")),MONTH(SUBSTITUTE(LEFT(Base_report!F463,10),"-","/")),DAY(SUBSTITUTE(LEFT(Base_report!F463,10),"-","/")))</f>
        <v>45298</v>
      </c>
      <c r="H464" s="16">
        <f>DATE(YEAR(SUBSTITUTE(LEFT(Base_report!G463,10),"-","/")),MONTH(SUBSTITUTE(LEFT(Base_report!G463,10),"-","/")),DAY(SUBSTITUTE(LEFT(Base_report!G463,10),"-","/")))</f>
        <v>45298</v>
      </c>
      <c r="I464" s="17" t="str">
        <f t="shared" si="1"/>
        <v>OUI</v>
      </c>
      <c r="J464" s="18">
        <f>IF(L464="DS",DATE(RIGHT(B464,4),VLOOKUP(LEFT(B464,LEN(B464)-5),Feuil1!$E$3:$F$19,2,FALSE)+1,10),DATE(RIGHT(B464,4),VLOOKUP(LEFT(B464,LEN(B464)-5),Feuil1!$E$3:$F$19,2,FALSE)+1,7))</f>
        <v>45298</v>
      </c>
      <c r="K464" s="19">
        <f t="shared" si="2"/>
        <v>1</v>
      </c>
      <c r="L464" s="6" t="str">
        <f t="shared" si="3"/>
        <v>FS</v>
      </c>
    </row>
    <row r="465" ht="14.25" customHeight="1">
      <c r="A465" s="14" t="str">
        <f>Base_report!A464</f>
        <v>NAWA</v>
      </c>
      <c r="B465" s="14" t="str">
        <f>Base_report!B464</f>
        <v>DECEMBRE 2023</v>
      </c>
      <c r="C465" s="15" t="str">
        <f>Base_report!C464</f>
        <v>C2015</v>
      </c>
      <c r="D465" s="14" t="str">
        <f>TRIM(IF(ISNUMBER(FIND("PNSME",Base_report!D464,1)),SUBSTITUTE(Base_report!D464,"PNSME",""),IF(ISNUMBER(FIND("PHG",Base_report!D464,1)),SUBSTITUTE(Base_report!D464,"PHG",""),IF(ISNUMBER(FIND("PCS",Base_report!D464,1)),SUBSTITUTE(Base_report!D464,"PCS",""),IF(ISNUMBER(FIND("CMU",Base_report!D464,1)),SUBSTITUTE(Base_report!D464,"CMU",""),Base_report!D464)))))</f>
        <v>CSU GRAND ZATTRY</v>
      </c>
      <c r="E465" s="14" t="str">
        <f>SUBSTITUTE(Base_report!E464,"-","/")</f>
        <v>PNLP/MEDICAMENTS ET INTRANTS</v>
      </c>
      <c r="F465" s="14" t="s">
        <v>788</v>
      </c>
      <c r="G465" s="16">
        <f>DATE(YEAR(SUBSTITUTE(LEFT(Base_report!F464,10),"-","/")),MONTH(SUBSTITUTE(LEFT(Base_report!F464,10),"-","/")),DAY(SUBSTITUTE(LEFT(Base_report!F464,10),"-","/")))</f>
        <v>45295</v>
      </c>
      <c r="H465" s="16">
        <f>DATE(YEAR(SUBSTITUTE(LEFT(Base_report!G464,10),"-","/")),MONTH(SUBSTITUTE(LEFT(Base_report!G464,10),"-","/")),DAY(SUBSTITUTE(LEFT(Base_report!G464,10),"-","/")))</f>
        <v>45295</v>
      </c>
      <c r="I465" s="17" t="str">
        <f t="shared" si="1"/>
        <v>OUI</v>
      </c>
      <c r="J465" s="18">
        <f>IF(L465="DS",DATE(RIGHT(B465,4),VLOOKUP(LEFT(B465,LEN(B465)-5),Feuil1!$E$3:$F$19,2,FALSE)+1,10),DATE(RIGHT(B465,4),VLOOKUP(LEFT(B465,LEN(B465)-5),Feuil1!$E$3:$F$19,2,FALSE)+1,7))</f>
        <v>45298</v>
      </c>
      <c r="K465" s="19">
        <f t="shared" si="2"/>
        <v>1</v>
      </c>
      <c r="L465" s="6" t="str">
        <f t="shared" si="3"/>
        <v>FS</v>
      </c>
    </row>
    <row r="466" ht="14.25" customHeight="1">
      <c r="A466" s="14" t="str">
        <f>Base_report!A465</f>
        <v>SUD-COMOE</v>
      </c>
      <c r="B466" s="14" t="str">
        <f>Base_report!B465</f>
        <v>DECEMBRE 2023</v>
      </c>
      <c r="C466" s="15" t="str">
        <f>Base_report!C465</f>
        <v>C1003</v>
      </c>
      <c r="D466" s="14" t="str">
        <f>TRIM(IF(ISNUMBER(FIND("PNSME",Base_report!D465,1)),SUBSTITUTE(Base_report!D465,"PNSME",""),IF(ISNUMBER(FIND("PHG",Base_report!D465,1)),SUBSTITUTE(Base_report!D465,"PHG",""),IF(ISNUMBER(FIND("PCS",Base_report!D465,1)),SUBSTITUTE(Base_report!D465,"PCS",""),IF(ISNUMBER(FIND("CMU",Base_report!D465,1)),SUBSTITUTE(Base_report!D465,"CMU",""),Base_report!D465)))))</f>
        <v>CHR ABOISSO</v>
      </c>
      <c r="E466" s="14" t="str">
        <f>SUBSTITUTE(Base_report!E465,"-","/")</f>
        <v>PNSME_GRATUITE:MEDICAMENTS ET INTRANTS</v>
      </c>
      <c r="F466" s="14" t="s">
        <v>788</v>
      </c>
      <c r="G466" s="16">
        <f>DATE(YEAR(SUBSTITUTE(LEFT(Base_report!F465,10),"-","/")),MONTH(SUBSTITUTE(LEFT(Base_report!F465,10),"-","/")),DAY(SUBSTITUTE(LEFT(Base_report!F465,10),"-","/")))</f>
        <v>45293</v>
      </c>
      <c r="H466" s="16">
        <f>DATE(YEAR(SUBSTITUTE(LEFT(Base_report!G465,10),"-","/")),MONTH(SUBSTITUTE(LEFT(Base_report!G465,10),"-","/")),DAY(SUBSTITUTE(LEFT(Base_report!G465,10),"-","/")))</f>
        <v>45296</v>
      </c>
      <c r="I466" s="17" t="str">
        <f t="shared" si="1"/>
        <v>OUI</v>
      </c>
      <c r="J466" s="18">
        <f>IF(L466="DS",DATE(RIGHT(B466,4),VLOOKUP(LEFT(B466,LEN(B466)-5),Feuil1!$E$3:$F$19,2,FALSE)+1,10),DATE(RIGHT(B466,4),VLOOKUP(LEFT(B466,LEN(B466)-5),Feuil1!$E$3:$F$19,2,FALSE)+1,7))</f>
        <v>45298</v>
      </c>
      <c r="K466" s="19">
        <f t="shared" si="2"/>
        <v>1</v>
      </c>
      <c r="L466" s="6" t="str">
        <f t="shared" si="3"/>
        <v>FS</v>
      </c>
    </row>
    <row r="467" ht="14.25" customHeight="1">
      <c r="A467" s="14" t="str">
        <f>Base_report!A466</f>
        <v>NAWA</v>
      </c>
      <c r="B467" s="14" t="str">
        <f>Base_report!B466</f>
        <v>DECEMBRE 2023</v>
      </c>
      <c r="C467" s="15" t="str">
        <f>Base_report!C466</f>
        <v>C2015</v>
      </c>
      <c r="D467" s="14" t="str">
        <f>TRIM(IF(ISNUMBER(FIND("PNSME",Base_report!D466,1)),SUBSTITUTE(Base_report!D466,"PNSME",""),IF(ISNUMBER(FIND("PHG",Base_report!D466,1)),SUBSTITUTE(Base_report!D466,"PHG",""),IF(ISNUMBER(FIND("PCS",Base_report!D466,1)),SUBSTITUTE(Base_report!D466,"PCS",""),IF(ISNUMBER(FIND("CMU",Base_report!D466,1)),SUBSTITUTE(Base_report!D466,"CMU",""),Base_report!D466)))))</f>
        <v>CSU GRAND ZATTRY</v>
      </c>
      <c r="E467" s="14" t="str">
        <f>SUBSTITUTE(Base_report!E466,"-","/")</f>
        <v>PNSME/MEDICAMENTS ET INTRANTS</v>
      </c>
      <c r="F467" s="14" t="s">
        <v>788</v>
      </c>
      <c r="G467" s="16">
        <f>DATE(YEAR(SUBSTITUTE(LEFT(Base_report!F466,10),"-","/")),MONTH(SUBSTITUTE(LEFT(Base_report!F466,10),"-","/")),DAY(SUBSTITUTE(LEFT(Base_report!F466,10),"-","/")))</f>
        <v>45295</v>
      </c>
      <c r="H467" s="16">
        <f>DATE(YEAR(SUBSTITUTE(LEFT(Base_report!G466,10),"-","/")),MONTH(SUBSTITUTE(LEFT(Base_report!G466,10),"-","/")),DAY(SUBSTITUTE(LEFT(Base_report!G466,10),"-","/")))</f>
        <v>45295</v>
      </c>
      <c r="I467" s="17" t="str">
        <f t="shared" si="1"/>
        <v>OUI</v>
      </c>
      <c r="J467" s="18">
        <f>IF(L467="DS",DATE(RIGHT(B467,4),VLOOKUP(LEFT(B467,LEN(B467)-5),Feuil1!$E$3:$F$19,2,FALSE)+1,10),DATE(RIGHT(B467,4),VLOOKUP(LEFT(B467,LEN(B467)-5),Feuil1!$E$3:$F$19,2,FALSE)+1,7))</f>
        <v>45298</v>
      </c>
      <c r="K467" s="19">
        <f t="shared" si="2"/>
        <v>1</v>
      </c>
      <c r="L467" s="6" t="str">
        <f t="shared" si="3"/>
        <v>FS</v>
      </c>
    </row>
    <row r="468" ht="14.25" customHeight="1">
      <c r="A468" s="14" t="str">
        <f>Base_report!A467</f>
        <v>BAGOUE</v>
      </c>
      <c r="B468" s="14" t="str">
        <f>Base_report!B467</f>
        <v>DECEMBRE 2023</v>
      </c>
      <c r="C468" s="15" t="str">
        <f>Base_report!C467</f>
        <v>C3015</v>
      </c>
      <c r="D468" s="14" t="str">
        <f>TRIM(IF(ISNUMBER(FIND("PNSME",Base_report!D467,1)),SUBSTITUTE(Base_report!D467,"PNSME",""),IF(ISNUMBER(FIND("PHG",Base_report!D467,1)),SUBSTITUTE(Base_report!D467,"PHG",""),IF(ISNUMBER(FIND("PCS",Base_report!D467,1)),SUBSTITUTE(Base_report!D467,"PCS",""),IF(ISNUMBER(FIND("CMU",Base_report!D467,1)),SUBSTITUTE(Base_report!D467,"CMU",""),Base_report!D467)))))</f>
        <v>HOPITAL GENERAL KOUTO</v>
      </c>
      <c r="E468" s="14" t="str">
        <f>SUBSTITUTE(Base_report!E467,"-","/")</f>
        <v>PNSME/MEDICAMENTS ET INTRANTS</v>
      </c>
      <c r="F468" s="14" t="s">
        <v>788</v>
      </c>
      <c r="G468" s="16">
        <f>DATE(YEAR(SUBSTITUTE(LEFT(Base_report!F467,10),"-","/")),MONTH(SUBSTITUTE(LEFT(Base_report!F467,10),"-","/")),DAY(SUBSTITUTE(LEFT(Base_report!F467,10),"-","/")))</f>
        <v>45296</v>
      </c>
      <c r="H468" s="16">
        <f>DATE(YEAR(SUBSTITUTE(LEFT(Base_report!G467,10),"-","/")),MONTH(SUBSTITUTE(LEFT(Base_report!G467,10),"-","/")),DAY(SUBSTITUTE(LEFT(Base_report!G467,10),"-","/")))</f>
        <v>45297</v>
      </c>
      <c r="I468" s="17" t="str">
        <f t="shared" si="1"/>
        <v>OUI</v>
      </c>
      <c r="J468" s="18">
        <f>IF(L468="DS",DATE(RIGHT(B468,4),VLOOKUP(LEFT(B468,LEN(B468)-5),Feuil1!$E$3:$F$19,2,FALSE)+1,10),DATE(RIGHT(B468,4),VLOOKUP(LEFT(B468,LEN(B468)-5),Feuil1!$E$3:$F$19,2,FALSE)+1,7))</f>
        <v>45298</v>
      </c>
      <c r="K468" s="19">
        <f t="shared" si="2"/>
        <v>1</v>
      </c>
      <c r="L468" s="6" t="str">
        <f t="shared" si="3"/>
        <v>FS</v>
      </c>
    </row>
    <row r="469" ht="14.25" customHeight="1">
      <c r="A469" s="14" t="str">
        <f>Base_report!A468</f>
        <v>BAGOUE</v>
      </c>
      <c r="B469" s="14" t="str">
        <f>Base_report!B468</f>
        <v>DECEMBRE 2023</v>
      </c>
      <c r="C469" s="15" t="str">
        <f>Base_report!C468</f>
        <v>C3015</v>
      </c>
      <c r="D469" s="14" t="str">
        <f>TRIM(IF(ISNUMBER(FIND("PNSME",Base_report!D468,1)),SUBSTITUTE(Base_report!D468,"PNSME",""),IF(ISNUMBER(FIND("PHG",Base_report!D468,1)),SUBSTITUTE(Base_report!D468,"PHG",""),IF(ISNUMBER(FIND("PCS",Base_report!D468,1)),SUBSTITUTE(Base_report!D468,"PCS",""),IF(ISNUMBER(FIND("CMU",Base_report!D468,1)),SUBSTITUTE(Base_report!D468,"CMU",""),Base_report!D468)))))</f>
        <v>HOPITAL GENERAL KOUTO</v>
      </c>
      <c r="E469" s="14" t="str">
        <f>SUBSTITUTE(Base_report!E468,"-","/")</f>
        <v>PNLS/ANTIRETROVIRAUX ET IO</v>
      </c>
      <c r="F469" s="14" t="s">
        <v>788</v>
      </c>
      <c r="G469" s="16">
        <f>DATE(YEAR(SUBSTITUTE(LEFT(Base_report!F468,10),"-","/")),MONTH(SUBSTITUTE(LEFT(Base_report!F468,10),"-","/")),DAY(SUBSTITUTE(LEFT(Base_report!F468,10),"-","/")))</f>
        <v>45297</v>
      </c>
      <c r="H469" s="16">
        <f>DATE(YEAR(SUBSTITUTE(LEFT(Base_report!G468,10),"-","/")),MONTH(SUBSTITUTE(LEFT(Base_report!G468,10),"-","/")),DAY(SUBSTITUTE(LEFT(Base_report!G468,10),"-","/")))</f>
        <v>45297</v>
      </c>
      <c r="I469" s="17" t="str">
        <f t="shared" si="1"/>
        <v>OUI</v>
      </c>
      <c r="J469" s="18">
        <f>IF(L469="DS",DATE(RIGHT(B469,4),VLOOKUP(LEFT(B469,LEN(B469)-5),Feuil1!$E$3:$F$19,2,FALSE)+1,10),DATE(RIGHT(B469,4),VLOOKUP(LEFT(B469,LEN(B469)-5),Feuil1!$E$3:$F$19,2,FALSE)+1,7))</f>
        <v>45298</v>
      </c>
      <c r="K469" s="19">
        <f t="shared" si="2"/>
        <v>1</v>
      </c>
      <c r="L469" s="6" t="str">
        <f t="shared" si="3"/>
        <v>FS</v>
      </c>
    </row>
    <row r="470" ht="14.25" customHeight="1">
      <c r="A470" s="14" t="str">
        <f>Base_report!A469</f>
        <v>BAGOUE</v>
      </c>
      <c r="B470" s="14" t="str">
        <f>Base_report!B469</f>
        <v>DECEMBRE 2023</v>
      </c>
      <c r="C470" s="15" t="str">
        <f>Base_report!C469</f>
        <v>C3015</v>
      </c>
      <c r="D470" s="14" t="str">
        <f>TRIM(IF(ISNUMBER(FIND("PNSME",Base_report!D469,1)),SUBSTITUTE(Base_report!D469,"PNSME",""),IF(ISNUMBER(FIND("PHG",Base_report!D469,1)),SUBSTITUTE(Base_report!D469,"PHG",""),IF(ISNUMBER(FIND("PCS",Base_report!D469,1)),SUBSTITUTE(Base_report!D469,"PCS",""),IF(ISNUMBER(FIND("CMU",Base_report!D469,1)),SUBSTITUTE(Base_report!D469,"CMU",""),Base_report!D469)))))</f>
        <v>HOPITAL GENERAL KOUTO</v>
      </c>
      <c r="E470" s="14" t="str">
        <f>SUBSTITUTE(Base_report!E469,"-","/")</f>
        <v>PNLS/TESTS RAPIDES ET CONSOMMABLES</v>
      </c>
      <c r="F470" s="14" t="s">
        <v>788</v>
      </c>
      <c r="G470" s="16">
        <f>DATE(YEAR(SUBSTITUTE(LEFT(Base_report!F469,10),"-","/")),MONTH(SUBSTITUTE(LEFT(Base_report!F469,10),"-","/")),DAY(SUBSTITUTE(LEFT(Base_report!F469,10),"-","/")))</f>
        <v>45297</v>
      </c>
      <c r="H470" s="16">
        <f>DATE(YEAR(SUBSTITUTE(LEFT(Base_report!G469,10),"-","/")),MONTH(SUBSTITUTE(LEFT(Base_report!G469,10),"-","/")),DAY(SUBSTITUTE(LEFT(Base_report!G469,10),"-","/")))</f>
        <v>45297</v>
      </c>
      <c r="I470" s="17" t="str">
        <f t="shared" si="1"/>
        <v>OUI</v>
      </c>
      <c r="J470" s="18">
        <f>IF(L470="DS",DATE(RIGHT(B470,4),VLOOKUP(LEFT(B470,LEN(B470)-5),Feuil1!$E$3:$F$19,2,FALSE)+1,10),DATE(RIGHT(B470,4),VLOOKUP(LEFT(B470,LEN(B470)-5),Feuil1!$E$3:$F$19,2,FALSE)+1,7))</f>
        <v>45298</v>
      </c>
      <c r="K470" s="19">
        <f t="shared" si="2"/>
        <v>1</v>
      </c>
      <c r="L470" s="6" t="str">
        <f t="shared" si="3"/>
        <v>FS</v>
      </c>
    </row>
    <row r="471" ht="14.25" customHeight="1">
      <c r="A471" s="14" t="str">
        <f>Base_report!A470</f>
        <v>BAGOUE</v>
      </c>
      <c r="B471" s="14" t="str">
        <f>Base_report!B470</f>
        <v>DECEMBRE 2023</v>
      </c>
      <c r="C471" s="15" t="str">
        <f>Base_report!C470</f>
        <v>C3015</v>
      </c>
      <c r="D471" s="14" t="str">
        <f>TRIM(IF(ISNUMBER(FIND("PNSME",Base_report!D470,1)),SUBSTITUTE(Base_report!D470,"PNSME",""),IF(ISNUMBER(FIND("PHG",Base_report!D470,1)),SUBSTITUTE(Base_report!D470,"PHG",""),IF(ISNUMBER(FIND("PCS",Base_report!D470,1)),SUBSTITUTE(Base_report!D470,"PCS",""),IF(ISNUMBER(FIND("CMU",Base_report!D470,1)),SUBSTITUTE(Base_report!D470,"CMU",""),Base_report!D470)))))</f>
        <v>HOPITAL GENERAL KOUTO</v>
      </c>
      <c r="E471" s="14" t="str">
        <f>SUBSTITUTE(Base_report!E470,"-","/")</f>
        <v>PNLP/MEDICAMENTS ET INTRANTS</v>
      </c>
      <c r="F471" s="14" t="s">
        <v>788</v>
      </c>
      <c r="G471" s="16">
        <f>DATE(YEAR(SUBSTITUTE(LEFT(Base_report!F470,10),"-","/")),MONTH(SUBSTITUTE(LEFT(Base_report!F470,10),"-","/")),DAY(SUBSTITUTE(LEFT(Base_report!F470,10),"-","/")))</f>
        <v>45296</v>
      </c>
      <c r="H471" s="16">
        <f>DATE(YEAR(SUBSTITUTE(LEFT(Base_report!G470,10),"-","/")),MONTH(SUBSTITUTE(LEFT(Base_report!G470,10),"-","/")),DAY(SUBSTITUTE(LEFT(Base_report!G470,10),"-","/")))</f>
        <v>45297</v>
      </c>
      <c r="I471" s="17" t="str">
        <f t="shared" si="1"/>
        <v>OUI</v>
      </c>
      <c r="J471" s="18">
        <f>IF(L471="DS",DATE(RIGHT(B471,4),VLOOKUP(LEFT(B471,LEN(B471)-5),Feuil1!$E$3:$F$19,2,FALSE)+1,10),DATE(RIGHT(B471,4),VLOOKUP(LEFT(B471,LEN(B471)-5),Feuil1!$E$3:$F$19,2,FALSE)+1,7))</f>
        <v>45298</v>
      </c>
      <c r="K471" s="19">
        <f t="shared" si="2"/>
        <v>1</v>
      </c>
      <c r="L471" s="6" t="str">
        <f t="shared" si="3"/>
        <v>FS</v>
      </c>
    </row>
    <row r="472" ht="14.25" customHeight="1">
      <c r="A472" s="14" t="str">
        <f>Base_report!A471</f>
        <v>ABIDJAN 2</v>
      </c>
      <c r="B472" s="14" t="str">
        <f>Base_report!B471</f>
        <v>DECEMBRE 2023</v>
      </c>
      <c r="C472" s="15" t="str">
        <f>Base_report!C471</f>
        <v>C1059</v>
      </c>
      <c r="D472" s="14" t="str">
        <f>TRIM(IF(ISNUMBER(FIND("PNSME",Base_report!D471,1)),SUBSTITUTE(Base_report!D471,"PNSME",""),IF(ISNUMBER(FIND("PHG",Base_report!D471,1)),SUBSTITUTE(Base_report!D471,"PHG",""),IF(ISNUMBER(FIND("PCS",Base_report!D471,1)),SUBSTITUTE(Base_report!D471,"PCS",""),IF(ISNUMBER(FIND("CMU",Base_report!D471,1)),SUBSTITUTE(Base_report!D471,"CMU",""),Base_report!D471)))))</f>
        <v>FSU LOCODJORO</v>
      </c>
      <c r="E472" s="14" t="str">
        <f>SUBSTITUTE(Base_report!E471,"-","/")</f>
        <v>PNLP/MEDICAMENTS ET INTRANTS</v>
      </c>
      <c r="F472" s="14" t="s">
        <v>788</v>
      </c>
      <c r="G472" s="16">
        <f>DATE(YEAR(SUBSTITUTE(LEFT(Base_report!F471,10),"-","/")),MONTH(SUBSTITUTE(LEFT(Base_report!F471,10),"-","/")),DAY(SUBSTITUTE(LEFT(Base_report!F471,10),"-","/")))</f>
        <v>45293</v>
      </c>
      <c r="H472" s="16">
        <f>DATE(YEAR(SUBSTITUTE(LEFT(Base_report!G471,10),"-","/")),MONTH(SUBSTITUTE(LEFT(Base_report!G471,10),"-","/")),DAY(SUBSTITUTE(LEFT(Base_report!G471,10),"-","/")))</f>
        <v>45293</v>
      </c>
      <c r="I472" s="17" t="str">
        <f t="shared" si="1"/>
        <v>OUI</v>
      </c>
      <c r="J472" s="18">
        <f>IF(L472="DS",DATE(RIGHT(B472,4),VLOOKUP(LEFT(B472,LEN(B472)-5),Feuil1!$E$3:$F$19,2,FALSE)+1,10),DATE(RIGHT(B472,4),VLOOKUP(LEFT(B472,LEN(B472)-5),Feuil1!$E$3:$F$19,2,FALSE)+1,7))</f>
        <v>45298</v>
      </c>
      <c r="K472" s="19">
        <f t="shared" si="2"/>
        <v>1</v>
      </c>
      <c r="L472" s="6" t="str">
        <f t="shared" si="3"/>
        <v>FS</v>
      </c>
    </row>
    <row r="473" ht="14.25" customHeight="1">
      <c r="A473" s="14" t="str">
        <f>Base_report!A472</f>
        <v>ABIDJAN 2</v>
      </c>
      <c r="B473" s="14" t="str">
        <f>Base_report!B472</f>
        <v>DECEMBRE 2023</v>
      </c>
      <c r="C473" s="15" t="str">
        <f>Base_report!C472</f>
        <v>C1059</v>
      </c>
      <c r="D473" s="14" t="str">
        <f>TRIM(IF(ISNUMBER(FIND("PNSME",Base_report!D472,1)),SUBSTITUTE(Base_report!D472,"PNSME",""),IF(ISNUMBER(FIND("PHG",Base_report!D472,1)),SUBSTITUTE(Base_report!D472,"PHG",""),IF(ISNUMBER(FIND("PCS",Base_report!D472,1)),SUBSTITUTE(Base_report!D472,"PCS",""),IF(ISNUMBER(FIND("CMU",Base_report!D472,1)),SUBSTITUTE(Base_report!D472,"CMU",""),Base_report!D472)))))</f>
        <v>FSU LOCODJORO</v>
      </c>
      <c r="E473" s="14" t="str">
        <f>SUBSTITUTE(Base_report!E472,"-","/")</f>
        <v>PNSME/MEDICAMENTS ET INTRANTS</v>
      </c>
      <c r="F473" s="14" t="s">
        <v>788</v>
      </c>
      <c r="G473" s="16">
        <f>DATE(YEAR(SUBSTITUTE(LEFT(Base_report!F472,10),"-","/")),MONTH(SUBSTITUTE(LEFT(Base_report!F472,10),"-","/")),DAY(SUBSTITUTE(LEFT(Base_report!F472,10),"-","/")))</f>
        <v>45293</v>
      </c>
      <c r="H473" s="16">
        <f>DATE(YEAR(SUBSTITUTE(LEFT(Base_report!G472,10),"-","/")),MONTH(SUBSTITUTE(LEFT(Base_report!G472,10),"-","/")),DAY(SUBSTITUTE(LEFT(Base_report!G472,10),"-","/")))</f>
        <v>45293</v>
      </c>
      <c r="I473" s="17" t="str">
        <f t="shared" si="1"/>
        <v>OUI</v>
      </c>
      <c r="J473" s="18">
        <f>IF(L473="DS",DATE(RIGHT(B473,4),VLOOKUP(LEFT(B473,LEN(B473)-5),Feuil1!$E$3:$F$19,2,FALSE)+1,10),DATE(RIGHT(B473,4),VLOOKUP(LEFT(B473,LEN(B473)-5),Feuil1!$E$3:$F$19,2,FALSE)+1,7))</f>
        <v>45298</v>
      </c>
      <c r="K473" s="19">
        <f t="shared" si="2"/>
        <v>1</v>
      </c>
      <c r="L473" s="6" t="str">
        <f t="shared" si="3"/>
        <v>FS</v>
      </c>
    </row>
    <row r="474" ht="14.25" customHeight="1">
      <c r="A474" s="14" t="str">
        <f>Base_report!A473</f>
        <v>BELIER</v>
      </c>
      <c r="B474" s="14" t="str">
        <f>Base_report!B473</f>
        <v>DECEMBRE 2023</v>
      </c>
      <c r="C474" s="15" t="str">
        <f>Base_report!C473</f>
        <v>C2038</v>
      </c>
      <c r="D474" s="14" t="str">
        <f>TRIM(IF(ISNUMBER(FIND("PNSME",Base_report!D473,1)),SUBSTITUTE(Base_report!D473,"PNSME",""),IF(ISNUMBER(FIND("PHG",Base_report!D473,1)),SUBSTITUTE(Base_report!D473,"PHG",""),IF(ISNUMBER(FIND("PCS",Base_report!D473,1)),SUBSTITUTE(Base_report!D473,"PCS",""),IF(ISNUMBER(FIND("CMU",Base_report!D473,1)),SUBSTITUTE(Base_report!D473,"CMU",""),Base_report!D473)))))</f>
        <v>DISTRICT SANITAIRE TOUMODI</v>
      </c>
      <c r="E474" s="14" t="str">
        <f>SUBSTITUTE(Base_report!E473,"-","/")</f>
        <v>PNLS/ANTIRETROVIRAUX ET IO</v>
      </c>
      <c r="F474" s="14" t="s">
        <v>788</v>
      </c>
      <c r="G474" s="16">
        <f>DATE(YEAR(SUBSTITUTE(LEFT(Base_report!F473,10),"-","/")),MONTH(SUBSTITUTE(LEFT(Base_report!F473,10),"-","/")),DAY(SUBSTITUTE(LEFT(Base_report!F473,10),"-","/")))</f>
        <v>45301</v>
      </c>
      <c r="H474" s="16">
        <f>DATE(YEAR(SUBSTITUTE(LEFT(Base_report!G473,10),"-","/")),MONTH(SUBSTITUTE(LEFT(Base_report!G473,10),"-","/")),DAY(SUBSTITUTE(LEFT(Base_report!G473,10),"-","/")))</f>
        <v>45301</v>
      </c>
      <c r="I474" s="17" t="str">
        <f t="shared" si="1"/>
        <v>OUI</v>
      </c>
      <c r="J474" s="18">
        <f>IF(L474="DS",DATE(RIGHT(B474,4),VLOOKUP(LEFT(B474,LEN(B474)-5),Feuil1!$E$3:$F$19,2,FALSE)+1,10),DATE(RIGHT(B474,4),VLOOKUP(LEFT(B474,LEN(B474)-5),Feuil1!$E$3:$F$19,2,FALSE)+1,7))</f>
        <v>45301</v>
      </c>
      <c r="K474" s="19">
        <f t="shared" si="2"/>
        <v>1</v>
      </c>
      <c r="L474" s="6" t="str">
        <f t="shared" si="3"/>
        <v>DS</v>
      </c>
    </row>
    <row r="475" ht="14.25" customHeight="1">
      <c r="A475" s="14" t="str">
        <f>Base_report!A474</f>
        <v>INDENIE-DJUABLIN</v>
      </c>
      <c r="B475" s="14" t="str">
        <f>Base_report!B474</f>
        <v>DECEMBRE 2023</v>
      </c>
      <c r="C475" s="15" t="str">
        <f>Base_report!C474</f>
        <v>C4001</v>
      </c>
      <c r="D475" s="14" t="str">
        <f>TRIM(IF(ISNUMBER(FIND("PNSME",Base_report!D474,1)),SUBSTITUTE(Base_report!D474,"PNSME",""),IF(ISNUMBER(FIND("PHG",Base_report!D474,1)),SUBSTITUTE(Base_report!D474,"PHG",""),IF(ISNUMBER(FIND("PCS",Base_report!D474,1)),SUBSTITUTE(Base_report!D474,"PCS",""),IF(ISNUMBER(FIND("CMU",Base_report!D474,1)),SUBSTITUTE(Base_report!D474,"CMU",""),Base_report!D474)))))</f>
        <v>CHR ABENGOUROU</v>
      </c>
      <c r="E475" s="14" t="str">
        <f>SUBSTITUTE(Base_report!E474,"-","/")</f>
        <v>PNSME/MEDICAMENTS ET INTRANTS</v>
      </c>
      <c r="F475" s="14" t="s">
        <v>788</v>
      </c>
      <c r="G475" s="16">
        <f>DATE(YEAR(SUBSTITUTE(LEFT(Base_report!F474,10),"-","/")),MONTH(SUBSTITUTE(LEFT(Base_report!F474,10),"-","/")),DAY(SUBSTITUTE(LEFT(Base_report!F474,10),"-","/")))</f>
        <v>45289</v>
      </c>
      <c r="H475" s="16">
        <f>DATE(YEAR(SUBSTITUTE(LEFT(Base_report!G474,10),"-","/")),MONTH(SUBSTITUTE(LEFT(Base_report!G474,10),"-","/")),DAY(SUBSTITUTE(LEFT(Base_report!G474,10),"-","/")))</f>
        <v>45294</v>
      </c>
      <c r="I475" s="17" t="str">
        <f t="shared" si="1"/>
        <v>OUI</v>
      </c>
      <c r="J475" s="18">
        <f>IF(L475="DS",DATE(RIGHT(B475,4),VLOOKUP(LEFT(B475,LEN(B475)-5),Feuil1!$E$3:$F$19,2,FALSE)+1,10),DATE(RIGHT(B475,4),VLOOKUP(LEFT(B475,LEN(B475)-5),Feuil1!$E$3:$F$19,2,FALSE)+1,7))</f>
        <v>45298</v>
      </c>
      <c r="K475" s="19">
        <f t="shared" si="2"/>
        <v>1</v>
      </c>
      <c r="L475" s="6" t="str">
        <f t="shared" si="3"/>
        <v>FS</v>
      </c>
    </row>
    <row r="476" ht="14.25" customHeight="1">
      <c r="A476" s="14" t="str">
        <f>Base_report!A475</f>
        <v>GBEKE</v>
      </c>
      <c r="B476" s="14" t="str">
        <f>Base_report!B475</f>
        <v>DECEMBRE 2023</v>
      </c>
      <c r="C476" s="15" t="str">
        <f>Base_report!C475</f>
        <v>C2047</v>
      </c>
      <c r="D476" s="14" t="str">
        <f>TRIM(IF(ISNUMBER(FIND("PNSME",Base_report!D475,1)),SUBSTITUTE(Base_report!D475,"PNSME",""),IF(ISNUMBER(FIND("PHG",Base_report!D475,1)),SUBSTITUTE(Base_report!D475,"PHG",""),IF(ISNUMBER(FIND("PCS",Base_report!D475,1)),SUBSTITUTE(Base_report!D475,"PCS",""),IF(ISNUMBER(FIND("CMU",Base_report!D475,1)),SUBSTITUTE(Base_report!D475,"CMU",""),Base_report!D475)))))</f>
        <v>HOPITAL GENERAL BEOUMI</v>
      </c>
      <c r="E476" s="14" t="str">
        <f>SUBSTITUTE(Base_report!E475,"-","/")</f>
        <v>PNN/MEDICAMENTS ET INTRANTS</v>
      </c>
      <c r="F476" s="14" t="s">
        <v>788</v>
      </c>
      <c r="G476" s="16">
        <f>DATE(YEAR(SUBSTITUTE(LEFT(Base_report!F475,10),"-","/")),MONTH(SUBSTITUTE(LEFT(Base_report!F475,10),"-","/")),DAY(SUBSTITUTE(LEFT(Base_report!F475,10),"-","/")))</f>
        <v>45296</v>
      </c>
      <c r="H476" s="16">
        <f>DATE(YEAR(SUBSTITUTE(LEFT(Base_report!G475,10),"-","/")),MONTH(SUBSTITUTE(LEFT(Base_report!G475,10),"-","/")),DAY(SUBSTITUTE(LEFT(Base_report!G475,10),"-","/")))</f>
        <v>45297</v>
      </c>
      <c r="I476" s="17" t="str">
        <f t="shared" si="1"/>
        <v>OUI</v>
      </c>
      <c r="J476" s="18">
        <f>IF(L476="DS",DATE(RIGHT(B476,4),VLOOKUP(LEFT(B476,LEN(B476)-5),Feuil1!$E$3:$F$19,2,FALSE)+1,10),DATE(RIGHT(B476,4),VLOOKUP(LEFT(B476,LEN(B476)-5),Feuil1!$E$3:$F$19,2,FALSE)+1,7))</f>
        <v>45298</v>
      </c>
      <c r="K476" s="19">
        <f t="shared" si="2"/>
        <v>1</v>
      </c>
      <c r="L476" s="6" t="str">
        <f t="shared" si="3"/>
        <v>FS</v>
      </c>
    </row>
    <row r="477" ht="14.25" customHeight="1">
      <c r="A477" s="14" t="str">
        <f>Base_report!A476</f>
        <v>GBEKE</v>
      </c>
      <c r="B477" s="14" t="str">
        <f>Base_report!B476</f>
        <v>DECEMBRE 2023</v>
      </c>
      <c r="C477" s="15" t="str">
        <f>Base_report!C476</f>
        <v>C2047</v>
      </c>
      <c r="D477" s="14" t="str">
        <f>TRIM(IF(ISNUMBER(FIND("PNSME",Base_report!D476,1)),SUBSTITUTE(Base_report!D476,"PNSME",""),IF(ISNUMBER(FIND("PHG",Base_report!D476,1)),SUBSTITUTE(Base_report!D476,"PHG",""),IF(ISNUMBER(FIND("PCS",Base_report!D476,1)),SUBSTITUTE(Base_report!D476,"PCS",""),IF(ISNUMBER(FIND("CMU",Base_report!D476,1)),SUBSTITUTE(Base_report!D476,"CMU",""),Base_report!D476)))))</f>
        <v>HOPITAL GENERAL BEOUMI</v>
      </c>
      <c r="E477" s="14" t="str">
        <f>SUBSTITUTE(Base_report!E476,"-","/")</f>
        <v>PNSME/MEDICAMENTS ET INTRANTS</v>
      </c>
      <c r="F477" s="14" t="s">
        <v>788</v>
      </c>
      <c r="G477" s="16">
        <f>DATE(YEAR(SUBSTITUTE(LEFT(Base_report!F476,10),"-","/")),MONTH(SUBSTITUTE(LEFT(Base_report!F476,10),"-","/")),DAY(SUBSTITUTE(LEFT(Base_report!F476,10),"-","/")))</f>
        <v>45296</v>
      </c>
      <c r="H477" s="16">
        <f>DATE(YEAR(SUBSTITUTE(LEFT(Base_report!G476,10),"-","/")),MONTH(SUBSTITUTE(LEFT(Base_report!G476,10),"-","/")),DAY(SUBSTITUTE(LEFT(Base_report!G476,10),"-","/")))</f>
        <v>45297</v>
      </c>
      <c r="I477" s="17" t="str">
        <f t="shared" si="1"/>
        <v>OUI</v>
      </c>
      <c r="J477" s="18">
        <f>IF(L477="DS",DATE(RIGHT(B477,4),VLOOKUP(LEFT(B477,LEN(B477)-5),Feuil1!$E$3:$F$19,2,FALSE)+1,10),DATE(RIGHT(B477,4),VLOOKUP(LEFT(B477,LEN(B477)-5),Feuil1!$E$3:$F$19,2,FALSE)+1,7))</f>
        <v>45298</v>
      </c>
      <c r="K477" s="19">
        <f t="shared" si="2"/>
        <v>1</v>
      </c>
      <c r="L477" s="6" t="str">
        <f t="shared" si="3"/>
        <v>FS</v>
      </c>
    </row>
    <row r="478" ht="14.25" customHeight="1">
      <c r="A478" s="14" t="str">
        <f>Base_report!A477</f>
        <v>INDENIE-DJUABLIN</v>
      </c>
      <c r="B478" s="14" t="str">
        <f>Base_report!B477</f>
        <v>DECEMBRE 2023</v>
      </c>
      <c r="C478" s="15" t="str">
        <f>Base_report!C477</f>
        <v>C4001</v>
      </c>
      <c r="D478" s="14" t="str">
        <f>TRIM(IF(ISNUMBER(FIND("PNSME",Base_report!D477,1)),SUBSTITUTE(Base_report!D477,"PNSME",""),IF(ISNUMBER(FIND("PHG",Base_report!D477,1)),SUBSTITUTE(Base_report!D477,"PHG",""),IF(ISNUMBER(FIND("PCS",Base_report!D477,1)),SUBSTITUTE(Base_report!D477,"PCS",""),IF(ISNUMBER(FIND("CMU",Base_report!D477,1)),SUBSTITUTE(Base_report!D477,"CMU",""),Base_report!D477)))))</f>
        <v>CHR ABENGOUROU</v>
      </c>
      <c r="E478" s="14" t="str">
        <f>SUBSTITUTE(Base_report!E477,"-","/")</f>
        <v>PNLS/ANTIRETROVIRAUX ET IO</v>
      </c>
      <c r="F478" s="14" t="s">
        <v>788</v>
      </c>
      <c r="G478" s="16">
        <f>DATE(YEAR(SUBSTITUTE(LEFT(Base_report!F477,10),"-","/")),MONTH(SUBSTITUTE(LEFT(Base_report!F477,10),"-","/")),DAY(SUBSTITUTE(LEFT(Base_report!F477,10),"-","/")))</f>
        <v>45289</v>
      </c>
      <c r="H478" s="16">
        <f>DATE(YEAR(SUBSTITUTE(LEFT(Base_report!G477,10),"-","/")),MONTH(SUBSTITUTE(LEFT(Base_report!G477,10),"-","/")),DAY(SUBSTITUTE(LEFT(Base_report!G477,10),"-","/")))</f>
        <v>45294</v>
      </c>
      <c r="I478" s="17" t="str">
        <f t="shared" si="1"/>
        <v>OUI</v>
      </c>
      <c r="J478" s="18">
        <f>IF(L478="DS",DATE(RIGHT(B478,4),VLOOKUP(LEFT(B478,LEN(B478)-5),Feuil1!$E$3:$F$19,2,FALSE)+1,10),DATE(RIGHT(B478,4),VLOOKUP(LEFT(B478,LEN(B478)-5),Feuil1!$E$3:$F$19,2,FALSE)+1,7))</f>
        <v>45298</v>
      </c>
      <c r="K478" s="19">
        <f t="shared" si="2"/>
        <v>1</v>
      </c>
      <c r="L478" s="6" t="str">
        <f t="shared" si="3"/>
        <v>FS</v>
      </c>
    </row>
    <row r="479" ht="14.25" customHeight="1">
      <c r="A479" s="14" t="str">
        <f>Base_report!A478</f>
        <v>GBEKE</v>
      </c>
      <c r="B479" s="14" t="str">
        <f>Base_report!B478</f>
        <v>DECEMBRE 2023</v>
      </c>
      <c r="C479" s="15" t="str">
        <f>Base_report!C478</f>
        <v>C2022</v>
      </c>
      <c r="D479" s="14" t="str">
        <f>TRIM(IF(ISNUMBER(FIND("PNSME",Base_report!D478,1)),SUBSTITUTE(Base_report!D478,"PNSME",""),IF(ISNUMBER(FIND("PHG",Base_report!D478,1)),SUBSTITUTE(Base_report!D478,"PHG",""),IF(ISNUMBER(FIND("PCS",Base_report!D478,1)),SUBSTITUTE(Base_report!D478,"PCS",""),IF(ISNUMBER(FIND("CMU",Base_report!D478,1)),SUBSTITUTE(Base_report!D478,"CMU",""),Base_report!D478)))))</f>
        <v>DISTRICT SANITAIRE BOUAKE EST</v>
      </c>
      <c r="E479" s="14" t="str">
        <f>SUBSTITUTE(Base_report!E478,"-","/")</f>
        <v>PNLS/ANTIRETROVIRAUX ET IO</v>
      </c>
      <c r="F479" s="14" t="s">
        <v>788</v>
      </c>
      <c r="G479" s="16">
        <f>DATE(YEAR(SUBSTITUTE(LEFT(Base_report!F478,10),"-","/")),MONTH(SUBSTITUTE(LEFT(Base_report!F478,10),"-","/")),DAY(SUBSTITUTE(LEFT(Base_report!F478,10),"-","/")))</f>
        <v>45300</v>
      </c>
      <c r="H479" s="16">
        <f>DATE(YEAR(SUBSTITUTE(LEFT(Base_report!G478,10),"-","/")),MONTH(SUBSTITUTE(LEFT(Base_report!G478,10),"-","/")),DAY(SUBSTITUTE(LEFT(Base_report!G478,10),"-","/")))</f>
        <v>45301</v>
      </c>
      <c r="I479" s="17" t="str">
        <f t="shared" si="1"/>
        <v>OUI</v>
      </c>
      <c r="J479" s="18">
        <f>IF(L479="DS",DATE(RIGHT(B479,4),VLOOKUP(LEFT(B479,LEN(B479)-5),Feuil1!$E$3:$F$19,2,FALSE)+1,10),DATE(RIGHT(B479,4),VLOOKUP(LEFT(B479,LEN(B479)-5),Feuil1!$E$3:$F$19,2,FALSE)+1,7))</f>
        <v>45301</v>
      </c>
      <c r="K479" s="19">
        <f t="shared" si="2"/>
        <v>1</v>
      </c>
      <c r="L479" s="6" t="str">
        <f t="shared" si="3"/>
        <v>DS</v>
      </c>
    </row>
    <row r="480" ht="14.25" customHeight="1">
      <c r="A480" s="14" t="str">
        <f>Base_report!A479</f>
        <v>INDENIE-DJUABLIN</v>
      </c>
      <c r="B480" s="14" t="str">
        <f>Base_report!B479</f>
        <v>DECEMBRE 2023</v>
      </c>
      <c r="C480" s="15" t="str">
        <f>Base_report!C479</f>
        <v>C4001</v>
      </c>
      <c r="D480" s="14" t="str">
        <f>TRIM(IF(ISNUMBER(FIND("PNSME",Base_report!D479,1)),SUBSTITUTE(Base_report!D479,"PNSME",""),IF(ISNUMBER(FIND("PHG",Base_report!D479,1)),SUBSTITUTE(Base_report!D479,"PHG",""),IF(ISNUMBER(FIND("PCS",Base_report!D479,1)),SUBSTITUTE(Base_report!D479,"PCS",""),IF(ISNUMBER(FIND("CMU",Base_report!D479,1)),SUBSTITUTE(Base_report!D479,"CMU",""),Base_report!D479)))))</f>
        <v>CHR ABENGOUROU</v>
      </c>
      <c r="E480" s="14" t="str">
        <f>SUBSTITUTE(Base_report!E479,"-","/")</f>
        <v>PNLS/TESTS RAPIDES ET CONSOMMABLES</v>
      </c>
      <c r="F480" s="14" t="s">
        <v>788</v>
      </c>
      <c r="G480" s="16">
        <f>DATE(YEAR(SUBSTITUTE(LEFT(Base_report!F479,10),"-","/")),MONTH(SUBSTITUTE(LEFT(Base_report!F479,10),"-","/")),DAY(SUBSTITUTE(LEFT(Base_report!F479,10),"-","/")))</f>
        <v>45296</v>
      </c>
      <c r="H480" s="16">
        <f>DATE(YEAR(SUBSTITUTE(LEFT(Base_report!G479,10),"-","/")),MONTH(SUBSTITUTE(LEFT(Base_report!G479,10),"-","/")),DAY(SUBSTITUTE(LEFT(Base_report!G479,10),"-","/")))</f>
        <v>45296</v>
      </c>
      <c r="I480" s="17" t="str">
        <f t="shared" si="1"/>
        <v>OUI</v>
      </c>
      <c r="J480" s="18">
        <f>IF(L480="DS",DATE(RIGHT(B480,4),VLOOKUP(LEFT(B480,LEN(B480)-5),Feuil1!$E$3:$F$19,2,FALSE)+1,10),DATE(RIGHT(B480,4),VLOOKUP(LEFT(B480,LEN(B480)-5),Feuil1!$E$3:$F$19,2,FALSE)+1,7))</f>
        <v>45298</v>
      </c>
      <c r="K480" s="19">
        <f t="shared" si="2"/>
        <v>1</v>
      </c>
      <c r="L480" s="6" t="str">
        <f t="shared" si="3"/>
        <v>FS</v>
      </c>
    </row>
    <row r="481" ht="14.25" customHeight="1">
      <c r="A481" s="14" t="str">
        <f>Base_report!A480</f>
        <v>BERE</v>
      </c>
      <c r="B481" s="14" t="str">
        <f>Base_report!B480</f>
        <v>DECEMBRE 2023</v>
      </c>
      <c r="C481" s="15" t="str">
        <f>Base_report!C480</f>
        <v>C5080</v>
      </c>
      <c r="D481" s="14" t="str">
        <f>TRIM(IF(ISNUMBER(FIND("PNSME",Base_report!D480,1)),SUBSTITUTE(Base_report!D480,"PNSME",""),IF(ISNUMBER(FIND("PHG",Base_report!D480,1)),SUBSTITUTE(Base_report!D480,"PHG",""),IF(ISNUMBER(FIND("PCS",Base_report!D480,1)),SUBSTITUTE(Base_report!D480,"PCS",""),IF(ISNUMBER(FIND("CMU",Base_report!D480,1)),SUBSTITUTE(Base_report!D480,"CMU",""),Base_report!D480)))))</f>
        <v>DISTRICT SANITAIRE KOUNAHIRI</v>
      </c>
      <c r="E481" s="14" t="str">
        <f>SUBSTITUTE(Base_report!E480,"-","/")</f>
        <v>PNLS/ANTIRETROVIRAUX ET IO</v>
      </c>
      <c r="F481" s="14" t="s">
        <v>788</v>
      </c>
      <c r="G481" s="16">
        <f>DATE(YEAR(SUBSTITUTE(LEFT(Base_report!F480,10),"-","/")),MONTH(SUBSTITUTE(LEFT(Base_report!F480,10),"-","/")),DAY(SUBSTITUTE(LEFT(Base_report!F480,10),"-","/")))</f>
        <v>45299</v>
      </c>
      <c r="H481" s="16">
        <f>DATE(YEAR(SUBSTITUTE(LEFT(Base_report!G480,10),"-","/")),MONTH(SUBSTITUTE(LEFT(Base_report!G480,10),"-","/")),DAY(SUBSTITUTE(LEFT(Base_report!G480,10),"-","/")))</f>
        <v>45300</v>
      </c>
      <c r="I481" s="17" t="str">
        <f t="shared" si="1"/>
        <v>OUI</v>
      </c>
      <c r="J481" s="18">
        <f>IF(L481="DS",DATE(RIGHT(B481,4),VLOOKUP(LEFT(B481,LEN(B481)-5),Feuil1!$E$3:$F$19,2,FALSE)+1,10),DATE(RIGHT(B481,4),VLOOKUP(LEFT(B481,LEN(B481)-5),Feuil1!$E$3:$F$19,2,FALSE)+1,7))</f>
        <v>45301</v>
      </c>
      <c r="K481" s="19">
        <f t="shared" si="2"/>
        <v>1</v>
      </c>
      <c r="L481" s="6" t="str">
        <f t="shared" si="3"/>
        <v>DS</v>
      </c>
    </row>
    <row r="482" ht="14.25" customHeight="1">
      <c r="A482" s="14" t="str">
        <f>Base_report!A481</f>
        <v>BERE</v>
      </c>
      <c r="B482" s="14" t="str">
        <f>Base_report!B481</f>
        <v>DECEMBRE 2023</v>
      </c>
      <c r="C482" s="15" t="str">
        <f>Base_report!C481</f>
        <v>C5080</v>
      </c>
      <c r="D482" s="14" t="str">
        <f>TRIM(IF(ISNUMBER(FIND("PNSME",Base_report!D481,1)),SUBSTITUTE(Base_report!D481,"PNSME",""),IF(ISNUMBER(FIND("PHG",Base_report!D481,1)),SUBSTITUTE(Base_report!D481,"PHG",""),IF(ISNUMBER(FIND("PCS",Base_report!D481,1)),SUBSTITUTE(Base_report!D481,"PCS",""),IF(ISNUMBER(FIND("CMU",Base_report!D481,1)),SUBSTITUTE(Base_report!D481,"CMU",""),Base_report!D481)))))</f>
        <v>DISTRICT SANITAIRE KOUNAHIRI</v>
      </c>
      <c r="E482" s="14" t="str">
        <f>SUBSTITUTE(Base_report!E481,"-","/")</f>
        <v>PNLS/PRODUITS DE LABORATOIRE</v>
      </c>
      <c r="F482" s="14" t="s">
        <v>788</v>
      </c>
      <c r="G482" s="16">
        <f>DATE(YEAR(SUBSTITUTE(LEFT(Base_report!F481,10),"-","/")),MONTH(SUBSTITUTE(LEFT(Base_report!F481,10),"-","/")),DAY(SUBSTITUTE(LEFT(Base_report!F481,10),"-","/")))</f>
        <v>45299</v>
      </c>
      <c r="H482" s="16">
        <f>DATE(YEAR(SUBSTITUTE(LEFT(Base_report!G481,10),"-","/")),MONTH(SUBSTITUTE(LEFT(Base_report!G481,10),"-","/")),DAY(SUBSTITUTE(LEFT(Base_report!G481,10),"-","/")))</f>
        <v>45300</v>
      </c>
      <c r="I482" s="17" t="str">
        <f t="shared" si="1"/>
        <v>OUI</v>
      </c>
      <c r="J482" s="18">
        <f>IF(L482="DS",DATE(RIGHT(B482,4),VLOOKUP(LEFT(B482,LEN(B482)-5),Feuil1!$E$3:$F$19,2,FALSE)+1,10),DATE(RIGHT(B482,4),VLOOKUP(LEFT(B482,LEN(B482)-5),Feuil1!$E$3:$F$19,2,FALSE)+1,7))</f>
        <v>45301</v>
      </c>
      <c r="K482" s="19">
        <f t="shared" si="2"/>
        <v>1</v>
      </c>
      <c r="L482" s="6" t="str">
        <f t="shared" si="3"/>
        <v>DS</v>
      </c>
    </row>
    <row r="483" ht="14.25" customHeight="1">
      <c r="A483" s="14" t="str">
        <f>Base_report!A482</f>
        <v>BERE</v>
      </c>
      <c r="B483" s="14" t="str">
        <f>Base_report!B482</f>
        <v>DECEMBRE 2023</v>
      </c>
      <c r="C483" s="15" t="str">
        <f>Base_report!C482</f>
        <v>C5080</v>
      </c>
      <c r="D483" s="14" t="str">
        <f>TRIM(IF(ISNUMBER(FIND("PNSME",Base_report!D482,1)),SUBSTITUTE(Base_report!D482,"PNSME",""),IF(ISNUMBER(FIND("PHG",Base_report!D482,1)),SUBSTITUTE(Base_report!D482,"PHG",""),IF(ISNUMBER(FIND("PCS",Base_report!D482,1)),SUBSTITUTE(Base_report!D482,"PCS",""),IF(ISNUMBER(FIND("CMU",Base_report!D482,1)),SUBSTITUTE(Base_report!D482,"CMU",""),Base_report!D482)))))</f>
        <v>DISTRICT SANITAIRE KOUNAHIRI</v>
      </c>
      <c r="E483" s="14" t="str">
        <f>SUBSTITUTE(Base_report!E482,"-","/")</f>
        <v>PNSME/MEDICAMENTS ET INTRANTS</v>
      </c>
      <c r="F483" s="14" t="s">
        <v>788</v>
      </c>
      <c r="G483" s="16">
        <f>DATE(YEAR(SUBSTITUTE(LEFT(Base_report!F482,10),"-","/")),MONTH(SUBSTITUTE(LEFT(Base_report!F482,10),"-","/")),DAY(SUBSTITUTE(LEFT(Base_report!F482,10),"-","/")))</f>
        <v>45299</v>
      </c>
      <c r="H483" s="16">
        <f>DATE(YEAR(SUBSTITUTE(LEFT(Base_report!G482,10),"-","/")),MONTH(SUBSTITUTE(LEFT(Base_report!G482,10),"-","/")),DAY(SUBSTITUTE(LEFT(Base_report!G482,10),"-","/")))</f>
        <v>45300</v>
      </c>
      <c r="I483" s="17" t="str">
        <f t="shared" si="1"/>
        <v>OUI</v>
      </c>
      <c r="J483" s="18">
        <f>IF(L483="DS",DATE(RIGHT(B483,4),VLOOKUP(LEFT(B483,LEN(B483)-5),Feuil1!$E$3:$F$19,2,FALSE)+1,10),DATE(RIGHT(B483,4),VLOOKUP(LEFT(B483,LEN(B483)-5),Feuil1!$E$3:$F$19,2,FALSE)+1,7))</f>
        <v>45301</v>
      </c>
      <c r="K483" s="19">
        <f t="shared" si="2"/>
        <v>1</v>
      </c>
      <c r="L483" s="6" t="str">
        <f t="shared" si="3"/>
        <v>DS</v>
      </c>
    </row>
    <row r="484" ht="14.25" customHeight="1">
      <c r="A484" s="14" t="str">
        <f>Base_report!A483</f>
        <v>GONTOUGO</v>
      </c>
      <c r="B484" s="14" t="str">
        <f>Base_report!B483</f>
        <v>DECEMBRE 2023</v>
      </c>
      <c r="C484" s="15" t="str">
        <f>Base_report!C483</f>
        <v>C4002</v>
      </c>
      <c r="D484" s="14" t="str">
        <f>TRIM(IF(ISNUMBER(FIND("PNSME",Base_report!D483,1)),SUBSTITUTE(Base_report!D483,"PNSME",""),IF(ISNUMBER(FIND("PHG",Base_report!D483,1)),SUBSTITUTE(Base_report!D483,"PHG",""),IF(ISNUMBER(FIND("PCS",Base_report!D483,1)),SUBSTITUTE(Base_report!D483,"PCS",""),IF(ISNUMBER(FIND("CMU",Base_report!D483,1)),SUBSTITUTE(Base_report!D483,"CMU",""),Base_report!D483)))))</f>
        <v>CHR BONDOUKOU</v>
      </c>
      <c r="E484" s="14" t="str">
        <f>SUBSTITUTE(Base_report!E483,"-","/")</f>
        <v>PNLS/ANTIRETROVIRAUX ET IO</v>
      </c>
      <c r="F484" s="14" t="s">
        <v>788</v>
      </c>
      <c r="G484" s="16">
        <f>DATE(YEAR(SUBSTITUTE(LEFT(Base_report!F483,10),"-","/")),MONTH(SUBSTITUTE(LEFT(Base_report!F483,10),"-","/")),DAY(SUBSTITUTE(LEFT(Base_report!F483,10),"-","/")))</f>
        <v>45294</v>
      </c>
      <c r="H484" s="16">
        <f>DATE(YEAR(SUBSTITUTE(LEFT(Base_report!G483,10),"-","/")),MONTH(SUBSTITUTE(LEFT(Base_report!G483,10),"-","/")),DAY(SUBSTITUTE(LEFT(Base_report!G483,10),"-","/")))</f>
        <v>45294</v>
      </c>
      <c r="I484" s="17" t="str">
        <f t="shared" si="1"/>
        <v>OUI</v>
      </c>
      <c r="J484" s="18">
        <f>IF(L484="DS",DATE(RIGHT(B484,4),VLOOKUP(LEFT(B484,LEN(B484)-5),Feuil1!$E$3:$F$19,2,FALSE)+1,10),DATE(RIGHT(B484,4),VLOOKUP(LEFT(B484,LEN(B484)-5),Feuil1!$E$3:$F$19,2,FALSE)+1,7))</f>
        <v>45298</v>
      </c>
      <c r="K484" s="19">
        <f t="shared" si="2"/>
        <v>1</v>
      </c>
      <c r="L484" s="6" t="str">
        <f t="shared" si="3"/>
        <v>FS</v>
      </c>
    </row>
    <row r="485" ht="14.25" customHeight="1">
      <c r="A485" s="14" t="str">
        <f>Base_report!A484</f>
        <v>GBEKE</v>
      </c>
      <c r="B485" s="14" t="str">
        <f>Base_report!B484</f>
        <v>DECEMBRE 2023</v>
      </c>
      <c r="C485" s="15" t="str">
        <f>Base_report!C484</f>
        <v>C2047</v>
      </c>
      <c r="D485" s="14" t="str">
        <f>TRIM(IF(ISNUMBER(FIND("PNSME",Base_report!D484,1)),SUBSTITUTE(Base_report!D484,"PNSME",""),IF(ISNUMBER(FIND("PHG",Base_report!D484,1)),SUBSTITUTE(Base_report!D484,"PHG",""),IF(ISNUMBER(FIND("PCS",Base_report!D484,1)),SUBSTITUTE(Base_report!D484,"PCS",""),IF(ISNUMBER(FIND("CMU",Base_report!D484,1)),SUBSTITUTE(Base_report!D484,"CMU",""),Base_report!D484)))))</f>
        <v>HOPITAL GENERAL BEOUMI</v>
      </c>
      <c r="E485" s="14" t="str">
        <f>SUBSTITUTE(Base_report!E484,"-","/")</f>
        <v>PNLP/MEDICAMENTS ET INTRANTS</v>
      </c>
      <c r="F485" s="14" t="s">
        <v>788</v>
      </c>
      <c r="G485" s="16">
        <f>DATE(YEAR(SUBSTITUTE(LEFT(Base_report!F484,10),"-","/")),MONTH(SUBSTITUTE(LEFT(Base_report!F484,10),"-","/")),DAY(SUBSTITUTE(LEFT(Base_report!F484,10),"-","/")))</f>
        <v>45296</v>
      </c>
      <c r="H485" s="16">
        <f>DATE(YEAR(SUBSTITUTE(LEFT(Base_report!G484,10),"-","/")),MONTH(SUBSTITUTE(LEFT(Base_report!G484,10),"-","/")),DAY(SUBSTITUTE(LEFT(Base_report!G484,10),"-","/")))</f>
        <v>45297</v>
      </c>
      <c r="I485" s="17" t="str">
        <f t="shared" si="1"/>
        <v>OUI</v>
      </c>
      <c r="J485" s="18">
        <f>IF(L485="DS",DATE(RIGHT(B485,4),VLOOKUP(LEFT(B485,LEN(B485)-5),Feuil1!$E$3:$F$19,2,FALSE)+1,10),DATE(RIGHT(B485,4),VLOOKUP(LEFT(B485,LEN(B485)-5),Feuil1!$E$3:$F$19,2,FALSE)+1,7))</f>
        <v>45298</v>
      </c>
      <c r="K485" s="19">
        <f t="shared" si="2"/>
        <v>1</v>
      </c>
      <c r="L485" s="6" t="str">
        <f t="shared" si="3"/>
        <v>FS</v>
      </c>
    </row>
    <row r="486" ht="14.25" customHeight="1">
      <c r="A486" s="14" t="str">
        <f>Base_report!A485</f>
        <v>INDENIE-DJUABLIN</v>
      </c>
      <c r="B486" s="14" t="str">
        <f>Base_report!B485</f>
        <v>DECEMBRE 2023</v>
      </c>
      <c r="C486" s="15" t="str">
        <f>Base_report!C485</f>
        <v>C4001</v>
      </c>
      <c r="D486" s="14" t="str">
        <f>TRIM(IF(ISNUMBER(FIND("PNSME",Base_report!D485,1)),SUBSTITUTE(Base_report!D485,"PNSME",""),IF(ISNUMBER(FIND("PHG",Base_report!D485,1)),SUBSTITUTE(Base_report!D485,"PHG",""),IF(ISNUMBER(FIND("PCS",Base_report!D485,1)),SUBSTITUTE(Base_report!D485,"PCS",""),IF(ISNUMBER(FIND("CMU",Base_report!D485,1)),SUBSTITUTE(Base_report!D485,"CMU",""),Base_report!D485)))))</f>
        <v>CHR ABENGOUROU</v>
      </c>
      <c r="E486" s="14" t="str">
        <f>SUBSTITUTE(Base_report!E485,"-","/")</f>
        <v>PNLS/PRODUITS DE LABORATOIRE</v>
      </c>
      <c r="F486" s="14" t="s">
        <v>788</v>
      </c>
      <c r="G486" s="16">
        <f>DATE(YEAR(SUBSTITUTE(LEFT(Base_report!F485,10),"-","/")),MONTH(SUBSTITUTE(LEFT(Base_report!F485,10),"-","/")),DAY(SUBSTITUTE(LEFT(Base_report!F485,10),"-","/")))</f>
        <v>45296</v>
      </c>
      <c r="H486" s="16">
        <f>DATE(YEAR(SUBSTITUTE(LEFT(Base_report!G485,10),"-","/")),MONTH(SUBSTITUTE(LEFT(Base_report!G485,10),"-","/")),DAY(SUBSTITUTE(LEFT(Base_report!G485,10),"-","/")))</f>
        <v>45296</v>
      </c>
      <c r="I486" s="17" t="str">
        <f t="shared" si="1"/>
        <v>OUI</v>
      </c>
      <c r="J486" s="18">
        <f>IF(L486="DS",DATE(RIGHT(B486,4),VLOOKUP(LEFT(B486,LEN(B486)-5),Feuil1!$E$3:$F$19,2,FALSE)+1,10),DATE(RIGHT(B486,4),VLOOKUP(LEFT(B486,LEN(B486)-5),Feuil1!$E$3:$F$19,2,FALSE)+1,7))</f>
        <v>45298</v>
      </c>
      <c r="K486" s="19">
        <f t="shared" si="2"/>
        <v>1</v>
      </c>
      <c r="L486" s="6" t="str">
        <f t="shared" si="3"/>
        <v>FS</v>
      </c>
    </row>
    <row r="487" ht="14.25" customHeight="1">
      <c r="A487" s="14" t="str">
        <f>Base_report!A486</f>
        <v>BAGOUE</v>
      </c>
      <c r="B487" s="14" t="str">
        <f>Base_report!B486</f>
        <v>DECEMBRE 2023</v>
      </c>
      <c r="C487" s="15" t="str">
        <f>Base_report!C486</f>
        <v>C3010</v>
      </c>
      <c r="D487" s="14" t="str">
        <f>TRIM(IF(ISNUMBER(FIND("PNSME",Base_report!D486,1)),SUBSTITUTE(Base_report!D486,"PNSME",""),IF(ISNUMBER(FIND("PHG",Base_report!D486,1)),SUBSTITUTE(Base_report!D486,"PHG",""),IF(ISNUMBER(FIND("PCS",Base_report!D486,1)),SUBSTITUTE(Base_report!D486,"PCS",""),IF(ISNUMBER(FIND("CMU",Base_report!D486,1)),SUBSTITUTE(Base_report!D486,"CMU",""),Base_report!D486)))))</f>
        <v>HOPITAL GENERAL BOUNDIALI</v>
      </c>
      <c r="E487" s="14" t="str">
        <f>SUBSTITUTE(Base_report!E486,"-","/")</f>
        <v>PNLS/TESTS RAPIDES ET CONSOMMABLES</v>
      </c>
      <c r="F487" s="14" t="s">
        <v>788</v>
      </c>
      <c r="G487" s="16">
        <f>DATE(YEAR(SUBSTITUTE(LEFT(Base_report!F486,10),"-","/")),MONTH(SUBSTITUTE(LEFT(Base_report!F486,10),"-","/")),DAY(SUBSTITUTE(LEFT(Base_report!F486,10),"-","/")))</f>
        <v>45296</v>
      </c>
      <c r="H487" s="16">
        <f>DATE(YEAR(SUBSTITUTE(LEFT(Base_report!G486,10),"-","/")),MONTH(SUBSTITUTE(LEFT(Base_report!G486,10),"-","/")),DAY(SUBSTITUTE(LEFT(Base_report!G486,10),"-","/")))</f>
        <v>45296</v>
      </c>
      <c r="I487" s="17" t="str">
        <f t="shared" si="1"/>
        <v>OUI</v>
      </c>
      <c r="J487" s="18">
        <f>IF(L487="DS",DATE(RIGHT(B487,4),VLOOKUP(LEFT(B487,LEN(B487)-5),Feuil1!$E$3:$F$19,2,FALSE)+1,10),DATE(RIGHT(B487,4),VLOOKUP(LEFT(B487,LEN(B487)-5),Feuil1!$E$3:$F$19,2,FALSE)+1,7))</f>
        <v>45298</v>
      </c>
      <c r="K487" s="19">
        <f t="shared" si="2"/>
        <v>1</v>
      </c>
      <c r="L487" s="6" t="str">
        <f t="shared" si="3"/>
        <v>FS</v>
      </c>
    </row>
    <row r="488" ht="14.25" customHeight="1">
      <c r="A488" s="14" t="str">
        <f>Base_report!A487</f>
        <v>GRANDS PONTS</v>
      </c>
      <c r="B488" s="14" t="str">
        <f>Base_report!B487</f>
        <v>DECEMBRE 2023</v>
      </c>
      <c r="C488" s="15" t="str">
        <f>Base_report!C487</f>
        <v>C1091</v>
      </c>
      <c r="D488" s="14" t="str">
        <f>TRIM(IF(ISNUMBER(FIND("PNSME",Base_report!D487,1)),SUBSTITUTE(Base_report!D487,"PNSME",""),IF(ISNUMBER(FIND("PHG",Base_report!D487,1)),SUBSTITUTE(Base_report!D487,"PHG",""),IF(ISNUMBER(FIND("PCS",Base_report!D487,1)),SUBSTITUTE(Base_report!D487,"PCS",""),IF(ISNUMBER(FIND("CMU",Base_report!D487,1)),SUBSTITUTE(Base_report!D487,"CMU",""),Base_report!D487)))))</f>
        <v>HOPITAL GENERAL GRAND-LAHOU</v>
      </c>
      <c r="E488" s="14" t="str">
        <f>SUBSTITUTE(Base_report!E487,"-","/")</f>
        <v>PNLS/PRODUITS DE LABORATOIRE</v>
      </c>
      <c r="F488" s="14" t="s">
        <v>788</v>
      </c>
      <c r="G488" s="16">
        <f>DATE(YEAR(SUBSTITUTE(LEFT(Base_report!F487,10),"-","/")),MONTH(SUBSTITUTE(LEFT(Base_report!F487,10),"-","/")),DAY(SUBSTITUTE(LEFT(Base_report!F487,10),"-","/")))</f>
        <v>45295</v>
      </c>
      <c r="H488" s="16">
        <f>DATE(YEAR(SUBSTITUTE(LEFT(Base_report!G487,10),"-","/")),MONTH(SUBSTITUTE(LEFT(Base_report!G487,10),"-","/")),DAY(SUBSTITUTE(LEFT(Base_report!G487,10),"-","/")))</f>
        <v>45295</v>
      </c>
      <c r="I488" s="17" t="str">
        <f t="shared" si="1"/>
        <v>OUI</v>
      </c>
      <c r="J488" s="18">
        <f>IF(L488="DS",DATE(RIGHT(B488,4),VLOOKUP(LEFT(B488,LEN(B488)-5),Feuil1!$E$3:$F$19,2,FALSE)+1,10),DATE(RIGHT(B488,4),VLOOKUP(LEFT(B488,LEN(B488)-5),Feuil1!$E$3:$F$19,2,FALSE)+1,7))</f>
        <v>45298</v>
      </c>
      <c r="K488" s="19">
        <f t="shared" si="2"/>
        <v>1</v>
      </c>
      <c r="L488" s="6" t="str">
        <f t="shared" si="3"/>
        <v>FS</v>
      </c>
    </row>
    <row r="489" ht="14.25" customHeight="1">
      <c r="A489" s="14" t="str">
        <f>Base_report!A488</f>
        <v>INDENIE-DJUABLIN</v>
      </c>
      <c r="B489" s="14" t="str">
        <f>Base_report!B488</f>
        <v>DECEMBRE 2023</v>
      </c>
      <c r="C489" s="15" t="str">
        <f>Base_report!C488</f>
        <v>C4004</v>
      </c>
      <c r="D489" s="14" t="str">
        <f>TRIM(IF(ISNUMBER(FIND("PNSME",Base_report!D488,1)),SUBSTITUTE(Base_report!D488,"PNSME",""),IF(ISNUMBER(FIND("PHG",Base_report!D488,1)),SUBSTITUTE(Base_report!D488,"PHG",""),IF(ISNUMBER(FIND("PCS",Base_report!D488,1)),SUBSTITUTE(Base_report!D488,"PCS",""),IF(ISNUMBER(FIND("CMU",Base_report!D488,1)),SUBSTITUTE(Base_report!D488,"CMU",""),Base_report!D488)))))</f>
        <v>DISTRICT SANITAIRE ABENGOUROU</v>
      </c>
      <c r="E489" s="14" t="str">
        <f>SUBSTITUTE(Base_report!E488,"-","/")</f>
        <v>PNLS/CHARGES VIRALES</v>
      </c>
      <c r="F489" s="14" t="s">
        <v>788</v>
      </c>
      <c r="G489" s="16">
        <f>DATE(YEAR(SUBSTITUTE(LEFT(Base_report!F488,10),"-","/")),MONTH(SUBSTITUTE(LEFT(Base_report!F488,10),"-","/")),DAY(SUBSTITUTE(LEFT(Base_report!F488,10),"-","/")))</f>
        <v>45301</v>
      </c>
      <c r="H489" s="16">
        <f>DATE(YEAR(SUBSTITUTE(LEFT(Base_report!G488,10),"-","/")),MONTH(SUBSTITUTE(LEFT(Base_report!G488,10),"-","/")),DAY(SUBSTITUTE(LEFT(Base_report!G488,10),"-","/")))</f>
        <v>45301</v>
      </c>
      <c r="I489" s="17" t="str">
        <f t="shared" si="1"/>
        <v>OUI</v>
      </c>
      <c r="J489" s="18">
        <f>IF(L489="DS",DATE(RIGHT(B489,4),VLOOKUP(LEFT(B489,LEN(B489)-5),Feuil1!$E$3:$F$19,2,FALSE)+1,10),DATE(RIGHT(B489,4),VLOOKUP(LEFT(B489,LEN(B489)-5),Feuil1!$E$3:$F$19,2,FALSE)+1,7))</f>
        <v>45301</v>
      </c>
      <c r="K489" s="19">
        <f t="shared" si="2"/>
        <v>1</v>
      </c>
      <c r="L489" s="6" t="str">
        <f t="shared" si="3"/>
        <v>DS</v>
      </c>
    </row>
    <row r="490" ht="14.25" customHeight="1">
      <c r="A490" s="14" t="str">
        <f>Base_report!A489</f>
        <v>ABIDJAN 1</v>
      </c>
      <c r="B490" s="14" t="str">
        <f>Base_report!B489</f>
        <v>DECEMBRE 2023</v>
      </c>
      <c r="C490" s="15" t="str">
        <f>Base_report!C489</f>
        <v>C1404</v>
      </c>
      <c r="D490" s="14" t="str">
        <f>TRIM(IF(ISNUMBER(FIND("PNSME",Base_report!D489,1)),SUBSTITUTE(Base_report!D489,"PNSME",""),IF(ISNUMBER(FIND("PHG",Base_report!D489,1)),SUBSTITUTE(Base_report!D489,"PHG",""),IF(ISNUMBER(FIND("PCS",Base_report!D489,1)),SUBSTITUTE(Base_report!D489,"PCS",""),IF(ISNUMBER(FIND("CMU",Base_report!D489,1)),SUBSTITUTE(Base_report!D489,"CMU",""),Base_report!D489)))))</f>
        <v>CEPREF</v>
      </c>
      <c r="E490" s="14" t="str">
        <f>SUBSTITUTE(Base_report!E489,"-","/")</f>
        <v>PNLS/ANTIRETROVIRAUX ET IO</v>
      </c>
      <c r="F490" s="14" t="s">
        <v>788</v>
      </c>
      <c r="G490" s="16">
        <f>DATE(YEAR(SUBSTITUTE(LEFT(Base_report!F489,10),"-","/")),MONTH(SUBSTITUTE(LEFT(Base_report!F489,10),"-","/")),DAY(SUBSTITUTE(LEFT(Base_report!F489,10),"-","/")))</f>
        <v>45294</v>
      </c>
      <c r="H490" s="16">
        <f>DATE(YEAR(SUBSTITUTE(LEFT(Base_report!G489,10),"-","/")),MONTH(SUBSTITUTE(LEFT(Base_report!G489,10),"-","/")),DAY(SUBSTITUTE(LEFT(Base_report!G489,10),"-","/")))</f>
        <v>45295</v>
      </c>
      <c r="I490" s="17" t="str">
        <f t="shared" si="1"/>
        <v>OUI</v>
      </c>
      <c r="J490" s="18">
        <f>IF(L490="DS",DATE(RIGHT(B490,4),VLOOKUP(LEFT(B490,LEN(B490)-5),Feuil1!$E$3:$F$19,2,FALSE)+1,10),DATE(RIGHT(B490,4),VLOOKUP(LEFT(B490,LEN(B490)-5),Feuil1!$E$3:$F$19,2,FALSE)+1,7))</f>
        <v>45298</v>
      </c>
      <c r="K490" s="19">
        <f t="shared" si="2"/>
        <v>1</v>
      </c>
      <c r="L490" s="6" t="str">
        <f t="shared" si="3"/>
        <v>FS</v>
      </c>
    </row>
    <row r="491" ht="14.25" customHeight="1">
      <c r="A491" s="14" t="str">
        <f>Base_report!A490</f>
        <v>MORONOU</v>
      </c>
      <c r="B491" s="14" t="str">
        <f>Base_report!B490</f>
        <v>DECEMBRE 2023</v>
      </c>
      <c r="C491" s="15" t="str">
        <f>Base_report!C490</f>
        <v>C4016</v>
      </c>
      <c r="D491" s="14" t="str">
        <f>TRIM(IF(ISNUMBER(FIND("PNSME",Base_report!D490,1)),SUBSTITUTE(Base_report!D490,"PNSME",""),IF(ISNUMBER(FIND("PHG",Base_report!D490,1)),SUBSTITUTE(Base_report!D490,"PHG",""),IF(ISNUMBER(FIND("PCS",Base_report!D490,1)),SUBSTITUTE(Base_report!D490,"PCS",""),IF(ISNUMBER(FIND("CMU",Base_report!D490,1)),SUBSTITUTE(Base_report!D490,"CMU",""),Base_report!D490)))))</f>
        <v>HOPITAL GENERAL ARRAH</v>
      </c>
      <c r="E491" s="14" t="str">
        <f>SUBSTITUTE(Base_report!E490,"-","/")</f>
        <v>PNLS/PRODUITS DE LABORATOIRE</v>
      </c>
      <c r="F491" s="14" t="s">
        <v>788</v>
      </c>
      <c r="G491" s="16">
        <f>DATE(YEAR(SUBSTITUTE(LEFT(Base_report!F490,10),"-","/")),MONTH(SUBSTITUTE(LEFT(Base_report!F490,10),"-","/")),DAY(SUBSTITUTE(LEFT(Base_report!F490,10),"-","/")))</f>
        <v>45296</v>
      </c>
      <c r="H491" s="16">
        <f>DATE(YEAR(SUBSTITUTE(LEFT(Base_report!G490,10),"-","/")),MONTH(SUBSTITUTE(LEFT(Base_report!G490,10),"-","/")),DAY(SUBSTITUTE(LEFT(Base_report!G490,10),"-","/")))</f>
        <v>45296</v>
      </c>
      <c r="I491" s="17" t="str">
        <f t="shared" si="1"/>
        <v>OUI</v>
      </c>
      <c r="J491" s="18">
        <f>IF(L491="DS",DATE(RIGHT(B491,4),VLOOKUP(LEFT(B491,LEN(B491)-5),Feuil1!$E$3:$F$19,2,FALSE)+1,10),DATE(RIGHT(B491,4),VLOOKUP(LEFT(B491,LEN(B491)-5),Feuil1!$E$3:$F$19,2,FALSE)+1,7))</f>
        <v>45298</v>
      </c>
      <c r="K491" s="19">
        <f t="shared" si="2"/>
        <v>1</v>
      </c>
      <c r="L491" s="6" t="str">
        <f t="shared" si="3"/>
        <v>FS</v>
      </c>
    </row>
    <row r="492" ht="14.25" customHeight="1">
      <c r="A492" s="14" t="str">
        <f>Base_report!A491</f>
        <v>GRANDS PONTS</v>
      </c>
      <c r="B492" s="14" t="str">
        <f>Base_report!B491</f>
        <v>DECEMBRE 2023</v>
      </c>
      <c r="C492" s="15" t="str">
        <f>Base_report!C491</f>
        <v>C1091</v>
      </c>
      <c r="D492" s="14" t="str">
        <f>TRIM(IF(ISNUMBER(FIND("PNSME",Base_report!D491,1)),SUBSTITUTE(Base_report!D491,"PNSME",""),IF(ISNUMBER(FIND("PHG",Base_report!D491,1)),SUBSTITUTE(Base_report!D491,"PHG",""),IF(ISNUMBER(FIND("PCS",Base_report!D491,1)),SUBSTITUTE(Base_report!D491,"PCS",""),IF(ISNUMBER(FIND("CMU",Base_report!D491,1)),SUBSTITUTE(Base_report!D491,"CMU",""),Base_report!D491)))))</f>
        <v>HOPITAL GENERAL GRAND-LAHOU</v>
      </c>
      <c r="E492" s="14" t="str">
        <f>SUBSTITUTE(Base_report!E491,"-","/")</f>
        <v>PNSME/MEDICAMENTS ET INTRANTS</v>
      </c>
      <c r="F492" s="14" t="s">
        <v>788</v>
      </c>
      <c r="G492" s="16">
        <f>DATE(YEAR(SUBSTITUTE(LEFT(Base_report!F491,10),"-","/")),MONTH(SUBSTITUTE(LEFT(Base_report!F491,10),"-","/")),DAY(SUBSTITUTE(LEFT(Base_report!F491,10),"-","/")))</f>
        <v>45295</v>
      </c>
      <c r="H492" s="16">
        <f>DATE(YEAR(SUBSTITUTE(LEFT(Base_report!G491,10),"-","/")),MONTH(SUBSTITUTE(LEFT(Base_report!G491,10),"-","/")),DAY(SUBSTITUTE(LEFT(Base_report!G491,10),"-","/")))</f>
        <v>45295</v>
      </c>
      <c r="I492" s="17" t="str">
        <f t="shared" si="1"/>
        <v>OUI</v>
      </c>
      <c r="J492" s="18">
        <f>IF(L492="DS",DATE(RIGHT(B492,4),VLOOKUP(LEFT(B492,LEN(B492)-5),Feuil1!$E$3:$F$19,2,FALSE)+1,10),DATE(RIGHT(B492,4),VLOOKUP(LEFT(B492,LEN(B492)-5),Feuil1!$E$3:$F$19,2,FALSE)+1,7))</f>
        <v>45298</v>
      </c>
      <c r="K492" s="19">
        <f t="shared" si="2"/>
        <v>1</v>
      </c>
      <c r="L492" s="6" t="str">
        <f t="shared" si="3"/>
        <v>FS</v>
      </c>
    </row>
    <row r="493" ht="14.25" customHeight="1">
      <c r="A493" s="14" t="str">
        <f>Base_report!A492</f>
        <v>INDENIE-DJUABLIN</v>
      </c>
      <c r="B493" s="14" t="str">
        <f>Base_report!B492</f>
        <v>DECEMBRE 2023</v>
      </c>
      <c r="C493" s="15" t="str">
        <f>Base_report!C492</f>
        <v>C4001</v>
      </c>
      <c r="D493" s="14" t="str">
        <f>TRIM(IF(ISNUMBER(FIND("PNSME",Base_report!D492,1)),SUBSTITUTE(Base_report!D492,"PNSME",""),IF(ISNUMBER(FIND("PHG",Base_report!D492,1)),SUBSTITUTE(Base_report!D492,"PHG",""),IF(ISNUMBER(FIND("PCS",Base_report!D492,1)),SUBSTITUTE(Base_report!D492,"PCS",""),IF(ISNUMBER(FIND("CMU",Base_report!D492,1)),SUBSTITUTE(Base_report!D492,"CMU",""),Base_report!D492)))))</f>
        <v>CHR ABENGOUROU</v>
      </c>
      <c r="E493" s="14" t="str">
        <f>SUBSTITUTE(Base_report!E492,"-","/")</f>
        <v>PNLS/CHARGES VIRALES</v>
      </c>
      <c r="F493" s="14" t="s">
        <v>788</v>
      </c>
      <c r="G493" s="16">
        <f>DATE(YEAR(SUBSTITUTE(LEFT(Base_report!F492,10),"-","/")),MONTH(SUBSTITUTE(LEFT(Base_report!F492,10),"-","/")),DAY(SUBSTITUTE(LEFT(Base_report!F492,10),"-","/")))</f>
        <v>45289</v>
      </c>
      <c r="H493" s="16">
        <f>DATE(YEAR(SUBSTITUTE(LEFT(Base_report!G492,10),"-","/")),MONTH(SUBSTITUTE(LEFT(Base_report!G492,10),"-","/")),DAY(SUBSTITUTE(LEFT(Base_report!G492,10),"-","/")))</f>
        <v>45294</v>
      </c>
      <c r="I493" s="17" t="str">
        <f t="shared" si="1"/>
        <v>OUI</v>
      </c>
      <c r="J493" s="18">
        <f>IF(L493="DS",DATE(RIGHT(B493,4),VLOOKUP(LEFT(B493,LEN(B493)-5),Feuil1!$E$3:$F$19,2,FALSE)+1,10),DATE(RIGHT(B493,4),VLOOKUP(LEFT(B493,LEN(B493)-5),Feuil1!$E$3:$F$19,2,FALSE)+1,7))</f>
        <v>45298</v>
      </c>
      <c r="K493" s="19">
        <f t="shared" si="2"/>
        <v>1</v>
      </c>
      <c r="L493" s="6" t="str">
        <f t="shared" si="3"/>
        <v>FS</v>
      </c>
    </row>
    <row r="494" ht="14.25" customHeight="1">
      <c r="A494" s="14" t="str">
        <f>Base_report!A493</f>
        <v>ABIDJAN 1</v>
      </c>
      <c r="B494" s="14" t="str">
        <f>Base_report!B493</f>
        <v>DECEMBRE 2023</v>
      </c>
      <c r="C494" s="15" t="str">
        <f>Base_report!C493</f>
        <v>C1078</v>
      </c>
      <c r="D494" s="14" t="str">
        <f>TRIM(IF(ISNUMBER(FIND("PNSME",Base_report!D493,1)),SUBSTITUTE(Base_report!D493,"PNSME",""),IF(ISNUMBER(FIND("PHG",Base_report!D493,1)),SUBSTITUTE(Base_report!D493,"PHG",""),IF(ISNUMBER(FIND("PCS",Base_report!D493,1)),SUBSTITUTE(Base_report!D493,"PCS",""),IF(ISNUMBER(FIND("CMU",Base_report!D493,1)),SUBSTITUTE(Base_report!D493,"CMU",""),Base_report!D493)))))</f>
        <v>FSU COM YOPOUGON TOIT ROUGE</v>
      </c>
      <c r="E494" s="14" t="str">
        <f>SUBSTITUTE(Base_report!E493,"-","/")</f>
        <v>PNSME/MEDICAMENTS ET INTRANTS</v>
      </c>
      <c r="F494" s="14" t="s">
        <v>788</v>
      </c>
      <c r="G494" s="16">
        <f>DATE(YEAR(SUBSTITUTE(LEFT(Base_report!F493,10),"-","/")),MONTH(SUBSTITUTE(LEFT(Base_report!F493,10),"-","/")),DAY(SUBSTITUTE(LEFT(Base_report!F493,10),"-","/")))</f>
        <v>45289</v>
      </c>
      <c r="H494" s="16">
        <f>DATE(YEAR(SUBSTITUTE(LEFT(Base_report!G493,10),"-","/")),MONTH(SUBSTITUTE(LEFT(Base_report!G493,10),"-","/")),DAY(SUBSTITUTE(LEFT(Base_report!G493,10),"-","/")))</f>
        <v>45296</v>
      </c>
      <c r="I494" s="17" t="str">
        <f t="shared" si="1"/>
        <v>OUI</v>
      </c>
      <c r="J494" s="18">
        <f>IF(L494="DS",DATE(RIGHT(B494,4),VLOOKUP(LEFT(B494,LEN(B494)-5),Feuil1!$E$3:$F$19,2,FALSE)+1,10),DATE(RIGHT(B494,4),VLOOKUP(LEFT(B494,LEN(B494)-5),Feuil1!$E$3:$F$19,2,FALSE)+1,7))</f>
        <v>45298</v>
      </c>
      <c r="K494" s="19">
        <f t="shared" si="2"/>
        <v>1</v>
      </c>
      <c r="L494" s="6" t="str">
        <f t="shared" si="3"/>
        <v>FS</v>
      </c>
    </row>
    <row r="495" ht="14.25" customHeight="1">
      <c r="A495" s="14" t="str">
        <f>Base_report!A494</f>
        <v>ABIDJAN 2</v>
      </c>
      <c r="B495" s="14" t="str">
        <f>Base_report!B494</f>
        <v>DECEMBRE 2023</v>
      </c>
      <c r="C495" s="15" t="str">
        <f>Base_report!C494</f>
        <v>C1052</v>
      </c>
      <c r="D495" s="14" t="str">
        <f>TRIM(IF(ISNUMBER(FIND("PNSME",Base_report!D494,1)),SUBSTITUTE(Base_report!D494,"PNSME",""),IF(ISNUMBER(FIND("PHG",Base_report!D494,1)),SUBSTITUTE(Base_report!D494,"PHG",""),IF(ISNUMBER(FIND("PCS",Base_report!D494,1)),SUBSTITUTE(Base_report!D494,"PCS",""),IF(ISNUMBER(FIND("CMU",Base_report!D494,1)),SUBSTITUTE(Base_report!D494,"CMU",""),Base_report!D494)))))</f>
        <v>FSU ADJAME 220 LOGEMENTS</v>
      </c>
      <c r="E495" s="14" t="str">
        <f>SUBSTITUTE(Base_report!E494,"-","/")</f>
        <v>PNLP/MEDICAMENTS ET INTRANTS</v>
      </c>
      <c r="F495" s="14" t="s">
        <v>788</v>
      </c>
      <c r="G495" s="16">
        <f>DATE(YEAR(SUBSTITUTE(LEFT(Base_report!F494,10),"-","/")),MONTH(SUBSTITUTE(LEFT(Base_report!F494,10),"-","/")),DAY(SUBSTITUTE(LEFT(Base_report!F494,10),"-","/")))</f>
        <v>45294</v>
      </c>
      <c r="H495" s="16">
        <f>DATE(YEAR(SUBSTITUTE(LEFT(Base_report!G494,10),"-","/")),MONTH(SUBSTITUTE(LEFT(Base_report!G494,10),"-","/")),DAY(SUBSTITUTE(LEFT(Base_report!G494,10),"-","/")))</f>
        <v>45294</v>
      </c>
      <c r="I495" s="17" t="str">
        <f t="shared" si="1"/>
        <v>OUI</v>
      </c>
      <c r="J495" s="18">
        <f>IF(L495="DS",DATE(RIGHT(B495,4),VLOOKUP(LEFT(B495,LEN(B495)-5),Feuil1!$E$3:$F$19,2,FALSE)+1,10),DATE(RIGHT(B495,4),VLOOKUP(LEFT(B495,LEN(B495)-5),Feuil1!$E$3:$F$19,2,FALSE)+1,7))</f>
        <v>45298</v>
      </c>
      <c r="K495" s="19">
        <f t="shared" si="2"/>
        <v>1</v>
      </c>
      <c r="L495" s="6" t="str">
        <f t="shared" si="3"/>
        <v>FS</v>
      </c>
    </row>
    <row r="496" ht="14.25" customHeight="1">
      <c r="A496" s="14" t="str">
        <f>Base_report!A495</f>
        <v>GRANDS PONTS</v>
      </c>
      <c r="B496" s="14" t="str">
        <f>Base_report!B495</f>
        <v>DECEMBRE 2023</v>
      </c>
      <c r="C496" s="15" t="str">
        <f>Base_report!C495</f>
        <v>C1102</v>
      </c>
      <c r="D496" s="14" t="str">
        <f>TRIM(IF(ISNUMBER(FIND("PNSME",Base_report!D495,1)),SUBSTITUTE(Base_report!D495,"PNSME",""),IF(ISNUMBER(FIND("PHG",Base_report!D495,1)),SUBSTITUTE(Base_report!D495,"PHG",""),IF(ISNUMBER(FIND("PCS",Base_report!D495,1)),SUBSTITUTE(Base_report!D495,"PCS",""),IF(ISNUMBER(FIND("CMU",Base_report!D495,1)),SUBSTITUTE(Base_report!D495,"CMU",""),Base_report!D495)))))</f>
        <v>HOPITAL METHODISTE DE DABOU</v>
      </c>
      <c r="E496" s="14" t="str">
        <f>SUBSTITUTE(Base_report!E495,"-","/")</f>
        <v>PNLS/PRODUITS DE LABORATOIRE</v>
      </c>
      <c r="F496" s="14" t="s">
        <v>788</v>
      </c>
      <c r="G496" s="16">
        <f>DATE(YEAR(SUBSTITUTE(LEFT(Base_report!F495,10),"-","/")),MONTH(SUBSTITUTE(LEFT(Base_report!F495,10),"-","/")),DAY(SUBSTITUTE(LEFT(Base_report!F495,10),"-","/")))</f>
        <v>45296</v>
      </c>
      <c r="H496" s="16">
        <f>DATE(YEAR(SUBSTITUTE(LEFT(Base_report!G495,10),"-","/")),MONTH(SUBSTITUTE(LEFT(Base_report!G495,10),"-","/")),DAY(SUBSTITUTE(LEFT(Base_report!G495,10),"-","/")))</f>
        <v>45296</v>
      </c>
      <c r="I496" s="17" t="str">
        <f t="shared" si="1"/>
        <v>OUI</v>
      </c>
      <c r="J496" s="18">
        <f>IF(L496="DS",DATE(RIGHT(B496,4),VLOOKUP(LEFT(B496,LEN(B496)-5),Feuil1!$E$3:$F$19,2,FALSE)+1,10),DATE(RIGHT(B496,4),VLOOKUP(LEFT(B496,LEN(B496)-5),Feuil1!$E$3:$F$19,2,FALSE)+1,7))</f>
        <v>45298</v>
      </c>
      <c r="K496" s="19">
        <f t="shared" si="2"/>
        <v>1</v>
      </c>
      <c r="L496" s="6" t="str">
        <f t="shared" si="3"/>
        <v>FS</v>
      </c>
    </row>
    <row r="497" ht="14.25" customHeight="1">
      <c r="A497" s="14" t="str">
        <f>Base_report!A496</f>
        <v>GRANDS PONTS</v>
      </c>
      <c r="B497" s="14" t="str">
        <f>Base_report!B496</f>
        <v>DECEMBRE 2023</v>
      </c>
      <c r="C497" s="15" t="str">
        <f>Base_report!C496</f>
        <v>C1102</v>
      </c>
      <c r="D497" s="14" t="str">
        <f>TRIM(IF(ISNUMBER(FIND("PNSME",Base_report!D496,1)),SUBSTITUTE(Base_report!D496,"PNSME",""),IF(ISNUMBER(FIND("PHG",Base_report!D496,1)),SUBSTITUTE(Base_report!D496,"PHG",""),IF(ISNUMBER(FIND("PCS",Base_report!D496,1)),SUBSTITUTE(Base_report!D496,"PCS",""),IF(ISNUMBER(FIND("CMU",Base_report!D496,1)),SUBSTITUTE(Base_report!D496,"CMU",""),Base_report!D496)))))</f>
        <v>HOPITAL METHODISTE DE DABOU</v>
      </c>
      <c r="E497" s="14" t="str">
        <f>SUBSTITUTE(Base_report!E496,"-","/")</f>
        <v>PNLS/TESTS RAPIDES ET CONSOMMABLES</v>
      </c>
      <c r="F497" s="14" t="s">
        <v>788</v>
      </c>
      <c r="G497" s="16">
        <f>DATE(YEAR(SUBSTITUTE(LEFT(Base_report!F496,10),"-","/")),MONTH(SUBSTITUTE(LEFT(Base_report!F496,10),"-","/")),DAY(SUBSTITUTE(LEFT(Base_report!F496,10),"-","/")))</f>
        <v>45296</v>
      </c>
      <c r="H497" s="16">
        <f>DATE(YEAR(SUBSTITUTE(LEFT(Base_report!G496,10),"-","/")),MONTH(SUBSTITUTE(LEFT(Base_report!G496,10),"-","/")),DAY(SUBSTITUTE(LEFT(Base_report!G496,10),"-","/")))</f>
        <v>45296</v>
      </c>
      <c r="I497" s="17" t="str">
        <f t="shared" si="1"/>
        <v>OUI</v>
      </c>
      <c r="J497" s="18">
        <f>IF(L497="DS",DATE(RIGHT(B497,4),VLOOKUP(LEFT(B497,LEN(B497)-5),Feuil1!$E$3:$F$19,2,FALSE)+1,10),DATE(RIGHT(B497,4),VLOOKUP(LEFT(B497,LEN(B497)-5),Feuil1!$E$3:$F$19,2,FALSE)+1,7))</f>
        <v>45298</v>
      </c>
      <c r="K497" s="19">
        <f t="shared" si="2"/>
        <v>1</v>
      </c>
      <c r="L497" s="6" t="str">
        <f t="shared" si="3"/>
        <v>FS</v>
      </c>
    </row>
    <row r="498" ht="14.25" customHeight="1">
      <c r="A498" s="14" t="str">
        <f>Base_report!A497</f>
        <v>TONKPI</v>
      </c>
      <c r="B498" s="14" t="str">
        <f>Base_report!B497</f>
        <v>DECEMBRE 2023</v>
      </c>
      <c r="C498" s="15" t="str">
        <f>Base_report!C497</f>
        <v>C5018</v>
      </c>
      <c r="D498" s="14" t="str">
        <f>TRIM(IF(ISNUMBER(FIND("PNSME",Base_report!D497,1)),SUBSTITUTE(Base_report!D497,"PNSME",""),IF(ISNUMBER(FIND("PHG",Base_report!D497,1)),SUBSTITUTE(Base_report!D497,"PHG",""),IF(ISNUMBER(FIND("PCS",Base_report!D497,1)),SUBSTITUTE(Base_report!D497,"PCS",""),IF(ISNUMBER(FIND("CMU",Base_report!D497,1)),SUBSTITUTE(Base_report!D497,"CMU",""),Base_report!D497)))))</f>
        <v>HOPITAL GENERAL DANANE</v>
      </c>
      <c r="E498" s="14" t="str">
        <f>SUBSTITUTE(Base_report!E497,"-","/")</f>
        <v>PNLS/CHARGES VIRALES</v>
      </c>
      <c r="F498" s="14" t="s">
        <v>788</v>
      </c>
      <c r="G498" s="16">
        <f>DATE(YEAR(SUBSTITUTE(LEFT(Base_report!F497,10),"-","/")),MONTH(SUBSTITUTE(LEFT(Base_report!F497,10),"-","/")),DAY(SUBSTITUTE(LEFT(Base_report!F497,10),"-","/")))</f>
        <v>45298</v>
      </c>
      <c r="H498" s="16">
        <f>DATE(YEAR(SUBSTITUTE(LEFT(Base_report!G497,10),"-","/")),MONTH(SUBSTITUTE(LEFT(Base_report!G497,10),"-","/")),DAY(SUBSTITUTE(LEFT(Base_report!G497,10),"-","/")))</f>
        <v>45298</v>
      </c>
      <c r="I498" s="17" t="str">
        <f t="shared" si="1"/>
        <v>OUI</v>
      </c>
      <c r="J498" s="18">
        <f>IF(L498="DS",DATE(RIGHT(B498,4),VLOOKUP(LEFT(B498,LEN(B498)-5),Feuil1!$E$3:$F$19,2,FALSE)+1,10),DATE(RIGHT(B498,4),VLOOKUP(LEFT(B498,LEN(B498)-5),Feuil1!$E$3:$F$19,2,FALSE)+1,7))</f>
        <v>45298</v>
      </c>
      <c r="K498" s="19">
        <f t="shared" si="2"/>
        <v>1</v>
      </c>
      <c r="L498" s="6" t="str">
        <f t="shared" si="3"/>
        <v>FS</v>
      </c>
    </row>
    <row r="499" ht="14.25" customHeight="1">
      <c r="A499" s="14" t="str">
        <f>Base_report!A498</f>
        <v>TONKPI</v>
      </c>
      <c r="B499" s="14" t="str">
        <f>Base_report!B498</f>
        <v>DECEMBRE 2023</v>
      </c>
      <c r="C499" s="15" t="str">
        <f>Base_report!C498</f>
        <v>C5018</v>
      </c>
      <c r="D499" s="14" t="str">
        <f>TRIM(IF(ISNUMBER(FIND("PNSME",Base_report!D498,1)),SUBSTITUTE(Base_report!D498,"PNSME",""),IF(ISNUMBER(FIND("PHG",Base_report!D498,1)),SUBSTITUTE(Base_report!D498,"PHG",""),IF(ISNUMBER(FIND("PCS",Base_report!D498,1)),SUBSTITUTE(Base_report!D498,"PCS",""),IF(ISNUMBER(FIND("CMU",Base_report!D498,1)),SUBSTITUTE(Base_report!D498,"CMU",""),Base_report!D498)))))</f>
        <v>HOPITAL GENERAL DANANE</v>
      </c>
      <c r="E499" s="14" t="str">
        <f>SUBSTITUTE(Base_report!E498,"-","/")</f>
        <v>PNSME/MEDICAMENTS ET INTRANTS</v>
      </c>
      <c r="F499" s="14" t="s">
        <v>788</v>
      </c>
      <c r="G499" s="16">
        <f>DATE(YEAR(SUBSTITUTE(LEFT(Base_report!F498,10),"-","/")),MONTH(SUBSTITUTE(LEFT(Base_report!F498,10),"-","/")),DAY(SUBSTITUTE(LEFT(Base_report!F498,10),"-","/")))</f>
        <v>45298</v>
      </c>
      <c r="H499" s="16">
        <f>DATE(YEAR(SUBSTITUTE(LEFT(Base_report!G498,10),"-","/")),MONTH(SUBSTITUTE(LEFT(Base_report!G498,10),"-","/")),DAY(SUBSTITUTE(LEFT(Base_report!G498,10),"-","/")))</f>
        <v>45298</v>
      </c>
      <c r="I499" s="17" t="str">
        <f t="shared" si="1"/>
        <v>OUI</v>
      </c>
      <c r="J499" s="18">
        <f>IF(L499="DS",DATE(RIGHT(B499,4),VLOOKUP(LEFT(B499,LEN(B499)-5),Feuil1!$E$3:$F$19,2,FALSE)+1,10),DATE(RIGHT(B499,4),VLOOKUP(LEFT(B499,LEN(B499)-5),Feuil1!$E$3:$F$19,2,FALSE)+1,7))</f>
        <v>45298</v>
      </c>
      <c r="K499" s="19">
        <f t="shared" si="2"/>
        <v>1</v>
      </c>
      <c r="L499" s="6" t="str">
        <f t="shared" si="3"/>
        <v>FS</v>
      </c>
    </row>
    <row r="500" ht="14.25" customHeight="1">
      <c r="A500" s="14" t="str">
        <f>Base_report!A499</f>
        <v>MARAHOUE</v>
      </c>
      <c r="B500" s="14" t="str">
        <f>Base_report!B499</f>
        <v>DECEMBRE 2023</v>
      </c>
      <c r="C500" s="15" t="str">
        <f>Base_report!C499</f>
        <v>C2011</v>
      </c>
      <c r="D500" s="14" t="str">
        <f>TRIM(IF(ISNUMBER(FIND("PNSME",Base_report!D499,1)),SUBSTITUTE(Base_report!D499,"PNSME",""),IF(ISNUMBER(FIND("PHG",Base_report!D499,1)),SUBSTITUTE(Base_report!D499,"PHG",""),IF(ISNUMBER(FIND("PCS",Base_report!D499,1)),SUBSTITUTE(Base_report!D499,"PCS",""),IF(ISNUMBER(FIND("CMU",Base_report!D499,1)),SUBSTITUTE(Base_report!D499,"CMU",""),Base_report!D499)))))</f>
        <v>HOPITAL GENERAL BONON</v>
      </c>
      <c r="E500" s="14" t="str">
        <f>SUBSTITUTE(Base_report!E499,"-","/")</f>
        <v>PNSME/MEDICAMENTS ET INTRANTS</v>
      </c>
      <c r="F500" s="14" t="s">
        <v>788</v>
      </c>
      <c r="G500" s="16">
        <f>DATE(YEAR(SUBSTITUTE(LEFT(Base_report!F499,10),"-","/")),MONTH(SUBSTITUTE(LEFT(Base_report!F499,10),"-","/")),DAY(SUBSTITUTE(LEFT(Base_report!F499,10),"-","/")))</f>
        <v>45289</v>
      </c>
      <c r="H500" s="16">
        <f>DATE(YEAR(SUBSTITUTE(LEFT(Base_report!G499,10),"-","/")),MONTH(SUBSTITUTE(LEFT(Base_report!G499,10),"-","/")),DAY(SUBSTITUTE(LEFT(Base_report!G499,10),"-","/")))</f>
        <v>45291</v>
      </c>
      <c r="I500" s="17" t="str">
        <f t="shared" si="1"/>
        <v>OUI</v>
      </c>
      <c r="J500" s="18">
        <f>IF(L500="DS",DATE(RIGHT(B500,4),VLOOKUP(LEFT(B500,LEN(B500)-5),Feuil1!$E$3:$F$19,2,FALSE)+1,10),DATE(RIGHT(B500,4),VLOOKUP(LEFT(B500,LEN(B500)-5),Feuil1!$E$3:$F$19,2,FALSE)+1,7))</f>
        <v>45298</v>
      </c>
      <c r="K500" s="19">
        <f t="shared" si="2"/>
        <v>1</v>
      </c>
      <c r="L500" s="6" t="str">
        <f t="shared" si="3"/>
        <v>FS</v>
      </c>
    </row>
    <row r="501" ht="14.25" customHeight="1">
      <c r="A501" s="14" t="str">
        <f>Base_report!A500</f>
        <v>GRANDS PONTS</v>
      </c>
      <c r="B501" s="14" t="str">
        <f>Base_report!B500</f>
        <v>DECEMBRE 2023</v>
      </c>
      <c r="C501" s="15" t="str">
        <f>Base_report!C500</f>
        <v>C1091</v>
      </c>
      <c r="D501" s="14" t="str">
        <f>TRIM(IF(ISNUMBER(FIND("PNSME",Base_report!D500,1)),SUBSTITUTE(Base_report!D500,"PNSME",""),IF(ISNUMBER(FIND("PHG",Base_report!D500,1)),SUBSTITUTE(Base_report!D500,"PHG",""),IF(ISNUMBER(FIND("PCS",Base_report!D500,1)),SUBSTITUTE(Base_report!D500,"PCS",""),IF(ISNUMBER(FIND("CMU",Base_report!D500,1)),SUBSTITUTE(Base_report!D500,"CMU",""),Base_report!D500)))))</f>
        <v>HOPITAL GENERAL GRAND-LAHOU</v>
      </c>
      <c r="E501" s="14" t="str">
        <f>SUBSTITUTE(Base_report!E500,"-","/")</f>
        <v>PNLS/ANTIRETROVIRAUX ET IO</v>
      </c>
      <c r="F501" s="14" t="s">
        <v>788</v>
      </c>
      <c r="G501" s="16">
        <f>DATE(YEAR(SUBSTITUTE(LEFT(Base_report!F500,10),"-","/")),MONTH(SUBSTITUTE(LEFT(Base_report!F500,10),"-","/")),DAY(SUBSTITUTE(LEFT(Base_report!F500,10),"-","/")))</f>
        <v>45295</v>
      </c>
      <c r="H501" s="16">
        <f>DATE(YEAR(SUBSTITUTE(LEFT(Base_report!G500,10),"-","/")),MONTH(SUBSTITUTE(LEFT(Base_report!G500,10),"-","/")),DAY(SUBSTITUTE(LEFT(Base_report!G500,10),"-","/")))</f>
        <v>45295</v>
      </c>
      <c r="I501" s="17" t="str">
        <f t="shared" si="1"/>
        <v>OUI</v>
      </c>
      <c r="J501" s="18">
        <f>IF(L501="DS",DATE(RIGHT(B501,4),VLOOKUP(LEFT(B501,LEN(B501)-5),Feuil1!$E$3:$F$19,2,FALSE)+1,10),DATE(RIGHT(B501,4),VLOOKUP(LEFT(B501,LEN(B501)-5),Feuil1!$E$3:$F$19,2,FALSE)+1,7))</f>
        <v>45298</v>
      </c>
      <c r="K501" s="19">
        <f t="shared" si="2"/>
        <v>1</v>
      </c>
      <c r="L501" s="6" t="str">
        <f t="shared" si="3"/>
        <v>FS</v>
      </c>
    </row>
    <row r="502" ht="14.25" customHeight="1">
      <c r="A502" s="14" t="str">
        <f>Base_report!A501</f>
        <v>BAFING</v>
      </c>
      <c r="B502" s="14" t="str">
        <f>Base_report!B501</f>
        <v>DECEMBRE 2023</v>
      </c>
      <c r="C502" s="15" t="str">
        <f>Base_report!C501</f>
        <v>C5069</v>
      </c>
      <c r="D502" s="14" t="str">
        <f>TRIM(IF(ISNUMBER(FIND("PNSME",Base_report!D501,1)),SUBSTITUTE(Base_report!D501,"PNSME",""),IF(ISNUMBER(FIND("PHG",Base_report!D501,1)),SUBSTITUTE(Base_report!D501,"PHG",""),IF(ISNUMBER(FIND("PCS",Base_report!D501,1)),SUBSTITUTE(Base_report!D501,"PCS",""),IF(ISNUMBER(FIND("CMU",Base_report!D501,1)),SUBSTITUTE(Base_report!D501,"CMU",""),Base_report!D501)))))</f>
        <v>DISTRICT SANITAIRE KORO</v>
      </c>
      <c r="E502" s="14" t="str">
        <f>SUBSTITUTE(Base_report!E501,"-","/")</f>
        <v>PNLP/MEDICAMENTS ET INTRANTS</v>
      </c>
      <c r="F502" s="14" t="s">
        <v>788</v>
      </c>
      <c r="G502" s="16">
        <f>DATE(YEAR(SUBSTITUTE(LEFT(Base_report!F501,10),"-","/")),MONTH(SUBSTITUTE(LEFT(Base_report!F501,10),"-","/")),DAY(SUBSTITUTE(LEFT(Base_report!F501,10),"-","/")))</f>
        <v>45299</v>
      </c>
      <c r="H502" s="16">
        <f>DATE(YEAR(SUBSTITUTE(LEFT(Base_report!G501,10),"-","/")),MONTH(SUBSTITUTE(LEFT(Base_report!G501,10),"-","/")),DAY(SUBSTITUTE(LEFT(Base_report!G501,10),"-","/")))</f>
        <v>45299</v>
      </c>
      <c r="I502" s="17" t="str">
        <f t="shared" si="1"/>
        <v>OUI</v>
      </c>
      <c r="J502" s="18">
        <f>IF(L502="DS",DATE(RIGHT(B502,4),VLOOKUP(LEFT(B502,LEN(B502)-5),Feuil1!$E$3:$F$19,2,FALSE)+1,10),DATE(RIGHT(B502,4),VLOOKUP(LEFT(B502,LEN(B502)-5),Feuil1!$E$3:$F$19,2,FALSE)+1,7))</f>
        <v>45301</v>
      </c>
      <c r="K502" s="19">
        <f t="shared" si="2"/>
        <v>1</v>
      </c>
      <c r="L502" s="6" t="str">
        <f t="shared" si="3"/>
        <v>DS</v>
      </c>
    </row>
    <row r="503" ht="14.25" customHeight="1">
      <c r="A503" s="14" t="str">
        <f>Base_report!A502</f>
        <v>PORO</v>
      </c>
      <c r="B503" s="14" t="str">
        <f>Base_report!B502</f>
        <v>DECEMBRE 2023</v>
      </c>
      <c r="C503" s="15" t="str">
        <f>Base_report!C502</f>
        <v>C3016</v>
      </c>
      <c r="D503" s="14" t="str">
        <f>TRIM(IF(ISNUMBER(FIND("PNSME",Base_report!D502,1)),SUBSTITUTE(Base_report!D502,"PNSME",""),IF(ISNUMBER(FIND("PHG",Base_report!D502,1)),SUBSTITUTE(Base_report!D502,"PHG",""),IF(ISNUMBER(FIND("PCS",Base_report!D502,1)),SUBSTITUTE(Base_report!D502,"PCS",""),IF(ISNUMBER(FIND("CMU",Base_report!D502,1)),SUBSTITUTE(Base_report!D502,"CMU",""),Base_report!D502)))))</f>
        <v>HOPITAL GENERAL MBENGUE</v>
      </c>
      <c r="E503" s="14" t="str">
        <f>SUBSTITUTE(Base_report!E502,"-","/")</f>
        <v>PNSME/MEDICAMENTS ET INTRANTS</v>
      </c>
      <c r="F503" s="14" t="s">
        <v>788</v>
      </c>
      <c r="G503" s="16">
        <f>DATE(YEAR(SUBSTITUTE(LEFT(Base_report!F502,10),"-","/")),MONTH(SUBSTITUTE(LEFT(Base_report!F502,10),"-","/")),DAY(SUBSTITUTE(LEFT(Base_report!F502,10),"-","/")))</f>
        <v>45297</v>
      </c>
      <c r="H503" s="16">
        <f>DATE(YEAR(SUBSTITUTE(LEFT(Base_report!G502,10),"-","/")),MONTH(SUBSTITUTE(LEFT(Base_report!G502,10),"-","/")),DAY(SUBSTITUTE(LEFT(Base_report!G502,10),"-","/")))</f>
        <v>45298</v>
      </c>
      <c r="I503" s="17" t="str">
        <f t="shared" si="1"/>
        <v>OUI</v>
      </c>
      <c r="J503" s="18">
        <f>IF(L503="DS",DATE(RIGHT(B503,4),VLOOKUP(LEFT(B503,LEN(B503)-5),Feuil1!$E$3:$F$19,2,FALSE)+1,10),DATE(RIGHT(B503,4),VLOOKUP(LEFT(B503,LEN(B503)-5),Feuil1!$E$3:$F$19,2,FALSE)+1,7))</f>
        <v>45298</v>
      </c>
      <c r="K503" s="19">
        <f t="shared" si="2"/>
        <v>1</v>
      </c>
      <c r="L503" s="6" t="str">
        <f t="shared" si="3"/>
        <v>FS</v>
      </c>
    </row>
    <row r="504" ht="14.25" customHeight="1">
      <c r="A504" s="14" t="str">
        <f>Base_report!A503</f>
        <v>GOH</v>
      </c>
      <c r="B504" s="14" t="str">
        <f>Base_report!B503</f>
        <v>DECEMBRE 2023</v>
      </c>
      <c r="C504" s="15" t="str">
        <f>Base_report!C503</f>
        <v>C2060</v>
      </c>
      <c r="D504" s="14" t="str">
        <f>TRIM(IF(ISNUMBER(FIND("PNSME",Base_report!D503,1)),SUBSTITUTE(Base_report!D503,"PNSME",""),IF(ISNUMBER(FIND("PHG",Base_report!D503,1)),SUBSTITUTE(Base_report!D503,"PHG",""),IF(ISNUMBER(FIND("PCS",Base_report!D503,1)),SUBSTITUTE(Base_report!D503,"PCS",""),IF(ISNUMBER(FIND("CMU",Base_report!D503,1)),SUBSTITUTE(Base_report!D503,"CMU",""),Base_report!D503)))))</f>
        <v>HOPITAL GENERAL OUME</v>
      </c>
      <c r="E504" s="14" t="str">
        <f>SUBSTITUTE(Base_report!E503,"-","/")</f>
        <v>PNLS/PRODUITS DE LABORATOIRE</v>
      </c>
      <c r="F504" s="14" t="s">
        <v>788</v>
      </c>
      <c r="G504" s="16">
        <f>DATE(YEAR(SUBSTITUTE(LEFT(Base_report!F503,10),"-","/")),MONTH(SUBSTITUTE(LEFT(Base_report!F503,10),"-","/")),DAY(SUBSTITUTE(LEFT(Base_report!F503,10),"-","/")))</f>
        <v>45295</v>
      </c>
      <c r="H504" s="16">
        <f>DATE(YEAR(SUBSTITUTE(LEFT(Base_report!G503,10),"-","/")),MONTH(SUBSTITUTE(LEFT(Base_report!G503,10),"-","/")),DAY(SUBSTITUTE(LEFT(Base_report!G503,10),"-","/")))</f>
        <v>45296</v>
      </c>
      <c r="I504" s="17" t="str">
        <f t="shared" si="1"/>
        <v>OUI</v>
      </c>
      <c r="J504" s="18">
        <f>IF(L504="DS",DATE(RIGHT(B504,4),VLOOKUP(LEFT(B504,LEN(B504)-5),Feuil1!$E$3:$F$19,2,FALSE)+1,10),DATE(RIGHT(B504,4),VLOOKUP(LEFT(B504,LEN(B504)-5),Feuil1!$E$3:$F$19,2,FALSE)+1,7))</f>
        <v>45298</v>
      </c>
      <c r="K504" s="19">
        <f t="shared" si="2"/>
        <v>1</v>
      </c>
      <c r="L504" s="6" t="str">
        <f t="shared" si="3"/>
        <v>FS</v>
      </c>
    </row>
    <row r="505" ht="14.25" customHeight="1">
      <c r="A505" s="14" t="str">
        <f>Base_report!A504</f>
        <v>PORO</v>
      </c>
      <c r="B505" s="14" t="str">
        <f>Base_report!B504</f>
        <v>DECEMBRE 2023</v>
      </c>
      <c r="C505" s="15" t="str">
        <f>Base_report!C504</f>
        <v>C3016</v>
      </c>
      <c r="D505" s="14" t="str">
        <f>TRIM(IF(ISNUMBER(FIND("PNSME",Base_report!D504,1)),SUBSTITUTE(Base_report!D504,"PNSME",""),IF(ISNUMBER(FIND("PHG",Base_report!D504,1)),SUBSTITUTE(Base_report!D504,"PHG",""),IF(ISNUMBER(FIND("PCS",Base_report!D504,1)),SUBSTITUTE(Base_report!D504,"PCS",""),IF(ISNUMBER(FIND("CMU",Base_report!D504,1)),SUBSTITUTE(Base_report!D504,"CMU",""),Base_report!D504)))))</f>
        <v>HOPITAL GENERAL MBENGUE</v>
      </c>
      <c r="E505" s="14" t="str">
        <f>SUBSTITUTE(Base_report!E504,"-","/")</f>
        <v>PNN/MEDICAMENTS ET INTRANTS</v>
      </c>
      <c r="F505" s="14" t="s">
        <v>788</v>
      </c>
      <c r="G505" s="16">
        <f>DATE(YEAR(SUBSTITUTE(LEFT(Base_report!F504,10),"-","/")),MONTH(SUBSTITUTE(LEFT(Base_report!F504,10),"-","/")),DAY(SUBSTITUTE(LEFT(Base_report!F504,10),"-","/")))</f>
        <v>45298</v>
      </c>
      <c r="H505" s="16">
        <f>DATE(YEAR(SUBSTITUTE(LEFT(Base_report!G504,10),"-","/")),MONTH(SUBSTITUTE(LEFT(Base_report!G504,10),"-","/")),DAY(SUBSTITUTE(LEFT(Base_report!G504,10),"-","/")))</f>
        <v>45298</v>
      </c>
      <c r="I505" s="17" t="str">
        <f t="shared" si="1"/>
        <v>OUI</v>
      </c>
      <c r="J505" s="18">
        <f>IF(L505="DS",DATE(RIGHT(B505,4),VLOOKUP(LEFT(B505,LEN(B505)-5),Feuil1!$E$3:$F$19,2,FALSE)+1,10),DATE(RIGHT(B505,4),VLOOKUP(LEFT(B505,LEN(B505)-5),Feuil1!$E$3:$F$19,2,FALSE)+1,7))</f>
        <v>45298</v>
      </c>
      <c r="K505" s="19">
        <f t="shared" si="2"/>
        <v>1</v>
      </c>
      <c r="L505" s="6" t="str">
        <f t="shared" si="3"/>
        <v>FS</v>
      </c>
    </row>
    <row r="506" ht="14.25" customHeight="1">
      <c r="A506" s="14" t="str">
        <f>Base_report!A505</f>
        <v>GOH</v>
      </c>
      <c r="B506" s="14" t="str">
        <f>Base_report!B505</f>
        <v>DECEMBRE 2023</v>
      </c>
      <c r="C506" s="15" t="str">
        <f>Base_report!C505</f>
        <v>C2060</v>
      </c>
      <c r="D506" s="14" t="str">
        <f>TRIM(IF(ISNUMBER(FIND("PNSME",Base_report!D505,1)),SUBSTITUTE(Base_report!D505,"PNSME",""),IF(ISNUMBER(FIND("PHG",Base_report!D505,1)),SUBSTITUTE(Base_report!D505,"PHG",""),IF(ISNUMBER(FIND("PCS",Base_report!D505,1)),SUBSTITUTE(Base_report!D505,"PCS",""),IF(ISNUMBER(FIND("CMU",Base_report!D505,1)),SUBSTITUTE(Base_report!D505,"CMU",""),Base_report!D505)))))</f>
        <v>HOPITAL GENERAL OUME</v>
      </c>
      <c r="E506" s="14" t="str">
        <f>SUBSTITUTE(Base_report!E505,"-","/")</f>
        <v>PNLS/TESTS RAPIDES ET CONSOMMABLES</v>
      </c>
      <c r="F506" s="14" t="s">
        <v>788</v>
      </c>
      <c r="G506" s="16">
        <f>DATE(YEAR(SUBSTITUTE(LEFT(Base_report!F505,10),"-","/")),MONTH(SUBSTITUTE(LEFT(Base_report!F505,10),"-","/")),DAY(SUBSTITUTE(LEFT(Base_report!F505,10),"-","/")))</f>
        <v>45295</v>
      </c>
      <c r="H506" s="16">
        <f>DATE(YEAR(SUBSTITUTE(LEFT(Base_report!G505,10),"-","/")),MONTH(SUBSTITUTE(LEFT(Base_report!G505,10),"-","/")),DAY(SUBSTITUTE(LEFT(Base_report!G505,10),"-","/")))</f>
        <v>45296</v>
      </c>
      <c r="I506" s="17" t="str">
        <f t="shared" si="1"/>
        <v>OUI</v>
      </c>
      <c r="J506" s="18">
        <f>IF(L506="DS",DATE(RIGHT(B506,4),VLOOKUP(LEFT(B506,LEN(B506)-5),Feuil1!$E$3:$F$19,2,FALSE)+1,10),DATE(RIGHT(B506,4),VLOOKUP(LEFT(B506,LEN(B506)-5),Feuil1!$E$3:$F$19,2,FALSE)+1,7))</f>
        <v>45298</v>
      </c>
      <c r="K506" s="19">
        <f t="shared" si="2"/>
        <v>1</v>
      </c>
      <c r="L506" s="6" t="str">
        <f t="shared" si="3"/>
        <v>FS</v>
      </c>
    </row>
    <row r="507" ht="14.25" customHeight="1">
      <c r="A507" s="14" t="str">
        <f>Base_report!A506</f>
        <v>PORO</v>
      </c>
      <c r="B507" s="14" t="str">
        <f>Base_report!B506</f>
        <v>DECEMBRE 2023</v>
      </c>
      <c r="C507" s="15" t="str">
        <f>Base_report!C506</f>
        <v>C3016</v>
      </c>
      <c r="D507" s="14" t="str">
        <f>TRIM(IF(ISNUMBER(FIND("PNSME",Base_report!D506,1)),SUBSTITUTE(Base_report!D506,"PNSME",""),IF(ISNUMBER(FIND("PHG",Base_report!D506,1)),SUBSTITUTE(Base_report!D506,"PHG",""),IF(ISNUMBER(FIND("PCS",Base_report!D506,1)),SUBSTITUTE(Base_report!D506,"PCS",""),IF(ISNUMBER(FIND("CMU",Base_report!D506,1)),SUBSTITUTE(Base_report!D506,"CMU",""),Base_report!D506)))))</f>
        <v>HOPITAL GENERAL MBENGUE</v>
      </c>
      <c r="E507" s="14" t="str">
        <f>SUBSTITUTE(Base_report!E506,"-","/")</f>
        <v>PNLS/PRODUITS DE LABORATOIRE</v>
      </c>
      <c r="F507" s="14" t="s">
        <v>788</v>
      </c>
      <c r="G507" s="16">
        <f>DATE(YEAR(SUBSTITUTE(LEFT(Base_report!F506,10),"-","/")),MONTH(SUBSTITUTE(LEFT(Base_report!F506,10),"-","/")),DAY(SUBSTITUTE(LEFT(Base_report!F506,10),"-","/")))</f>
        <v>45298</v>
      </c>
      <c r="H507" s="16">
        <f>DATE(YEAR(SUBSTITUTE(LEFT(Base_report!G506,10),"-","/")),MONTH(SUBSTITUTE(LEFT(Base_report!G506,10),"-","/")),DAY(SUBSTITUTE(LEFT(Base_report!G506,10),"-","/")))</f>
        <v>45298</v>
      </c>
      <c r="I507" s="17" t="str">
        <f t="shared" si="1"/>
        <v>OUI</v>
      </c>
      <c r="J507" s="18">
        <f>IF(L507="DS",DATE(RIGHT(B507,4),VLOOKUP(LEFT(B507,LEN(B507)-5),Feuil1!$E$3:$F$19,2,FALSE)+1,10),DATE(RIGHT(B507,4),VLOOKUP(LEFT(B507,LEN(B507)-5),Feuil1!$E$3:$F$19,2,FALSE)+1,7))</f>
        <v>45298</v>
      </c>
      <c r="K507" s="19">
        <f t="shared" si="2"/>
        <v>1</v>
      </c>
      <c r="L507" s="6" t="str">
        <f t="shared" si="3"/>
        <v>FS</v>
      </c>
    </row>
    <row r="508" ht="14.25" customHeight="1">
      <c r="A508" s="14" t="str">
        <f>Base_report!A507</f>
        <v>ABIDJAN 2</v>
      </c>
      <c r="B508" s="14" t="str">
        <f>Base_report!B507</f>
        <v>DECEMBRE 2023</v>
      </c>
      <c r="C508" s="15" t="str">
        <f>Base_report!C507</f>
        <v>C1419</v>
      </c>
      <c r="D508" s="14" t="str">
        <f>TRIM(IF(ISNUMBER(FIND("PNSME",Base_report!D507,1)),SUBSTITUTE(Base_report!D507,"PNSME",""),IF(ISNUMBER(FIND("PHG",Base_report!D507,1)),SUBSTITUTE(Base_report!D507,"PHG",""),IF(ISNUMBER(FIND("PCS",Base_report!D507,1)),SUBSTITUTE(Base_report!D507,"PCS",""),IF(ISNUMBER(FIND("CMU",Base_report!D507,1)),SUBSTITUTE(Base_report!D507,"CMU",""),Base_report!D507)))))</f>
        <v>CENTRE SOCIO-MEDICAL HOPE CI (CSMH)</v>
      </c>
      <c r="E508" s="14" t="str">
        <f>SUBSTITUTE(Base_report!E507,"-","/")</f>
        <v>PNLP/MEDICAMENTS ET INTRANTS</v>
      </c>
      <c r="F508" s="14" t="s">
        <v>788</v>
      </c>
      <c r="G508" s="16">
        <f>DATE(YEAR(SUBSTITUTE(LEFT(Base_report!F507,10),"-","/")),MONTH(SUBSTITUTE(LEFT(Base_report!F507,10),"-","/")),DAY(SUBSTITUTE(LEFT(Base_report!F507,10),"-","/")))</f>
        <v>45296</v>
      </c>
      <c r="H508" s="16">
        <f>DATE(YEAR(SUBSTITUTE(LEFT(Base_report!G507,10),"-","/")),MONTH(SUBSTITUTE(LEFT(Base_report!G507,10),"-","/")),DAY(SUBSTITUTE(LEFT(Base_report!G507,10),"-","/")))</f>
        <v>45296</v>
      </c>
      <c r="I508" s="17" t="str">
        <f t="shared" si="1"/>
        <v>OUI</v>
      </c>
      <c r="J508" s="18">
        <f>IF(L508="DS",DATE(RIGHT(B508,4),VLOOKUP(LEFT(B508,LEN(B508)-5),Feuil1!$E$3:$F$19,2,FALSE)+1,10),DATE(RIGHT(B508,4),VLOOKUP(LEFT(B508,LEN(B508)-5),Feuil1!$E$3:$F$19,2,FALSE)+1,7))</f>
        <v>45298</v>
      </c>
      <c r="K508" s="19">
        <f t="shared" si="2"/>
        <v>1</v>
      </c>
      <c r="L508" s="6" t="str">
        <f t="shared" si="3"/>
        <v>FS</v>
      </c>
    </row>
    <row r="509" ht="14.25" customHeight="1">
      <c r="A509" s="14" t="str">
        <f>Base_report!A508</f>
        <v>ABIDJAN 2</v>
      </c>
      <c r="B509" s="14" t="str">
        <f>Base_report!B508</f>
        <v>DECEMBRE 2023</v>
      </c>
      <c r="C509" s="15" t="str">
        <f>Base_report!C508</f>
        <v>C1419</v>
      </c>
      <c r="D509" s="14" t="str">
        <f>TRIM(IF(ISNUMBER(FIND("PNSME",Base_report!D508,1)),SUBSTITUTE(Base_report!D508,"PNSME",""),IF(ISNUMBER(FIND("PHG",Base_report!D508,1)),SUBSTITUTE(Base_report!D508,"PHG",""),IF(ISNUMBER(FIND("PCS",Base_report!D508,1)),SUBSTITUTE(Base_report!D508,"PCS",""),IF(ISNUMBER(FIND("CMU",Base_report!D508,1)),SUBSTITUTE(Base_report!D508,"CMU",""),Base_report!D508)))))</f>
        <v>CENTRE SOCIO-MEDICAL HOPE CI (CSMH)</v>
      </c>
      <c r="E509" s="14" t="str">
        <f>SUBSTITUTE(Base_report!E508,"-","/")</f>
        <v>PNLS/ANTIRETROVIRAUX ET IO</v>
      </c>
      <c r="F509" s="14" t="s">
        <v>788</v>
      </c>
      <c r="G509" s="16">
        <f>DATE(YEAR(SUBSTITUTE(LEFT(Base_report!F508,10),"-","/")),MONTH(SUBSTITUTE(LEFT(Base_report!F508,10),"-","/")),DAY(SUBSTITUTE(LEFT(Base_report!F508,10),"-","/")))</f>
        <v>45296</v>
      </c>
      <c r="H509" s="16">
        <f>DATE(YEAR(SUBSTITUTE(LEFT(Base_report!G508,10),"-","/")),MONTH(SUBSTITUTE(LEFT(Base_report!G508,10),"-","/")),DAY(SUBSTITUTE(LEFT(Base_report!G508,10),"-","/")))</f>
        <v>45296</v>
      </c>
      <c r="I509" s="17" t="str">
        <f t="shared" si="1"/>
        <v>OUI</v>
      </c>
      <c r="J509" s="18">
        <f>IF(L509="DS",DATE(RIGHT(B509,4),VLOOKUP(LEFT(B509,LEN(B509)-5),Feuil1!$E$3:$F$19,2,FALSE)+1,10),DATE(RIGHT(B509,4),VLOOKUP(LEFT(B509,LEN(B509)-5),Feuil1!$E$3:$F$19,2,FALSE)+1,7))</f>
        <v>45298</v>
      </c>
      <c r="K509" s="19">
        <f t="shared" si="2"/>
        <v>1</v>
      </c>
      <c r="L509" s="6" t="str">
        <f t="shared" si="3"/>
        <v>FS</v>
      </c>
    </row>
    <row r="510" ht="14.25" customHeight="1">
      <c r="A510" s="14" t="str">
        <f>Base_report!A509</f>
        <v>NAWA</v>
      </c>
      <c r="B510" s="14" t="str">
        <f>Base_report!B509</f>
        <v>DECEMBRE 2023</v>
      </c>
      <c r="C510" s="15" t="str">
        <f>Base_report!C509</f>
        <v>C2131</v>
      </c>
      <c r="D510" s="14" t="str">
        <f>TRIM(IF(ISNUMBER(FIND("PNSME",Base_report!D509,1)),SUBSTITUTE(Base_report!D509,"PNSME",""),IF(ISNUMBER(FIND("PHG",Base_report!D509,1)),SUBSTITUTE(Base_report!D509,"PHG",""),IF(ISNUMBER(FIND("PCS",Base_report!D509,1)),SUBSTITUTE(Base_report!D509,"PCS",""),IF(ISNUMBER(FIND("CMU",Base_report!D509,1)),SUBSTITUTE(Base_report!D509,"CMU",""),Base_report!D509)))))</f>
        <v>HOPITAL GENERAL GUEYO</v>
      </c>
      <c r="E510" s="14" t="str">
        <f>SUBSTITUTE(Base_report!E509,"-","/")</f>
        <v>PNSME/MEDICAMENTS ET INTRANTS</v>
      </c>
      <c r="F510" s="14" t="s">
        <v>788</v>
      </c>
      <c r="G510" s="16">
        <f>DATE(YEAR(SUBSTITUTE(LEFT(Base_report!F509,10),"-","/")),MONTH(SUBSTITUTE(LEFT(Base_report!F509,10),"-","/")),DAY(SUBSTITUTE(LEFT(Base_report!F509,10),"-","/")))</f>
        <v>45295</v>
      </c>
      <c r="H510" s="16">
        <f>DATE(YEAR(SUBSTITUTE(LEFT(Base_report!G509,10),"-","/")),MONTH(SUBSTITUTE(LEFT(Base_report!G509,10),"-","/")),DAY(SUBSTITUTE(LEFT(Base_report!G509,10),"-","/")))</f>
        <v>45295</v>
      </c>
      <c r="I510" s="17" t="str">
        <f t="shared" si="1"/>
        <v>OUI</v>
      </c>
      <c r="J510" s="18">
        <f>IF(L510="DS",DATE(RIGHT(B510,4),VLOOKUP(LEFT(B510,LEN(B510)-5),Feuil1!$E$3:$F$19,2,FALSE)+1,10),DATE(RIGHT(B510,4),VLOOKUP(LEFT(B510,LEN(B510)-5),Feuil1!$E$3:$F$19,2,FALSE)+1,7))</f>
        <v>45298</v>
      </c>
      <c r="K510" s="19">
        <f t="shared" si="2"/>
        <v>1</v>
      </c>
      <c r="L510" s="6" t="str">
        <f t="shared" si="3"/>
        <v>FS</v>
      </c>
    </row>
    <row r="511" ht="14.25" customHeight="1">
      <c r="A511" s="14" t="str">
        <f>Base_report!A510</f>
        <v>NAWA</v>
      </c>
      <c r="B511" s="14" t="str">
        <f>Base_report!B510</f>
        <v>DECEMBRE 2023</v>
      </c>
      <c r="C511" s="15" t="str">
        <f>Base_report!C510</f>
        <v>C2131</v>
      </c>
      <c r="D511" s="14" t="str">
        <f>TRIM(IF(ISNUMBER(FIND("PNSME",Base_report!D510,1)),SUBSTITUTE(Base_report!D510,"PNSME",""),IF(ISNUMBER(FIND("PHG",Base_report!D510,1)),SUBSTITUTE(Base_report!D510,"PHG",""),IF(ISNUMBER(FIND("PCS",Base_report!D510,1)),SUBSTITUTE(Base_report!D510,"PCS",""),IF(ISNUMBER(FIND("CMU",Base_report!D510,1)),SUBSTITUTE(Base_report!D510,"CMU",""),Base_report!D510)))))</f>
        <v>HOPITAL GENERAL GUEYO</v>
      </c>
      <c r="E511" s="14" t="str">
        <f>SUBSTITUTE(Base_report!E510,"-","/")</f>
        <v>PNLS/TESTS RAPIDES ET CONSOMMABLES</v>
      </c>
      <c r="F511" s="14" t="s">
        <v>788</v>
      </c>
      <c r="G511" s="16">
        <f>DATE(YEAR(SUBSTITUTE(LEFT(Base_report!F510,10),"-","/")),MONTH(SUBSTITUTE(LEFT(Base_report!F510,10),"-","/")),DAY(SUBSTITUTE(LEFT(Base_report!F510,10),"-","/")))</f>
        <v>45295</v>
      </c>
      <c r="H511" s="16">
        <f>DATE(YEAR(SUBSTITUTE(LEFT(Base_report!G510,10),"-","/")),MONTH(SUBSTITUTE(LEFT(Base_report!G510,10),"-","/")),DAY(SUBSTITUTE(LEFT(Base_report!G510,10),"-","/")))</f>
        <v>45295</v>
      </c>
      <c r="I511" s="17" t="str">
        <f t="shared" si="1"/>
        <v>OUI</v>
      </c>
      <c r="J511" s="18">
        <f>IF(L511="DS",DATE(RIGHT(B511,4),VLOOKUP(LEFT(B511,LEN(B511)-5),Feuil1!$E$3:$F$19,2,FALSE)+1,10),DATE(RIGHT(B511,4),VLOOKUP(LEFT(B511,LEN(B511)-5),Feuil1!$E$3:$F$19,2,FALSE)+1,7))</f>
        <v>45298</v>
      </c>
      <c r="K511" s="19">
        <f t="shared" si="2"/>
        <v>1</v>
      </c>
      <c r="L511" s="6" t="str">
        <f t="shared" si="3"/>
        <v>FS</v>
      </c>
    </row>
    <row r="512" ht="14.25" customHeight="1">
      <c r="A512" s="14" t="str">
        <f>Base_report!A511</f>
        <v>NAWA</v>
      </c>
      <c r="B512" s="14" t="str">
        <f>Base_report!B511</f>
        <v>DECEMBRE 2023</v>
      </c>
      <c r="C512" s="15" t="str">
        <f>Base_report!C511</f>
        <v>C2131</v>
      </c>
      <c r="D512" s="14" t="str">
        <f>TRIM(IF(ISNUMBER(FIND("PNSME",Base_report!D511,1)),SUBSTITUTE(Base_report!D511,"PNSME",""),IF(ISNUMBER(FIND("PHG",Base_report!D511,1)),SUBSTITUTE(Base_report!D511,"PHG",""),IF(ISNUMBER(FIND("PCS",Base_report!D511,1)),SUBSTITUTE(Base_report!D511,"PCS",""),IF(ISNUMBER(FIND("CMU",Base_report!D511,1)),SUBSTITUTE(Base_report!D511,"CMU",""),Base_report!D511)))))</f>
        <v>HOPITAL GENERAL GUEYO</v>
      </c>
      <c r="E512" s="14" t="str">
        <f>SUBSTITUTE(Base_report!E511,"-","/")</f>
        <v>PNLS/PRODUITS DE LABORATOIRE</v>
      </c>
      <c r="F512" s="14" t="s">
        <v>788</v>
      </c>
      <c r="G512" s="16">
        <f>DATE(YEAR(SUBSTITUTE(LEFT(Base_report!F511,10),"-","/")),MONTH(SUBSTITUTE(LEFT(Base_report!F511,10),"-","/")),DAY(SUBSTITUTE(LEFT(Base_report!F511,10),"-","/")))</f>
        <v>45295</v>
      </c>
      <c r="H512" s="16">
        <f>DATE(YEAR(SUBSTITUTE(LEFT(Base_report!G511,10),"-","/")),MONTH(SUBSTITUTE(LEFT(Base_report!G511,10),"-","/")),DAY(SUBSTITUTE(LEFT(Base_report!G511,10),"-","/")))</f>
        <v>45295</v>
      </c>
      <c r="I512" s="17" t="str">
        <f t="shared" si="1"/>
        <v>OUI</v>
      </c>
      <c r="J512" s="18">
        <f>IF(L512="DS",DATE(RIGHT(B512,4),VLOOKUP(LEFT(B512,LEN(B512)-5),Feuil1!$E$3:$F$19,2,FALSE)+1,10),DATE(RIGHT(B512,4),VLOOKUP(LEFT(B512,LEN(B512)-5),Feuil1!$E$3:$F$19,2,FALSE)+1,7))</f>
        <v>45298</v>
      </c>
      <c r="K512" s="19">
        <f t="shared" si="2"/>
        <v>1</v>
      </c>
      <c r="L512" s="6" t="str">
        <f t="shared" si="3"/>
        <v>FS</v>
      </c>
    </row>
    <row r="513" ht="14.25" customHeight="1">
      <c r="A513" s="14" t="str">
        <f>Base_report!A512</f>
        <v>SUD-COMOE</v>
      </c>
      <c r="B513" s="14" t="str">
        <f>Base_report!B512</f>
        <v>DECEMBRE 2023</v>
      </c>
      <c r="C513" s="15" t="str">
        <f>Base_report!C512</f>
        <v>C1087</v>
      </c>
      <c r="D513" s="14" t="str">
        <f>TRIM(IF(ISNUMBER(FIND("PNSME",Base_report!D512,1)),SUBSTITUTE(Base_report!D512,"PNSME",""),IF(ISNUMBER(FIND("PHG",Base_report!D512,1)),SUBSTITUTE(Base_report!D512,"PHG",""),IF(ISNUMBER(FIND("PCS",Base_report!D512,1)),SUBSTITUTE(Base_report!D512,"PCS",""),IF(ISNUMBER(FIND("CMU",Base_report!D512,1)),SUBSTITUTE(Base_report!D512,"CMU",""),Base_report!D512)))))</f>
        <v>HOPITAL GENERAL BONOUA</v>
      </c>
      <c r="E513" s="14" t="str">
        <f>SUBSTITUTE(Base_report!E512,"-","/")</f>
        <v>PNSME/MEDICAMENTS ET INTRANTS</v>
      </c>
      <c r="F513" s="14" t="s">
        <v>788</v>
      </c>
      <c r="G513" s="16">
        <f>DATE(YEAR(SUBSTITUTE(LEFT(Base_report!F512,10),"-","/")),MONTH(SUBSTITUTE(LEFT(Base_report!F512,10),"-","/")),DAY(SUBSTITUTE(LEFT(Base_report!F512,10),"-","/")))</f>
        <v>45297</v>
      </c>
      <c r="H513" s="16">
        <f>DATE(YEAR(SUBSTITUTE(LEFT(Base_report!G512,10),"-","/")),MONTH(SUBSTITUTE(LEFT(Base_report!G512,10),"-","/")),DAY(SUBSTITUTE(LEFT(Base_report!G512,10),"-","/")))</f>
        <v>45298</v>
      </c>
      <c r="I513" s="17" t="str">
        <f t="shared" si="1"/>
        <v>OUI</v>
      </c>
      <c r="J513" s="18">
        <f>IF(L513="DS",DATE(RIGHT(B513,4),VLOOKUP(LEFT(B513,LEN(B513)-5),Feuil1!$E$3:$F$19,2,FALSE)+1,10),DATE(RIGHT(B513,4),VLOOKUP(LEFT(B513,LEN(B513)-5),Feuil1!$E$3:$F$19,2,FALSE)+1,7))</f>
        <v>45298</v>
      </c>
      <c r="K513" s="19">
        <f t="shared" si="2"/>
        <v>1</v>
      </c>
      <c r="L513" s="6" t="str">
        <f t="shared" si="3"/>
        <v>FS</v>
      </c>
    </row>
    <row r="514" ht="14.25" customHeight="1">
      <c r="A514" s="14" t="str">
        <f>Base_report!A513</f>
        <v>NAWA</v>
      </c>
      <c r="B514" s="14" t="str">
        <f>Base_report!B513</f>
        <v>DECEMBRE 2023</v>
      </c>
      <c r="C514" s="15" t="str">
        <f>Base_report!C513</f>
        <v>C2131</v>
      </c>
      <c r="D514" s="14" t="str">
        <f>TRIM(IF(ISNUMBER(FIND("PNSME",Base_report!D513,1)),SUBSTITUTE(Base_report!D513,"PNSME",""),IF(ISNUMBER(FIND("PHG",Base_report!D513,1)),SUBSTITUTE(Base_report!D513,"PHG",""),IF(ISNUMBER(FIND("PCS",Base_report!D513,1)),SUBSTITUTE(Base_report!D513,"PCS",""),IF(ISNUMBER(FIND("CMU",Base_report!D513,1)),SUBSTITUTE(Base_report!D513,"CMU",""),Base_report!D513)))))</f>
        <v>HOPITAL GENERAL GUEYO</v>
      </c>
      <c r="E514" s="14" t="str">
        <f>SUBSTITUTE(Base_report!E513,"-","/")</f>
        <v>PNLS/ANTIRETROVIRAUX ET IO</v>
      </c>
      <c r="F514" s="14" t="s">
        <v>788</v>
      </c>
      <c r="G514" s="16">
        <f>DATE(YEAR(SUBSTITUTE(LEFT(Base_report!F513,10),"-","/")),MONTH(SUBSTITUTE(LEFT(Base_report!F513,10),"-","/")),DAY(SUBSTITUTE(LEFT(Base_report!F513,10),"-","/")))</f>
        <v>45295</v>
      </c>
      <c r="H514" s="16">
        <f>DATE(YEAR(SUBSTITUTE(LEFT(Base_report!G513,10),"-","/")),MONTH(SUBSTITUTE(LEFT(Base_report!G513,10),"-","/")),DAY(SUBSTITUTE(LEFT(Base_report!G513,10),"-","/")))</f>
        <v>45295</v>
      </c>
      <c r="I514" s="17" t="str">
        <f t="shared" si="1"/>
        <v>OUI</v>
      </c>
      <c r="J514" s="18">
        <f>IF(L514="DS",DATE(RIGHT(B514,4),VLOOKUP(LEFT(B514,LEN(B514)-5),Feuil1!$E$3:$F$19,2,FALSE)+1,10),DATE(RIGHT(B514,4),VLOOKUP(LEFT(B514,LEN(B514)-5),Feuil1!$E$3:$F$19,2,FALSE)+1,7))</f>
        <v>45298</v>
      </c>
      <c r="K514" s="19">
        <f t="shared" si="2"/>
        <v>1</v>
      </c>
      <c r="L514" s="6" t="str">
        <f t="shared" si="3"/>
        <v>FS</v>
      </c>
    </row>
    <row r="515" ht="14.25" customHeight="1">
      <c r="A515" s="14" t="str">
        <f>Base_report!A514</f>
        <v>INDENIE-DJUABLIN</v>
      </c>
      <c r="B515" s="14" t="str">
        <f>Base_report!B514</f>
        <v>DECEMBRE 2023</v>
      </c>
      <c r="C515" s="15" t="str">
        <f>Base_report!C514</f>
        <v>C4056</v>
      </c>
      <c r="D515" s="14" t="str">
        <f>TRIM(IF(ISNUMBER(FIND("PNSME",Base_report!D514,1)),SUBSTITUTE(Base_report!D514,"PNSME",""),IF(ISNUMBER(FIND("PHG",Base_report!D514,1)),SUBSTITUTE(Base_report!D514,"PHG",""),IF(ISNUMBER(FIND("PCS",Base_report!D514,1)),SUBSTITUTE(Base_report!D514,"PCS",""),IF(ISNUMBER(FIND("CMU",Base_report!D514,1)),SUBSTITUTE(Base_report!D514,"CMU",""),Base_report!D514)))))</f>
        <v>HOPITAL GENERAL BETTIE</v>
      </c>
      <c r="E515" s="14" t="str">
        <f>SUBSTITUTE(Base_report!E514,"-","/")</f>
        <v>PNLP/MEDICAMENTS ET INTRANTS</v>
      </c>
      <c r="F515" s="14" t="s">
        <v>788</v>
      </c>
      <c r="G515" s="16">
        <f>DATE(YEAR(SUBSTITUTE(LEFT(Base_report!F514,10),"-","/")),MONTH(SUBSTITUTE(LEFT(Base_report!F514,10),"-","/")),DAY(SUBSTITUTE(LEFT(Base_report!F514,10),"-","/")))</f>
        <v>45294</v>
      </c>
      <c r="H515" s="16">
        <f>DATE(YEAR(SUBSTITUTE(LEFT(Base_report!G514,10),"-","/")),MONTH(SUBSTITUTE(LEFT(Base_report!G514,10),"-","/")),DAY(SUBSTITUTE(LEFT(Base_report!G514,10),"-","/")))</f>
        <v>45294</v>
      </c>
      <c r="I515" s="17" t="str">
        <f t="shared" si="1"/>
        <v>OUI</v>
      </c>
      <c r="J515" s="18">
        <f>IF(L515="DS",DATE(RIGHT(B515,4),VLOOKUP(LEFT(B515,LEN(B515)-5),Feuil1!$E$3:$F$19,2,FALSE)+1,10),DATE(RIGHT(B515,4),VLOOKUP(LEFT(B515,LEN(B515)-5),Feuil1!$E$3:$F$19,2,FALSE)+1,7))</f>
        <v>45298</v>
      </c>
      <c r="K515" s="19">
        <f t="shared" si="2"/>
        <v>1</v>
      </c>
      <c r="L515" s="6" t="str">
        <f t="shared" si="3"/>
        <v>FS</v>
      </c>
    </row>
    <row r="516" ht="14.25" customHeight="1">
      <c r="A516" s="14" t="str">
        <f>Base_report!A515</f>
        <v>INDENIE-DJUABLIN</v>
      </c>
      <c r="B516" s="14" t="str">
        <f>Base_report!B515</f>
        <v>DECEMBRE 2023</v>
      </c>
      <c r="C516" s="15" t="str">
        <f>Base_report!C515</f>
        <v>C4056</v>
      </c>
      <c r="D516" s="14" t="str">
        <f>TRIM(IF(ISNUMBER(FIND("PNSME",Base_report!D515,1)),SUBSTITUTE(Base_report!D515,"PNSME",""),IF(ISNUMBER(FIND("PHG",Base_report!D515,1)),SUBSTITUTE(Base_report!D515,"PHG",""),IF(ISNUMBER(FIND("PCS",Base_report!D515,1)),SUBSTITUTE(Base_report!D515,"PCS",""),IF(ISNUMBER(FIND("CMU",Base_report!D515,1)),SUBSTITUTE(Base_report!D515,"CMU",""),Base_report!D515)))))</f>
        <v>HOPITAL GENERAL BETTIE</v>
      </c>
      <c r="E516" s="14" t="str">
        <f>SUBSTITUTE(Base_report!E515,"-","/")</f>
        <v>PNLS/ANTIRETROVIRAUX ET IO</v>
      </c>
      <c r="F516" s="14" t="s">
        <v>788</v>
      </c>
      <c r="G516" s="16">
        <f>DATE(YEAR(SUBSTITUTE(LEFT(Base_report!F515,10),"-","/")),MONTH(SUBSTITUTE(LEFT(Base_report!F515,10),"-","/")),DAY(SUBSTITUTE(LEFT(Base_report!F515,10),"-","/")))</f>
        <v>45290</v>
      </c>
      <c r="H516" s="16">
        <f>DATE(YEAR(SUBSTITUTE(LEFT(Base_report!G515,10),"-","/")),MONTH(SUBSTITUTE(LEFT(Base_report!G515,10),"-","/")),DAY(SUBSTITUTE(LEFT(Base_report!G515,10),"-","/")))</f>
        <v>45294</v>
      </c>
      <c r="I516" s="17" t="str">
        <f t="shared" si="1"/>
        <v>OUI</v>
      </c>
      <c r="J516" s="18">
        <f>IF(L516="DS",DATE(RIGHT(B516,4),VLOOKUP(LEFT(B516,LEN(B516)-5),Feuil1!$E$3:$F$19,2,FALSE)+1,10),DATE(RIGHT(B516,4),VLOOKUP(LEFT(B516,LEN(B516)-5),Feuil1!$E$3:$F$19,2,FALSE)+1,7))</f>
        <v>45298</v>
      </c>
      <c r="K516" s="19">
        <f t="shared" si="2"/>
        <v>1</v>
      </c>
      <c r="L516" s="6" t="str">
        <f t="shared" si="3"/>
        <v>FS</v>
      </c>
    </row>
    <row r="517" ht="14.25" customHeight="1">
      <c r="A517" s="14" t="str">
        <f>Base_report!A516</f>
        <v>INDENIE-DJUABLIN</v>
      </c>
      <c r="B517" s="14" t="str">
        <f>Base_report!B516</f>
        <v>DECEMBRE 2023</v>
      </c>
      <c r="C517" s="15" t="str">
        <f>Base_report!C516</f>
        <v>C4056</v>
      </c>
      <c r="D517" s="14" t="str">
        <f>TRIM(IF(ISNUMBER(FIND("PNSME",Base_report!D516,1)),SUBSTITUTE(Base_report!D516,"PNSME",""),IF(ISNUMBER(FIND("PHG",Base_report!D516,1)),SUBSTITUTE(Base_report!D516,"PHG",""),IF(ISNUMBER(FIND("PCS",Base_report!D516,1)),SUBSTITUTE(Base_report!D516,"PCS",""),IF(ISNUMBER(FIND("CMU",Base_report!D516,1)),SUBSTITUTE(Base_report!D516,"CMU",""),Base_report!D516)))))</f>
        <v>HOPITAL GENERAL BETTIE</v>
      </c>
      <c r="E517" s="14" t="str">
        <f>SUBSTITUTE(Base_report!E516,"-","/")</f>
        <v>PNLS/PRODUITS DE LABORATOIRE</v>
      </c>
      <c r="F517" s="14" t="s">
        <v>788</v>
      </c>
      <c r="G517" s="16">
        <f>DATE(YEAR(SUBSTITUTE(LEFT(Base_report!F516,10),"-","/")),MONTH(SUBSTITUTE(LEFT(Base_report!F516,10),"-","/")),DAY(SUBSTITUTE(LEFT(Base_report!F516,10),"-","/")))</f>
        <v>45290</v>
      </c>
      <c r="H517" s="16">
        <f>DATE(YEAR(SUBSTITUTE(LEFT(Base_report!G516,10),"-","/")),MONTH(SUBSTITUTE(LEFT(Base_report!G516,10),"-","/")),DAY(SUBSTITUTE(LEFT(Base_report!G516,10),"-","/")))</f>
        <v>45294</v>
      </c>
      <c r="I517" s="17" t="str">
        <f t="shared" si="1"/>
        <v>OUI</v>
      </c>
      <c r="J517" s="18">
        <f>IF(L517="DS",DATE(RIGHT(B517,4),VLOOKUP(LEFT(B517,LEN(B517)-5),Feuil1!$E$3:$F$19,2,FALSE)+1,10),DATE(RIGHT(B517,4),VLOOKUP(LEFT(B517,LEN(B517)-5),Feuil1!$E$3:$F$19,2,FALSE)+1,7))</f>
        <v>45298</v>
      </c>
      <c r="K517" s="19">
        <f t="shared" si="2"/>
        <v>1</v>
      </c>
      <c r="L517" s="6" t="str">
        <f t="shared" si="3"/>
        <v>FS</v>
      </c>
    </row>
    <row r="518" ht="14.25" customHeight="1">
      <c r="A518" s="14" t="str">
        <f>Base_report!A517</f>
        <v>INDENIE-DJUABLIN</v>
      </c>
      <c r="B518" s="14" t="str">
        <f>Base_report!B517</f>
        <v>DECEMBRE 2023</v>
      </c>
      <c r="C518" s="15" t="str">
        <f>Base_report!C517</f>
        <v>C4056</v>
      </c>
      <c r="D518" s="14" t="str">
        <f>TRIM(IF(ISNUMBER(FIND("PNSME",Base_report!D517,1)),SUBSTITUTE(Base_report!D517,"PNSME",""),IF(ISNUMBER(FIND("PHG",Base_report!D517,1)),SUBSTITUTE(Base_report!D517,"PHG",""),IF(ISNUMBER(FIND("PCS",Base_report!D517,1)),SUBSTITUTE(Base_report!D517,"PCS",""),IF(ISNUMBER(FIND("CMU",Base_report!D517,1)),SUBSTITUTE(Base_report!D517,"CMU",""),Base_report!D517)))))</f>
        <v>HOPITAL GENERAL BETTIE</v>
      </c>
      <c r="E518" s="14" t="str">
        <f>SUBSTITUTE(Base_report!E517,"-","/")</f>
        <v>PNLS/TESTS RAPIDES ET CONSOMMABLES</v>
      </c>
      <c r="F518" s="14" t="s">
        <v>788</v>
      </c>
      <c r="G518" s="16">
        <f>DATE(YEAR(SUBSTITUTE(LEFT(Base_report!F517,10),"-","/")),MONTH(SUBSTITUTE(LEFT(Base_report!F517,10),"-","/")),DAY(SUBSTITUTE(LEFT(Base_report!F517,10),"-","/")))</f>
        <v>45294</v>
      </c>
      <c r="H518" s="16">
        <f>DATE(YEAR(SUBSTITUTE(LEFT(Base_report!G517,10),"-","/")),MONTH(SUBSTITUTE(LEFT(Base_report!G517,10),"-","/")),DAY(SUBSTITUTE(LEFT(Base_report!G517,10),"-","/")))</f>
        <v>45294</v>
      </c>
      <c r="I518" s="17" t="str">
        <f t="shared" si="1"/>
        <v>OUI</v>
      </c>
      <c r="J518" s="18">
        <f>IF(L518="DS",DATE(RIGHT(B518,4),VLOOKUP(LEFT(B518,LEN(B518)-5),Feuil1!$E$3:$F$19,2,FALSE)+1,10),DATE(RIGHT(B518,4),VLOOKUP(LEFT(B518,LEN(B518)-5),Feuil1!$E$3:$F$19,2,FALSE)+1,7))</f>
        <v>45298</v>
      </c>
      <c r="K518" s="19">
        <f t="shared" si="2"/>
        <v>1</v>
      </c>
      <c r="L518" s="6" t="str">
        <f t="shared" si="3"/>
        <v>FS</v>
      </c>
    </row>
    <row r="519" ht="14.25" customHeight="1">
      <c r="A519" s="14" t="str">
        <f>Base_report!A518</f>
        <v>GBEKE</v>
      </c>
      <c r="B519" s="14" t="str">
        <f>Base_report!B518</f>
        <v>DECEMBRE 2023</v>
      </c>
      <c r="C519" s="15" t="str">
        <f>Base_report!C518</f>
        <v>C2224</v>
      </c>
      <c r="D519" s="14" t="str">
        <f>TRIM(IF(ISNUMBER(FIND("PNSME",Base_report!D518,1)),SUBSTITUTE(Base_report!D518,"PNSME",""),IF(ISNUMBER(FIND("PHG",Base_report!D518,1)),SUBSTITUTE(Base_report!D518,"PHG",""),IF(ISNUMBER(FIND("PCS",Base_report!D518,1)),SUBSTITUTE(Base_report!D518,"PCS",""),IF(ISNUMBER(FIND("CMU",Base_report!D518,1)),SUBSTITUTE(Base_report!D518,"CMU",""),Base_report!D518)))))</f>
        <v>HOPITAL GENERAL BOTRO</v>
      </c>
      <c r="E519" s="14" t="str">
        <f>SUBSTITUTE(Base_report!E518,"-","/")</f>
        <v>PNSME/MEDICAMENTS ET INTRANTS</v>
      </c>
      <c r="F519" s="14" t="s">
        <v>788</v>
      </c>
      <c r="G519" s="16">
        <f>DATE(YEAR(SUBSTITUTE(LEFT(Base_report!F518,10),"-","/")),MONTH(SUBSTITUTE(LEFT(Base_report!F518,10),"-","/")),DAY(SUBSTITUTE(LEFT(Base_report!F518,10),"-","/")))</f>
        <v>45294</v>
      </c>
      <c r="H519" s="16">
        <f>DATE(YEAR(SUBSTITUTE(LEFT(Base_report!G518,10),"-","/")),MONTH(SUBSTITUTE(LEFT(Base_report!G518,10),"-","/")),DAY(SUBSTITUTE(LEFT(Base_report!G518,10),"-","/")))</f>
        <v>45300</v>
      </c>
      <c r="I519" s="17" t="str">
        <f t="shared" si="1"/>
        <v>OUI</v>
      </c>
      <c r="J519" s="18">
        <f>IF(L519="DS",DATE(RIGHT(B519,4),VLOOKUP(LEFT(B519,LEN(B519)-5),Feuil1!$E$3:$F$19,2,FALSE)+1,10),DATE(RIGHT(B519,4),VLOOKUP(LEFT(B519,LEN(B519)-5),Feuil1!$E$3:$F$19,2,FALSE)+1,7))</f>
        <v>45298</v>
      </c>
      <c r="K519" s="19">
        <f t="shared" si="2"/>
        <v>0</v>
      </c>
      <c r="L519" s="6" t="str">
        <f t="shared" si="3"/>
        <v>FS</v>
      </c>
    </row>
    <row r="520" ht="14.25" customHeight="1">
      <c r="A520" s="14" t="str">
        <f>Base_report!A519</f>
        <v>TCHOLOGO</v>
      </c>
      <c r="B520" s="14" t="str">
        <f>Base_report!B519</f>
        <v>DECEMBRE 2023</v>
      </c>
      <c r="C520" s="15" t="str">
        <f>Base_report!C519</f>
        <v>C3001</v>
      </c>
      <c r="D520" s="14" t="str">
        <f>TRIM(IF(ISNUMBER(FIND("PNSME",Base_report!D519,1)),SUBSTITUTE(Base_report!D519,"PNSME",""),IF(ISNUMBER(FIND("PHG",Base_report!D519,1)),SUBSTITUTE(Base_report!D519,"PHG",""),IF(ISNUMBER(FIND("PCS",Base_report!D519,1)),SUBSTITUTE(Base_report!D519,"PCS",""),IF(ISNUMBER(FIND("CMU",Base_report!D519,1)),SUBSTITUTE(Base_report!D519,"CMU",""),Base_report!D519)))))</f>
        <v>CSU NIELLE</v>
      </c>
      <c r="E520" s="14" t="str">
        <f>SUBSTITUTE(Base_report!E519,"-","/")</f>
        <v>PNSME/MEDICAMENTS ET INTRANTS</v>
      </c>
      <c r="F520" s="14" t="s">
        <v>788</v>
      </c>
      <c r="G520" s="16">
        <f>DATE(YEAR(SUBSTITUTE(LEFT(Base_report!F519,10),"-","/")),MONTH(SUBSTITUTE(LEFT(Base_report!F519,10),"-","/")),DAY(SUBSTITUTE(LEFT(Base_report!F519,10),"-","/")))</f>
        <v>45292</v>
      </c>
      <c r="H520" s="16">
        <f>DATE(YEAR(SUBSTITUTE(LEFT(Base_report!G519,10),"-","/")),MONTH(SUBSTITUTE(LEFT(Base_report!G519,10),"-","/")),DAY(SUBSTITUTE(LEFT(Base_report!G519,10),"-","/")))</f>
        <v>45292</v>
      </c>
      <c r="I520" s="17" t="str">
        <f t="shared" si="1"/>
        <v>OUI</v>
      </c>
      <c r="J520" s="18">
        <f>IF(L520="DS",DATE(RIGHT(B520,4),VLOOKUP(LEFT(B520,LEN(B520)-5),Feuil1!$E$3:$F$19,2,FALSE)+1,10),DATE(RIGHT(B520,4),VLOOKUP(LEFT(B520,LEN(B520)-5),Feuil1!$E$3:$F$19,2,FALSE)+1,7))</f>
        <v>45298</v>
      </c>
      <c r="K520" s="19">
        <f t="shared" si="2"/>
        <v>1</v>
      </c>
      <c r="L520" s="6" t="str">
        <f t="shared" si="3"/>
        <v>FS</v>
      </c>
    </row>
    <row r="521" ht="14.25" customHeight="1">
      <c r="A521" s="14" t="str">
        <f>Base_report!A520</f>
        <v>TCHOLOGO</v>
      </c>
      <c r="B521" s="14" t="str">
        <f>Base_report!B520</f>
        <v>DECEMBRE 2023</v>
      </c>
      <c r="C521" s="15" t="str">
        <f>Base_report!C520</f>
        <v>C3001</v>
      </c>
      <c r="D521" s="14" t="str">
        <f>TRIM(IF(ISNUMBER(FIND("PNSME",Base_report!D520,1)),SUBSTITUTE(Base_report!D520,"PNSME",""),IF(ISNUMBER(FIND("PHG",Base_report!D520,1)),SUBSTITUTE(Base_report!D520,"PHG",""),IF(ISNUMBER(FIND("PCS",Base_report!D520,1)),SUBSTITUTE(Base_report!D520,"PCS",""),IF(ISNUMBER(FIND("CMU",Base_report!D520,1)),SUBSTITUTE(Base_report!D520,"CMU",""),Base_report!D520)))))</f>
        <v>CSU NIELLE</v>
      </c>
      <c r="E521" s="14" t="str">
        <f>SUBSTITUTE(Base_report!E520,"-","/")</f>
        <v>PNLP/MEDICAMENTS ET INTRANTS</v>
      </c>
      <c r="F521" s="14" t="s">
        <v>788</v>
      </c>
      <c r="G521" s="16">
        <f>DATE(YEAR(SUBSTITUTE(LEFT(Base_report!F520,10),"-","/")),MONTH(SUBSTITUTE(LEFT(Base_report!F520,10),"-","/")),DAY(SUBSTITUTE(LEFT(Base_report!F520,10),"-","/")))</f>
        <v>45292</v>
      </c>
      <c r="H521" s="16">
        <f>DATE(YEAR(SUBSTITUTE(LEFT(Base_report!G520,10),"-","/")),MONTH(SUBSTITUTE(LEFT(Base_report!G520,10),"-","/")),DAY(SUBSTITUTE(LEFT(Base_report!G520,10),"-","/")))</f>
        <v>45292</v>
      </c>
      <c r="I521" s="17" t="str">
        <f t="shared" si="1"/>
        <v>OUI</v>
      </c>
      <c r="J521" s="18">
        <f>IF(L521="DS",DATE(RIGHT(B521,4),VLOOKUP(LEFT(B521,LEN(B521)-5),Feuil1!$E$3:$F$19,2,FALSE)+1,10),DATE(RIGHT(B521,4),VLOOKUP(LEFT(B521,LEN(B521)-5),Feuil1!$E$3:$F$19,2,FALSE)+1,7))</f>
        <v>45298</v>
      </c>
      <c r="K521" s="19">
        <f t="shared" si="2"/>
        <v>1</v>
      </c>
      <c r="L521" s="6" t="str">
        <f t="shared" si="3"/>
        <v>FS</v>
      </c>
    </row>
    <row r="522" ht="14.25" customHeight="1">
      <c r="A522" s="14" t="str">
        <f>Base_report!A521</f>
        <v>SAN PEDRO</v>
      </c>
      <c r="B522" s="14" t="str">
        <f>Base_report!B521</f>
        <v>DECEMBRE 2023</v>
      </c>
      <c r="C522" s="15" t="str">
        <f>Base_report!C521</f>
        <v>C2214</v>
      </c>
      <c r="D522" s="14" t="str">
        <f>TRIM(IF(ISNUMBER(FIND("PNSME",Base_report!D521,1)),SUBSTITUTE(Base_report!D521,"PNSME",""),IF(ISNUMBER(FIND("PHG",Base_report!D521,1)),SUBSTITUTE(Base_report!D521,"PHG",""),IF(ISNUMBER(FIND("PCS",Base_report!D521,1)),SUBSTITUTE(Base_report!D521,"PCS",""),IF(ISNUMBER(FIND("CMU",Base_report!D521,1)),SUBSTITUTE(Base_report!D521,"CMU",""),Base_report!D521)))))</f>
        <v>CSU GABIADJI</v>
      </c>
      <c r="E522" s="14" t="str">
        <f>SUBSTITUTE(Base_report!E521,"-","/")</f>
        <v>PNSME/MEDICAMENTS ET INTRANTS</v>
      </c>
      <c r="F522" s="14" t="s">
        <v>788</v>
      </c>
      <c r="G522" s="16">
        <f>DATE(YEAR(SUBSTITUTE(LEFT(Base_report!F521,10),"-","/")),MONTH(SUBSTITUTE(LEFT(Base_report!F521,10),"-","/")),DAY(SUBSTITUTE(LEFT(Base_report!F521,10),"-","/")))</f>
        <v>45293</v>
      </c>
      <c r="H522" s="16">
        <f>DATE(YEAR(SUBSTITUTE(LEFT(Base_report!G521,10),"-","/")),MONTH(SUBSTITUTE(LEFT(Base_report!G521,10),"-","/")),DAY(SUBSTITUTE(LEFT(Base_report!G521,10),"-","/")))</f>
        <v>45293</v>
      </c>
      <c r="I522" s="17" t="str">
        <f t="shared" si="1"/>
        <v>OUI</v>
      </c>
      <c r="J522" s="18">
        <f>IF(L522="DS",DATE(RIGHT(B522,4),VLOOKUP(LEFT(B522,LEN(B522)-5),Feuil1!$E$3:$F$19,2,FALSE)+1,10),DATE(RIGHT(B522,4),VLOOKUP(LEFT(B522,LEN(B522)-5),Feuil1!$E$3:$F$19,2,FALSE)+1,7))</f>
        <v>45298</v>
      </c>
      <c r="K522" s="19">
        <f t="shared" si="2"/>
        <v>1</v>
      </c>
      <c r="L522" s="6" t="str">
        <f t="shared" si="3"/>
        <v>FS</v>
      </c>
    </row>
    <row r="523" ht="14.25" customHeight="1">
      <c r="A523" s="14" t="str">
        <f>Base_report!A522</f>
        <v>INDENIE-DJUABLIN</v>
      </c>
      <c r="B523" s="14" t="str">
        <f>Base_report!B522</f>
        <v>DECEMBRE 2023</v>
      </c>
      <c r="C523" s="15" t="str">
        <f>Base_report!C522</f>
        <v>C4014</v>
      </c>
      <c r="D523" s="14" t="str">
        <f>TRIM(IF(ISNUMBER(FIND("PNSME",Base_report!D522,1)),SUBSTITUTE(Base_report!D522,"PNSME",""),IF(ISNUMBER(FIND("PHG",Base_report!D522,1)),SUBSTITUTE(Base_report!D522,"PHG",""),IF(ISNUMBER(FIND("PCS",Base_report!D522,1)),SUBSTITUTE(Base_report!D522,"PCS",""),IF(ISNUMBER(FIND("CMU",Base_report!D522,1)),SUBSTITUTE(Base_report!D522,"CMU",""),Base_report!D522)))))</f>
        <v>HOPITAL GENERAL AGNIBILEKROU</v>
      </c>
      <c r="E523" s="14" t="str">
        <f>SUBSTITUTE(Base_report!E522,"-","/")</f>
        <v>PNSME/MEDICAMENTS ET INTRANTS</v>
      </c>
      <c r="F523" s="14" t="s">
        <v>788</v>
      </c>
      <c r="G523" s="16">
        <f>DATE(YEAR(SUBSTITUTE(LEFT(Base_report!F522,10),"-","/")),MONTH(SUBSTITUTE(LEFT(Base_report!F522,10),"-","/")),DAY(SUBSTITUTE(LEFT(Base_report!F522,10),"-","/")))</f>
        <v>45293</v>
      </c>
      <c r="H523" s="16">
        <f>DATE(YEAR(SUBSTITUTE(LEFT(Base_report!G522,10),"-","/")),MONTH(SUBSTITUTE(LEFT(Base_report!G522,10),"-","/")),DAY(SUBSTITUTE(LEFT(Base_report!G522,10),"-","/")))</f>
        <v>45293</v>
      </c>
      <c r="I523" s="17" t="str">
        <f t="shared" si="1"/>
        <v>OUI</v>
      </c>
      <c r="J523" s="18">
        <f>IF(L523="DS",DATE(RIGHT(B523,4),VLOOKUP(LEFT(B523,LEN(B523)-5),Feuil1!$E$3:$F$19,2,FALSE)+1,10),DATE(RIGHT(B523,4),VLOOKUP(LEFT(B523,LEN(B523)-5),Feuil1!$E$3:$F$19,2,FALSE)+1,7))</f>
        <v>45298</v>
      </c>
      <c r="K523" s="19">
        <f t="shared" si="2"/>
        <v>1</v>
      </c>
      <c r="L523" s="6" t="str">
        <f t="shared" si="3"/>
        <v>FS</v>
      </c>
    </row>
    <row r="524" ht="14.25" customHeight="1">
      <c r="A524" s="14" t="str">
        <f>Base_report!A523</f>
        <v>INDENIE-DJUABLIN</v>
      </c>
      <c r="B524" s="14" t="str">
        <f>Base_report!B523</f>
        <v>DECEMBRE 2023</v>
      </c>
      <c r="C524" s="15" t="str">
        <f>Base_report!C523</f>
        <v>C4014</v>
      </c>
      <c r="D524" s="14" t="str">
        <f>TRIM(IF(ISNUMBER(FIND("PNSME",Base_report!D523,1)),SUBSTITUTE(Base_report!D523,"PNSME",""),IF(ISNUMBER(FIND("PHG",Base_report!D523,1)),SUBSTITUTE(Base_report!D523,"PHG",""),IF(ISNUMBER(FIND("PCS",Base_report!D523,1)),SUBSTITUTE(Base_report!D523,"PCS",""),IF(ISNUMBER(FIND("CMU",Base_report!D523,1)),SUBSTITUTE(Base_report!D523,"CMU",""),Base_report!D523)))))</f>
        <v>HOPITAL GENERAL AGNIBILEKROU</v>
      </c>
      <c r="E524" s="14" t="str">
        <f>SUBSTITUTE(Base_report!E523,"-","/")</f>
        <v>PNLS/CHARGES VIRALES</v>
      </c>
      <c r="F524" s="14" t="s">
        <v>788</v>
      </c>
      <c r="G524" s="16">
        <f>DATE(YEAR(SUBSTITUTE(LEFT(Base_report!F523,10),"-","/")),MONTH(SUBSTITUTE(LEFT(Base_report!F523,10),"-","/")),DAY(SUBSTITUTE(LEFT(Base_report!F523,10),"-","/")))</f>
        <v>45293</v>
      </c>
      <c r="H524" s="16">
        <f>DATE(YEAR(SUBSTITUTE(LEFT(Base_report!G523,10),"-","/")),MONTH(SUBSTITUTE(LEFT(Base_report!G523,10),"-","/")),DAY(SUBSTITUTE(LEFT(Base_report!G523,10),"-","/")))</f>
        <v>45293</v>
      </c>
      <c r="I524" s="17" t="str">
        <f t="shared" si="1"/>
        <v>OUI</v>
      </c>
      <c r="J524" s="18">
        <f>IF(L524="DS",DATE(RIGHT(B524,4),VLOOKUP(LEFT(B524,LEN(B524)-5),Feuil1!$E$3:$F$19,2,FALSE)+1,10),DATE(RIGHT(B524,4),VLOOKUP(LEFT(B524,LEN(B524)-5),Feuil1!$E$3:$F$19,2,FALSE)+1,7))</f>
        <v>45298</v>
      </c>
      <c r="K524" s="19">
        <f t="shared" si="2"/>
        <v>1</v>
      </c>
      <c r="L524" s="6" t="str">
        <f t="shared" si="3"/>
        <v>FS</v>
      </c>
    </row>
    <row r="525" ht="14.25" customHeight="1">
      <c r="A525" s="14" t="str">
        <f>Base_report!A524</f>
        <v>INDENIE-DJUABLIN</v>
      </c>
      <c r="B525" s="14" t="str">
        <f>Base_report!B524</f>
        <v>DECEMBRE 2023</v>
      </c>
      <c r="C525" s="15" t="str">
        <f>Base_report!C524</f>
        <v>C4014</v>
      </c>
      <c r="D525" s="14" t="str">
        <f>TRIM(IF(ISNUMBER(FIND("PNSME",Base_report!D524,1)),SUBSTITUTE(Base_report!D524,"PNSME",""),IF(ISNUMBER(FIND("PHG",Base_report!D524,1)),SUBSTITUTE(Base_report!D524,"PHG",""),IF(ISNUMBER(FIND("PCS",Base_report!D524,1)),SUBSTITUTE(Base_report!D524,"PCS",""),IF(ISNUMBER(FIND("CMU",Base_report!D524,1)),SUBSTITUTE(Base_report!D524,"CMU",""),Base_report!D524)))))</f>
        <v>HOPITAL GENERAL AGNIBILEKROU</v>
      </c>
      <c r="E525" s="14" t="str">
        <f>SUBSTITUTE(Base_report!E524,"-","/")</f>
        <v>PNN/MEDICAMENTS ET INTRANTS</v>
      </c>
      <c r="F525" s="14" t="s">
        <v>788</v>
      </c>
      <c r="G525" s="16">
        <f>DATE(YEAR(SUBSTITUTE(LEFT(Base_report!F524,10),"-","/")),MONTH(SUBSTITUTE(LEFT(Base_report!F524,10),"-","/")),DAY(SUBSTITUTE(LEFT(Base_report!F524,10),"-","/")))</f>
        <v>45296</v>
      </c>
      <c r="H525" s="16">
        <f>DATE(YEAR(SUBSTITUTE(LEFT(Base_report!G524,10),"-","/")),MONTH(SUBSTITUTE(LEFT(Base_report!G524,10),"-","/")),DAY(SUBSTITUTE(LEFT(Base_report!G524,10),"-","/")))</f>
        <v>45296</v>
      </c>
      <c r="I525" s="17" t="str">
        <f t="shared" si="1"/>
        <v>OUI</v>
      </c>
      <c r="J525" s="18">
        <f>IF(L525="DS",DATE(RIGHT(B525,4),VLOOKUP(LEFT(B525,LEN(B525)-5),Feuil1!$E$3:$F$19,2,FALSE)+1,10),DATE(RIGHT(B525,4),VLOOKUP(LEFT(B525,LEN(B525)-5),Feuil1!$E$3:$F$19,2,FALSE)+1,7))</f>
        <v>45298</v>
      </c>
      <c r="K525" s="19">
        <f t="shared" si="2"/>
        <v>1</v>
      </c>
      <c r="L525" s="6" t="str">
        <f t="shared" si="3"/>
        <v>FS</v>
      </c>
    </row>
    <row r="526" ht="14.25" customHeight="1">
      <c r="A526" s="14" t="str">
        <f>Base_report!A525</f>
        <v>ABIDJAN 1</v>
      </c>
      <c r="B526" s="14" t="str">
        <f>Base_report!B525</f>
        <v>DECEMBRE 2023</v>
      </c>
      <c r="C526" s="15" t="str">
        <f>Base_report!C525</f>
        <v>C1073</v>
      </c>
      <c r="D526" s="14" t="str">
        <f>TRIM(IF(ISNUMBER(FIND("PNSME",Base_report!D525,1)),SUBSTITUTE(Base_report!D525,"PNSME",""),IF(ISNUMBER(FIND("PHG",Base_report!D525,1)),SUBSTITUTE(Base_report!D525,"PHG",""),IF(ISNUMBER(FIND("PCS",Base_report!D525,1)),SUBSTITUTE(Base_report!D525,"PCS",""),IF(ISNUMBER(FIND("CMU",Base_report!D525,1)),SUBSTITUTE(Base_report!D525,"CMU",""),Base_report!D525)))))</f>
        <v>FSU COM YOPOUGON ATTIE-OUASSAKARA</v>
      </c>
      <c r="E526" s="14" t="str">
        <f>SUBSTITUTE(Base_report!E525,"-","/")</f>
        <v>PNSME/MEDICAMENTS ET INTRANTS</v>
      </c>
      <c r="F526" s="14" t="s">
        <v>788</v>
      </c>
      <c r="G526" s="16">
        <f>DATE(YEAR(SUBSTITUTE(LEFT(Base_report!F525,10),"-","/")),MONTH(SUBSTITUTE(LEFT(Base_report!F525,10),"-","/")),DAY(SUBSTITUTE(LEFT(Base_report!F525,10),"-","/")))</f>
        <v>45296</v>
      </c>
      <c r="H526" s="16">
        <f>DATE(YEAR(SUBSTITUTE(LEFT(Base_report!G525,10),"-","/")),MONTH(SUBSTITUTE(LEFT(Base_report!G525,10),"-","/")),DAY(SUBSTITUTE(LEFT(Base_report!G525,10),"-","/")))</f>
        <v>45296</v>
      </c>
      <c r="I526" s="17" t="str">
        <f t="shared" si="1"/>
        <v>OUI</v>
      </c>
      <c r="J526" s="18">
        <f>IF(L526="DS",DATE(RIGHT(B526,4),VLOOKUP(LEFT(B526,LEN(B526)-5),Feuil1!$E$3:$F$19,2,FALSE)+1,10),DATE(RIGHT(B526,4),VLOOKUP(LEFT(B526,LEN(B526)-5),Feuil1!$E$3:$F$19,2,FALSE)+1,7))</f>
        <v>45298</v>
      </c>
      <c r="K526" s="19">
        <f t="shared" si="2"/>
        <v>1</v>
      </c>
      <c r="L526" s="6" t="str">
        <f t="shared" si="3"/>
        <v>FS</v>
      </c>
    </row>
    <row r="527" ht="14.25" customHeight="1">
      <c r="A527" s="14" t="str">
        <f>Base_report!A526</f>
        <v>ABIDJAN 1</v>
      </c>
      <c r="B527" s="14" t="str">
        <f>Base_report!B526</f>
        <v>DECEMBRE 2023</v>
      </c>
      <c r="C527" s="15" t="str">
        <f>Base_report!C526</f>
        <v>C1073</v>
      </c>
      <c r="D527" s="14" t="str">
        <f>TRIM(IF(ISNUMBER(FIND("PNSME",Base_report!D526,1)),SUBSTITUTE(Base_report!D526,"PNSME",""),IF(ISNUMBER(FIND("PHG",Base_report!D526,1)),SUBSTITUTE(Base_report!D526,"PHG",""),IF(ISNUMBER(FIND("PCS",Base_report!D526,1)),SUBSTITUTE(Base_report!D526,"PCS",""),IF(ISNUMBER(FIND("CMU",Base_report!D526,1)),SUBSTITUTE(Base_report!D526,"CMU",""),Base_report!D526)))))</f>
        <v>FSU COM YOPOUGON ATTIE-OUASSAKARA</v>
      </c>
      <c r="E527" s="14" t="str">
        <f>SUBSTITUTE(Base_report!E526,"-","/")</f>
        <v>PNLP/MEDICAMENTS ET INTRANTS</v>
      </c>
      <c r="F527" s="14" t="s">
        <v>788</v>
      </c>
      <c r="G527" s="16">
        <f>DATE(YEAR(SUBSTITUTE(LEFT(Base_report!F526,10),"-","/")),MONTH(SUBSTITUTE(LEFT(Base_report!F526,10),"-","/")),DAY(SUBSTITUTE(LEFT(Base_report!F526,10),"-","/")))</f>
        <v>45295</v>
      </c>
      <c r="H527" s="16">
        <f>DATE(YEAR(SUBSTITUTE(LEFT(Base_report!G526,10),"-","/")),MONTH(SUBSTITUTE(LEFT(Base_report!G526,10),"-","/")),DAY(SUBSTITUTE(LEFT(Base_report!G526,10),"-","/")))</f>
        <v>45296</v>
      </c>
      <c r="I527" s="17" t="str">
        <f t="shared" si="1"/>
        <v>OUI</v>
      </c>
      <c r="J527" s="18">
        <f>IF(L527="DS",DATE(RIGHT(B527,4),VLOOKUP(LEFT(B527,LEN(B527)-5),Feuil1!$E$3:$F$19,2,FALSE)+1,10),DATE(RIGHT(B527,4),VLOOKUP(LEFT(B527,LEN(B527)-5),Feuil1!$E$3:$F$19,2,FALSE)+1,7))</f>
        <v>45298</v>
      </c>
      <c r="K527" s="19">
        <f t="shared" si="2"/>
        <v>1</v>
      </c>
      <c r="L527" s="6" t="str">
        <f t="shared" si="3"/>
        <v>FS</v>
      </c>
    </row>
    <row r="528" ht="14.25" customHeight="1">
      <c r="A528" s="14" t="str">
        <f>Base_report!A527</f>
        <v>ABIDJAN 1</v>
      </c>
      <c r="B528" s="14" t="str">
        <f>Base_report!B527</f>
        <v>DECEMBRE 2023</v>
      </c>
      <c r="C528" s="15" t="str">
        <f>Base_report!C527</f>
        <v>C1073</v>
      </c>
      <c r="D528" s="14" t="str">
        <f>TRIM(IF(ISNUMBER(FIND("PNSME",Base_report!D527,1)),SUBSTITUTE(Base_report!D527,"PNSME",""),IF(ISNUMBER(FIND("PHG",Base_report!D527,1)),SUBSTITUTE(Base_report!D527,"PHG",""),IF(ISNUMBER(FIND("PCS",Base_report!D527,1)),SUBSTITUTE(Base_report!D527,"PCS",""),IF(ISNUMBER(FIND("CMU",Base_report!D527,1)),SUBSTITUTE(Base_report!D527,"CMU",""),Base_report!D527)))))</f>
        <v>FSU COM YOPOUGON ATTIE-OUASSAKARA</v>
      </c>
      <c r="E528" s="14" t="str">
        <f>SUBSTITUTE(Base_report!E527,"-","/")</f>
        <v>PNLS/TESTS RAPIDES ET CONSOMMABLES</v>
      </c>
      <c r="F528" s="14" t="s">
        <v>788</v>
      </c>
      <c r="G528" s="16">
        <f>DATE(YEAR(SUBSTITUTE(LEFT(Base_report!F527,10),"-","/")),MONTH(SUBSTITUTE(LEFT(Base_report!F527,10),"-","/")),DAY(SUBSTITUTE(LEFT(Base_report!F527,10),"-","/")))</f>
        <v>45296</v>
      </c>
      <c r="H528" s="16">
        <f>DATE(YEAR(SUBSTITUTE(LEFT(Base_report!G527,10),"-","/")),MONTH(SUBSTITUTE(LEFT(Base_report!G527,10),"-","/")),DAY(SUBSTITUTE(LEFT(Base_report!G527,10),"-","/")))</f>
        <v>45296</v>
      </c>
      <c r="I528" s="17" t="str">
        <f t="shared" si="1"/>
        <v>OUI</v>
      </c>
      <c r="J528" s="18">
        <f>IF(L528="DS",DATE(RIGHT(B528,4),VLOOKUP(LEFT(B528,LEN(B528)-5),Feuil1!$E$3:$F$19,2,FALSE)+1,10),DATE(RIGHT(B528,4),VLOOKUP(LEFT(B528,LEN(B528)-5),Feuil1!$E$3:$F$19,2,FALSE)+1,7))</f>
        <v>45298</v>
      </c>
      <c r="K528" s="19">
        <f t="shared" si="2"/>
        <v>1</v>
      </c>
      <c r="L528" s="6" t="str">
        <f t="shared" si="3"/>
        <v>FS</v>
      </c>
    </row>
    <row r="529" ht="14.25" customHeight="1">
      <c r="A529" s="14" t="str">
        <f>Base_report!A528</f>
        <v>ABIDJAN 1</v>
      </c>
      <c r="B529" s="14" t="str">
        <f>Base_report!B528</f>
        <v>DECEMBRE 2023</v>
      </c>
      <c r="C529" s="15" t="str">
        <f>Base_report!C528</f>
        <v>C1073</v>
      </c>
      <c r="D529" s="14" t="str">
        <f>TRIM(IF(ISNUMBER(FIND("PNSME",Base_report!D528,1)),SUBSTITUTE(Base_report!D528,"PNSME",""),IF(ISNUMBER(FIND("PHG",Base_report!D528,1)),SUBSTITUTE(Base_report!D528,"PHG",""),IF(ISNUMBER(FIND("PCS",Base_report!D528,1)),SUBSTITUTE(Base_report!D528,"PCS",""),IF(ISNUMBER(FIND("CMU",Base_report!D528,1)),SUBSTITUTE(Base_report!D528,"CMU",""),Base_report!D528)))))</f>
        <v>FSU COM YOPOUGON ATTIE-OUASSAKARA</v>
      </c>
      <c r="E529" s="14" t="str">
        <f>SUBSTITUTE(Base_report!E528,"-","/")</f>
        <v>PNLS/ANTIRETROVIRAUX ET IO</v>
      </c>
      <c r="F529" s="14" t="s">
        <v>788</v>
      </c>
      <c r="G529" s="16">
        <f>DATE(YEAR(SUBSTITUTE(LEFT(Base_report!F528,10),"-","/")),MONTH(SUBSTITUTE(LEFT(Base_report!F528,10),"-","/")),DAY(SUBSTITUTE(LEFT(Base_report!F528,10),"-","/")))</f>
        <v>45296</v>
      </c>
      <c r="H529" s="16">
        <f>DATE(YEAR(SUBSTITUTE(LEFT(Base_report!G528,10),"-","/")),MONTH(SUBSTITUTE(LEFT(Base_report!G528,10),"-","/")),DAY(SUBSTITUTE(LEFT(Base_report!G528,10),"-","/")))</f>
        <v>45296</v>
      </c>
      <c r="I529" s="17" t="str">
        <f t="shared" si="1"/>
        <v>OUI</v>
      </c>
      <c r="J529" s="18">
        <f>IF(L529="DS",DATE(RIGHT(B529,4),VLOOKUP(LEFT(B529,LEN(B529)-5),Feuil1!$E$3:$F$19,2,FALSE)+1,10),DATE(RIGHT(B529,4),VLOOKUP(LEFT(B529,LEN(B529)-5),Feuil1!$E$3:$F$19,2,FALSE)+1,7))</f>
        <v>45298</v>
      </c>
      <c r="K529" s="19">
        <f t="shared" si="2"/>
        <v>1</v>
      </c>
      <c r="L529" s="6" t="str">
        <f t="shared" si="3"/>
        <v>FS</v>
      </c>
    </row>
    <row r="530" ht="14.25" customHeight="1">
      <c r="A530" s="14" t="str">
        <f>Base_report!A529</f>
        <v>HAMBOL</v>
      </c>
      <c r="B530" s="14" t="str">
        <f>Base_report!B529</f>
        <v>DECEMBRE 2023</v>
      </c>
      <c r="C530" s="15" t="str">
        <f>Base_report!C529</f>
        <v>C3003</v>
      </c>
      <c r="D530" s="14" t="str">
        <f>TRIM(IF(ISNUMBER(FIND("PNSME",Base_report!D529,1)),SUBSTITUTE(Base_report!D529,"PNSME",""),IF(ISNUMBER(FIND("PHG",Base_report!D529,1)),SUBSTITUTE(Base_report!D529,"PHG",""),IF(ISNUMBER(FIND("PCS",Base_report!D529,1)),SUBSTITUTE(Base_report!D529,"PCS",""),IF(ISNUMBER(FIND("CMU",Base_report!D529,1)),SUBSTITUTE(Base_report!D529,"CMU",""),Base_report!D529)))))</f>
        <v>DISTRICT SANITAIRE DABAKALA</v>
      </c>
      <c r="E530" s="14" t="str">
        <f>SUBSTITUTE(Base_report!E529,"-","/")</f>
        <v>PNLP/MEDICAMENTS ET INTRANTS</v>
      </c>
      <c r="F530" s="14" t="s">
        <v>788</v>
      </c>
      <c r="G530" s="16">
        <f>DATE(YEAR(SUBSTITUTE(LEFT(Base_report!F529,10),"-","/")),MONTH(SUBSTITUTE(LEFT(Base_report!F529,10),"-","/")),DAY(SUBSTITUTE(LEFT(Base_report!F529,10),"-","/")))</f>
        <v>45298</v>
      </c>
      <c r="H530" s="16">
        <f>DATE(YEAR(SUBSTITUTE(LEFT(Base_report!G529,10),"-","/")),MONTH(SUBSTITUTE(LEFT(Base_report!G529,10),"-","/")),DAY(SUBSTITUTE(LEFT(Base_report!G529,10),"-","/")))</f>
        <v>45300</v>
      </c>
      <c r="I530" s="17" t="str">
        <f t="shared" si="1"/>
        <v>OUI</v>
      </c>
      <c r="J530" s="18">
        <f>IF(L530="DS",DATE(RIGHT(B530,4),VLOOKUP(LEFT(B530,LEN(B530)-5),Feuil1!$E$3:$F$19,2,FALSE)+1,10),DATE(RIGHT(B530,4),VLOOKUP(LEFT(B530,LEN(B530)-5),Feuil1!$E$3:$F$19,2,FALSE)+1,7))</f>
        <v>45301</v>
      </c>
      <c r="K530" s="19">
        <f t="shared" si="2"/>
        <v>1</v>
      </c>
      <c r="L530" s="6" t="str">
        <f t="shared" si="3"/>
        <v>DS</v>
      </c>
    </row>
    <row r="531" ht="14.25" customHeight="1">
      <c r="A531" s="14" t="str">
        <f>Base_report!A530</f>
        <v>HAMBOL</v>
      </c>
      <c r="B531" s="14" t="str">
        <f>Base_report!B530</f>
        <v>DECEMBRE 2023</v>
      </c>
      <c r="C531" s="15" t="str">
        <f>Base_report!C530</f>
        <v>C3003</v>
      </c>
      <c r="D531" s="14" t="str">
        <f>TRIM(IF(ISNUMBER(FIND("PNSME",Base_report!D530,1)),SUBSTITUTE(Base_report!D530,"PNSME",""),IF(ISNUMBER(FIND("PHG",Base_report!D530,1)),SUBSTITUTE(Base_report!D530,"PHG",""),IF(ISNUMBER(FIND("PCS",Base_report!D530,1)),SUBSTITUTE(Base_report!D530,"PCS",""),IF(ISNUMBER(FIND("CMU",Base_report!D530,1)),SUBSTITUTE(Base_report!D530,"CMU",""),Base_report!D530)))))</f>
        <v>DISTRICT SANITAIRE DABAKALA</v>
      </c>
      <c r="E531" s="14" t="str">
        <f>SUBSTITUTE(Base_report!E530,"-","/")</f>
        <v>PNLS/ANTIRETROVIRAUX ET IO</v>
      </c>
      <c r="F531" s="14" t="s">
        <v>788</v>
      </c>
      <c r="G531" s="16">
        <f>DATE(YEAR(SUBSTITUTE(LEFT(Base_report!F530,10),"-","/")),MONTH(SUBSTITUTE(LEFT(Base_report!F530,10),"-","/")),DAY(SUBSTITUTE(LEFT(Base_report!F530,10),"-","/")))</f>
        <v>45298</v>
      </c>
      <c r="H531" s="16">
        <f>DATE(YEAR(SUBSTITUTE(LEFT(Base_report!G530,10),"-","/")),MONTH(SUBSTITUTE(LEFT(Base_report!G530,10),"-","/")),DAY(SUBSTITUTE(LEFT(Base_report!G530,10),"-","/")))</f>
        <v>45300</v>
      </c>
      <c r="I531" s="17" t="str">
        <f t="shared" si="1"/>
        <v>OUI</v>
      </c>
      <c r="J531" s="18">
        <f>IF(L531="DS",DATE(RIGHT(B531,4),VLOOKUP(LEFT(B531,LEN(B531)-5),Feuil1!$E$3:$F$19,2,FALSE)+1,10),DATE(RIGHT(B531,4),VLOOKUP(LEFT(B531,LEN(B531)-5),Feuil1!$E$3:$F$19,2,FALSE)+1,7))</f>
        <v>45301</v>
      </c>
      <c r="K531" s="19">
        <f t="shared" si="2"/>
        <v>1</v>
      </c>
      <c r="L531" s="6" t="str">
        <f t="shared" si="3"/>
        <v>DS</v>
      </c>
    </row>
    <row r="532" ht="14.25" customHeight="1">
      <c r="A532" s="14" t="str">
        <f>Base_report!A531</f>
        <v>HAMBOL</v>
      </c>
      <c r="B532" s="14" t="str">
        <f>Base_report!B531</f>
        <v>DECEMBRE 2023</v>
      </c>
      <c r="C532" s="15" t="str">
        <f>Base_report!C531</f>
        <v>C3003</v>
      </c>
      <c r="D532" s="14" t="str">
        <f>TRIM(IF(ISNUMBER(FIND("PNSME",Base_report!D531,1)),SUBSTITUTE(Base_report!D531,"PNSME",""),IF(ISNUMBER(FIND("PHG",Base_report!D531,1)),SUBSTITUTE(Base_report!D531,"PHG",""),IF(ISNUMBER(FIND("PCS",Base_report!D531,1)),SUBSTITUTE(Base_report!D531,"PCS",""),IF(ISNUMBER(FIND("CMU",Base_report!D531,1)),SUBSTITUTE(Base_report!D531,"CMU",""),Base_report!D531)))))</f>
        <v>DISTRICT SANITAIRE DABAKALA</v>
      </c>
      <c r="E532" s="14" t="str">
        <f>SUBSTITUTE(Base_report!E531,"-","/")</f>
        <v>PNLS/PRODUITS DE LABORATOIRE</v>
      </c>
      <c r="F532" s="14" t="s">
        <v>788</v>
      </c>
      <c r="G532" s="16">
        <f>DATE(YEAR(SUBSTITUTE(LEFT(Base_report!F531,10),"-","/")),MONTH(SUBSTITUTE(LEFT(Base_report!F531,10),"-","/")),DAY(SUBSTITUTE(LEFT(Base_report!F531,10),"-","/")))</f>
        <v>45298</v>
      </c>
      <c r="H532" s="16">
        <f>DATE(YEAR(SUBSTITUTE(LEFT(Base_report!G531,10),"-","/")),MONTH(SUBSTITUTE(LEFT(Base_report!G531,10),"-","/")),DAY(SUBSTITUTE(LEFT(Base_report!G531,10),"-","/")))</f>
        <v>45300</v>
      </c>
      <c r="I532" s="17" t="str">
        <f t="shared" si="1"/>
        <v>OUI</v>
      </c>
      <c r="J532" s="18">
        <f>IF(L532="DS",DATE(RIGHT(B532,4),VLOOKUP(LEFT(B532,LEN(B532)-5),Feuil1!$E$3:$F$19,2,FALSE)+1,10),DATE(RIGHT(B532,4),VLOOKUP(LEFT(B532,LEN(B532)-5),Feuil1!$E$3:$F$19,2,FALSE)+1,7))</f>
        <v>45301</v>
      </c>
      <c r="K532" s="19">
        <f t="shared" si="2"/>
        <v>1</v>
      </c>
      <c r="L532" s="6" t="str">
        <f t="shared" si="3"/>
        <v>DS</v>
      </c>
    </row>
    <row r="533" ht="14.25" customHeight="1">
      <c r="A533" s="14" t="str">
        <f>Base_report!A532</f>
        <v>HAMBOL</v>
      </c>
      <c r="B533" s="14" t="str">
        <f>Base_report!B532</f>
        <v>DECEMBRE 2023</v>
      </c>
      <c r="C533" s="15" t="str">
        <f>Base_report!C532</f>
        <v>C3003</v>
      </c>
      <c r="D533" s="14" t="str">
        <f>TRIM(IF(ISNUMBER(FIND("PNSME",Base_report!D532,1)),SUBSTITUTE(Base_report!D532,"PNSME",""),IF(ISNUMBER(FIND("PHG",Base_report!D532,1)),SUBSTITUTE(Base_report!D532,"PHG",""),IF(ISNUMBER(FIND("PCS",Base_report!D532,1)),SUBSTITUTE(Base_report!D532,"PCS",""),IF(ISNUMBER(FIND("CMU",Base_report!D532,1)),SUBSTITUTE(Base_report!D532,"CMU",""),Base_report!D532)))))</f>
        <v>DISTRICT SANITAIRE DABAKALA</v>
      </c>
      <c r="E533" s="14" t="str">
        <f>SUBSTITUTE(Base_report!E532,"-","/")</f>
        <v>PNLS/TESTS RAPIDES ET CONSOMMABLES</v>
      </c>
      <c r="F533" s="14" t="s">
        <v>788</v>
      </c>
      <c r="G533" s="16">
        <f>DATE(YEAR(SUBSTITUTE(LEFT(Base_report!F532,10),"-","/")),MONTH(SUBSTITUTE(LEFT(Base_report!F532,10),"-","/")),DAY(SUBSTITUTE(LEFT(Base_report!F532,10),"-","/")))</f>
        <v>45298</v>
      </c>
      <c r="H533" s="16">
        <f>DATE(YEAR(SUBSTITUTE(LEFT(Base_report!G532,10),"-","/")),MONTH(SUBSTITUTE(LEFT(Base_report!G532,10),"-","/")),DAY(SUBSTITUTE(LEFT(Base_report!G532,10),"-","/")))</f>
        <v>45300</v>
      </c>
      <c r="I533" s="17" t="str">
        <f t="shared" si="1"/>
        <v>OUI</v>
      </c>
      <c r="J533" s="18">
        <f>IF(L533="DS",DATE(RIGHT(B533,4),VLOOKUP(LEFT(B533,LEN(B533)-5),Feuil1!$E$3:$F$19,2,FALSE)+1,10),DATE(RIGHT(B533,4),VLOOKUP(LEFT(B533,LEN(B533)-5),Feuil1!$E$3:$F$19,2,FALSE)+1,7))</f>
        <v>45301</v>
      </c>
      <c r="K533" s="19">
        <f t="shared" si="2"/>
        <v>1</v>
      </c>
      <c r="L533" s="6" t="str">
        <f t="shared" si="3"/>
        <v>DS</v>
      </c>
    </row>
    <row r="534" ht="14.25" customHeight="1">
      <c r="A534" s="14" t="str">
        <f>Base_report!A533</f>
        <v>HAMBOL</v>
      </c>
      <c r="B534" s="14" t="str">
        <f>Base_report!B533</f>
        <v>DECEMBRE 2023</v>
      </c>
      <c r="C534" s="15" t="str">
        <f>Base_report!C533</f>
        <v>C3003</v>
      </c>
      <c r="D534" s="14" t="str">
        <f>TRIM(IF(ISNUMBER(FIND("PNSME",Base_report!D533,1)),SUBSTITUTE(Base_report!D533,"PNSME",""),IF(ISNUMBER(FIND("PHG",Base_report!D533,1)),SUBSTITUTE(Base_report!D533,"PHG",""),IF(ISNUMBER(FIND("PCS",Base_report!D533,1)),SUBSTITUTE(Base_report!D533,"PCS",""),IF(ISNUMBER(FIND("CMU",Base_report!D533,1)),SUBSTITUTE(Base_report!D533,"CMU",""),Base_report!D533)))))</f>
        <v>DISTRICT SANITAIRE DABAKALA</v>
      </c>
      <c r="E534" s="14" t="str">
        <f>SUBSTITUTE(Base_report!E533,"-","/")</f>
        <v>PNN/MEDICAMENTS ET INTRANTS</v>
      </c>
      <c r="F534" s="14" t="s">
        <v>788</v>
      </c>
      <c r="G534" s="16">
        <f>DATE(YEAR(SUBSTITUTE(LEFT(Base_report!F533,10),"-","/")),MONTH(SUBSTITUTE(LEFT(Base_report!F533,10),"-","/")),DAY(SUBSTITUTE(LEFT(Base_report!F533,10),"-","/")))</f>
        <v>45298</v>
      </c>
      <c r="H534" s="16">
        <f>DATE(YEAR(SUBSTITUTE(LEFT(Base_report!G533,10),"-","/")),MONTH(SUBSTITUTE(LEFT(Base_report!G533,10),"-","/")),DAY(SUBSTITUTE(LEFT(Base_report!G533,10),"-","/")))</f>
        <v>45300</v>
      </c>
      <c r="I534" s="17" t="str">
        <f t="shared" si="1"/>
        <v>OUI</v>
      </c>
      <c r="J534" s="18">
        <f>IF(L534="DS",DATE(RIGHT(B534,4),VLOOKUP(LEFT(B534,LEN(B534)-5),Feuil1!$E$3:$F$19,2,FALSE)+1,10),DATE(RIGHT(B534,4),VLOOKUP(LEFT(B534,LEN(B534)-5),Feuil1!$E$3:$F$19,2,FALSE)+1,7))</f>
        <v>45301</v>
      </c>
      <c r="K534" s="19">
        <f t="shared" si="2"/>
        <v>1</v>
      </c>
      <c r="L534" s="6" t="str">
        <f t="shared" si="3"/>
        <v>DS</v>
      </c>
    </row>
    <row r="535" ht="14.25" customHeight="1">
      <c r="A535" s="14" t="str">
        <f>Base_report!A534</f>
        <v>BELIER</v>
      </c>
      <c r="B535" s="14" t="str">
        <f>Base_report!B534</f>
        <v>DECEMBRE 2023</v>
      </c>
      <c r="C535" s="15" t="str">
        <f>Base_report!C534</f>
        <v>C2038</v>
      </c>
      <c r="D535" s="14" t="str">
        <f>TRIM(IF(ISNUMBER(FIND("PNSME",Base_report!D534,1)),SUBSTITUTE(Base_report!D534,"PNSME",""),IF(ISNUMBER(FIND("PHG",Base_report!D534,1)),SUBSTITUTE(Base_report!D534,"PHG",""),IF(ISNUMBER(FIND("PCS",Base_report!D534,1)),SUBSTITUTE(Base_report!D534,"PCS",""),IF(ISNUMBER(FIND("CMU",Base_report!D534,1)),SUBSTITUTE(Base_report!D534,"CMU",""),Base_report!D534)))))</f>
        <v>DISTRICT SANITAIRE TOUMODI</v>
      </c>
      <c r="E535" s="14" t="str">
        <f>SUBSTITUTE(Base_report!E534,"-","/")</f>
        <v>PNLS/TESTS RAPIDES ET CONSOMMABLES</v>
      </c>
      <c r="F535" s="14" t="s">
        <v>788</v>
      </c>
      <c r="G535" s="16">
        <f>DATE(YEAR(SUBSTITUTE(LEFT(Base_report!F534,10),"-","/")),MONTH(SUBSTITUTE(LEFT(Base_report!F534,10),"-","/")),DAY(SUBSTITUTE(LEFT(Base_report!F534,10),"-","/")))</f>
        <v>45301</v>
      </c>
      <c r="H535" s="16">
        <f>DATE(YEAR(SUBSTITUTE(LEFT(Base_report!G534,10),"-","/")),MONTH(SUBSTITUTE(LEFT(Base_report!G534,10),"-","/")),DAY(SUBSTITUTE(LEFT(Base_report!G534,10),"-","/")))</f>
        <v>45301</v>
      </c>
      <c r="I535" s="17" t="str">
        <f t="shared" si="1"/>
        <v>OUI</v>
      </c>
      <c r="J535" s="18">
        <f>IF(L535="DS",DATE(RIGHT(B535,4),VLOOKUP(LEFT(B535,LEN(B535)-5),Feuil1!$E$3:$F$19,2,FALSE)+1,10),DATE(RIGHT(B535,4),VLOOKUP(LEFT(B535,LEN(B535)-5),Feuil1!$E$3:$F$19,2,FALSE)+1,7))</f>
        <v>45301</v>
      </c>
      <c r="K535" s="19">
        <f t="shared" si="2"/>
        <v>1</v>
      </c>
      <c r="L535" s="6" t="str">
        <f t="shared" si="3"/>
        <v>DS</v>
      </c>
    </row>
    <row r="536" ht="14.25" customHeight="1">
      <c r="A536" s="14" t="str">
        <f>Base_report!A535</f>
        <v>NAWA</v>
      </c>
      <c r="B536" s="14" t="str">
        <f>Base_report!B535</f>
        <v>DECEMBRE 2023</v>
      </c>
      <c r="C536" s="15" t="str">
        <f>Base_report!C535</f>
        <v>C2167</v>
      </c>
      <c r="D536" s="14" t="str">
        <f>TRIM(IF(ISNUMBER(FIND("PNSME",Base_report!D535,1)),SUBSTITUTE(Base_report!D535,"PNSME",""),IF(ISNUMBER(FIND("PHG",Base_report!D535,1)),SUBSTITUTE(Base_report!D535,"PHG",""),IF(ISNUMBER(FIND("PCS",Base_report!D535,1)),SUBSTITUTE(Base_report!D535,"PCS",""),IF(ISNUMBER(FIND("CMU",Base_report!D535,1)),SUBSTITUTE(Base_report!D535,"CMU",""),Base_report!D535)))))</f>
        <v>DISTRICT SANITAIRE GUEYO</v>
      </c>
      <c r="E536" s="14" t="str">
        <f>SUBSTITUTE(Base_report!E535,"-","/")</f>
        <v>PNSME/MEDICAMENTS ET INTRANTS</v>
      </c>
      <c r="F536" s="14" t="s">
        <v>788</v>
      </c>
      <c r="G536" s="16">
        <f>DATE(YEAR(SUBSTITUTE(LEFT(Base_report!F535,10),"-","/")),MONTH(SUBSTITUTE(LEFT(Base_report!F535,10),"-","/")),DAY(SUBSTITUTE(LEFT(Base_report!F535,10),"-","/")))</f>
        <v>45291</v>
      </c>
      <c r="H536" s="16">
        <f>DATE(YEAR(SUBSTITUTE(LEFT(Base_report!G535,10),"-","/")),MONTH(SUBSTITUTE(LEFT(Base_report!G535,10),"-","/")),DAY(SUBSTITUTE(LEFT(Base_report!G535,10),"-","/")))</f>
        <v>45293</v>
      </c>
      <c r="I536" s="17" t="str">
        <f t="shared" si="1"/>
        <v>OUI</v>
      </c>
      <c r="J536" s="18">
        <f>IF(L536="DS",DATE(RIGHT(B536,4),VLOOKUP(LEFT(B536,LEN(B536)-5),Feuil1!$E$3:$F$19,2,FALSE)+1,10),DATE(RIGHT(B536,4),VLOOKUP(LEFT(B536,LEN(B536)-5),Feuil1!$E$3:$F$19,2,FALSE)+1,7))</f>
        <v>45301</v>
      </c>
      <c r="K536" s="19">
        <f t="shared" si="2"/>
        <v>1</v>
      </c>
      <c r="L536" s="6" t="str">
        <f t="shared" si="3"/>
        <v>DS</v>
      </c>
    </row>
    <row r="537" ht="14.25" customHeight="1">
      <c r="A537" s="14" t="str">
        <f>Base_report!A536</f>
        <v>HAUT-SASSANDRA</v>
      </c>
      <c r="B537" s="14" t="str">
        <f>Base_report!B536</f>
        <v>DECEMBRE 2023</v>
      </c>
      <c r="C537" s="15" t="str">
        <f>Base_report!C536</f>
        <v>C2025</v>
      </c>
      <c r="D537" s="14" t="str">
        <f>TRIM(IF(ISNUMBER(FIND("PNSME",Base_report!D536,1)),SUBSTITUTE(Base_report!D536,"PNSME",""),IF(ISNUMBER(FIND("PHG",Base_report!D536,1)),SUBSTITUTE(Base_report!D536,"PHG",""),IF(ISNUMBER(FIND("PCS",Base_report!D536,1)),SUBSTITUTE(Base_report!D536,"PCS",""),IF(ISNUMBER(FIND("CMU",Base_report!D536,1)),SUBSTITUTE(Base_report!D536,"CMU",""),Base_report!D536)))))</f>
        <v>DISTRICT SANITAIRE DALOA</v>
      </c>
      <c r="E537" s="14" t="str">
        <f>SUBSTITUTE(Base_report!E536,"-","/")</f>
        <v>PNSME_GRATUITE:MEDICAMENTS ET INTRANTS</v>
      </c>
      <c r="F537" s="14" t="s">
        <v>788</v>
      </c>
      <c r="G537" s="16">
        <f>DATE(YEAR(SUBSTITUTE(LEFT(Base_report!F536,10),"-","/")),MONTH(SUBSTITUTE(LEFT(Base_report!F536,10),"-","/")),DAY(SUBSTITUTE(LEFT(Base_report!F536,10),"-","/")))</f>
        <v>45301</v>
      </c>
      <c r="H537" s="16">
        <f>DATE(YEAR(SUBSTITUTE(LEFT(Base_report!G536,10),"-","/")),MONTH(SUBSTITUTE(LEFT(Base_report!G536,10),"-","/")),DAY(SUBSTITUTE(LEFT(Base_report!G536,10),"-","/")))</f>
        <v>45301</v>
      </c>
      <c r="I537" s="17" t="str">
        <f t="shared" si="1"/>
        <v>OUI</v>
      </c>
      <c r="J537" s="18">
        <f>IF(L537="DS",DATE(RIGHT(B537,4),VLOOKUP(LEFT(B537,LEN(B537)-5),Feuil1!$E$3:$F$19,2,FALSE)+1,10),DATE(RIGHT(B537,4),VLOOKUP(LEFT(B537,LEN(B537)-5),Feuil1!$E$3:$F$19,2,FALSE)+1,7))</f>
        <v>45301</v>
      </c>
      <c r="K537" s="19">
        <f t="shared" si="2"/>
        <v>1</v>
      </c>
      <c r="L537" s="6" t="str">
        <f t="shared" si="3"/>
        <v>DS</v>
      </c>
    </row>
    <row r="538" ht="14.25" customHeight="1">
      <c r="A538" s="14" t="str">
        <f>Base_report!A537</f>
        <v>ABIDJAN 2</v>
      </c>
      <c r="B538" s="14" t="str">
        <f>Base_report!B537</f>
        <v>DECEMBRE 2023</v>
      </c>
      <c r="C538" s="15" t="str">
        <f>Base_report!C537</f>
        <v>C1060</v>
      </c>
      <c r="D538" s="14" t="str">
        <f>TRIM(IF(ISNUMBER(FIND("PNSME",Base_report!D537,1)),SUBSTITUTE(Base_report!D537,"PNSME",""),IF(ISNUMBER(FIND("PHG",Base_report!D537,1)),SUBSTITUTE(Base_report!D537,"PHG",""),IF(ISNUMBER(FIND("PCS",Base_report!D537,1)),SUBSTITUTE(Base_report!D537,"PCS",""),IF(ISNUMBER(FIND("CMU",Base_report!D537,1)),SUBSTITUTE(Base_report!D537,"CMU",""),Base_report!D537)))))</f>
        <v>HOPITAL GENERAL MARCORY</v>
      </c>
      <c r="E538" s="14" t="str">
        <f>SUBSTITUTE(Base_report!E537,"-","/")</f>
        <v>PNLP/MEDICAMENTS ET INTRANTS</v>
      </c>
      <c r="F538" s="14" t="s">
        <v>788</v>
      </c>
      <c r="G538" s="16">
        <f>DATE(YEAR(SUBSTITUTE(LEFT(Base_report!F537,10),"-","/")),MONTH(SUBSTITUTE(LEFT(Base_report!F537,10),"-","/")),DAY(SUBSTITUTE(LEFT(Base_report!F537,10),"-","/")))</f>
        <v>45296</v>
      </c>
      <c r="H538" s="16">
        <f>DATE(YEAR(SUBSTITUTE(LEFT(Base_report!G537,10),"-","/")),MONTH(SUBSTITUTE(LEFT(Base_report!G537,10),"-","/")),DAY(SUBSTITUTE(LEFT(Base_report!G537,10),"-","/")))</f>
        <v>45296</v>
      </c>
      <c r="I538" s="17" t="str">
        <f t="shared" si="1"/>
        <v>OUI</v>
      </c>
      <c r="J538" s="18">
        <f>IF(L538="DS",DATE(RIGHT(B538,4),VLOOKUP(LEFT(B538,LEN(B538)-5),Feuil1!$E$3:$F$19,2,FALSE)+1,10),DATE(RIGHT(B538,4),VLOOKUP(LEFT(B538,LEN(B538)-5),Feuil1!$E$3:$F$19,2,FALSE)+1,7))</f>
        <v>45298</v>
      </c>
      <c r="K538" s="19">
        <f t="shared" si="2"/>
        <v>1</v>
      </c>
      <c r="L538" s="6" t="str">
        <f t="shared" si="3"/>
        <v>FS</v>
      </c>
    </row>
    <row r="539" ht="14.25" customHeight="1">
      <c r="A539" s="14" t="str">
        <f>Base_report!A538</f>
        <v>ABIDJAN 1</v>
      </c>
      <c r="B539" s="14" t="str">
        <f>Base_report!B538</f>
        <v>DECEMBRE 2023</v>
      </c>
      <c r="C539" s="15" t="str">
        <f>Base_report!C538</f>
        <v>C1012</v>
      </c>
      <c r="D539" s="14" t="str">
        <f>TRIM(IF(ISNUMBER(FIND("PNSME",Base_report!D538,1)),SUBSTITUTE(Base_report!D538,"PNSME",""),IF(ISNUMBER(FIND("PHG",Base_report!D538,1)),SUBSTITUTE(Base_report!D538,"PHG",""),IF(ISNUMBER(FIND("PCS",Base_report!D538,1)),SUBSTITUTE(Base_report!D538,"PCS",""),IF(ISNUMBER(FIND("CMU",Base_report!D538,1)),SUBSTITUTE(Base_report!D538,"CMU",""),Base_report!D538)))))</f>
        <v>CSU COM ABOBO TE</v>
      </c>
      <c r="E539" s="14" t="str">
        <f>SUBSTITUTE(Base_report!E538,"-","/")</f>
        <v>PNLP/MEDICAMENTS ET INTRANTS</v>
      </c>
      <c r="F539" s="14" t="s">
        <v>788</v>
      </c>
      <c r="G539" s="16">
        <f>DATE(YEAR(SUBSTITUTE(LEFT(Base_report!F538,10),"-","/")),MONTH(SUBSTITUTE(LEFT(Base_report!F538,10),"-","/")),DAY(SUBSTITUTE(LEFT(Base_report!F538,10),"-","/")))</f>
        <v>45292</v>
      </c>
      <c r="H539" s="16">
        <f>DATE(YEAR(SUBSTITUTE(LEFT(Base_report!G538,10),"-","/")),MONTH(SUBSTITUTE(LEFT(Base_report!G538,10),"-","/")),DAY(SUBSTITUTE(LEFT(Base_report!G538,10),"-","/")))</f>
        <v>45292</v>
      </c>
      <c r="I539" s="17" t="str">
        <f t="shared" si="1"/>
        <v>OUI</v>
      </c>
      <c r="J539" s="18">
        <f>IF(L539="DS",DATE(RIGHT(B539,4),VLOOKUP(LEFT(B539,LEN(B539)-5),Feuil1!$E$3:$F$19,2,FALSE)+1,10),DATE(RIGHT(B539,4),VLOOKUP(LEFT(B539,LEN(B539)-5),Feuil1!$E$3:$F$19,2,FALSE)+1,7))</f>
        <v>45298</v>
      </c>
      <c r="K539" s="19">
        <f t="shared" si="2"/>
        <v>1</v>
      </c>
      <c r="L539" s="6" t="str">
        <f t="shared" si="3"/>
        <v>FS</v>
      </c>
    </row>
    <row r="540" ht="14.25" customHeight="1">
      <c r="A540" s="14" t="str">
        <f>Base_report!A539</f>
        <v>N'ZI</v>
      </c>
      <c r="B540" s="14" t="str">
        <f>Base_report!B539</f>
        <v>DECEMBRE 2023</v>
      </c>
      <c r="C540" s="15" t="str">
        <f>Base_report!C539</f>
        <v>C2004</v>
      </c>
      <c r="D540" s="14" t="str">
        <f>TRIM(IF(ISNUMBER(FIND("PNSME",Base_report!D539,1)),SUBSTITUTE(Base_report!D539,"PNSME",""),IF(ISNUMBER(FIND("PHG",Base_report!D539,1)),SUBSTITUTE(Base_report!D539,"PHG",""),IF(ISNUMBER(FIND("PCS",Base_report!D539,1)),SUBSTITUTE(Base_report!D539,"PCS",""),IF(ISNUMBER(FIND("CMU",Base_report!D539,1)),SUBSTITUTE(Base_report!D539,"CMU",""),Base_report!D539)))))</f>
        <v>CHR DIMBOKRO</v>
      </c>
      <c r="E540" s="14" t="str">
        <f>SUBSTITUTE(Base_report!E539,"-","/")</f>
        <v>PNLP/MEDICAMENTS ET INTRANTS</v>
      </c>
      <c r="F540" s="14" t="s">
        <v>788</v>
      </c>
      <c r="G540" s="16">
        <f>DATE(YEAR(SUBSTITUTE(LEFT(Base_report!F539,10),"-","/")),MONTH(SUBSTITUTE(LEFT(Base_report!F539,10),"-","/")),DAY(SUBSTITUTE(LEFT(Base_report!F539,10),"-","/")))</f>
        <v>45296</v>
      </c>
      <c r="H540" s="16">
        <f>DATE(YEAR(SUBSTITUTE(LEFT(Base_report!G539,10),"-","/")),MONTH(SUBSTITUTE(LEFT(Base_report!G539,10),"-","/")),DAY(SUBSTITUTE(LEFT(Base_report!G539,10),"-","/")))</f>
        <v>45296</v>
      </c>
      <c r="I540" s="17" t="str">
        <f t="shared" si="1"/>
        <v>OUI</v>
      </c>
      <c r="J540" s="18">
        <f>IF(L540="DS",DATE(RIGHT(B540,4),VLOOKUP(LEFT(B540,LEN(B540)-5),Feuil1!$E$3:$F$19,2,FALSE)+1,10),DATE(RIGHT(B540,4),VLOOKUP(LEFT(B540,LEN(B540)-5),Feuil1!$E$3:$F$19,2,FALSE)+1,7))</f>
        <v>45298</v>
      </c>
      <c r="K540" s="19">
        <f t="shared" si="2"/>
        <v>1</v>
      </c>
      <c r="L540" s="6" t="str">
        <f t="shared" si="3"/>
        <v>FS</v>
      </c>
    </row>
    <row r="541" ht="14.25" customHeight="1">
      <c r="A541" s="14" t="str">
        <f>Base_report!A540</f>
        <v>GBOKLE</v>
      </c>
      <c r="B541" s="14" t="str">
        <f>Base_report!B540</f>
        <v>DECEMBRE 2023</v>
      </c>
      <c r="C541" s="15" t="str">
        <f>Base_report!C540</f>
        <v>C1095</v>
      </c>
      <c r="D541" s="14" t="str">
        <f>TRIM(IF(ISNUMBER(FIND("PNSME",Base_report!D540,1)),SUBSTITUTE(Base_report!D540,"PNSME",""),IF(ISNUMBER(FIND("PHG",Base_report!D540,1)),SUBSTITUTE(Base_report!D540,"PHG",""),IF(ISNUMBER(FIND("PCS",Base_report!D540,1)),SUBSTITUTE(Base_report!D540,"PCS",""),IF(ISNUMBER(FIND("CMU",Base_report!D540,1)),SUBSTITUTE(Base_report!D540,"CMU",""),Base_report!D540)))))</f>
        <v>HOPITAL GENERAL SASSANDRA</v>
      </c>
      <c r="E541" s="14" t="str">
        <f>SUBSTITUTE(Base_report!E540,"-","/")</f>
        <v>PNLP/MEDICAMENTS ET INTRANTS</v>
      </c>
      <c r="F541" s="14" t="s">
        <v>788</v>
      </c>
      <c r="G541" s="16">
        <f>DATE(YEAR(SUBSTITUTE(LEFT(Base_report!F540,10),"-","/")),MONTH(SUBSTITUTE(LEFT(Base_report!F540,10),"-","/")),DAY(SUBSTITUTE(LEFT(Base_report!F540,10),"-","/")))</f>
        <v>45296</v>
      </c>
      <c r="H541" s="16">
        <f>DATE(YEAR(SUBSTITUTE(LEFT(Base_report!G540,10),"-","/")),MONTH(SUBSTITUTE(LEFT(Base_report!G540,10),"-","/")),DAY(SUBSTITUTE(LEFT(Base_report!G540,10),"-","/")))</f>
        <v>45297</v>
      </c>
      <c r="I541" s="17" t="str">
        <f t="shared" si="1"/>
        <v>OUI</v>
      </c>
      <c r="J541" s="18">
        <f>IF(L541="DS",DATE(RIGHT(B541,4),VLOOKUP(LEFT(B541,LEN(B541)-5),Feuil1!$E$3:$F$19,2,FALSE)+1,10),DATE(RIGHT(B541,4),VLOOKUP(LEFT(B541,LEN(B541)-5),Feuil1!$E$3:$F$19,2,FALSE)+1,7))</f>
        <v>45298</v>
      </c>
      <c r="K541" s="19">
        <f t="shared" si="2"/>
        <v>1</v>
      </c>
      <c r="L541" s="6" t="str">
        <f t="shared" si="3"/>
        <v>FS</v>
      </c>
    </row>
    <row r="542" ht="14.25" customHeight="1">
      <c r="A542" s="14" t="str">
        <f>Base_report!A541</f>
        <v>GBOKLE</v>
      </c>
      <c r="B542" s="14" t="str">
        <f>Base_report!B541</f>
        <v>DECEMBRE 2023</v>
      </c>
      <c r="C542" s="15" t="str">
        <f>Base_report!C541</f>
        <v>C1095</v>
      </c>
      <c r="D542" s="14" t="str">
        <f>TRIM(IF(ISNUMBER(FIND("PNSME",Base_report!D541,1)),SUBSTITUTE(Base_report!D541,"PNSME",""),IF(ISNUMBER(FIND("PHG",Base_report!D541,1)),SUBSTITUTE(Base_report!D541,"PHG",""),IF(ISNUMBER(FIND("PCS",Base_report!D541,1)),SUBSTITUTE(Base_report!D541,"PCS",""),IF(ISNUMBER(FIND("CMU",Base_report!D541,1)),SUBSTITUTE(Base_report!D541,"CMU",""),Base_report!D541)))))</f>
        <v>HOPITAL GENERAL SASSANDRA</v>
      </c>
      <c r="E542" s="14" t="str">
        <f>SUBSTITUTE(Base_report!E541,"-","/")</f>
        <v>PNN/MEDICAMENTS ET INTRANTS</v>
      </c>
      <c r="F542" s="14" t="s">
        <v>788</v>
      </c>
      <c r="G542" s="16">
        <f>DATE(YEAR(SUBSTITUTE(LEFT(Base_report!F541,10),"-","/")),MONTH(SUBSTITUTE(LEFT(Base_report!F541,10),"-","/")),DAY(SUBSTITUTE(LEFT(Base_report!F541,10),"-","/")))</f>
        <v>45296</v>
      </c>
      <c r="H542" s="16">
        <f>DATE(YEAR(SUBSTITUTE(LEFT(Base_report!G541,10),"-","/")),MONTH(SUBSTITUTE(LEFT(Base_report!G541,10),"-","/")),DAY(SUBSTITUTE(LEFT(Base_report!G541,10),"-","/")))</f>
        <v>45297</v>
      </c>
      <c r="I542" s="17" t="str">
        <f t="shared" si="1"/>
        <v>OUI</v>
      </c>
      <c r="J542" s="18">
        <f>IF(L542="DS",DATE(RIGHT(B542,4),VLOOKUP(LEFT(B542,LEN(B542)-5),Feuil1!$E$3:$F$19,2,FALSE)+1,10),DATE(RIGHT(B542,4),VLOOKUP(LEFT(B542,LEN(B542)-5),Feuil1!$E$3:$F$19,2,FALSE)+1,7))</f>
        <v>45298</v>
      </c>
      <c r="K542" s="19">
        <f t="shared" si="2"/>
        <v>1</v>
      </c>
      <c r="L542" s="6" t="str">
        <f t="shared" si="3"/>
        <v>FS</v>
      </c>
    </row>
    <row r="543" ht="14.25" customHeight="1">
      <c r="A543" s="14" t="str">
        <f>Base_report!A542</f>
        <v>TONKPI</v>
      </c>
      <c r="B543" s="14" t="str">
        <f>Base_report!B542</f>
        <v>DECEMBRE 2023</v>
      </c>
      <c r="C543" s="15" t="str">
        <f>Base_report!C542</f>
        <v>C5001</v>
      </c>
      <c r="D543" s="14" t="str">
        <f>TRIM(IF(ISNUMBER(FIND("PNSME",Base_report!D542,1)),SUBSTITUTE(Base_report!D542,"PNSME",""),IF(ISNUMBER(FIND("PHG",Base_report!D542,1)),SUBSTITUTE(Base_report!D542,"PHG",""),IF(ISNUMBER(FIND("PCS",Base_report!D542,1)),SUBSTITUTE(Base_report!D542,"PCS",""),IF(ISNUMBER(FIND("CMU",Base_report!D542,1)),SUBSTITUTE(Base_report!D542,"CMU",""),Base_report!D542)))))</f>
        <v>CHR MAN</v>
      </c>
      <c r="E543" s="14" t="str">
        <f>SUBSTITUTE(Base_report!E542,"-","/")</f>
        <v>PNSME/MEDICAMENTS ET INTRANTS</v>
      </c>
      <c r="F543" s="14" t="s">
        <v>788</v>
      </c>
      <c r="G543" s="16">
        <f>DATE(YEAR(SUBSTITUTE(LEFT(Base_report!F542,10),"-","/")),MONTH(SUBSTITUTE(LEFT(Base_report!F542,10),"-","/")),DAY(SUBSTITUTE(LEFT(Base_report!F542,10),"-","/")))</f>
        <v>45295</v>
      </c>
      <c r="H543" s="16">
        <f>DATE(YEAR(SUBSTITUTE(LEFT(Base_report!G542,10),"-","/")),MONTH(SUBSTITUTE(LEFT(Base_report!G542,10),"-","/")),DAY(SUBSTITUTE(LEFT(Base_report!G542,10),"-","/")))</f>
        <v>45295</v>
      </c>
      <c r="I543" s="17" t="str">
        <f t="shared" si="1"/>
        <v>OUI</v>
      </c>
      <c r="J543" s="18">
        <f>IF(L543="DS",DATE(RIGHT(B543,4),VLOOKUP(LEFT(B543,LEN(B543)-5),Feuil1!$E$3:$F$19,2,FALSE)+1,10),DATE(RIGHT(B543,4),VLOOKUP(LEFT(B543,LEN(B543)-5),Feuil1!$E$3:$F$19,2,FALSE)+1,7))</f>
        <v>45298</v>
      </c>
      <c r="K543" s="19">
        <f t="shared" si="2"/>
        <v>1</v>
      </c>
      <c r="L543" s="6" t="str">
        <f t="shared" si="3"/>
        <v>FS</v>
      </c>
    </row>
    <row r="544" ht="14.25" customHeight="1">
      <c r="A544" s="14" t="str">
        <f>Base_report!A543</f>
        <v>PORO</v>
      </c>
      <c r="B544" s="14" t="str">
        <f>Base_report!B543</f>
        <v>DECEMBRE 2023</v>
      </c>
      <c r="C544" s="15" t="str">
        <f>Base_report!C543</f>
        <v>C3018</v>
      </c>
      <c r="D544" s="14" t="str">
        <f>TRIM(IF(ISNUMBER(FIND("PNSME",Base_report!D543,1)),SUBSTITUTE(Base_report!D543,"PNSME",""),IF(ISNUMBER(FIND("PHG",Base_report!D543,1)),SUBSTITUTE(Base_report!D543,"PHG",""),IF(ISNUMBER(FIND("PCS",Base_report!D543,1)),SUBSTITUTE(Base_report!D543,"PCS",""),IF(ISNUMBER(FIND("CMU",Base_report!D543,1)),SUBSTITUTE(Base_report!D543,"CMU",""),Base_report!D543)))))</f>
        <v>CSU NAPIE</v>
      </c>
      <c r="E544" s="14" t="str">
        <f>SUBSTITUTE(Base_report!E543,"-","/")</f>
        <v>PNSME/MEDICAMENTS ET INTRANTS</v>
      </c>
      <c r="F544" s="14" t="s">
        <v>788</v>
      </c>
      <c r="G544" s="16">
        <f>DATE(YEAR(SUBSTITUTE(LEFT(Base_report!F543,10),"-","/")),MONTH(SUBSTITUTE(LEFT(Base_report!F543,10),"-","/")),DAY(SUBSTITUTE(LEFT(Base_report!F543,10),"-","/")))</f>
        <v>45296</v>
      </c>
      <c r="H544" s="16">
        <f>DATE(YEAR(SUBSTITUTE(LEFT(Base_report!G543,10),"-","/")),MONTH(SUBSTITUTE(LEFT(Base_report!G543,10),"-","/")),DAY(SUBSTITUTE(LEFT(Base_report!G543,10),"-","/")))</f>
        <v>45296</v>
      </c>
      <c r="I544" s="17" t="str">
        <f t="shared" si="1"/>
        <v>OUI</v>
      </c>
      <c r="J544" s="18">
        <f>IF(L544="DS",DATE(RIGHT(B544,4),VLOOKUP(LEFT(B544,LEN(B544)-5),Feuil1!$E$3:$F$19,2,FALSE)+1,10),DATE(RIGHT(B544,4),VLOOKUP(LEFT(B544,LEN(B544)-5),Feuil1!$E$3:$F$19,2,FALSE)+1,7))</f>
        <v>45298</v>
      </c>
      <c r="K544" s="19">
        <f t="shared" si="2"/>
        <v>1</v>
      </c>
      <c r="L544" s="6" t="str">
        <f t="shared" si="3"/>
        <v>FS</v>
      </c>
    </row>
    <row r="545" ht="14.25" customHeight="1">
      <c r="A545" s="14" t="str">
        <f>Base_report!A544</f>
        <v>ABIDJAN 2</v>
      </c>
      <c r="B545" s="14" t="str">
        <f>Base_report!B544</f>
        <v>DECEMBRE 2023</v>
      </c>
      <c r="C545" s="15" t="str">
        <f>Base_report!C544</f>
        <v>C1058</v>
      </c>
      <c r="D545" s="14" t="str">
        <f>TRIM(IF(ISNUMBER(FIND("PNSME",Base_report!D544,1)),SUBSTITUTE(Base_report!D544,"PNSME",""),IF(ISNUMBER(FIND("PHG",Base_report!D544,1)),SUBSTITUTE(Base_report!D544,"PHG",""),IF(ISNUMBER(FIND("PCS",Base_report!D544,1)),SUBSTITUTE(Base_report!D544,"PCS",""),IF(ISNUMBER(FIND("CMU",Base_report!D544,1)),SUBSTITUTE(Base_report!D544,"CMU",""),Base_report!D544)))))</f>
        <v>HOPITAL GENERAL KOUMASSI</v>
      </c>
      <c r="E545" s="14" t="str">
        <f>SUBSTITUTE(Base_report!E544,"-","/")</f>
        <v>PNN/MEDICAMENTS ET INTRANTS</v>
      </c>
      <c r="F545" s="14" t="s">
        <v>788</v>
      </c>
      <c r="G545" s="16">
        <f>DATE(YEAR(SUBSTITUTE(LEFT(Base_report!F544,10),"-","/")),MONTH(SUBSTITUTE(LEFT(Base_report!F544,10),"-","/")),DAY(SUBSTITUTE(LEFT(Base_report!F544,10),"-","/")))</f>
        <v>45295</v>
      </c>
      <c r="H545" s="16">
        <f>DATE(YEAR(SUBSTITUTE(LEFT(Base_report!G544,10),"-","/")),MONTH(SUBSTITUTE(LEFT(Base_report!G544,10),"-","/")),DAY(SUBSTITUTE(LEFT(Base_report!G544,10),"-","/")))</f>
        <v>45296</v>
      </c>
      <c r="I545" s="17" t="str">
        <f t="shared" si="1"/>
        <v>OUI</v>
      </c>
      <c r="J545" s="18">
        <f>IF(L545="DS",DATE(RIGHT(B545,4),VLOOKUP(LEFT(B545,LEN(B545)-5),Feuil1!$E$3:$F$19,2,FALSE)+1,10),DATE(RIGHT(B545,4),VLOOKUP(LEFT(B545,LEN(B545)-5),Feuil1!$E$3:$F$19,2,FALSE)+1,7))</f>
        <v>45298</v>
      </c>
      <c r="K545" s="19">
        <f t="shared" si="2"/>
        <v>1</v>
      </c>
      <c r="L545" s="6" t="str">
        <f t="shared" si="3"/>
        <v>FS</v>
      </c>
    </row>
    <row r="546" ht="14.25" customHeight="1">
      <c r="A546" s="14" t="str">
        <f>Base_report!A545</f>
        <v>ABIDJAN 1</v>
      </c>
      <c r="B546" s="14" t="str">
        <f>Base_report!B545</f>
        <v>DECEMBRE 2023</v>
      </c>
      <c r="C546" s="15" t="str">
        <f>Base_report!C545</f>
        <v>C1084</v>
      </c>
      <c r="D546" s="14" t="str">
        <f>TRIM(IF(ISNUMBER(FIND("PNSME",Base_report!D545,1)),SUBSTITUTE(Base_report!D545,"PNSME",""),IF(ISNUMBER(FIND("PHG",Base_report!D545,1)),SUBSTITUTE(Base_report!D545,"PHG",""),IF(ISNUMBER(FIND("PCS",Base_report!D545,1)),SUBSTITUTE(Base_report!D545,"PCS",""),IF(ISNUMBER(FIND("CMU",Base_report!D545,1)),SUBSTITUTE(Base_report!D545,"CMU",""),Base_report!D545)))))</f>
        <v>HOPITAL GENERAL ANYAMA</v>
      </c>
      <c r="E546" s="14" t="str">
        <f>SUBSTITUTE(Base_report!E545,"-","/")</f>
        <v>PNSME/MEDICAMENTS ET INTRANTS</v>
      </c>
      <c r="F546" s="14" t="s">
        <v>788</v>
      </c>
      <c r="G546" s="16">
        <f>DATE(YEAR(SUBSTITUTE(LEFT(Base_report!F545,10),"-","/")),MONTH(SUBSTITUTE(LEFT(Base_report!F545,10),"-","/")),DAY(SUBSTITUTE(LEFT(Base_report!F545,10),"-","/")))</f>
        <v>45293</v>
      </c>
      <c r="H546" s="16">
        <f>DATE(YEAR(SUBSTITUTE(LEFT(Base_report!G545,10),"-","/")),MONTH(SUBSTITUTE(LEFT(Base_report!G545,10),"-","/")),DAY(SUBSTITUTE(LEFT(Base_report!G545,10),"-","/")))</f>
        <v>45293</v>
      </c>
      <c r="I546" s="17" t="str">
        <f t="shared" si="1"/>
        <v>OUI</v>
      </c>
      <c r="J546" s="18">
        <f>IF(L546="DS",DATE(RIGHT(B546,4),VLOOKUP(LEFT(B546,LEN(B546)-5),Feuil1!$E$3:$F$19,2,FALSE)+1,10),DATE(RIGHT(B546,4),VLOOKUP(LEFT(B546,LEN(B546)-5),Feuil1!$E$3:$F$19,2,FALSE)+1,7))</f>
        <v>45298</v>
      </c>
      <c r="K546" s="19">
        <f t="shared" si="2"/>
        <v>1</v>
      </c>
      <c r="L546" s="6" t="str">
        <f t="shared" si="3"/>
        <v>FS</v>
      </c>
    </row>
    <row r="547" ht="14.25" customHeight="1">
      <c r="A547" s="14" t="str">
        <f>Base_report!A546</f>
        <v>GRANDS PONTS</v>
      </c>
      <c r="B547" s="14" t="str">
        <f>Base_report!B546</f>
        <v>DECEMBRE 2023</v>
      </c>
      <c r="C547" s="15" t="str">
        <f>Base_report!C546</f>
        <v>C1088</v>
      </c>
      <c r="D547" s="14" t="str">
        <f>TRIM(IF(ISNUMBER(FIND("PNSME",Base_report!D546,1)),SUBSTITUTE(Base_report!D546,"PNSME",""),IF(ISNUMBER(FIND("PHG",Base_report!D546,1)),SUBSTITUTE(Base_report!D546,"PHG",""),IF(ISNUMBER(FIND("PCS",Base_report!D546,1)),SUBSTITUTE(Base_report!D546,"PCS",""),IF(ISNUMBER(FIND("CMU",Base_report!D546,1)),SUBSTITUTE(Base_report!D546,"CMU",""),Base_report!D546)))))</f>
        <v>HOPITAL GENERAL DABOU</v>
      </c>
      <c r="E547" s="14" t="str">
        <f>SUBSTITUTE(Base_report!E546,"-","/")</f>
        <v>PNSME/MEDICAMENTS ET INTRANTS</v>
      </c>
      <c r="F547" s="14" t="s">
        <v>788</v>
      </c>
      <c r="G547" s="16">
        <f>DATE(YEAR(SUBSTITUTE(LEFT(Base_report!F546,10),"-","/")),MONTH(SUBSTITUTE(LEFT(Base_report!F546,10),"-","/")),DAY(SUBSTITUTE(LEFT(Base_report!F546,10),"-","/")))</f>
        <v>45295</v>
      </c>
      <c r="H547" s="16">
        <f>DATE(YEAR(SUBSTITUTE(LEFT(Base_report!G546,10),"-","/")),MONTH(SUBSTITUTE(LEFT(Base_report!G546,10),"-","/")),DAY(SUBSTITUTE(LEFT(Base_report!G546,10),"-","/")))</f>
        <v>45295</v>
      </c>
      <c r="I547" s="17" t="str">
        <f t="shared" si="1"/>
        <v>OUI</v>
      </c>
      <c r="J547" s="18">
        <f>IF(L547="DS",DATE(RIGHT(B547,4),VLOOKUP(LEFT(B547,LEN(B547)-5),Feuil1!$E$3:$F$19,2,FALSE)+1,10),DATE(RIGHT(B547,4),VLOOKUP(LEFT(B547,LEN(B547)-5),Feuil1!$E$3:$F$19,2,FALSE)+1,7))</f>
        <v>45298</v>
      </c>
      <c r="K547" s="19">
        <f t="shared" si="2"/>
        <v>1</v>
      </c>
      <c r="L547" s="6" t="str">
        <f t="shared" si="3"/>
        <v>FS</v>
      </c>
    </row>
    <row r="548" ht="14.25" customHeight="1">
      <c r="A548" s="14" t="str">
        <f>Base_report!A547</f>
        <v>GRANDS PONTS</v>
      </c>
      <c r="B548" s="14" t="str">
        <f>Base_report!B547</f>
        <v>DECEMBRE 2023</v>
      </c>
      <c r="C548" s="15" t="str">
        <f>Base_report!C547</f>
        <v>C1088</v>
      </c>
      <c r="D548" s="14" t="str">
        <f>TRIM(IF(ISNUMBER(FIND("PNSME",Base_report!D547,1)),SUBSTITUTE(Base_report!D547,"PNSME",""),IF(ISNUMBER(FIND("PHG",Base_report!D547,1)),SUBSTITUTE(Base_report!D547,"PHG",""),IF(ISNUMBER(FIND("PCS",Base_report!D547,1)),SUBSTITUTE(Base_report!D547,"PCS",""),IF(ISNUMBER(FIND("CMU",Base_report!D547,1)),SUBSTITUTE(Base_report!D547,"CMU",""),Base_report!D547)))))</f>
        <v>HOPITAL GENERAL DABOU</v>
      </c>
      <c r="E548" s="14" t="str">
        <f>SUBSTITUTE(Base_report!E547,"-","/")</f>
        <v>PNN/MEDICAMENTS ET INTRANTS</v>
      </c>
      <c r="F548" s="14" t="s">
        <v>788</v>
      </c>
      <c r="G548" s="16">
        <f>DATE(YEAR(SUBSTITUTE(LEFT(Base_report!F547,10),"-","/")),MONTH(SUBSTITUTE(LEFT(Base_report!F547,10),"-","/")),DAY(SUBSTITUTE(LEFT(Base_report!F547,10),"-","/")))</f>
        <v>45295</v>
      </c>
      <c r="H548" s="16">
        <f>DATE(YEAR(SUBSTITUTE(LEFT(Base_report!G547,10),"-","/")),MONTH(SUBSTITUTE(LEFT(Base_report!G547,10),"-","/")),DAY(SUBSTITUTE(LEFT(Base_report!G547,10),"-","/")))</f>
        <v>45295</v>
      </c>
      <c r="I548" s="17" t="str">
        <f t="shared" si="1"/>
        <v>OUI</v>
      </c>
      <c r="J548" s="18">
        <f>IF(L548="DS",DATE(RIGHT(B548,4),VLOOKUP(LEFT(B548,LEN(B548)-5),Feuil1!$E$3:$F$19,2,FALSE)+1,10),DATE(RIGHT(B548,4),VLOOKUP(LEFT(B548,LEN(B548)-5),Feuil1!$E$3:$F$19,2,FALSE)+1,7))</f>
        <v>45298</v>
      </c>
      <c r="K548" s="19">
        <f t="shared" si="2"/>
        <v>1</v>
      </c>
      <c r="L548" s="6" t="str">
        <f t="shared" si="3"/>
        <v>FS</v>
      </c>
    </row>
    <row r="549" ht="14.25" customHeight="1">
      <c r="A549" s="14" t="str">
        <f>Base_report!A548</f>
        <v>GRANDS PONTS</v>
      </c>
      <c r="B549" s="14" t="str">
        <f>Base_report!B548</f>
        <v>DECEMBRE 2023</v>
      </c>
      <c r="C549" s="15" t="str">
        <f>Base_report!C548</f>
        <v>C1088</v>
      </c>
      <c r="D549" s="14" t="str">
        <f>TRIM(IF(ISNUMBER(FIND("PNSME",Base_report!D548,1)),SUBSTITUTE(Base_report!D548,"PNSME",""),IF(ISNUMBER(FIND("PHG",Base_report!D548,1)),SUBSTITUTE(Base_report!D548,"PHG",""),IF(ISNUMBER(FIND("PCS",Base_report!D548,1)),SUBSTITUTE(Base_report!D548,"PCS",""),IF(ISNUMBER(FIND("CMU",Base_report!D548,1)),SUBSTITUTE(Base_report!D548,"CMU",""),Base_report!D548)))))</f>
        <v>HOPITAL GENERAL DABOU</v>
      </c>
      <c r="E549" s="14" t="str">
        <f>SUBSTITUTE(Base_report!E548,"-","/")</f>
        <v>PNLS/TESTS RAPIDES ET CONSOMMABLES</v>
      </c>
      <c r="F549" s="14" t="s">
        <v>788</v>
      </c>
      <c r="G549" s="16">
        <f>DATE(YEAR(SUBSTITUTE(LEFT(Base_report!F548,10),"-","/")),MONTH(SUBSTITUTE(LEFT(Base_report!F548,10),"-","/")),DAY(SUBSTITUTE(LEFT(Base_report!F548,10),"-","/")))</f>
        <v>45296</v>
      </c>
      <c r="H549" s="16">
        <f>DATE(YEAR(SUBSTITUTE(LEFT(Base_report!G548,10),"-","/")),MONTH(SUBSTITUTE(LEFT(Base_report!G548,10),"-","/")),DAY(SUBSTITUTE(LEFT(Base_report!G548,10),"-","/")))</f>
        <v>45296</v>
      </c>
      <c r="I549" s="17" t="str">
        <f t="shared" si="1"/>
        <v>OUI</v>
      </c>
      <c r="J549" s="18">
        <f>IF(L549="DS",DATE(RIGHT(B549,4),VLOOKUP(LEFT(B549,LEN(B549)-5),Feuil1!$E$3:$F$19,2,FALSE)+1,10),DATE(RIGHT(B549,4),VLOOKUP(LEFT(B549,LEN(B549)-5),Feuil1!$E$3:$F$19,2,FALSE)+1,7))</f>
        <v>45298</v>
      </c>
      <c r="K549" s="19">
        <f t="shared" si="2"/>
        <v>1</v>
      </c>
      <c r="L549" s="6" t="str">
        <f t="shared" si="3"/>
        <v>FS</v>
      </c>
    </row>
    <row r="550" ht="14.25" customHeight="1">
      <c r="A550" s="14" t="str">
        <f>Base_report!A549</f>
        <v>GRANDS PONTS</v>
      </c>
      <c r="B550" s="14" t="str">
        <f>Base_report!B549</f>
        <v>DECEMBRE 2023</v>
      </c>
      <c r="C550" s="15" t="str">
        <f>Base_report!C549</f>
        <v>C1088</v>
      </c>
      <c r="D550" s="14" t="str">
        <f>TRIM(IF(ISNUMBER(FIND("PNSME",Base_report!D549,1)),SUBSTITUTE(Base_report!D549,"PNSME",""),IF(ISNUMBER(FIND("PHG",Base_report!D549,1)),SUBSTITUTE(Base_report!D549,"PHG",""),IF(ISNUMBER(FIND("PCS",Base_report!D549,1)),SUBSTITUTE(Base_report!D549,"PCS",""),IF(ISNUMBER(FIND("CMU",Base_report!D549,1)),SUBSTITUTE(Base_report!D549,"CMU",""),Base_report!D549)))))</f>
        <v>HOPITAL GENERAL DABOU</v>
      </c>
      <c r="E550" s="14" t="str">
        <f>SUBSTITUTE(Base_report!E549,"-","/")</f>
        <v>PNLS/PRODUITS DE LABORATOIRE</v>
      </c>
      <c r="F550" s="14" t="s">
        <v>788</v>
      </c>
      <c r="G550" s="16">
        <f>DATE(YEAR(SUBSTITUTE(LEFT(Base_report!F549,10),"-","/")),MONTH(SUBSTITUTE(LEFT(Base_report!F549,10),"-","/")),DAY(SUBSTITUTE(LEFT(Base_report!F549,10),"-","/")))</f>
        <v>45295</v>
      </c>
      <c r="H550" s="16">
        <f>DATE(YEAR(SUBSTITUTE(LEFT(Base_report!G549,10),"-","/")),MONTH(SUBSTITUTE(LEFT(Base_report!G549,10),"-","/")),DAY(SUBSTITUTE(LEFT(Base_report!G549,10),"-","/")))</f>
        <v>45295</v>
      </c>
      <c r="I550" s="17" t="str">
        <f t="shared" si="1"/>
        <v>OUI</v>
      </c>
      <c r="J550" s="18">
        <f>IF(L550="DS",DATE(RIGHT(B550,4),VLOOKUP(LEFT(B550,LEN(B550)-5),Feuil1!$E$3:$F$19,2,FALSE)+1,10),DATE(RIGHT(B550,4),VLOOKUP(LEFT(B550,LEN(B550)-5),Feuil1!$E$3:$F$19,2,FALSE)+1,7))</f>
        <v>45298</v>
      </c>
      <c r="K550" s="19">
        <f t="shared" si="2"/>
        <v>1</v>
      </c>
      <c r="L550" s="6" t="str">
        <f t="shared" si="3"/>
        <v>FS</v>
      </c>
    </row>
    <row r="551" ht="14.25" customHeight="1">
      <c r="A551" s="14" t="str">
        <f>Base_report!A550</f>
        <v>GRANDS PONTS</v>
      </c>
      <c r="B551" s="14" t="str">
        <f>Base_report!B550</f>
        <v>DECEMBRE 2023</v>
      </c>
      <c r="C551" s="15" t="str">
        <f>Base_report!C550</f>
        <v>C1088</v>
      </c>
      <c r="D551" s="14" t="str">
        <f>TRIM(IF(ISNUMBER(FIND("PNSME",Base_report!D550,1)),SUBSTITUTE(Base_report!D550,"PNSME",""),IF(ISNUMBER(FIND("PHG",Base_report!D550,1)),SUBSTITUTE(Base_report!D550,"PHG",""),IF(ISNUMBER(FIND("PCS",Base_report!D550,1)),SUBSTITUTE(Base_report!D550,"PCS",""),IF(ISNUMBER(FIND("CMU",Base_report!D550,1)),SUBSTITUTE(Base_report!D550,"CMU",""),Base_report!D550)))))</f>
        <v>HOPITAL GENERAL DABOU</v>
      </c>
      <c r="E551" s="14" t="str">
        <f>SUBSTITUTE(Base_report!E550,"-","/")</f>
        <v>PNLS/CHARGES VIRALES</v>
      </c>
      <c r="F551" s="14" t="s">
        <v>788</v>
      </c>
      <c r="G551" s="16">
        <f>DATE(YEAR(SUBSTITUTE(LEFT(Base_report!F550,10),"-","/")),MONTH(SUBSTITUTE(LEFT(Base_report!F550,10),"-","/")),DAY(SUBSTITUTE(LEFT(Base_report!F550,10),"-","/")))</f>
        <v>45295</v>
      </c>
      <c r="H551" s="16">
        <f>DATE(YEAR(SUBSTITUTE(LEFT(Base_report!G550,10),"-","/")),MONTH(SUBSTITUTE(LEFT(Base_report!G550,10),"-","/")),DAY(SUBSTITUTE(LEFT(Base_report!G550,10),"-","/")))</f>
        <v>45295</v>
      </c>
      <c r="I551" s="17" t="str">
        <f t="shared" si="1"/>
        <v>OUI</v>
      </c>
      <c r="J551" s="18">
        <f>IF(L551="DS",DATE(RIGHT(B551,4),VLOOKUP(LEFT(B551,LEN(B551)-5),Feuil1!$E$3:$F$19,2,FALSE)+1,10),DATE(RIGHT(B551,4),VLOOKUP(LEFT(B551,LEN(B551)-5),Feuil1!$E$3:$F$19,2,FALSE)+1,7))</f>
        <v>45298</v>
      </c>
      <c r="K551" s="19">
        <f t="shared" si="2"/>
        <v>1</v>
      </c>
      <c r="L551" s="6" t="str">
        <f t="shared" si="3"/>
        <v>FS</v>
      </c>
    </row>
    <row r="552" ht="14.25" customHeight="1">
      <c r="A552" s="14" t="str">
        <f>Base_report!A551</f>
        <v>GRANDS PONTS</v>
      </c>
      <c r="B552" s="14" t="str">
        <f>Base_report!B551</f>
        <v>DECEMBRE 2023</v>
      </c>
      <c r="C552" s="15" t="str">
        <f>Base_report!C551</f>
        <v>C1088</v>
      </c>
      <c r="D552" s="14" t="str">
        <f>TRIM(IF(ISNUMBER(FIND("PNSME",Base_report!D551,1)),SUBSTITUTE(Base_report!D551,"PNSME",""),IF(ISNUMBER(FIND("PHG",Base_report!D551,1)),SUBSTITUTE(Base_report!D551,"PHG",""),IF(ISNUMBER(FIND("PCS",Base_report!D551,1)),SUBSTITUTE(Base_report!D551,"PCS",""),IF(ISNUMBER(FIND("CMU",Base_report!D551,1)),SUBSTITUTE(Base_report!D551,"CMU",""),Base_report!D551)))))</f>
        <v>HOPITAL GENERAL DABOU</v>
      </c>
      <c r="E552" s="14" t="str">
        <f>SUBSTITUTE(Base_report!E551,"-","/")</f>
        <v>PNLS/ANTIRETROVIRAUX ET IO</v>
      </c>
      <c r="F552" s="14" t="s">
        <v>788</v>
      </c>
      <c r="G552" s="16">
        <f>DATE(YEAR(SUBSTITUTE(LEFT(Base_report!F551,10),"-","/")),MONTH(SUBSTITUTE(LEFT(Base_report!F551,10),"-","/")),DAY(SUBSTITUTE(LEFT(Base_report!F551,10),"-","/")))</f>
        <v>45295</v>
      </c>
      <c r="H552" s="16">
        <f>DATE(YEAR(SUBSTITUTE(LEFT(Base_report!G551,10),"-","/")),MONTH(SUBSTITUTE(LEFT(Base_report!G551,10),"-","/")),DAY(SUBSTITUTE(LEFT(Base_report!G551,10),"-","/")))</f>
        <v>45295</v>
      </c>
      <c r="I552" s="17" t="str">
        <f t="shared" si="1"/>
        <v>OUI</v>
      </c>
      <c r="J552" s="18">
        <f>IF(L552="DS",DATE(RIGHT(B552,4),VLOOKUP(LEFT(B552,LEN(B552)-5),Feuil1!$E$3:$F$19,2,FALSE)+1,10),DATE(RIGHT(B552,4),VLOOKUP(LEFT(B552,LEN(B552)-5),Feuil1!$E$3:$F$19,2,FALSE)+1,7))</f>
        <v>45298</v>
      </c>
      <c r="K552" s="19">
        <f t="shared" si="2"/>
        <v>1</v>
      </c>
      <c r="L552" s="6" t="str">
        <f t="shared" si="3"/>
        <v>FS</v>
      </c>
    </row>
    <row r="553" ht="14.25" customHeight="1">
      <c r="A553" s="14" t="str">
        <f>Base_report!A552</f>
        <v>GRANDS PONTS</v>
      </c>
      <c r="B553" s="14" t="str">
        <f>Base_report!B552</f>
        <v>DECEMBRE 2023</v>
      </c>
      <c r="C553" s="15" t="str">
        <f>Base_report!C552</f>
        <v>C1088</v>
      </c>
      <c r="D553" s="14" t="str">
        <f>TRIM(IF(ISNUMBER(FIND("PNSME",Base_report!D552,1)),SUBSTITUTE(Base_report!D552,"PNSME",""),IF(ISNUMBER(FIND("PHG",Base_report!D552,1)),SUBSTITUTE(Base_report!D552,"PHG",""),IF(ISNUMBER(FIND("PCS",Base_report!D552,1)),SUBSTITUTE(Base_report!D552,"PCS",""),IF(ISNUMBER(FIND("CMU",Base_report!D552,1)),SUBSTITUTE(Base_report!D552,"CMU",""),Base_report!D552)))))</f>
        <v>HOPITAL GENERAL DABOU</v>
      </c>
      <c r="E553" s="14" t="str">
        <f>SUBSTITUTE(Base_report!E552,"-","/")</f>
        <v>PNLP/MEDICAMENTS ET INTRANTS</v>
      </c>
      <c r="F553" s="14" t="s">
        <v>788</v>
      </c>
      <c r="G553" s="16">
        <f>DATE(YEAR(SUBSTITUTE(LEFT(Base_report!F552,10),"-","/")),MONTH(SUBSTITUTE(LEFT(Base_report!F552,10),"-","/")),DAY(SUBSTITUTE(LEFT(Base_report!F552,10),"-","/")))</f>
        <v>45295</v>
      </c>
      <c r="H553" s="16">
        <f>DATE(YEAR(SUBSTITUTE(LEFT(Base_report!G552,10),"-","/")),MONTH(SUBSTITUTE(LEFT(Base_report!G552,10),"-","/")),DAY(SUBSTITUTE(LEFT(Base_report!G552,10),"-","/")))</f>
        <v>45295</v>
      </c>
      <c r="I553" s="17" t="str">
        <f t="shared" si="1"/>
        <v>OUI</v>
      </c>
      <c r="J553" s="18">
        <f>IF(L553="DS",DATE(RIGHT(B553,4),VLOOKUP(LEFT(B553,LEN(B553)-5),Feuil1!$E$3:$F$19,2,FALSE)+1,10),DATE(RIGHT(B553,4),VLOOKUP(LEFT(B553,LEN(B553)-5),Feuil1!$E$3:$F$19,2,FALSE)+1,7))</f>
        <v>45298</v>
      </c>
      <c r="K553" s="19">
        <f t="shared" si="2"/>
        <v>1</v>
      </c>
      <c r="L553" s="6" t="str">
        <f t="shared" si="3"/>
        <v>FS</v>
      </c>
    </row>
    <row r="554" ht="14.25" customHeight="1">
      <c r="A554" s="14" t="str">
        <f>Base_report!A553</f>
        <v>KABADOUGOU</v>
      </c>
      <c r="B554" s="14" t="str">
        <f>Base_report!B553</f>
        <v>DECEMBRE 2023</v>
      </c>
      <c r="C554" s="15" t="str">
        <f>Base_report!C553</f>
        <v>C5003</v>
      </c>
      <c r="D554" s="14" t="str">
        <f>TRIM(IF(ISNUMBER(FIND("PNSME",Base_report!D553,1)),SUBSTITUTE(Base_report!D553,"PNSME",""),IF(ISNUMBER(FIND("PHG",Base_report!D553,1)),SUBSTITUTE(Base_report!D553,"PHG",""),IF(ISNUMBER(FIND("PCS",Base_report!D553,1)),SUBSTITUTE(Base_report!D553,"PCS",""),IF(ISNUMBER(FIND("CMU",Base_report!D553,1)),SUBSTITUTE(Base_report!D553,"CMU",""),Base_report!D553)))))</f>
        <v>CHR ODIENNE</v>
      </c>
      <c r="E554" s="14" t="str">
        <f>SUBSTITUTE(Base_report!E553,"-","/")</f>
        <v>PNSME/MEDICAMENTS ET INTRANTS</v>
      </c>
      <c r="F554" s="14" t="s">
        <v>788</v>
      </c>
      <c r="G554" s="16">
        <f>DATE(YEAR(SUBSTITUTE(LEFT(Base_report!F553,10),"-","/")),MONTH(SUBSTITUTE(LEFT(Base_report!F553,10),"-","/")),DAY(SUBSTITUTE(LEFT(Base_report!F553,10),"-","/")))</f>
        <v>45296</v>
      </c>
      <c r="H554" s="16">
        <f>DATE(YEAR(SUBSTITUTE(LEFT(Base_report!G553,10),"-","/")),MONTH(SUBSTITUTE(LEFT(Base_report!G553,10),"-","/")),DAY(SUBSTITUTE(LEFT(Base_report!G553,10),"-","/")))</f>
        <v>45297</v>
      </c>
      <c r="I554" s="17" t="str">
        <f t="shared" si="1"/>
        <v>OUI</v>
      </c>
      <c r="J554" s="18">
        <f>IF(L554="DS",DATE(RIGHT(B554,4),VLOOKUP(LEFT(B554,LEN(B554)-5),Feuil1!$E$3:$F$19,2,FALSE)+1,10),DATE(RIGHT(B554,4),VLOOKUP(LEFT(B554,LEN(B554)-5),Feuil1!$E$3:$F$19,2,FALSE)+1,7))</f>
        <v>45298</v>
      </c>
      <c r="K554" s="19">
        <f t="shared" si="2"/>
        <v>1</v>
      </c>
      <c r="L554" s="6" t="str">
        <f t="shared" si="3"/>
        <v>FS</v>
      </c>
    </row>
    <row r="555" ht="14.25" customHeight="1">
      <c r="A555" s="14" t="str">
        <f>Base_report!A554</f>
        <v>ABIDJAN 2</v>
      </c>
      <c r="B555" s="14" t="str">
        <f>Base_report!B554</f>
        <v>DECEMBRE 2023</v>
      </c>
      <c r="C555" s="15" t="str">
        <f>Base_report!C554</f>
        <v>C1094</v>
      </c>
      <c r="D555" s="14" t="str">
        <f>TRIM(IF(ISNUMBER(FIND("PNSME",Base_report!D554,1)),SUBSTITUTE(Base_report!D554,"PNSME",""),IF(ISNUMBER(FIND("PHG",Base_report!D554,1)),SUBSTITUTE(Base_report!D554,"PHG",""),IF(ISNUMBER(FIND("PCS",Base_report!D554,1)),SUBSTITUTE(Base_report!D554,"PCS",""),IF(ISNUMBER(FIND("CMU",Base_report!D554,1)),SUBSTITUTE(Base_report!D554,"CMU",""),Base_report!D554)))))</f>
        <v>HOPITAL GENERAL PORT-BOUET</v>
      </c>
      <c r="E555" s="14" t="str">
        <f>SUBSTITUTE(Base_report!E554,"-","/")</f>
        <v>PNLP/MEDICAMENTS ET INTRANTS</v>
      </c>
      <c r="F555" s="14" t="s">
        <v>788</v>
      </c>
      <c r="G555" s="16">
        <f>DATE(YEAR(SUBSTITUTE(LEFT(Base_report!F554,10),"-","/")),MONTH(SUBSTITUTE(LEFT(Base_report!F554,10),"-","/")),DAY(SUBSTITUTE(LEFT(Base_report!F554,10),"-","/")))</f>
        <v>45295</v>
      </c>
      <c r="H555" s="16">
        <f>DATE(YEAR(SUBSTITUTE(LEFT(Base_report!G554,10),"-","/")),MONTH(SUBSTITUTE(LEFT(Base_report!G554,10),"-","/")),DAY(SUBSTITUTE(LEFT(Base_report!G554,10),"-","/")))</f>
        <v>45295</v>
      </c>
      <c r="I555" s="17" t="str">
        <f t="shared" si="1"/>
        <v>OUI</v>
      </c>
      <c r="J555" s="18">
        <f>IF(L555="DS",DATE(RIGHT(B555,4),VLOOKUP(LEFT(B555,LEN(B555)-5),Feuil1!$E$3:$F$19,2,FALSE)+1,10),DATE(RIGHT(B555,4),VLOOKUP(LEFT(B555,LEN(B555)-5),Feuil1!$E$3:$F$19,2,FALSE)+1,7))</f>
        <v>45298</v>
      </c>
      <c r="K555" s="19">
        <f t="shared" si="2"/>
        <v>1</v>
      </c>
      <c r="L555" s="6" t="str">
        <f t="shared" si="3"/>
        <v>FS</v>
      </c>
    </row>
    <row r="556" ht="14.25" customHeight="1">
      <c r="A556" s="14" t="str">
        <f>Base_report!A555</f>
        <v>ABIDJAN 1</v>
      </c>
      <c r="B556" s="14" t="str">
        <f>Base_report!B555</f>
        <v>DECEMBRE 2023</v>
      </c>
      <c r="C556" s="15" t="str">
        <f>Base_report!C555</f>
        <v>C1398</v>
      </c>
      <c r="D556" s="14" t="str">
        <f>TRIM(IF(ISNUMBER(FIND("PNSME",Base_report!D555,1)),SUBSTITUTE(Base_report!D555,"PNSME",""),IF(ISNUMBER(FIND("PHG",Base_report!D555,1)),SUBSTITUTE(Base_report!D555,"PHG",""),IF(ISNUMBER(FIND("PCS",Base_report!D555,1)),SUBSTITUTE(Base_report!D555,"PCS",""),IF(ISNUMBER(FIND("CMU",Base_report!D555,1)),SUBSTITUTE(Base_report!D555,"CMU",""),Base_report!D555)))))</f>
        <v>DISTRICT SANITAIRE ABOBO EST</v>
      </c>
      <c r="E556" s="14" t="str">
        <f>SUBSTITUTE(Base_report!E555,"-","/")</f>
        <v>PNN/MEDICAMENTS ET INTRANTS</v>
      </c>
      <c r="F556" s="14" t="s">
        <v>788</v>
      </c>
      <c r="G556" s="16">
        <f>DATE(YEAR(SUBSTITUTE(LEFT(Base_report!F555,10),"-","/")),MONTH(SUBSTITUTE(LEFT(Base_report!F555,10),"-","/")),DAY(SUBSTITUTE(LEFT(Base_report!F555,10),"-","/")))</f>
        <v>45301</v>
      </c>
      <c r="H556" s="16">
        <f>DATE(YEAR(SUBSTITUTE(LEFT(Base_report!G555,10),"-","/")),MONTH(SUBSTITUTE(LEFT(Base_report!G555,10),"-","/")),DAY(SUBSTITUTE(LEFT(Base_report!G555,10),"-","/")))</f>
        <v>45301</v>
      </c>
      <c r="I556" s="17" t="str">
        <f t="shared" si="1"/>
        <v>OUI</v>
      </c>
      <c r="J556" s="18">
        <f>IF(L556="DS",DATE(RIGHT(B556,4),VLOOKUP(LEFT(B556,LEN(B556)-5),Feuil1!$E$3:$F$19,2,FALSE)+1,10),DATE(RIGHT(B556,4),VLOOKUP(LEFT(B556,LEN(B556)-5),Feuil1!$E$3:$F$19,2,FALSE)+1,7))</f>
        <v>45301</v>
      </c>
      <c r="K556" s="19">
        <f t="shared" si="2"/>
        <v>1</v>
      </c>
      <c r="L556" s="6" t="str">
        <f t="shared" si="3"/>
        <v>DS</v>
      </c>
    </row>
    <row r="557" ht="14.25" customHeight="1">
      <c r="A557" s="14" t="str">
        <f>Base_report!A556</f>
        <v>GONTOUGO</v>
      </c>
      <c r="B557" s="14" t="str">
        <f>Base_report!B556</f>
        <v>DECEMBRE 2023</v>
      </c>
      <c r="C557" s="15" t="str">
        <f>Base_report!C556</f>
        <v>C4002</v>
      </c>
      <c r="D557" s="14" t="str">
        <f>TRIM(IF(ISNUMBER(FIND("PNSME",Base_report!D556,1)),SUBSTITUTE(Base_report!D556,"PNSME",""),IF(ISNUMBER(FIND("PHG",Base_report!D556,1)),SUBSTITUTE(Base_report!D556,"PHG",""),IF(ISNUMBER(FIND("PCS",Base_report!D556,1)),SUBSTITUTE(Base_report!D556,"PCS",""),IF(ISNUMBER(FIND("CMU",Base_report!D556,1)),SUBSTITUTE(Base_report!D556,"CMU",""),Base_report!D556)))))</f>
        <v>CHR BONDOUKOU</v>
      </c>
      <c r="E557" s="14" t="str">
        <f>SUBSTITUTE(Base_report!E556,"-","/")</f>
        <v>PNN/MEDICAMENTS ET INTRANTS</v>
      </c>
      <c r="F557" s="14" t="s">
        <v>788</v>
      </c>
      <c r="G557" s="16">
        <f>DATE(YEAR(SUBSTITUTE(LEFT(Base_report!F556,10),"-","/")),MONTH(SUBSTITUTE(LEFT(Base_report!F556,10),"-","/")),DAY(SUBSTITUTE(LEFT(Base_report!F556,10),"-","/")))</f>
        <v>45293</v>
      </c>
      <c r="H557" s="16">
        <f>DATE(YEAR(SUBSTITUTE(LEFT(Base_report!G556,10),"-","/")),MONTH(SUBSTITUTE(LEFT(Base_report!G556,10),"-","/")),DAY(SUBSTITUTE(LEFT(Base_report!G556,10),"-","/")))</f>
        <v>45294</v>
      </c>
      <c r="I557" s="17" t="str">
        <f t="shared" si="1"/>
        <v>OUI</v>
      </c>
      <c r="J557" s="18">
        <f>IF(L557="DS",DATE(RIGHT(B557,4),VLOOKUP(LEFT(B557,LEN(B557)-5),Feuil1!$E$3:$F$19,2,FALSE)+1,10),DATE(RIGHT(B557,4),VLOOKUP(LEFT(B557,LEN(B557)-5),Feuil1!$E$3:$F$19,2,FALSE)+1,7))</f>
        <v>45298</v>
      </c>
      <c r="K557" s="19">
        <f t="shared" si="2"/>
        <v>1</v>
      </c>
      <c r="L557" s="6" t="str">
        <f t="shared" si="3"/>
        <v>FS</v>
      </c>
    </row>
    <row r="558" ht="14.25" customHeight="1">
      <c r="A558" s="14" t="str">
        <f>Base_report!A557</f>
        <v>GONTOUGO</v>
      </c>
      <c r="B558" s="14" t="str">
        <f>Base_report!B557</f>
        <v>DECEMBRE 2023</v>
      </c>
      <c r="C558" s="15" t="str">
        <f>Base_report!C557</f>
        <v>C4002</v>
      </c>
      <c r="D558" s="14" t="str">
        <f>TRIM(IF(ISNUMBER(FIND("PNSME",Base_report!D557,1)),SUBSTITUTE(Base_report!D557,"PNSME",""),IF(ISNUMBER(FIND("PHG",Base_report!D557,1)),SUBSTITUTE(Base_report!D557,"PHG",""),IF(ISNUMBER(FIND("PCS",Base_report!D557,1)),SUBSTITUTE(Base_report!D557,"PCS",""),IF(ISNUMBER(FIND("CMU",Base_report!D557,1)),SUBSTITUTE(Base_report!D557,"CMU",""),Base_report!D557)))))</f>
        <v>CHR BONDOUKOU</v>
      </c>
      <c r="E558" s="14" t="str">
        <f>SUBSTITUTE(Base_report!E557,"-","/")</f>
        <v>PNSME/MEDICAMENTS ET INTRANTS</v>
      </c>
      <c r="F558" s="14" t="s">
        <v>788</v>
      </c>
      <c r="G558" s="16">
        <f>DATE(YEAR(SUBSTITUTE(LEFT(Base_report!F557,10),"-","/")),MONTH(SUBSTITUTE(LEFT(Base_report!F557,10),"-","/")),DAY(SUBSTITUTE(LEFT(Base_report!F557,10),"-","/")))</f>
        <v>45293</v>
      </c>
      <c r="H558" s="16">
        <f>DATE(YEAR(SUBSTITUTE(LEFT(Base_report!G557,10),"-","/")),MONTH(SUBSTITUTE(LEFT(Base_report!G557,10),"-","/")),DAY(SUBSTITUTE(LEFT(Base_report!G557,10),"-","/")))</f>
        <v>45294</v>
      </c>
      <c r="I558" s="17" t="str">
        <f t="shared" si="1"/>
        <v>OUI</v>
      </c>
      <c r="J558" s="18">
        <f>IF(L558="DS",DATE(RIGHT(B558,4),VLOOKUP(LEFT(B558,LEN(B558)-5),Feuil1!$E$3:$F$19,2,FALSE)+1,10),DATE(RIGHT(B558,4),VLOOKUP(LEFT(B558,LEN(B558)-5),Feuil1!$E$3:$F$19,2,FALSE)+1,7))</f>
        <v>45298</v>
      </c>
      <c r="K558" s="19">
        <f t="shared" si="2"/>
        <v>1</v>
      </c>
      <c r="L558" s="6" t="str">
        <f t="shared" si="3"/>
        <v>FS</v>
      </c>
    </row>
    <row r="559" ht="14.25" customHeight="1">
      <c r="A559" s="14" t="str">
        <f>Base_report!A558</f>
        <v>GUEMON</v>
      </c>
      <c r="B559" s="14" t="str">
        <f>Base_report!B558</f>
        <v>DECEMBRE 2023</v>
      </c>
      <c r="C559" s="15" t="str">
        <f>Base_report!C558</f>
        <v>C5020</v>
      </c>
      <c r="D559" s="14" t="str">
        <f>TRIM(IF(ISNUMBER(FIND("PNSME",Base_report!D558,1)),SUBSTITUTE(Base_report!D558,"PNSME",""),IF(ISNUMBER(FIND("PHG",Base_report!D558,1)),SUBSTITUTE(Base_report!D558,"PHG",""),IF(ISNUMBER(FIND("PCS",Base_report!D558,1)),SUBSTITUTE(Base_report!D558,"PCS",""),IF(ISNUMBER(FIND("CMU",Base_report!D558,1)),SUBSTITUTE(Base_report!D558,"CMU",""),Base_report!D558)))))</f>
        <v>HOPITAL GENERAL KOUIBLY</v>
      </c>
      <c r="E559" s="14" t="str">
        <f>SUBSTITUTE(Base_report!E558,"-","/")</f>
        <v>PNLS/ANTIRETROVIRAUX ET IO</v>
      </c>
      <c r="F559" s="14" t="s">
        <v>788</v>
      </c>
      <c r="G559" s="16">
        <f>DATE(YEAR(SUBSTITUTE(LEFT(Base_report!F558,10),"-","/")),MONTH(SUBSTITUTE(LEFT(Base_report!F558,10),"-","/")),DAY(SUBSTITUTE(LEFT(Base_report!F558,10),"-","/")))</f>
        <v>45293</v>
      </c>
      <c r="H559" s="16">
        <f>DATE(YEAR(SUBSTITUTE(LEFT(Base_report!G558,10),"-","/")),MONTH(SUBSTITUTE(LEFT(Base_report!G558,10),"-","/")),DAY(SUBSTITUTE(LEFT(Base_report!G558,10),"-","/")))</f>
        <v>45297</v>
      </c>
      <c r="I559" s="17" t="str">
        <f t="shared" si="1"/>
        <v>OUI</v>
      </c>
      <c r="J559" s="18">
        <f>IF(L559="DS",DATE(RIGHT(B559,4),VLOOKUP(LEFT(B559,LEN(B559)-5),Feuil1!$E$3:$F$19,2,FALSE)+1,10),DATE(RIGHT(B559,4),VLOOKUP(LEFT(B559,LEN(B559)-5),Feuil1!$E$3:$F$19,2,FALSE)+1,7))</f>
        <v>45298</v>
      </c>
      <c r="K559" s="19">
        <f t="shared" si="2"/>
        <v>1</v>
      </c>
      <c r="L559" s="6" t="str">
        <f t="shared" si="3"/>
        <v>FS</v>
      </c>
    </row>
    <row r="560" ht="14.25" customHeight="1">
      <c r="A560" s="14" t="str">
        <f>Base_report!A559</f>
        <v>KABADOUGOU</v>
      </c>
      <c r="B560" s="14" t="str">
        <f>Base_report!B559</f>
        <v>DECEMBRE 2023</v>
      </c>
      <c r="C560" s="15" t="str">
        <f>Base_report!C559</f>
        <v>C5003</v>
      </c>
      <c r="D560" s="14" t="str">
        <f>TRIM(IF(ISNUMBER(FIND("PNSME",Base_report!D559,1)),SUBSTITUTE(Base_report!D559,"PNSME",""),IF(ISNUMBER(FIND("PHG",Base_report!D559,1)),SUBSTITUTE(Base_report!D559,"PHG",""),IF(ISNUMBER(FIND("PCS",Base_report!D559,1)),SUBSTITUTE(Base_report!D559,"PCS",""),IF(ISNUMBER(FIND("CMU",Base_report!D559,1)),SUBSTITUTE(Base_report!D559,"CMU",""),Base_report!D559)))))</f>
        <v>CHR ODIENNE</v>
      </c>
      <c r="E560" s="14" t="str">
        <f>SUBSTITUTE(Base_report!E559,"-","/")</f>
        <v>PNLP/MEDICAMENTS ET INTRANTS</v>
      </c>
      <c r="F560" s="14" t="s">
        <v>788</v>
      </c>
      <c r="G560" s="16">
        <f>DATE(YEAR(SUBSTITUTE(LEFT(Base_report!F559,10),"-","/")),MONTH(SUBSTITUTE(LEFT(Base_report!F559,10),"-","/")),DAY(SUBSTITUTE(LEFT(Base_report!F559,10),"-","/")))</f>
        <v>45296</v>
      </c>
      <c r="H560" s="16">
        <f>DATE(YEAR(SUBSTITUTE(LEFT(Base_report!G559,10),"-","/")),MONTH(SUBSTITUTE(LEFT(Base_report!G559,10),"-","/")),DAY(SUBSTITUTE(LEFT(Base_report!G559,10),"-","/")))</f>
        <v>45297</v>
      </c>
      <c r="I560" s="17" t="str">
        <f t="shared" si="1"/>
        <v>OUI</v>
      </c>
      <c r="J560" s="18">
        <f>IF(L560="DS",DATE(RIGHT(B560,4),VLOOKUP(LEFT(B560,LEN(B560)-5),Feuil1!$E$3:$F$19,2,FALSE)+1,10),DATE(RIGHT(B560,4),VLOOKUP(LEFT(B560,LEN(B560)-5),Feuil1!$E$3:$F$19,2,FALSE)+1,7))</f>
        <v>45298</v>
      </c>
      <c r="K560" s="19">
        <f t="shared" si="2"/>
        <v>1</v>
      </c>
      <c r="L560" s="6" t="str">
        <f t="shared" si="3"/>
        <v>FS</v>
      </c>
    </row>
    <row r="561" ht="14.25" customHeight="1">
      <c r="A561" s="14" t="str">
        <f>Base_report!A560</f>
        <v>ABIDJAN 2</v>
      </c>
      <c r="B561" s="14" t="str">
        <f>Base_report!B560</f>
        <v>DECEMBRE 2023</v>
      </c>
      <c r="C561" s="15" t="str">
        <f>Base_report!C560</f>
        <v>C1414</v>
      </c>
      <c r="D561" s="14" t="str">
        <f>TRIM(IF(ISNUMBER(FIND("PNSME",Base_report!D560,1)),SUBSTITUTE(Base_report!D560,"PNSME",""),IF(ISNUMBER(FIND("PHG",Base_report!D560,1)),SUBSTITUTE(Base_report!D560,"PHG",""),IF(ISNUMBER(FIND("PCS",Base_report!D560,1)),SUBSTITUTE(Base_report!D560,"PCS",""),IF(ISNUMBER(FIND("CMU",Base_report!D560,1)),SUBSTITUTE(Base_report!D560,"CMU",""),Base_report!D560)))))</f>
        <v>DISTRICT SANITAIRE ADJAME PLATEAU ATTECOUBE</v>
      </c>
      <c r="E561" s="14" t="str">
        <f>SUBSTITUTE(Base_report!E560,"-","/")</f>
        <v>PNSME/MEDICAMENTS ET INTRANTS</v>
      </c>
      <c r="F561" s="14" t="s">
        <v>788</v>
      </c>
      <c r="G561" s="16">
        <f>DATE(YEAR(SUBSTITUTE(LEFT(Base_report!F560,10),"-","/")),MONTH(SUBSTITUTE(LEFT(Base_report!F560,10),"-","/")),DAY(SUBSTITUTE(LEFT(Base_report!F560,10),"-","/")))</f>
        <v>45293</v>
      </c>
      <c r="H561" s="16">
        <f>DATE(YEAR(SUBSTITUTE(LEFT(Base_report!G560,10),"-","/")),MONTH(SUBSTITUTE(LEFT(Base_report!G560,10),"-","/")),DAY(SUBSTITUTE(LEFT(Base_report!G560,10),"-","/")))</f>
        <v>45301</v>
      </c>
      <c r="I561" s="17" t="str">
        <f t="shared" si="1"/>
        <v>OUI</v>
      </c>
      <c r="J561" s="18">
        <f>IF(L561="DS",DATE(RIGHT(B561,4),VLOOKUP(LEFT(B561,LEN(B561)-5),Feuil1!$E$3:$F$19,2,FALSE)+1,10),DATE(RIGHT(B561,4),VLOOKUP(LEFT(B561,LEN(B561)-5),Feuil1!$E$3:$F$19,2,FALSE)+1,7))</f>
        <v>45301</v>
      </c>
      <c r="K561" s="19">
        <f t="shared" si="2"/>
        <v>1</v>
      </c>
      <c r="L561" s="6" t="str">
        <f t="shared" si="3"/>
        <v>DS</v>
      </c>
    </row>
    <row r="562" ht="14.25" customHeight="1">
      <c r="A562" s="14" t="str">
        <f>Base_report!A561</f>
        <v>PORO</v>
      </c>
      <c r="B562" s="14" t="str">
        <f>Base_report!B561</f>
        <v>DECEMBRE 2023</v>
      </c>
      <c r="C562" s="15" t="str">
        <f>Base_report!C561</f>
        <v>C3016</v>
      </c>
      <c r="D562" s="14" t="str">
        <f>TRIM(IF(ISNUMBER(FIND("PNSME",Base_report!D561,1)),SUBSTITUTE(Base_report!D561,"PNSME",""),IF(ISNUMBER(FIND("PHG",Base_report!D561,1)),SUBSTITUTE(Base_report!D561,"PHG",""),IF(ISNUMBER(FIND("PCS",Base_report!D561,1)),SUBSTITUTE(Base_report!D561,"PCS",""),IF(ISNUMBER(FIND("CMU",Base_report!D561,1)),SUBSTITUTE(Base_report!D561,"CMU",""),Base_report!D561)))))</f>
        <v>HOPITAL GENERAL MBENGUE</v>
      </c>
      <c r="E562" s="14" t="str">
        <f>SUBSTITUTE(Base_report!E561,"-","/")</f>
        <v>PNLP/MEDICAMENTS ET INTRANTS</v>
      </c>
      <c r="F562" s="14" t="s">
        <v>788</v>
      </c>
      <c r="G562" s="16">
        <f>DATE(YEAR(SUBSTITUTE(LEFT(Base_report!F561,10),"-","/")),MONTH(SUBSTITUTE(LEFT(Base_report!F561,10),"-","/")),DAY(SUBSTITUTE(LEFT(Base_report!F561,10),"-","/")))</f>
        <v>45297</v>
      </c>
      <c r="H562" s="16">
        <f>DATE(YEAR(SUBSTITUTE(LEFT(Base_report!G561,10),"-","/")),MONTH(SUBSTITUTE(LEFT(Base_report!G561,10),"-","/")),DAY(SUBSTITUTE(LEFT(Base_report!G561,10),"-","/")))</f>
        <v>45298</v>
      </c>
      <c r="I562" s="17" t="str">
        <f t="shared" si="1"/>
        <v>OUI</v>
      </c>
      <c r="J562" s="18">
        <f>IF(L562="DS",DATE(RIGHT(B562,4),VLOOKUP(LEFT(B562,LEN(B562)-5),Feuil1!$E$3:$F$19,2,FALSE)+1,10),DATE(RIGHT(B562,4),VLOOKUP(LEFT(B562,LEN(B562)-5),Feuil1!$E$3:$F$19,2,FALSE)+1,7))</f>
        <v>45298</v>
      </c>
      <c r="K562" s="19">
        <f t="shared" si="2"/>
        <v>1</v>
      </c>
      <c r="L562" s="6" t="str">
        <f t="shared" si="3"/>
        <v>FS</v>
      </c>
    </row>
    <row r="563" ht="14.25" customHeight="1">
      <c r="A563" s="14" t="str">
        <f>Base_report!A562</f>
        <v>ABIDJAN 2</v>
      </c>
      <c r="B563" s="14" t="str">
        <f>Base_report!B562</f>
        <v>DECEMBRE 2023</v>
      </c>
      <c r="C563" s="15" t="str">
        <f>Base_report!C562</f>
        <v>C1414</v>
      </c>
      <c r="D563" s="14" t="str">
        <f>TRIM(IF(ISNUMBER(FIND("PNSME",Base_report!D562,1)),SUBSTITUTE(Base_report!D562,"PNSME",""),IF(ISNUMBER(FIND("PHG",Base_report!D562,1)),SUBSTITUTE(Base_report!D562,"PHG",""),IF(ISNUMBER(FIND("PCS",Base_report!D562,1)),SUBSTITUTE(Base_report!D562,"PCS",""),IF(ISNUMBER(FIND("CMU",Base_report!D562,1)),SUBSTITUTE(Base_report!D562,"CMU",""),Base_report!D562)))))</f>
        <v>DISTRICT SANITAIRE ADJAME PLATEAU ATTECOUBE</v>
      </c>
      <c r="E563" s="14" t="str">
        <f>SUBSTITUTE(Base_report!E562,"-","/")</f>
        <v>PNN/MEDICAMENTS ET INTRANTS</v>
      </c>
      <c r="F563" s="14" t="s">
        <v>788</v>
      </c>
      <c r="G563" s="16">
        <f>DATE(YEAR(SUBSTITUTE(LEFT(Base_report!F562,10),"-","/")),MONTH(SUBSTITUTE(LEFT(Base_report!F562,10),"-","/")),DAY(SUBSTITUTE(LEFT(Base_report!F562,10),"-","/")))</f>
        <v>45293</v>
      </c>
      <c r="H563" s="16">
        <f>DATE(YEAR(SUBSTITUTE(LEFT(Base_report!G562,10),"-","/")),MONTH(SUBSTITUTE(LEFT(Base_report!G562,10),"-","/")),DAY(SUBSTITUTE(LEFT(Base_report!G562,10),"-","/")))</f>
        <v>45301</v>
      </c>
      <c r="I563" s="17" t="str">
        <f t="shared" si="1"/>
        <v>OUI</v>
      </c>
      <c r="J563" s="18">
        <f>IF(L563="DS",DATE(RIGHT(B563,4),VLOOKUP(LEFT(B563,LEN(B563)-5),Feuil1!$E$3:$F$19,2,FALSE)+1,10),DATE(RIGHT(B563,4),VLOOKUP(LEFT(B563,LEN(B563)-5),Feuil1!$E$3:$F$19,2,FALSE)+1,7))</f>
        <v>45301</v>
      </c>
      <c r="K563" s="19">
        <f t="shared" si="2"/>
        <v>1</v>
      </c>
      <c r="L563" s="6" t="str">
        <f t="shared" si="3"/>
        <v>DS</v>
      </c>
    </row>
    <row r="564" ht="14.25" customHeight="1">
      <c r="A564" s="14" t="str">
        <f>Base_report!A563</f>
        <v>ME</v>
      </c>
      <c r="B564" s="14" t="str">
        <f>Base_report!B563</f>
        <v>DECEMBRE 2023</v>
      </c>
      <c r="C564" s="15" t="str">
        <f>Base_report!C563</f>
        <v>C4036</v>
      </c>
      <c r="D564" s="14" t="str">
        <f>TRIM(IF(ISNUMBER(FIND("PNSME",Base_report!D563,1)),SUBSTITUTE(Base_report!D563,"PNSME",""),IF(ISNUMBER(FIND("PHG",Base_report!D563,1)),SUBSTITUTE(Base_report!D563,"PHG",""),IF(ISNUMBER(FIND("PCS",Base_report!D563,1)),SUBSTITUTE(Base_report!D563,"PCS",""),IF(ISNUMBER(FIND("CMU",Base_report!D563,1)),SUBSTITUTE(Base_report!D563,"CMU",""),Base_report!D563)))))</f>
        <v>DISTRICT SANITAIRE ADZOPE</v>
      </c>
      <c r="E564" s="14" t="str">
        <f>SUBSTITUTE(Base_report!E563,"-","/")</f>
        <v>PNLS/ANTIRETROVIRAUX ET IO</v>
      </c>
      <c r="F564" s="14" t="s">
        <v>788</v>
      </c>
      <c r="G564" s="16">
        <f>DATE(YEAR(SUBSTITUTE(LEFT(Base_report!F563,10),"-","/")),MONTH(SUBSTITUTE(LEFT(Base_report!F563,10),"-","/")),DAY(SUBSTITUTE(LEFT(Base_report!F563,10),"-","/")))</f>
        <v>45301</v>
      </c>
      <c r="H564" s="16">
        <f>DATE(YEAR(SUBSTITUTE(LEFT(Base_report!G563,10),"-","/")),MONTH(SUBSTITUTE(LEFT(Base_report!G563,10),"-","/")),DAY(SUBSTITUTE(LEFT(Base_report!G563,10),"-","/")))</f>
        <v>45301</v>
      </c>
      <c r="I564" s="17" t="str">
        <f t="shared" si="1"/>
        <v>OUI</v>
      </c>
      <c r="J564" s="18">
        <f>IF(L564="DS",DATE(RIGHT(B564,4),VLOOKUP(LEFT(B564,LEN(B564)-5),Feuil1!$E$3:$F$19,2,FALSE)+1,10),DATE(RIGHT(B564,4),VLOOKUP(LEFT(B564,LEN(B564)-5),Feuil1!$E$3:$F$19,2,FALSE)+1,7))</f>
        <v>45301</v>
      </c>
      <c r="K564" s="19">
        <f t="shared" si="2"/>
        <v>1</v>
      </c>
      <c r="L564" s="6" t="str">
        <f t="shared" si="3"/>
        <v>DS</v>
      </c>
    </row>
    <row r="565" ht="14.25" customHeight="1">
      <c r="A565" s="14" t="str">
        <f>Base_report!A564</f>
        <v>NAWA</v>
      </c>
      <c r="B565" s="14" t="str">
        <f>Base_report!B564</f>
        <v>DECEMBRE 2023</v>
      </c>
      <c r="C565" s="15" t="str">
        <f>Base_report!C564</f>
        <v>C1411</v>
      </c>
      <c r="D565" s="14" t="str">
        <f>TRIM(IF(ISNUMBER(FIND("PNSME",Base_report!D564,1)),SUBSTITUTE(Base_report!D564,"PNSME",""),IF(ISNUMBER(FIND("PHG",Base_report!D564,1)),SUBSTITUTE(Base_report!D564,"PHG",""),IF(ISNUMBER(FIND("PCS",Base_report!D564,1)),SUBSTITUTE(Base_report!D564,"PCS",""),IF(ISNUMBER(FIND("CMU",Base_report!D564,1)),SUBSTITUTE(Base_report!D564,"CMU",""),Base_report!D564)))))</f>
        <v>FSU MEAGUI</v>
      </c>
      <c r="E565" s="14" t="str">
        <f>SUBSTITUTE(Base_report!E564,"-","/")</f>
        <v>PNLP/MEDICAMENTS ET INTRANTS</v>
      </c>
      <c r="F565" s="14" t="s">
        <v>788</v>
      </c>
      <c r="G565" s="16">
        <f>DATE(YEAR(SUBSTITUTE(LEFT(Base_report!F564,10),"-","/")),MONTH(SUBSTITUTE(LEFT(Base_report!F564,10),"-","/")),DAY(SUBSTITUTE(LEFT(Base_report!F564,10),"-","/")))</f>
        <v>45296</v>
      </c>
      <c r="H565" s="16">
        <f>DATE(YEAR(SUBSTITUTE(LEFT(Base_report!G564,10),"-","/")),MONTH(SUBSTITUTE(LEFT(Base_report!G564,10),"-","/")),DAY(SUBSTITUTE(LEFT(Base_report!G564,10),"-","/")))</f>
        <v>45296</v>
      </c>
      <c r="I565" s="17" t="str">
        <f t="shared" si="1"/>
        <v>OUI</v>
      </c>
      <c r="J565" s="18">
        <f>IF(L565="DS",DATE(RIGHT(B565,4),VLOOKUP(LEFT(B565,LEN(B565)-5),Feuil1!$E$3:$F$19,2,FALSE)+1,10),DATE(RIGHT(B565,4),VLOOKUP(LEFT(B565,LEN(B565)-5),Feuil1!$E$3:$F$19,2,FALSE)+1,7))</f>
        <v>45298</v>
      </c>
      <c r="K565" s="19">
        <f t="shared" si="2"/>
        <v>1</v>
      </c>
      <c r="L565" s="6" t="str">
        <f t="shared" si="3"/>
        <v>FS</v>
      </c>
    </row>
    <row r="566" ht="14.25" customHeight="1">
      <c r="A566" s="14" t="str">
        <f>Base_report!A565</f>
        <v>PORO</v>
      </c>
      <c r="B566" s="14" t="str">
        <f>Base_report!B565</f>
        <v>DECEMBRE 2023</v>
      </c>
      <c r="C566" s="15" t="str">
        <f>Base_report!C565</f>
        <v>C3016</v>
      </c>
      <c r="D566" s="14" t="str">
        <f>TRIM(IF(ISNUMBER(FIND("PNSME",Base_report!D565,1)),SUBSTITUTE(Base_report!D565,"PNSME",""),IF(ISNUMBER(FIND("PHG",Base_report!D565,1)),SUBSTITUTE(Base_report!D565,"PHG",""),IF(ISNUMBER(FIND("PCS",Base_report!D565,1)),SUBSTITUTE(Base_report!D565,"PCS",""),IF(ISNUMBER(FIND("CMU",Base_report!D565,1)),SUBSTITUTE(Base_report!D565,"CMU",""),Base_report!D565)))))</f>
        <v>HOPITAL GENERAL MBENGUE</v>
      </c>
      <c r="E566" s="14" t="str">
        <f>SUBSTITUTE(Base_report!E565,"-","/")</f>
        <v>PNLS/ANTIRETROVIRAUX ET IO</v>
      </c>
      <c r="F566" s="14" t="s">
        <v>788</v>
      </c>
      <c r="G566" s="16">
        <f>DATE(YEAR(SUBSTITUTE(LEFT(Base_report!F565,10),"-","/")),MONTH(SUBSTITUTE(LEFT(Base_report!F565,10),"-","/")),DAY(SUBSTITUTE(LEFT(Base_report!F565,10),"-","/")))</f>
        <v>45298</v>
      </c>
      <c r="H566" s="16">
        <f>DATE(YEAR(SUBSTITUTE(LEFT(Base_report!G565,10),"-","/")),MONTH(SUBSTITUTE(LEFT(Base_report!G565,10),"-","/")),DAY(SUBSTITUTE(LEFT(Base_report!G565,10),"-","/")))</f>
        <v>45298</v>
      </c>
      <c r="I566" s="17" t="str">
        <f t="shared" si="1"/>
        <v>OUI</v>
      </c>
      <c r="J566" s="18">
        <f>IF(L566="DS",DATE(RIGHT(B566,4),VLOOKUP(LEFT(B566,LEN(B566)-5),Feuil1!$E$3:$F$19,2,FALSE)+1,10),DATE(RIGHT(B566,4),VLOOKUP(LEFT(B566,LEN(B566)-5),Feuil1!$E$3:$F$19,2,FALSE)+1,7))</f>
        <v>45298</v>
      </c>
      <c r="K566" s="19">
        <f t="shared" si="2"/>
        <v>1</v>
      </c>
      <c r="L566" s="6" t="str">
        <f t="shared" si="3"/>
        <v>FS</v>
      </c>
    </row>
    <row r="567" ht="14.25" customHeight="1">
      <c r="A567" s="14" t="str">
        <f>Base_report!A566</f>
        <v>MARAHOUE</v>
      </c>
      <c r="B567" s="14" t="str">
        <f>Base_report!B566</f>
        <v>DECEMBRE 2023</v>
      </c>
      <c r="C567" s="15" t="str">
        <f>Base_report!C566</f>
        <v>C2071</v>
      </c>
      <c r="D567" s="14" t="str">
        <f>TRIM(IF(ISNUMBER(FIND("PNSME",Base_report!D566,1)),SUBSTITUTE(Base_report!D566,"PNSME",""),IF(ISNUMBER(FIND("PHG",Base_report!D566,1)),SUBSTITUTE(Base_report!D566,"PHG",""),IF(ISNUMBER(FIND("PCS",Base_report!D566,1)),SUBSTITUTE(Base_report!D566,"PCS",""),IF(ISNUMBER(FIND("CMU",Base_report!D566,1)),SUBSTITUTE(Base_report!D566,"CMU",""),Base_report!D566)))))</f>
        <v>HOPITAL GENERAL ZUENOULA</v>
      </c>
      <c r="E567" s="14" t="str">
        <f>SUBSTITUTE(Base_report!E566,"-","/")</f>
        <v>PNSME/MEDICAMENTS ET INTRANTS</v>
      </c>
      <c r="F567" s="14" t="s">
        <v>788</v>
      </c>
      <c r="G567" s="16">
        <f>DATE(YEAR(SUBSTITUTE(LEFT(Base_report!F566,10),"-","/")),MONTH(SUBSTITUTE(LEFT(Base_report!F566,10),"-","/")),DAY(SUBSTITUTE(LEFT(Base_report!F566,10),"-","/")))</f>
        <v>45298</v>
      </c>
      <c r="H567" s="16">
        <f>DATE(YEAR(SUBSTITUTE(LEFT(Base_report!G566,10),"-","/")),MONTH(SUBSTITUTE(LEFT(Base_report!G566,10),"-","/")),DAY(SUBSTITUTE(LEFT(Base_report!G566,10),"-","/")))</f>
        <v>45298</v>
      </c>
      <c r="I567" s="17" t="str">
        <f t="shared" si="1"/>
        <v>OUI</v>
      </c>
      <c r="J567" s="18">
        <f>IF(L567="DS",DATE(RIGHT(B567,4),VLOOKUP(LEFT(B567,LEN(B567)-5),Feuil1!$E$3:$F$19,2,FALSE)+1,10),DATE(RIGHT(B567,4),VLOOKUP(LEFT(B567,LEN(B567)-5),Feuil1!$E$3:$F$19,2,FALSE)+1,7))</f>
        <v>45298</v>
      </c>
      <c r="K567" s="19">
        <f t="shared" si="2"/>
        <v>1</v>
      </c>
      <c r="L567" s="6" t="str">
        <f t="shared" si="3"/>
        <v>FS</v>
      </c>
    </row>
    <row r="568" ht="14.25" customHeight="1">
      <c r="A568" s="14" t="str">
        <f>Base_report!A567</f>
        <v>TONKPI</v>
      </c>
      <c r="B568" s="14" t="str">
        <f>Base_report!B567</f>
        <v>DECEMBRE 2023</v>
      </c>
      <c r="C568" s="15" t="str">
        <f>Base_report!C567</f>
        <v>C5012</v>
      </c>
      <c r="D568" s="14" t="str">
        <f>TRIM(IF(ISNUMBER(FIND("PNSME",Base_report!D567,1)),SUBSTITUTE(Base_report!D567,"PNSME",""),IF(ISNUMBER(FIND("PHG",Base_report!D567,1)),SUBSTITUTE(Base_report!D567,"PHG",""),IF(ISNUMBER(FIND("PCS",Base_report!D567,1)),SUBSTITUTE(Base_report!D567,"PCS",""),IF(ISNUMBER(FIND("CMU",Base_report!D567,1)),SUBSTITUTE(Base_report!D567,"CMU",""),Base_report!D567)))))</f>
        <v>DISTRICT SANITAIRE MAN</v>
      </c>
      <c r="E568" s="14" t="str">
        <f>SUBSTITUTE(Base_report!E567,"-","/")</f>
        <v>PNLS/TESTS RAPIDES ET CONSOMMABLES</v>
      </c>
      <c r="F568" s="14" t="s">
        <v>788</v>
      </c>
      <c r="G568" s="16">
        <f>DATE(YEAR(SUBSTITUTE(LEFT(Base_report!F567,10),"-","/")),MONTH(SUBSTITUTE(LEFT(Base_report!F567,10),"-","/")),DAY(SUBSTITUTE(LEFT(Base_report!F567,10),"-","/")))</f>
        <v>45300</v>
      </c>
      <c r="H568" s="16">
        <f>DATE(YEAR(SUBSTITUTE(LEFT(Base_report!G567,10),"-","/")),MONTH(SUBSTITUTE(LEFT(Base_report!G567,10),"-","/")),DAY(SUBSTITUTE(LEFT(Base_report!G567,10),"-","/")))</f>
        <v>45300</v>
      </c>
      <c r="I568" s="17" t="str">
        <f t="shared" si="1"/>
        <v>OUI</v>
      </c>
      <c r="J568" s="18">
        <f>IF(L568="DS",DATE(RIGHT(B568,4),VLOOKUP(LEFT(B568,LEN(B568)-5),Feuil1!$E$3:$F$19,2,FALSE)+1,10),DATE(RIGHT(B568,4),VLOOKUP(LEFT(B568,LEN(B568)-5),Feuil1!$E$3:$F$19,2,FALSE)+1,7))</f>
        <v>45301</v>
      </c>
      <c r="K568" s="19">
        <f t="shared" si="2"/>
        <v>1</v>
      </c>
      <c r="L568" s="6" t="str">
        <f t="shared" si="3"/>
        <v>DS</v>
      </c>
    </row>
    <row r="569" ht="14.25" customHeight="1">
      <c r="A569" s="14" t="str">
        <f>Base_report!A568</f>
        <v>AGNEBY-TIASSA</v>
      </c>
      <c r="B569" s="14" t="str">
        <f>Base_report!B568</f>
        <v>DECEMBRE 2023</v>
      </c>
      <c r="C569" s="15" t="str">
        <f>Base_report!C568</f>
        <v>C1701</v>
      </c>
      <c r="D569" s="14" t="str">
        <f>TRIM(IF(ISNUMBER(FIND("PNSME",Base_report!D568,1)),SUBSTITUTE(Base_report!D568,"PNSME",""),IF(ISNUMBER(FIND("PHG",Base_report!D568,1)),SUBSTITUTE(Base_report!D568,"PHG",""),IF(ISNUMBER(FIND("PCS",Base_report!D568,1)),SUBSTITUTE(Base_report!D568,"PCS",""),IF(ISNUMBER(FIND("CMU",Base_report!D568,1)),SUBSTITUTE(Base_report!D568,"CMU",""),Base_report!D568)))))</f>
        <v>HOPITAL SAINT JEAN- BAPTISTE</v>
      </c>
      <c r="E569" s="14" t="str">
        <f>SUBSTITUTE(Base_report!E568,"-","/")</f>
        <v>PNLP/MEDICAMENTS ET INTRANTS</v>
      </c>
      <c r="F569" s="14" t="s">
        <v>788</v>
      </c>
      <c r="G569" s="16">
        <f>DATE(YEAR(SUBSTITUTE(LEFT(Base_report!F568,10),"-","/")),MONTH(SUBSTITUTE(LEFT(Base_report!F568,10),"-","/")),DAY(SUBSTITUTE(LEFT(Base_report!F568,10),"-","/")))</f>
        <v>45294</v>
      </c>
      <c r="H569" s="16">
        <f>DATE(YEAR(SUBSTITUTE(LEFT(Base_report!G568,10),"-","/")),MONTH(SUBSTITUTE(LEFT(Base_report!G568,10),"-","/")),DAY(SUBSTITUTE(LEFT(Base_report!G568,10),"-","/")))</f>
        <v>45296</v>
      </c>
      <c r="I569" s="17" t="str">
        <f t="shared" si="1"/>
        <v>OUI</v>
      </c>
      <c r="J569" s="18">
        <f>IF(L569="DS",DATE(RIGHT(B569,4),VLOOKUP(LEFT(B569,LEN(B569)-5),Feuil1!$E$3:$F$19,2,FALSE)+1,10),DATE(RIGHT(B569,4),VLOOKUP(LEFT(B569,LEN(B569)-5),Feuil1!$E$3:$F$19,2,FALSE)+1,7))</f>
        <v>45298</v>
      </c>
      <c r="K569" s="19">
        <f t="shared" si="2"/>
        <v>1</v>
      </c>
      <c r="L569" s="6" t="str">
        <f t="shared" si="3"/>
        <v>FS</v>
      </c>
    </row>
    <row r="570" ht="14.25" customHeight="1">
      <c r="A570" s="14" t="str">
        <f>Base_report!A569</f>
        <v>BAGOUE</v>
      </c>
      <c r="B570" s="14" t="str">
        <f>Base_report!B569</f>
        <v>DECEMBRE 2023</v>
      </c>
      <c r="C570" s="15" t="str">
        <f>Base_report!C569</f>
        <v>C3010</v>
      </c>
      <c r="D570" s="14" t="str">
        <f>TRIM(IF(ISNUMBER(FIND("PNSME",Base_report!D569,1)),SUBSTITUTE(Base_report!D569,"PNSME",""),IF(ISNUMBER(FIND("PHG",Base_report!D569,1)),SUBSTITUTE(Base_report!D569,"PHG",""),IF(ISNUMBER(FIND("PCS",Base_report!D569,1)),SUBSTITUTE(Base_report!D569,"PCS",""),IF(ISNUMBER(FIND("CMU",Base_report!D569,1)),SUBSTITUTE(Base_report!D569,"CMU",""),Base_report!D569)))))</f>
        <v>HOPITAL GENERAL BOUNDIALI</v>
      </c>
      <c r="E570" s="14" t="str">
        <f>SUBSTITUTE(Base_report!E569,"-","/")</f>
        <v>PNLS/ANTIRETROVIRAUX ET IO</v>
      </c>
      <c r="F570" s="14" t="s">
        <v>788</v>
      </c>
      <c r="G570" s="16">
        <f>DATE(YEAR(SUBSTITUTE(LEFT(Base_report!F569,10),"-","/")),MONTH(SUBSTITUTE(LEFT(Base_report!F569,10),"-","/")),DAY(SUBSTITUTE(LEFT(Base_report!F569,10),"-","/")))</f>
        <v>45296</v>
      </c>
      <c r="H570" s="16">
        <f>DATE(YEAR(SUBSTITUTE(LEFT(Base_report!G569,10),"-","/")),MONTH(SUBSTITUTE(LEFT(Base_report!G569,10),"-","/")),DAY(SUBSTITUTE(LEFT(Base_report!G569,10),"-","/")))</f>
        <v>45296</v>
      </c>
      <c r="I570" s="17" t="str">
        <f t="shared" si="1"/>
        <v>OUI</v>
      </c>
      <c r="J570" s="18">
        <f>IF(L570="DS",DATE(RIGHT(B570,4),VLOOKUP(LEFT(B570,LEN(B570)-5),Feuil1!$E$3:$F$19,2,FALSE)+1,10),DATE(RIGHT(B570,4),VLOOKUP(LEFT(B570,LEN(B570)-5),Feuil1!$E$3:$F$19,2,FALSE)+1,7))</f>
        <v>45298</v>
      </c>
      <c r="K570" s="19">
        <f t="shared" si="2"/>
        <v>1</v>
      </c>
      <c r="L570" s="6" t="str">
        <f t="shared" si="3"/>
        <v>FS</v>
      </c>
    </row>
    <row r="571" ht="14.25" customHeight="1">
      <c r="A571" s="14" t="str">
        <f>Base_report!A570</f>
        <v>SUD-COMOE</v>
      </c>
      <c r="B571" s="14" t="str">
        <f>Base_report!B570</f>
        <v>DECEMBRE 2023</v>
      </c>
      <c r="C571" s="15" t="str">
        <f>Base_report!C570</f>
        <v>C1008</v>
      </c>
      <c r="D571" s="14" t="str">
        <f>TRIM(IF(ISNUMBER(FIND("PNSME",Base_report!D570,1)),SUBSTITUTE(Base_report!D570,"PNSME",""),IF(ISNUMBER(FIND("PHG",Base_report!D570,1)),SUBSTITUTE(Base_report!D570,"PHG",""),IF(ISNUMBER(FIND("PCS",Base_report!D570,1)),SUBSTITUTE(Base_report!D570,"PCS",""),IF(ISNUMBER(FIND("CMU",Base_report!D570,1)),SUBSTITUTE(Base_report!D570,"CMU",""),Base_report!D570)))))</f>
        <v>HOPITAL GENERAL MAFERE</v>
      </c>
      <c r="E571" s="14" t="str">
        <f>SUBSTITUTE(Base_report!E570,"-","/")</f>
        <v>PNLS/TESTS RAPIDES ET CONSOMMABLES</v>
      </c>
      <c r="F571" s="14" t="s">
        <v>788</v>
      </c>
      <c r="G571" s="16">
        <f>DATE(YEAR(SUBSTITUTE(LEFT(Base_report!F570,10),"-","/")),MONTH(SUBSTITUTE(LEFT(Base_report!F570,10),"-","/")),DAY(SUBSTITUTE(LEFT(Base_report!F570,10),"-","/")))</f>
        <v>45297</v>
      </c>
      <c r="H571" s="16">
        <f>DATE(YEAR(SUBSTITUTE(LEFT(Base_report!G570,10),"-","/")),MONTH(SUBSTITUTE(LEFT(Base_report!G570,10),"-","/")),DAY(SUBSTITUTE(LEFT(Base_report!G570,10),"-","/")))</f>
        <v>45297</v>
      </c>
      <c r="I571" s="17" t="str">
        <f t="shared" si="1"/>
        <v>OUI</v>
      </c>
      <c r="J571" s="18">
        <f>IF(L571="DS",DATE(RIGHT(B571,4),VLOOKUP(LEFT(B571,LEN(B571)-5),Feuil1!$E$3:$F$19,2,FALSE)+1,10),DATE(RIGHT(B571,4),VLOOKUP(LEFT(B571,LEN(B571)-5),Feuil1!$E$3:$F$19,2,FALSE)+1,7))</f>
        <v>45298</v>
      </c>
      <c r="K571" s="19">
        <f t="shared" si="2"/>
        <v>1</v>
      </c>
      <c r="L571" s="6" t="str">
        <f t="shared" si="3"/>
        <v>FS</v>
      </c>
    </row>
    <row r="572" ht="14.25" customHeight="1">
      <c r="A572" s="14" t="str">
        <f>Base_report!A571</f>
        <v>GUEMON</v>
      </c>
      <c r="B572" s="14" t="str">
        <f>Base_report!B571</f>
        <v>DECEMBRE 2023</v>
      </c>
      <c r="C572" s="15" t="str">
        <f>Base_report!C571</f>
        <v>C5020</v>
      </c>
      <c r="D572" s="14" t="str">
        <f>TRIM(IF(ISNUMBER(FIND("PNSME",Base_report!D571,1)),SUBSTITUTE(Base_report!D571,"PNSME",""),IF(ISNUMBER(FIND("PHG",Base_report!D571,1)),SUBSTITUTE(Base_report!D571,"PHG",""),IF(ISNUMBER(FIND("PCS",Base_report!D571,1)),SUBSTITUTE(Base_report!D571,"PCS",""),IF(ISNUMBER(FIND("CMU",Base_report!D571,1)),SUBSTITUTE(Base_report!D571,"CMU",""),Base_report!D571)))))</f>
        <v>HOPITAL GENERAL KOUIBLY</v>
      </c>
      <c r="E572" s="14" t="str">
        <f>SUBSTITUTE(Base_report!E571,"-","/")</f>
        <v>PNN/MEDICAMENTS ET INTRANTS</v>
      </c>
      <c r="F572" s="14" t="s">
        <v>788</v>
      </c>
      <c r="G572" s="16">
        <f>DATE(YEAR(SUBSTITUTE(LEFT(Base_report!F571,10),"-","/")),MONTH(SUBSTITUTE(LEFT(Base_report!F571,10),"-","/")),DAY(SUBSTITUTE(LEFT(Base_report!F571,10),"-","/")))</f>
        <v>45296</v>
      </c>
      <c r="H572" s="16">
        <f>DATE(YEAR(SUBSTITUTE(LEFT(Base_report!G571,10),"-","/")),MONTH(SUBSTITUTE(LEFT(Base_report!G571,10),"-","/")),DAY(SUBSTITUTE(LEFT(Base_report!G571,10),"-","/")))</f>
        <v>45297</v>
      </c>
      <c r="I572" s="17" t="str">
        <f t="shared" si="1"/>
        <v>OUI</v>
      </c>
      <c r="J572" s="18">
        <f>IF(L572="DS",DATE(RIGHT(B572,4),VLOOKUP(LEFT(B572,LEN(B572)-5),Feuil1!$E$3:$F$19,2,FALSE)+1,10),DATE(RIGHT(B572,4),VLOOKUP(LEFT(B572,LEN(B572)-5),Feuil1!$E$3:$F$19,2,FALSE)+1,7))</f>
        <v>45298</v>
      </c>
      <c r="K572" s="19">
        <f t="shared" si="2"/>
        <v>1</v>
      </c>
      <c r="L572" s="6" t="str">
        <f t="shared" si="3"/>
        <v>FS</v>
      </c>
    </row>
    <row r="573" ht="14.25" customHeight="1">
      <c r="A573" s="14" t="str">
        <f>Base_report!A572</f>
        <v>GUEMON</v>
      </c>
      <c r="B573" s="14" t="str">
        <f>Base_report!B572</f>
        <v>DECEMBRE 2023</v>
      </c>
      <c r="C573" s="15" t="str">
        <f>Base_report!C572</f>
        <v>C5020</v>
      </c>
      <c r="D573" s="14" t="str">
        <f>TRIM(IF(ISNUMBER(FIND("PNSME",Base_report!D572,1)),SUBSTITUTE(Base_report!D572,"PNSME",""),IF(ISNUMBER(FIND("PHG",Base_report!D572,1)),SUBSTITUTE(Base_report!D572,"PHG",""),IF(ISNUMBER(FIND("PCS",Base_report!D572,1)),SUBSTITUTE(Base_report!D572,"PCS",""),IF(ISNUMBER(FIND("CMU",Base_report!D572,1)),SUBSTITUTE(Base_report!D572,"CMU",""),Base_report!D572)))))</f>
        <v>HOPITAL GENERAL KOUIBLY</v>
      </c>
      <c r="E573" s="14" t="str">
        <f>SUBSTITUTE(Base_report!E572,"-","/")</f>
        <v>PNSME/MEDICAMENTS ET INTRANTS</v>
      </c>
      <c r="F573" s="14" t="s">
        <v>788</v>
      </c>
      <c r="G573" s="16">
        <f>DATE(YEAR(SUBSTITUTE(LEFT(Base_report!F572,10),"-","/")),MONTH(SUBSTITUTE(LEFT(Base_report!F572,10),"-","/")),DAY(SUBSTITUTE(LEFT(Base_report!F572,10),"-","/")))</f>
        <v>45293</v>
      </c>
      <c r="H573" s="16">
        <f>DATE(YEAR(SUBSTITUTE(LEFT(Base_report!G572,10),"-","/")),MONTH(SUBSTITUTE(LEFT(Base_report!G572,10),"-","/")),DAY(SUBSTITUTE(LEFT(Base_report!G572,10),"-","/")))</f>
        <v>45297</v>
      </c>
      <c r="I573" s="17" t="str">
        <f t="shared" si="1"/>
        <v>OUI</v>
      </c>
      <c r="J573" s="18">
        <f>IF(L573="DS",DATE(RIGHT(B573,4),VLOOKUP(LEFT(B573,LEN(B573)-5),Feuil1!$E$3:$F$19,2,FALSE)+1,10),DATE(RIGHT(B573,4),VLOOKUP(LEFT(B573,LEN(B573)-5),Feuil1!$E$3:$F$19,2,FALSE)+1,7))</f>
        <v>45298</v>
      </c>
      <c r="K573" s="19">
        <f t="shared" si="2"/>
        <v>1</v>
      </c>
      <c r="L573" s="6" t="str">
        <f t="shared" si="3"/>
        <v>FS</v>
      </c>
    </row>
    <row r="574" ht="14.25" customHeight="1">
      <c r="A574" s="14" t="str">
        <f>Base_report!A573</f>
        <v>GUEMON</v>
      </c>
      <c r="B574" s="14" t="str">
        <f>Base_report!B573</f>
        <v>DECEMBRE 2023</v>
      </c>
      <c r="C574" s="15" t="str">
        <f>Base_report!C573</f>
        <v>C5020</v>
      </c>
      <c r="D574" s="14" t="str">
        <f>TRIM(IF(ISNUMBER(FIND("PNSME",Base_report!D573,1)),SUBSTITUTE(Base_report!D573,"PNSME",""),IF(ISNUMBER(FIND("PHG",Base_report!D573,1)),SUBSTITUTE(Base_report!D573,"PHG",""),IF(ISNUMBER(FIND("PCS",Base_report!D573,1)),SUBSTITUTE(Base_report!D573,"PCS",""),IF(ISNUMBER(FIND("CMU",Base_report!D573,1)),SUBSTITUTE(Base_report!D573,"CMU",""),Base_report!D573)))))</f>
        <v>HOPITAL GENERAL KOUIBLY</v>
      </c>
      <c r="E574" s="14" t="str">
        <f>SUBSTITUTE(Base_report!E573,"-","/")</f>
        <v>PNLP/MEDICAMENTS ET INTRANTS</v>
      </c>
      <c r="F574" s="14" t="s">
        <v>788</v>
      </c>
      <c r="G574" s="16">
        <f>DATE(YEAR(SUBSTITUTE(LEFT(Base_report!F573,10),"-","/")),MONTH(SUBSTITUTE(LEFT(Base_report!F573,10),"-","/")),DAY(SUBSTITUTE(LEFT(Base_report!F573,10),"-","/")))</f>
        <v>45296</v>
      </c>
      <c r="H574" s="16">
        <f>DATE(YEAR(SUBSTITUTE(LEFT(Base_report!G573,10),"-","/")),MONTH(SUBSTITUTE(LEFT(Base_report!G573,10),"-","/")),DAY(SUBSTITUTE(LEFT(Base_report!G573,10),"-","/")))</f>
        <v>45297</v>
      </c>
      <c r="I574" s="17" t="str">
        <f t="shared" si="1"/>
        <v>OUI</v>
      </c>
      <c r="J574" s="18">
        <f>IF(L574="DS",DATE(RIGHT(B574,4),VLOOKUP(LEFT(B574,LEN(B574)-5),Feuil1!$E$3:$F$19,2,FALSE)+1,10),DATE(RIGHT(B574,4),VLOOKUP(LEFT(B574,LEN(B574)-5),Feuil1!$E$3:$F$19,2,FALSE)+1,7))</f>
        <v>45298</v>
      </c>
      <c r="K574" s="19">
        <f t="shared" si="2"/>
        <v>1</v>
      </c>
      <c r="L574" s="6" t="str">
        <f t="shared" si="3"/>
        <v>FS</v>
      </c>
    </row>
    <row r="575" ht="14.25" customHeight="1">
      <c r="A575" s="14" t="str">
        <f>Base_report!A574</f>
        <v>KABADOUGOU</v>
      </c>
      <c r="B575" s="14" t="str">
        <f>Base_report!B574</f>
        <v>DECEMBRE 2023</v>
      </c>
      <c r="C575" s="15" t="str">
        <f>Base_report!C574</f>
        <v>C5003</v>
      </c>
      <c r="D575" s="14" t="str">
        <f>TRIM(IF(ISNUMBER(FIND("PNSME",Base_report!D574,1)),SUBSTITUTE(Base_report!D574,"PNSME",""),IF(ISNUMBER(FIND("PHG",Base_report!D574,1)),SUBSTITUTE(Base_report!D574,"PHG",""),IF(ISNUMBER(FIND("PCS",Base_report!D574,1)),SUBSTITUTE(Base_report!D574,"PCS",""),IF(ISNUMBER(FIND("CMU",Base_report!D574,1)),SUBSTITUTE(Base_report!D574,"CMU",""),Base_report!D574)))))</f>
        <v>CHR ODIENNE</v>
      </c>
      <c r="E575" s="14" t="str">
        <f>SUBSTITUTE(Base_report!E574,"-","/")</f>
        <v>PNLS/CHARGES VIRALES</v>
      </c>
      <c r="F575" s="14" t="s">
        <v>788</v>
      </c>
      <c r="G575" s="16">
        <f>DATE(YEAR(SUBSTITUTE(LEFT(Base_report!F574,10),"-","/")),MONTH(SUBSTITUTE(LEFT(Base_report!F574,10),"-","/")),DAY(SUBSTITUTE(LEFT(Base_report!F574,10),"-","/")))</f>
        <v>45296</v>
      </c>
      <c r="H575" s="16">
        <f>DATE(YEAR(SUBSTITUTE(LEFT(Base_report!G574,10),"-","/")),MONTH(SUBSTITUTE(LEFT(Base_report!G574,10),"-","/")),DAY(SUBSTITUTE(LEFT(Base_report!G574,10),"-","/")))</f>
        <v>45297</v>
      </c>
      <c r="I575" s="17" t="str">
        <f t="shared" si="1"/>
        <v>OUI</v>
      </c>
      <c r="J575" s="18">
        <f>IF(L575="DS",DATE(RIGHT(B575,4),VLOOKUP(LEFT(B575,LEN(B575)-5),Feuil1!$E$3:$F$19,2,FALSE)+1,10),DATE(RIGHT(B575,4),VLOOKUP(LEFT(B575,LEN(B575)-5),Feuil1!$E$3:$F$19,2,FALSE)+1,7))</f>
        <v>45298</v>
      </c>
      <c r="K575" s="19">
        <f t="shared" si="2"/>
        <v>1</v>
      </c>
      <c r="L575" s="6" t="str">
        <f t="shared" si="3"/>
        <v>FS</v>
      </c>
    </row>
    <row r="576" ht="14.25" customHeight="1">
      <c r="A576" s="14" t="str">
        <f>Base_report!A575</f>
        <v>SUD-COMOE</v>
      </c>
      <c r="B576" s="14" t="str">
        <f>Base_report!B575</f>
        <v>DECEMBRE 2023</v>
      </c>
      <c r="C576" s="15" t="str">
        <f>Base_report!C575</f>
        <v>C1008</v>
      </c>
      <c r="D576" s="14" t="str">
        <f>TRIM(IF(ISNUMBER(FIND("PNSME",Base_report!D575,1)),SUBSTITUTE(Base_report!D575,"PNSME",""),IF(ISNUMBER(FIND("PHG",Base_report!D575,1)),SUBSTITUTE(Base_report!D575,"PHG",""),IF(ISNUMBER(FIND("PCS",Base_report!D575,1)),SUBSTITUTE(Base_report!D575,"PCS",""),IF(ISNUMBER(FIND("CMU",Base_report!D575,1)),SUBSTITUTE(Base_report!D575,"CMU",""),Base_report!D575)))))</f>
        <v>HOPITAL GENERAL MAFERE</v>
      </c>
      <c r="E576" s="14" t="str">
        <f>SUBSTITUTE(Base_report!E575,"-","/")</f>
        <v>PNLS/PRODUITS DE LABORATOIRE</v>
      </c>
      <c r="F576" s="14" t="s">
        <v>788</v>
      </c>
      <c r="G576" s="16">
        <f>DATE(YEAR(SUBSTITUTE(LEFT(Base_report!F575,10),"-","/")),MONTH(SUBSTITUTE(LEFT(Base_report!F575,10),"-","/")),DAY(SUBSTITUTE(LEFT(Base_report!F575,10),"-","/")))</f>
        <v>45297</v>
      </c>
      <c r="H576" s="16">
        <f>DATE(YEAR(SUBSTITUTE(LEFT(Base_report!G575,10),"-","/")),MONTH(SUBSTITUTE(LEFT(Base_report!G575,10),"-","/")),DAY(SUBSTITUTE(LEFT(Base_report!G575,10),"-","/")))</f>
        <v>45297</v>
      </c>
      <c r="I576" s="17" t="str">
        <f t="shared" si="1"/>
        <v>OUI</v>
      </c>
      <c r="J576" s="18">
        <f>IF(L576="DS",DATE(RIGHT(B576,4),VLOOKUP(LEFT(B576,LEN(B576)-5),Feuil1!$E$3:$F$19,2,FALSE)+1,10),DATE(RIGHT(B576,4),VLOOKUP(LEFT(B576,LEN(B576)-5),Feuil1!$E$3:$F$19,2,FALSE)+1,7))</f>
        <v>45298</v>
      </c>
      <c r="K576" s="19">
        <f t="shared" si="2"/>
        <v>1</v>
      </c>
      <c r="L576" s="6" t="str">
        <f t="shared" si="3"/>
        <v>FS</v>
      </c>
    </row>
    <row r="577" ht="14.25" customHeight="1">
      <c r="A577" s="14" t="str">
        <f>Base_report!A576</f>
        <v>INDENIE-DJUABLIN</v>
      </c>
      <c r="B577" s="14" t="str">
        <f>Base_report!B576</f>
        <v>DECEMBRE 2023</v>
      </c>
      <c r="C577" s="15" t="str">
        <f>Base_report!C576</f>
        <v>C4014</v>
      </c>
      <c r="D577" s="14" t="str">
        <f>TRIM(IF(ISNUMBER(FIND("PNSME",Base_report!D576,1)),SUBSTITUTE(Base_report!D576,"PNSME",""),IF(ISNUMBER(FIND("PHG",Base_report!D576,1)),SUBSTITUTE(Base_report!D576,"PHG",""),IF(ISNUMBER(FIND("PCS",Base_report!D576,1)),SUBSTITUTE(Base_report!D576,"PCS",""),IF(ISNUMBER(FIND("CMU",Base_report!D576,1)),SUBSTITUTE(Base_report!D576,"CMU",""),Base_report!D576)))))</f>
        <v>HOPITAL GENERAL AGNIBILEKROU</v>
      </c>
      <c r="E577" s="14" t="str">
        <f>SUBSTITUTE(Base_report!E576,"-","/")</f>
        <v>PNLS/TESTS RAPIDES ET CONSOMMABLES</v>
      </c>
      <c r="F577" s="14" t="s">
        <v>788</v>
      </c>
      <c r="G577" s="16">
        <f>DATE(YEAR(SUBSTITUTE(LEFT(Base_report!F576,10),"-","/")),MONTH(SUBSTITUTE(LEFT(Base_report!F576,10),"-","/")),DAY(SUBSTITUTE(LEFT(Base_report!F576,10),"-","/")))</f>
        <v>45296</v>
      </c>
      <c r="H577" s="16">
        <f>DATE(YEAR(SUBSTITUTE(LEFT(Base_report!G576,10),"-","/")),MONTH(SUBSTITUTE(LEFT(Base_report!G576,10),"-","/")),DAY(SUBSTITUTE(LEFT(Base_report!G576,10),"-","/")))</f>
        <v>45296</v>
      </c>
      <c r="I577" s="17" t="str">
        <f t="shared" si="1"/>
        <v>OUI</v>
      </c>
      <c r="J577" s="18">
        <f>IF(L577="DS",DATE(RIGHT(B577,4),VLOOKUP(LEFT(B577,LEN(B577)-5),Feuil1!$E$3:$F$19,2,FALSE)+1,10),DATE(RIGHT(B577,4),VLOOKUP(LEFT(B577,LEN(B577)-5),Feuil1!$E$3:$F$19,2,FALSE)+1,7))</f>
        <v>45298</v>
      </c>
      <c r="K577" s="19">
        <f t="shared" si="2"/>
        <v>1</v>
      </c>
      <c r="L577" s="6" t="str">
        <f t="shared" si="3"/>
        <v>FS</v>
      </c>
    </row>
    <row r="578" ht="14.25" customHeight="1">
      <c r="A578" s="14" t="str">
        <f>Base_report!A577</f>
        <v>ME</v>
      </c>
      <c r="B578" s="14" t="str">
        <f>Base_report!B577</f>
        <v>DECEMBRE 2023</v>
      </c>
      <c r="C578" s="15" t="str">
        <f>Base_report!C577</f>
        <v>C4090</v>
      </c>
      <c r="D578" s="14" t="str">
        <f>TRIM(IF(ISNUMBER(FIND("PNSME",Base_report!D577,1)),SUBSTITUTE(Base_report!D577,"PNSME",""),IF(ISNUMBER(FIND("PHG",Base_report!D577,1)),SUBSTITUTE(Base_report!D577,"PHG",""),IF(ISNUMBER(FIND("PCS",Base_report!D577,1)),SUBSTITUTE(Base_report!D577,"PCS",""),IF(ISNUMBER(FIND("CMU",Base_report!D577,1)),SUBSTITUTE(Base_report!D577,"CMU",""),Base_report!D577)))))</f>
        <v>CHR ADZOPE</v>
      </c>
      <c r="E578" s="14" t="str">
        <f>SUBSTITUTE(Base_report!E577,"-","/")</f>
        <v>PNLS/CHARGES VIRALES</v>
      </c>
      <c r="F578" s="14" t="s">
        <v>788</v>
      </c>
      <c r="G578" s="16">
        <f>DATE(YEAR(SUBSTITUTE(LEFT(Base_report!F577,10),"-","/")),MONTH(SUBSTITUTE(LEFT(Base_report!F577,10),"-","/")),DAY(SUBSTITUTE(LEFT(Base_report!F577,10),"-","/")))</f>
        <v>45296</v>
      </c>
      <c r="H578" s="16">
        <f>DATE(YEAR(SUBSTITUTE(LEFT(Base_report!G577,10),"-","/")),MONTH(SUBSTITUTE(LEFT(Base_report!G577,10),"-","/")),DAY(SUBSTITUTE(LEFT(Base_report!G577,10),"-","/")))</f>
        <v>45297</v>
      </c>
      <c r="I578" s="17" t="str">
        <f t="shared" si="1"/>
        <v>OUI</v>
      </c>
      <c r="J578" s="18">
        <f>IF(L578="DS",DATE(RIGHT(B578,4),VLOOKUP(LEFT(B578,LEN(B578)-5),Feuil1!$E$3:$F$19,2,FALSE)+1,10),DATE(RIGHT(B578,4),VLOOKUP(LEFT(B578,LEN(B578)-5),Feuil1!$E$3:$F$19,2,FALSE)+1,7))</f>
        <v>45298</v>
      </c>
      <c r="K578" s="19">
        <f t="shared" si="2"/>
        <v>1</v>
      </c>
      <c r="L578" s="6" t="str">
        <f t="shared" si="3"/>
        <v>FS</v>
      </c>
    </row>
    <row r="579" ht="14.25" customHeight="1">
      <c r="A579" s="14" t="str">
        <f>Base_report!A578</f>
        <v>ME</v>
      </c>
      <c r="B579" s="14" t="str">
        <f>Base_report!B578</f>
        <v>DECEMBRE 2023</v>
      </c>
      <c r="C579" s="15" t="str">
        <f>Base_report!C578</f>
        <v>C4090</v>
      </c>
      <c r="D579" s="14" t="str">
        <f>TRIM(IF(ISNUMBER(FIND("PNSME",Base_report!D578,1)),SUBSTITUTE(Base_report!D578,"PNSME",""),IF(ISNUMBER(FIND("PHG",Base_report!D578,1)),SUBSTITUTE(Base_report!D578,"PHG",""),IF(ISNUMBER(FIND("PCS",Base_report!D578,1)),SUBSTITUTE(Base_report!D578,"PCS",""),IF(ISNUMBER(FIND("CMU",Base_report!D578,1)),SUBSTITUTE(Base_report!D578,"CMU",""),Base_report!D578)))))</f>
        <v>CHR ADZOPE</v>
      </c>
      <c r="E579" s="14" t="str">
        <f>SUBSTITUTE(Base_report!E578,"-","/")</f>
        <v>PNLS/PRODUITS DE LABORATOIRE</v>
      </c>
      <c r="F579" s="14" t="s">
        <v>788</v>
      </c>
      <c r="G579" s="16">
        <f>DATE(YEAR(SUBSTITUTE(LEFT(Base_report!F578,10),"-","/")),MONTH(SUBSTITUTE(LEFT(Base_report!F578,10),"-","/")),DAY(SUBSTITUTE(LEFT(Base_report!F578,10),"-","/")))</f>
        <v>45297</v>
      </c>
      <c r="H579" s="16">
        <f>DATE(YEAR(SUBSTITUTE(LEFT(Base_report!G578,10),"-","/")),MONTH(SUBSTITUTE(LEFT(Base_report!G578,10),"-","/")),DAY(SUBSTITUTE(LEFT(Base_report!G578,10),"-","/")))</f>
        <v>45297</v>
      </c>
      <c r="I579" s="17" t="str">
        <f t="shared" si="1"/>
        <v>OUI</v>
      </c>
      <c r="J579" s="18">
        <f>IF(L579="DS",DATE(RIGHT(B579,4),VLOOKUP(LEFT(B579,LEN(B579)-5),Feuil1!$E$3:$F$19,2,FALSE)+1,10),DATE(RIGHT(B579,4),VLOOKUP(LEFT(B579,LEN(B579)-5),Feuil1!$E$3:$F$19,2,FALSE)+1,7))</f>
        <v>45298</v>
      </c>
      <c r="K579" s="19">
        <f t="shared" si="2"/>
        <v>1</v>
      </c>
      <c r="L579" s="6" t="str">
        <f t="shared" si="3"/>
        <v>FS</v>
      </c>
    </row>
    <row r="580" ht="14.25" customHeight="1">
      <c r="A580" s="14" t="str">
        <f>Base_report!A579</f>
        <v>ME</v>
      </c>
      <c r="B580" s="14" t="str">
        <f>Base_report!B579</f>
        <v>DECEMBRE 2023</v>
      </c>
      <c r="C580" s="15" t="str">
        <f>Base_report!C579</f>
        <v>C4090</v>
      </c>
      <c r="D580" s="14" t="str">
        <f>TRIM(IF(ISNUMBER(FIND("PNSME",Base_report!D579,1)),SUBSTITUTE(Base_report!D579,"PNSME",""),IF(ISNUMBER(FIND("PHG",Base_report!D579,1)),SUBSTITUTE(Base_report!D579,"PHG",""),IF(ISNUMBER(FIND("PCS",Base_report!D579,1)),SUBSTITUTE(Base_report!D579,"PCS",""),IF(ISNUMBER(FIND("CMU",Base_report!D579,1)),SUBSTITUTE(Base_report!D579,"CMU",""),Base_report!D579)))))</f>
        <v>CHR ADZOPE</v>
      </c>
      <c r="E580" s="14" t="str">
        <f>SUBSTITUTE(Base_report!E579,"-","/")</f>
        <v>PNLS/TESTS RAPIDES ET CONSOMMABLES</v>
      </c>
      <c r="F580" s="14" t="s">
        <v>788</v>
      </c>
      <c r="G580" s="16">
        <f>DATE(YEAR(SUBSTITUTE(LEFT(Base_report!F579,10),"-","/")),MONTH(SUBSTITUTE(LEFT(Base_report!F579,10),"-","/")),DAY(SUBSTITUTE(LEFT(Base_report!F579,10),"-","/")))</f>
        <v>45296</v>
      </c>
      <c r="H580" s="16">
        <f>DATE(YEAR(SUBSTITUTE(LEFT(Base_report!G579,10),"-","/")),MONTH(SUBSTITUTE(LEFT(Base_report!G579,10),"-","/")),DAY(SUBSTITUTE(LEFT(Base_report!G579,10),"-","/")))</f>
        <v>45297</v>
      </c>
      <c r="I580" s="17" t="str">
        <f t="shared" si="1"/>
        <v>OUI</v>
      </c>
      <c r="J580" s="18">
        <f>IF(L580="DS",DATE(RIGHT(B580,4),VLOOKUP(LEFT(B580,LEN(B580)-5),Feuil1!$E$3:$F$19,2,FALSE)+1,10),DATE(RIGHT(B580,4),VLOOKUP(LEFT(B580,LEN(B580)-5),Feuil1!$E$3:$F$19,2,FALSE)+1,7))</f>
        <v>45298</v>
      </c>
      <c r="K580" s="19">
        <f t="shared" si="2"/>
        <v>1</v>
      </c>
      <c r="L580" s="6" t="str">
        <f t="shared" si="3"/>
        <v>FS</v>
      </c>
    </row>
    <row r="581" ht="14.25" customHeight="1">
      <c r="A581" s="14" t="str">
        <f>Base_report!A580</f>
        <v>KABADOUGOU</v>
      </c>
      <c r="B581" s="14" t="str">
        <f>Base_report!B580</f>
        <v>DECEMBRE 2023</v>
      </c>
      <c r="C581" s="15" t="str">
        <f>Base_report!C580</f>
        <v>C5003</v>
      </c>
      <c r="D581" s="14" t="str">
        <f>TRIM(IF(ISNUMBER(FIND("PNSME",Base_report!D580,1)),SUBSTITUTE(Base_report!D580,"PNSME",""),IF(ISNUMBER(FIND("PHG",Base_report!D580,1)),SUBSTITUTE(Base_report!D580,"PHG",""),IF(ISNUMBER(FIND("PCS",Base_report!D580,1)),SUBSTITUTE(Base_report!D580,"PCS",""),IF(ISNUMBER(FIND("CMU",Base_report!D580,1)),SUBSTITUTE(Base_report!D580,"CMU",""),Base_report!D580)))))</f>
        <v>CHR ODIENNE</v>
      </c>
      <c r="E581" s="14" t="str">
        <f>SUBSTITUTE(Base_report!E580,"-","/")</f>
        <v>PNLS/ANTIRETROVIRAUX ET IO</v>
      </c>
      <c r="F581" s="14" t="s">
        <v>788</v>
      </c>
      <c r="G581" s="16">
        <f>DATE(YEAR(SUBSTITUTE(LEFT(Base_report!F580,10),"-","/")),MONTH(SUBSTITUTE(LEFT(Base_report!F580,10),"-","/")),DAY(SUBSTITUTE(LEFT(Base_report!F580,10),"-","/")))</f>
        <v>45296</v>
      </c>
      <c r="H581" s="16">
        <f>DATE(YEAR(SUBSTITUTE(LEFT(Base_report!G580,10),"-","/")),MONTH(SUBSTITUTE(LEFT(Base_report!G580,10),"-","/")),DAY(SUBSTITUTE(LEFT(Base_report!G580,10),"-","/")))</f>
        <v>45297</v>
      </c>
      <c r="I581" s="17" t="str">
        <f t="shared" si="1"/>
        <v>OUI</v>
      </c>
      <c r="J581" s="18">
        <f>IF(L581="DS",DATE(RIGHT(B581,4),VLOOKUP(LEFT(B581,LEN(B581)-5),Feuil1!$E$3:$F$19,2,FALSE)+1,10),DATE(RIGHT(B581,4),VLOOKUP(LEFT(B581,LEN(B581)-5),Feuil1!$E$3:$F$19,2,FALSE)+1,7))</f>
        <v>45298</v>
      </c>
      <c r="K581" s="19">
        <f t="shared" si="2"/>
        <v>1</v>
      </c>
      <c r="L581" s="6" t="str">
        <f t="shared" si="3"/>
        <v>FS</v>
      </c>
    </row>
    <row r="582" ht="14.25" customHeight="1">
      <c r="A582" s="14" t="str">
        <f>Base_report!A581</f>
        <v>GBEKE</v>
      </c>
      <c r="B582" s="14" t="str">
        <f>Base_report!B581</f>
        <v>DECEMBRE 2023</v>
      </c>
      <c r="C582" s="15" t="str">
        <f>Base_report!C581</f>
        <v>C2047</v>
      </c>
      <c r="D582" s="14" t="str">
        <f>TRIM(IF(ISNUMBER(FIND("PNSME",Base_report!D581,1)),SUBSTITUTE(Base_report!D581,"PNSME",""),IF(ISNUMBER(FIND("PHG",Base_report!D581,1)),SUBSTITUTE(Base_report!D581,"PHG",""),IF(ISNUMBER(FIND("PCS",Base_report!D581,1)),SUBSTITUTE(Base_report!D581,"PCS",""),IF(ISNUMBER(FIND("CMU",Base_report!D581,1)),SUBSTITUTE(Base_report!D581,"CMU",""),Base_report!D581)))))</f>
        <v>HOPITAL GENERAL BEOUMI</v>
      </c>
      <c r="E582" s="14" t="str">
        <f>SUBSTITUTE(Base_report!E581,"-","/")</f>
        <v>PNLS/ANTIRETROVIRAUX ET IO</v>
      </c>
      <c r="F582" s="14" t="s">
        <v>788</v>
      </c>
      <c r="G582" s="16">
        <f>DATE(YEAR(SUBSTITUTE(LEFT(Base_report!F581,10),"-","/")),MONTH(SUBSTITUTE(LEFT(Base_report!F581,10),"-","/")),DAY(SUBSTITUTE(LEFT(Base_report!F581,10),"-","/")))</f>
        <v>45296</v>
      </c>
      <c r="H582" s="16">
        <f>DATE(YEAR(SUBSTITUTE(LEFT(Base_report!G581,10),"-","/")),MONTH(SUBSTITUTE(LEFT(Base_report!G581,10),"-","/")),DAY(SUBSTITUTE(LEFT(Base_report!G581,10),"-","/")))</f>
        <v>45297</v>
      </c>
      <c r="I582" s="17" t="str">
        <f t="shared" si="1"/>
        <v>OUI</v>
      </c>
      <c r="J582" s="18">
        <f>IF(L582="DS",DATE(RIGHT(B582,4),VLOOKUP(LEFT(B582,LEN(B582)-5),Feuil1!$E$3:$F$19,2,FALSE)+1,10),DATE(RIGHT(B582,4),VLOOKUP(LEFT(B582,LEN(B582)-5),Feuil1!$E$3:$F$19,2,FALSE)+1,7))</f>
        <v>45298</v>
      </c>
      <c r="K582" s="19">
        <f t="shared" si="2"/>
        <v>1</v>
      </c>
      <c r="L582" s="6" t="str">
        <f t="shared" si="3"/>
        <v>FS</v>
      </c>
    </row>
    <row r="583" ht="14.25" customHeight="1">
      <c r="A583" s="14" t="str">
        <f>Base_report!A582</f>
        <v>ME</v>
      </c>
      <c r="B583" s="14" t="str">
        <f>Base_report!B582</f>
        <v>DECEMBRE 2023</v>
      </c>
      <c r="C583" s="15" t="str">
        <f>Base_report!C582</f>
        <v>C4061</v>
      </c>
      <c r="D583" s="14" t="str">
        <f>TRIM(IF(ISNUMBER(FIND("PNSME",Base_report!D582,1)),SUBSTITUTE(Base_report!D582,"PNSME",""),IF(ISNUMBER(FIND("PHG",Base_report!D582,1)),SUBSTITUTE(Base_report!D582,"PHG",""),IF(ISNUMBER(FIND("PCS",Base_report!D582,1)),SUBSTITUTE(Base_report!D582,"PCS",""),IF(ISNUMBER(FIND("CMU",Base_report!D582,1)),SUBSTITUTE(Base_report!D582,"CMU",""),Base_report!D582)))))</f>
        <v>HOPITAL GENERAL YAKASSE ATTOBROU</v>
      </c>
      <c r="E583" s="14" t="str">
        <f>SUBSTITUTE(Base_report!E582,"-","/")</f>
        <v>PNLP/MEDICAMENTS ET INTRANTS</v>
      </c>
      <c r="F583" s="14" t="s">
        <v>788</v>
      </c>
      <c r="G583" s="16">
        <f>DATE(YEAR(SUBSTITUTE(LEFT(Base_report!F582,10),"-","/")),MONTH(SUBSTITUTE(LEFT(Base_report!F582,10),"-","/")),DAY(SUBSTITUTE(LEFT(Base_report!F582,10),"-","/")))</f>
        <v>45296</v>
      </c>
      <c r="H583" s="16">
        <f>DATE(YEAR(SUBSTITUTE(LEFT(Base_report!G582,10),"-","/")),MONTH(SUBSTITUTE(LEFT(Base_report!G582,10),"-","/")),DAY(SUBSTITUTE(LEFT(Base_report!G582,10),"-","/")))</f>
        <v>45296</v>
      </c>
      <c r="I583" s="17" t="str">
        <f t="shared" si="1"/>
        <v>OUI</v>
      </c>
      <c r="J583" s="18">
        <f>IF(L583="DS",DATE(RIGHT(B583,4),VLOOKUP(LEFT(B583,LEN(B583)-5),Feuil1!$E$3:$F$19,2,FALSE)+1,10),DATE(RIGHT(B583,4),VLOOKUP(LEFT(B583,LEN(B583)-5),Feuil1!$E$3:$F$19,2,FALSE)+1,7))</f>
        <v>45298</v>
      </c>
      <c r="K583" s="19">
        <f t="shared" si="2"/>
        <v>1</v>
      </c>
      <c r="L583" s="6" t="str">
        <f t="shared" si="3"/>
        <v>FS</v>
      </c>
    </row>
    <row r="584" ht="14.25" customHeight="1">
      <c r="A584" s="14" t="str">
        <f>Base_report!A583</f>
        <v>BAFING</v>
      </c>
      <c r="B584" s="14" t="str">
        <f>Base_report!B583</f>
        <v>DECEMBRE 2023</v>
      </c>
      <c r="C584" s="15" t="str">
        <f>Base_report!C583</f>
        <v>C5078</v>
      </c>
      <c r="D584" s="14" t="str">
        <f>TRIM(IF(ISNUMBER(FIND("PNSME",Base_report!D583,1)),SUBSTITUTE(Base_report!D583,"PNSME",""),IF(ISNUMBER(FIND("PHG",Base_report!D583,1)),SUBSTITUTE(Base_report!D583,"PHG",""),IF(ISNUMBER(FIND("PCS",Base_report!D583,1)),SUBSTITUTE(Base_report!D583,"PCS",""),IF(ISNUMBER(FIND("CMU",Base_report!D583,1)),SUBSTITUTE(Base_report!D583,"CMU",""),Base_report!D583)))))</f>
        <v>HOPITAL GENERAL OUANINOU</v>
      </c>
      <c r="E584" s="14" t="str">
        <f>SUBSTITUTE(Base_report!E583,"-","/")</f>
        <v>PNLS/TESTS RAPIDES ET CONSOMMABLES</v>
      </c>
      <c r="F584" s="14" t="s">
        <v>788</v>
      </c>
      <c r="G584" s="16">
        <f>DATE(YEAR(SUBSTITUTE(LEFT(Base_report!F583,10),"-","/")),MONTH(SUBSTITUTE(LEFT(Base_report!F583,10),"-","/")),DAY(SUBSTITUTE(LEFT(Base_report!F583,10),"-","/")))</f>
        <v>45298</v>
      </c>
      <c r="H584" s="16">
        <f>DATE(YEAR(SUBSTITUTE(LEFT(Base_report!G583,10),"-","/")),MONTH(SUBSTITUTE(LEFT(Base_report!G583,10),"-","/")),DAY(SUBSTITUTE(LEFT(Base_report!G583,10),"-","/")))</f>
        <v>45298</v>
      </c>
      <c r="I584" s="17" t="str">
        <f t="shared" si="1"/>
        <v>OUI</v>
      </c>
      <c r="J584" s="18">
        <f>IF(L584="DS",DATE(RIGHT(B584,4),VLOOKUP(LEFT(B584,LEN(B584)-5),Feuil1!$E$3:$F$19,2,FALSE)+1,10),DATE(RIGHT(B584,4),VLOOKUP(LEFT(B584,LEN(B584)-5),Feuil1!$E$3:$F$19,2,FALSE)+1,7))</f>
        <v>45298</v>
      </c>
      <c r="K584" s="19">
        <f t="shared" si="2"/>
        <v>1</v>
      </c>
      <c r="L584" s="6" t="str">
        <f t="shared" si="3"/>
        <v>FS</v>
      </c>
    </row>
    <row r="585" ht="14.25" customHeight="1">
      <c r="A585" s="14" t="str">
        <f>Base_report!A584</f>
        <v>NAWA</v>
      </c>
      <c r="B585" s="14" t="str">
        <f>Base_report!B584</f>
        <v>DECEMBRE 2023</v>
      </c>
      <c r="C585" s="15" t="str">
        <f>Base_report!C584</f>
        <v>C1411</v>
      </c>
      <c r="D585" s="14" t="str">
        <f>TRIM(IF(ISNUMBER(FIND("PNSME",Base_report!D584,1)),SUBSTITUTE(Base_report!D584,"PNSME",""),IF(ISNUMBER(FIND("PHG",Base_report!D584,1)),SUBSTITUTE(Base_report!D584,"PHG",""),IF(ISNUMBER(FIND("PCS",Base_report!D584,1)),SUBSTITUTE(Base_report!D584,"PCS",""),IF(ISNUMBER(FIND("CMU",Base_report!D584,1)),SUBSTITUTE(Base_report!D584,"CMU",""),Base_report!D584)))))</f>
        <v>FSU MEAGUI</v>
      </c>
      <c r="E585" s="14" t="str">
        <f>SUBSTITUTE(Base_report!E584,"-","/")</f>
        <v>PNLS/ANTIRETROVIRAUX ET IO</v>
      </c>
      <c r="F585" s="14" t="s">
        <v>788</v>
      </c>
      <c r="G585" s="16">
        <f>DATE(YEAR(SUBSTITUTE(LEFT(Base_report!F584,10),"-","/")),MONTH(SUBSTITUTE(LEFT(Base_report!F584,10),"-","/")),DAY(SUBSTITUTE(LEFT(Base_report!F584,10),"-","/")))</f>
        <v>45296</v>
      </c>
      <c r="H585" s="16">
        <f>DATE(YEAR(SUBSTITUTE(LEFT(Base_report!G584,10),"-","/")),MONTH(SUBSTITUTE(LEFT(Base_report!G584,10),"-","/")),DAY(SUBSTITUTE(LEFT(Base_report!G584,10),"-","/")))</f>
        <v>45296</v>
      </c>
      <c r="I585" s="17" t="str">
        <f t="shared" si="1"/>
        <v>OUI</v>
      </c>
      <c r="J585" s="18">
        <f>IF(L585="DS",DATE(RIGHT(B585,4),VLOOKUP(LEFT(B585,LEN(B585)-5),Feuil1!$E$3:$F$19,2,FALSE)+1,10),DATE(RIGHT(B585,4),VLOOKUP(LEFT(B585,LEN(B585)-5),Feuil1!$E$3:$F$19,2,FALSE)+1,7))</f>
        <v>45298</v>
      </c>
      <c r="K585" s="19">
        <f t="shared" si="2"/>
        <v>1</v>
      </c>
      <c r="L585" s="6" t="str">
        <f t="shared" si="3"/>
        <v>FS</v>
      </c>
    </row>
    <row r="586" ht="14.25" customHeight="1">
      <c r="A586" s="14" t="str">
        <f>Base_report!A585</f>
        <v>ABIDJAN 2</v>
      </c>
      <c r="B586" s="14" t="str">
        <f>Base_report!B585</f>
        <v>DECEMBRE 2023</v>
      </c>
      <c r="C586" s="15" t="str">
        <f>Base_report!C585</f>
        <v>C1056</v>
      </c>
      <c r="D586" s="14" t="str">
        <f>TRIM(IF(ISNUMBER(FIND("PNSME",Base_report!D585,1)),SUBSTITUTE(Base_report!D585,"PNSME",""),IF(ISNUMBER(FIND("PHG",Base_report!D585,1)),SUBSTITUTE(Base_report!D585,"PHG",""),IF(ISNUMBER(FIND("PCS",Base_report!D585,1)),SUBSTITUTE(Base_report!D585,"PCS",""),IF(ISNUMBER(FIND("CMU",Base_report!D585,1)),SUBSTITUTE(Base_report!D585,"CMU",""),Base_report!D585)))))</f>
        <v>FSU COCODY DISPENSAIRE</v>
      </c>
      <c r="E586" s="14" t="str">
        <f>SUBSTITUTE(Base_report!E585,"-","/")</f>
        <v>PNLP/MEDICAMENTS ET INTRANTS</v>
      </c>
      <c r="F586" s="14" t="s">
        <v>788</v>
      </c>
      <c r="G586" s="16">
        <f>DATE(YEAR(SUBSTITUTE(LEFT(Base_report!F585,10),"-","/")),MONTH(SUBSTITUTE(LEFT(Base_report!F585,10),"-","/")),DAY(SUBSTITUTE(LEFT(Base_report!F585,10),"-","/")))</f>
        <v>45293</v>
      </c>
      <c r="H586" s="16">
        <f>DATE(YEAR(SUBSTITUTE(LEFT(Base_report!G585,10),"-","/")),MONTH(SUBSTITUTE(LEFT(Base_report!G585,10),"-","/")),DAY(SUBSTITUTE(LEFT(Base_report!G585,10),"-","/")))</f>
        <v>45293</v>
      </c>
      <c r="I586" s="17" t="str">
        <f t="shared" si="1"/>
        <v>OUI</v>
      </c>
      <c r="J586" s="18">
        <f>IF(L586="DS",DATE(RIGHT(B586,4),VLOOKUP(LEFT(B586,LEN(B586)-5),Feuil1!$E$3:$F$19,2,FALSE)+1,10),DATE(RIGHT(B586,4),VLOOKUP(LEFT(B586,LEN(B586)-5),Feuil1!$E$3:$F$19,2,FALSE)+1,7))</f>
        <v>45298</v>
      </c>
      <c r="K586" s="19">
        <f t="shared" si="2"/>
        <v>1</v>
      </c>
      <c r="L586" s="6" t="str">
        <f t="shared" si="3"/>
        <v>FS</v>
      </c>
    </row>
    <row r="587" ht="14.25" customHeight="1">
      <c r="A587" s="14" t="str">
        <f>Base_report!A586</f>
        <v>ME</v>
      </c>
      <c r="B587" s="14" t="str">
        <f>Base_report!B586</f>
        <v>DECEMBRE 2023</v>
      </c>
      <c r="C587" s="15" t="str">
        <f>Base_report!C586</f>
        <v>C4061</v>
      </c>
      <c r="D587" s="14" t="str">
        <f>TRIM(IF(ISNUMBER(FIND("PNSME",Base_report!D586,1)),SUBSTITUTE(Base_report!D586,"PNSME",""),IF(ISNUMBER(FIND("PHG",Base_report!D586,1)),SUBSTITUTE(Base_report!D586,"PHG",""),IF(ISNUMBER(FIND("PCS",Base_report!D586,1)),SUBSTITUTE(Base_report!D586,"PCS",""),IF(ISNUMBER(FIND("CMU",Base_report!D586,1)),SUBSTITUTE(Base_report!D586,"CMU",""),Base_report!D586)))))</f>
        <v>HOPITAL GENERAL YAKASSE ATTOBROU</v>
      </c>
      <c r="E587" s="14" t="str">
        <f>SUBSTITUTE(Base_report!E586,"-","/")</f>
        <v>PNN/MEDICAMENTS ET INTRANTS</v>
      </c>
      <c r="F587" s="14" t="s">
        <v>788</v>
      </c>
      <c r="G587" s="16">
        <f>DATE(YEAR(SUBSTITUTE(LEFT(Base_report!F586,10),"-","/")),MONTH(SUBSTITUTE(LEFT(Base_report!F586,10),"-","/")),DAY(SUBSTITUTE(LEFT(Base_report!F586,10),"-","/")))</f>
        <v>45296</v>
      </c>
      <c r="H587" s="16">
        <f>DATE(YEAR(SUBSTITUTE(LEFT(Base_report!G586,10),"-","/")),MONTH(SUBSTITUTE(LEFT(Base_report!G586,10),"-","/")),DAY(SUBSTITUTE(LEFT(Base_report!G586,10),"-","/")))</f>
        <v>45296</v>
      </c>
      <c r="I587" s="17" t="str">
        <f t="shared" si="1"/>
        <v>OUI</v>
      </c>
      <c r="J587" s="18">
        <f>IF(L587="DS",DATE(RIGHT(B587,4),VLOOKUP(LEFT(B587,LEN(B587)-5),Feuil1!$E$3:$F$19,2,FALSE)+1,10),DATE(RIGHT(B587,4),VLOOKUP(LEFT(B587,LEN(B587)-5),Feuil1!$E$3:$F$19,2,FALSE)+1,7))</f>
        <v>45298</v>
      </c>
      <c r="K587" s="19">
        <f t="shared" si="2"/>
        <v>1</v>
      </c>
      <c r="L587" s="6" t="str">
        <f t="shared" si="3"/>
        <v>FS</v>
      </c>
    </row>
    <row r="588" ht="14.25" customHeight="1">
      <c r="A588" s="14" t="str">
        <f>Base_report!A587</f>
        <v>NAWA</v>
      </c>
      <c r="B588" s="14" t="str">
        <f>Base_report!B587</f>
        <v>DECEMBRE 2023</v>
      </c>
      <c r="C588" s="15" t="str">
        <f>Base_report!C587</f>
        <v>C1411</v>
      </c>
      <c r="D588" s="14" t="str">
        <f>TRIM(IF(ISNUMBER(FIND("PNSME",Base_report!D587,1)),SUBSTITUTE(Base_report!D587,"PNSME",""),IF(ISNUMBER(FIND("PHG",Base_report!D587,1)),SUBSTITUTE(Base_report!D587,"PHG",""),IF(ISNUMBER(FIND("PCS",Base_report!D587,1)),SUBSTITUTE(Base_report!D587,"PCS",""),IF(ISNUMBER(FIND("CMU",Base_report!D587,1)),SUBSTITUTE(Base_report!D587,"CMU",""),Base_report!D587)))))</f>
        <v>FSU MEAGUI</v>
      </c>
      <c r="E588" s="14" t="str">
        <f>SUBSTITUTE(Base_report!E587,"-","/")</f>
        <v>PNLS/CHARGES VIRALES</v>
      </c>
      <c r="F588" s="14" t="s">
        <v>788</v>
      </c>
      <c r="G588" s="16">
        <f>DATE(YEAR(SUBSTITUTE(LEFT(Base_report!F587,10),"-","/")),MONTH(SUBSTITUTE(LEFT(Base_report!F587,10),"-","/")),DAY(SUBSTITUTE(LEFT(Base_report!F587,10),"-","/")))</f>
        <v>45296</v>
      </c>
      <c r="H588" s="16">
        <f>DATE(YEAR(SUBSTITUTE(LEFT(Base_report!G587,10),"-","/")),MONTH(SUBSTITUTE(LEFT(Base_report!G587,10),"-","/")),DAY(SUBSTITUTE(LEFT(Base_report!G587,10),"-","/")))</f>
        <v>45296</v>
      </c>
      <c r="I588" s="17" t="str">
        <f t="shared" si="1"/>
        <v>OUI</v>
      </c>
      <c r="J588" s="18">
        <f>IF(L588="DS",DATE(RIGHT(B588,4),VLOOKUP(LEFT(B588,LEN(B588)-5),Feuil1!$E$3:$F$19,2,FALSE)+1,10),DATE(RIGHT(B588,4),VLOOKUP(LEFT(B588,LEN(B588)-5),Feuil1!$E$3:$F$19,2,FALSE)+1,7))</f>
        <v>45298</v>
      </c>
      <c r="K588" s="19">
        <f t="shared" si="2"/>
        <v>1</v>
      </c>
      <c r="L588" s="6" t="str">
        <f t="shared" si="3"/>
        <v>FS</v>
      </c>
    </row>
    <row r="589" ht="14.25" customHeight="1">
      <c r="A589" s="14" t="str">
        <f>Base_report!A588</f>
        <v>ME</v>
      </c>
      <c r="B589" s="14" t="str">
        <f>Base_report!B588</f>
        <v>DECEMBRE 2023</v>
      </c>
      <c r="C589" s="15" t="str">
        <f>Base_report!C588</f>
        <v>C4061</v>
      </c>
      <c r="D589" s="14" t="str">
        <f>TRIM(IF(ISNUMBER(FIND("PNSME",Base_report!D588,1)),SUBSTITUTE(Base_report!D588,"PNSME",""),IF(ISNUMBER(FIND("PHG",Base_report!D588,1)),SUBSTITUTE(Base_report!D588,"PHG",""),IF(ISNUMBER(FIND("PCS",Base_report!D588,1)),SUBSTITUTE(Base_report!D588,"PCS",""),IF(ISNUMBER(FIND("CMU",Base_report!D588,1)),SUBSTITUTE(Base_report!D588,"CMU",""),Base_report!D588)))))</f>
        <v>HOPITAL GENERAL YAKASSE ATTOBROU</v>
      </c>
      <c r="E589" s="14" t="str">
        <f>SUBSTITUTE(Base_report!E588,"-","/")</f>
        <v>PNSME/MEDICAMENTS ET INTRANTS</v>
      </c>
      <c r="F589" s="14" t="s">
        <v>788</v>
      </c>
      <c r="G589" s="16">
        <f>DATE(YEAR(SUBSTITUTE(LEFT(Base_report!F588,10),"-","/")),MONTH(SUBSTITUTE(LEFT(Base_report!F588,10),"-","/")),DAY(SUBSTITUTE(LEFT(Base_report!F588,10),"-","/")))</f>
        <v>45296</v>
      </c>
      <c r="H589" s="16">
        <f>DATE(YEAR(SUBSTITUTE(LEFT(Base_report!G588,10),"-","/")),MONTH(SUBSTITUTE(LEFT(Base_report!G588,10),"-","/")),DAY(SUBSTITUTE(LEFT(Base_report!G588,10),"-","/")))</f>
        <v>45296</v>
      </c>
      <c r="I589" s="17" t="str">
        <f t="shared" si="1"/>
        <v>OUI</v>
      </c>
      <c r="J589" s="18">
        <f>IF(L589="DS",DATE(RIGHT(B589,4),VLOOKUP(LEFT(B589,LEN(B589)-5),Feuil1!$E$3:$F$19,2,FALSE)+1,10),DATE(RIGHT(B589,4),VLOOKUP(LEFT(B589,LEN(B589)-5),Feuil1!$E$3:$F$19,2,FALSE)+1,7))</f>
        <v>45298</v>
      </c>
      <c r="K589" s="19">
        <f t="shared" si="2"/>
        <v>1</v>
      </c>
      <c r="L589" s="6" t="str">
        <f t="shared" si="3"/>
        <v>FS</v>
      </c>
    </row>
    <row r="590" ht="14.25" customHeight="1">
      <c r="A590" s="14" t="str">
        <f>Base_report!A589</f>
        <v>WORODOUGOU</v>
      </c>
      <c r="B590" s="14" t="str">
        <f>Base_report!B589</f>
        <v>DECEMBRE 2023</v>
      </c>
      <c r="C590" s="15" t="str">
        <f>Base_report!C589</f>
        <v>C2008</v>
      </c>
      <c r="D590" s="14" t="str">
        <f>TRIM(IF(ISNUMBER(FIND("PNSME",Base_report!D589,1)),SUBSTITUTE(Base_report!D589,"PNSME",""),IF(ISNUMBER(FIND("PHG",Base_report!D589,1)),SUBSTITUTE(Base_report!D589,"PHG",""),IF(ISNUMBER(FIND("PCS",Base_report!D589,1)),SUBSTITUTE(Base_report!D589,"PCS",""),IF(ISNUMBER(FIND("CMU",Base_report!D589,1)),SUBSTITUTE(Base_report!D589,"CMU",""),Base_report!D589)))))</f>
        <v>CHR SEGUELA</v>
      </c>
      <c r="E590" s="14" t="str">
        <f>SUBSTITUTE(Base_report!E589,"-","/")</f>
        <v>PNLS/CHARGES VIRALES</v>
      </c>
      <c r="F590" s="14" t="s">
        <v>788</v>
      </c>
      <c r="G590" s="16">
        <f>DATE(YEAR(SUBSTITUTE(LEFT(Base_report!F589,10),"-","/")),MONTH(SUBSTITUTE(LEFT(Base_report!F589,10),"-","/")),DAY(SUBSTITUTE(LEFT(Base_report!F589,10),"-","/")))</f>
        <v>45296</v>
      </c>
      <c r="H590" s="16">
        <f>DATE(YEAR(SUBSTITUTE(LEFT(Base_report!G589,10),"-","/")),MONTH(SUBSTITUTE(LEFT(Base_report!G589,10),"-","/")),DAY(SUBSTITUTE(LEFT(Base_report!G589,10),"-","/")))</f>
        <v>45296</v>
      </c>
      <c r="I590" s="17" t="str">
        <f t="shared" si="1"/>
        <v>OUI</v>
      </c>
      <c r="J590" s="18">
        <f>IF(L590="DS",DATE(RIGHT(B590,4),VLOOKUP(LEFT(B590,LEN(B590)-5),Feuil1!$E$3:$F$19,2,FALSE)+1,10),DATE(RIGHT(B590,4),VLOOKUP(LEFT(B590,LEN(B590)-5),Feuil1!$E$3:$F$19,2,FALSE)+1,7))</f>
        <v>45298</v>
      </c>
      <c r="K590" s="19">
        <f t="shared" si="2"/>
        <v>1</v>
      </c>
      <c r="L590" s="6" t="str">
        <f t="shared" si="3"/>
        <v>FS</v>
      </c>
    </row>
    <row r="591" ht="14.25" customHeight="1">
      <c r="A591" s="14" t="str">
        <f>Base_report!A590</f>
        <v>GUEMON</v>
      </c>
      <c r="B591" s="14" t="str">
        <f>Base_report!B590</f>
        <v>DECEMBRE 2023</v>
      </c>
      <c r="C591" s="15" t="str">
        <f>Base_report!C590</f>
        <v>C5019</v>
      </c>
      <c r="D591" s="14" t="str">
        <f>TRIM(IF(ISNUMBER(FIND("PNSME",Base_report!D590,1)),SUBSTITUTE(Base_report!D590,"PNSME",""),IF(ISNUMBER(FIND("PHG",Base_report!D590,1)),SUBSTITUTE(Base_report!D590,"PHG",""),IF(ISNUMBER(FIND("PCS",Base_report!D590,1)),SUBSTITUTE(Base_report!D590,"PCS",""),IF(ISNUMBER(FIND("CMU",Base_report!D590,1)),SUBSTITUTE(Base_report!D590,"CMU",""),Base_report!D590)))))</f>
        <v>HOPITAL GENERAL DUEKOUE</v>
      </c>
      <c r="E591" s="14" t="str">
        <f>SUBSTITUTE(Base_report!E590,"-","/")</f>
        <v>PNLP/MEDICAMENTS ET INTRANTS</v>
      </c>
      <c r="F591" s="14" t="s">
        <v>788</v>
      </c>
      <c r="G591" s="16">
        <f>DATE(YEAR(SUBSTITUTE(LEFT(Base_report!F590,10),"-","/")),MONTH(SUBSTITUTE(LEFT(Base_report!F590,10),"-","/")),DAY(SUBSTITUTE(LEFT(Base_report!F590,10),"-","/")))</f>
        <v>45294</v>
      </c>
      <c r="H591" s="16">
        <f>DATE(YEAR(SUBSTITUTE(LEFT(Base_report!G590,10),"-","/")),MONTH(SUBSTITUTE(LEFT(Base_report!G590,10),"-","/")),DAY(SUBSTITUTE(LEFT(Base_report!G590,10),"-","/")))</f>
        <v>45294</v>
      </c>
      <c r="I591" s="17" t="str">
        <f t="shared" si="1"/>
        <v>OUI</v>
      </c>
      <c r="J591" s="18">
        <f>IF(L591="DS",DATE(RIGHT(B591,4),VLOOKUP(LEFT(B591,LEN(B591)-5),Feuil1!$E$3:$F$19,2,FALSE)+1,10),DATE(RIGHT(B591,4),VLOOKUP(LEFT(B591,LEN(B591)-5),Feuil1!$E$3:$F$19,2,FALSE)+1,7))</f>
        <v>45298</v>
      </c>
      <c r="K591" s="19">
        <f t="shared" si="2"/>
        <v>1</v>
      </c>
      <c r="L591" s="6" t="str">
        <f t="shared" si="3"/>
        <v>FS</v>
      </c>
    </row>
    <row r="592" ht="14.25" customHeight="1">
      <c r="A592" s="14" t="str">
        <f>Base_report!A591</f>
        <v>NAWA</v>
      </c>
      <c r="B592" s="14" t="str">
        <f>Base_report!B591</f>
        <v>DECEMBRE 2023</v>
      </c>
      <c r="C592" s="15" t="str">
        <f>Base_report!C591</f>
        <v>C1411</v>
      </c>
      <c r="D592" s="14" t="str">
        <f>TRIM(IF(ISNUMBER(FIND("PNSME",Base_report!D591,1)),SUBSTITUTE(Base_report!D591,"PNSME",""),IF(ISNUMBER(FIND("PHG",Base_report!D591,1)),SUBSTITUTE(Base_report!D591,"PHG",""),IF(ISNUMBER(FIND("PCS",Base_report!D591,1)),SUBSTITUTE(Base_report!D591,"PCS",""),IF(ISNUMBER(FIND("CMU",Base_report!D591,1)),SUBSTITUTE(Base_report!D591,"CMU",""),Base_report!D591)))))</f>
        <v>FSU MEAGUI</v>
      </c>
      <c r="E592" s="14" t="str">
        <f>SUBSTITUTE(Base_report!E591,"-","/")</f>
        <v>PNLS/PRODUITS DE LABORATOIRE</v>
      </c>
      <c r="F592" s="14" t="s">
        <v>788</v>
      </c>
      <c r="G592" s="16">
        <f>DATE(YEAR(SUBSTITUTE(LEFT(Base_report!F591,10),"-","/")),MONTH(SUBSTITUTE(LEFT(Base_report!F591,10),"-","/")),DAY(SUBSTITUTE(LEFT(Base_report!F591,10),"-","/")))</f>
        <v>45296</v>
      </c>
      <c r="H592" s="16">
        <f>DATE(YEAR(SUBSTITUTE(LEFT(Base_report!G591,10),"-","/")),MONTH(SUBSTITUTE(LEFT(Base_report!G591,10),"-","/")),DAY(SUBSTITUTE(LEFT(Base_report!G591,10),"-","/")))</f>
        <v>45296</v>
      </c>
      <c r="I592" s="17" t="str">
        <f t="shared" si="1"/>
        <v>OUI</v>
      </c>
      <c r="J592" s="18">
        <f>IF(L592="DS",DATE(RIGHT(B592,4),VLOOKUP(LEFT(B592,LEN(B592)-5),Feuil1!$E$3:$F$19,2,FALSE)+1,10),DATE(RIGHT(B592,4),VLOOKUP(LEFT(B592,LEN(B592)-5),Feuil1!$E$3:$F$19,2,FALSE)+1,7))</f>
        <v>45298</v>
      </c>
      <c r="K592" s="19">
        <f t="shared" si="2"/>
        <v>1</v>
      </c>
      <c r="L592" s="6" t="str">
        <f t="shared" si="3"/>
        <v>FS</v>
      </c>
    </row>
    <row r="593" ht="14.25" customHeight="1">
      <c r="A593" s="14" t="str">
        <f>Base_report!A592</f>
        <v>NAWA</v>
      </c>
      <c r="B593" s="14" t="str">
        <f>Base_report!B592</f>
        <v>DECEMBRE 2023</v>
      </c>
      <c r="C593" s="15" t="str">
        <f>Base_report!C592</f>
        <v>C1411</v>
      </c>
      <c r="D593" s="14" t="str">
        <f>TRIM(IF(ISNUMBER(FIND("PNSME",Base_report!D592,1)),SUBSTITUTE(Base_report!D592,"PNSME",""),IF(ISNUMBER(FIND("PHG",Base_report!D592,1)),SUBSTITUTE(Base_report!D592,"PHG",""),IF(ISNUMBER(FIND("PCS",Base_report!D592,1)),SUBSTITUTE(Base_report!D592,"PCS",""),IF(ISNUMBER(FIND("CMU",Base_report!D592,1)),SUBSTITUTE(Base_report!D592,"CMU",""),Base_report!D592)))))</f>
        <v>FSU MEAGUI</v>
      </c>
      <c r="E593" s="14" t="str">
        <f>SUBSTITUTE(Base_report!E592,"-","/")</f>
        <v>PNLS/TESTS RAPIDES ET CONSOMMABLES</v>
      </c>
      <c r="F593" s="14" t="s">
        <v>788</v>
      </c>
      <c r="G593" s="16">
        <f>DATE(YEAR(SUBSTITUTE(LEFT(Base_report!F592,10),"-","/")),MONTH(SUBSTITUTE(LEFT(Base_report!F592,10),"-","/")),DAY(SUBSTITUTE(LEFT(Base_report!F592,10),"-","/")))</f>
        <v>45296</v>
      </c>
      <c r="H593" s="16">
        <f>DATE(YEAR(SUBSTITUTE(LEFT(Base_report!G592,10),"-","/")),MONTH(SUBSTITUTE(LEFT(Base_report!G592,10),"-","/")),DAY(SUBSTITUTE(LEFT(Base_report!G592,10),"-","/")))</f>
        <v>45296</v>
      </c>
      <c r="I593" s="17" t="str">
        <f t="shared" si="1"/>
        <v>OUI</v>
      </c>
      <c r="J593" s="18">
        <f>IF(L593="DS",DATE(RIGHT(B593,4),VLOOKUP(LEFT(B593,LEN(B593)-5),Feuil1!$E$3:$F$19,2,FALSE)+1,10),DATE(RIGHT(B593,4),VLOOKUP(LEFT(B593,LEN(B593)-5),Feuil1!$E$3:$F$19,2,FALSE)+1,7))</f>
        <v>45298</v>
      </c>
      <c r="K593" s="19">
        <f t="shared" si="2"/>
        <v>1</v>
      </c>
      <c r="L593" s="6" t="str">
        <f t="shared" si="3"/>
        <v>FS</v>
      </c>
    </row>
    <row r="594" ht="14.25" customHeight="1">
      <c r="A594" s="14" t="str">
        <f>Base_report!A593</f>
        <v>SUD-COMOE</v>
      </c>
      <c r="B594" s="14" t="str">
        <f>Base_report!B593</f>
        <v>DECEMBRE 2023</v>
      </c>
      <c r="C594" s="15" t="str">
        <f>Base_report!C593</f>
        <v>C1087</v>
      </c>
      <c r="D594" s="14" t="str">
        <f>TRIM(IF(ISNUMBER(FIND("PNSME",Base_report!D593,1)),SUBSTITUTE(Base_report!D593,"PNSME",""),IF(ISNUMBER(FIND("PHG",Base_report!D593,1)),SUBSTITUTE(Base_report!D593,"PHG",""),IF(ISNUMBER(FIND("PCS",Base_report!D593,1)),SUBSTITUTE(Base_report!D593,"PCS",""),IF(ISNUMBER(FIND("CMU",Base_report!D593,1)),SUBSTITUTE(Base_report!D593,"CMU",""),Base_report!D593)))))</f>
        <v>HOPITAL GENERAL BONOUA</v>
      </c>
      <c r="E594" s="14" t="str">
        <f>SUBSTITUTE(Base_report!E593,"-","/")</f>
        <v>PNLS/PRODUITS DE LABORATOIRE</v>
      </c>
      <c r="F594" s="14" t="s">
        <v>788</v>
      </c>
      <c r="G594" s="16">
        <f>DATE(YEAR(SUBSTITUTE(LEFT(Base_report!F593,10),"-","/")),MONTH(SUBSTITUTE(LEFT(Base_report!F593,10),"-","/")),DAY(SUBSTITUTE(LEFT(Base_report!F593,10),"-","/")))</f>
        <v>45297</v>
      </c>
      <c r="H594" s="16">
        <f>DATE(YEAR(SUBSTITUTE(LEFT(Base_report!G593,10),"-","/")),MONTH(SUBSTITUTE(LEFT(Base_report!G593,10),"-","/")),DAY(SUBSTITUTE(LEFT(Base_report!G593,10),"-","/")))</f>
        <v>45298</v>
      </c>
      <c r="I594" s="17" t="str">
        <f t="shared" si="1"/>
        <v>OUI</v>
      </c>
      <c r="J594" s="18">
        <f>IF(L594="DS",DATE(RIGHT(B594,4),VLOOKUP(LEFT(B594,LEN(B594)-5),Feuil1!$E$3:$F$19,2,FALSE)+1,10),DATE(RIGHT(B594,4),VLOOKUP(LEFT(B594,LEN(B594)-5),Feuil1!$E$3:$F$19,2,FALSE)+1,7))</f>
        <v>45298</v>
      </c>
      <c r="K594" s="19">
        <f t="shared" si="2"/>
        <v>1</v>
      </c>
      <c r="L594" s="6" t="str">
        <f t="shared" si="3"/>
        <v>FS</v>
      </c>
    </row>
    <row r="595" ht="14.25" customHeight="1">
      <c r="A595" s="14" t="str">
        <f>Base_report!A594</f>
        <v>ABIDJAN 2</v>
      </c>
      <c r="B595" s="14" t="str">
        <f>Base_report!B594</f>
        <v>DECEMBRE 2023</v>
      </c>
      <c r="C595" s="15" t="str">
        <f>Base_report!C594</f>
        <v>C1094</v>
      </c>
      <c r="D595" s="14" t="str">
        <f>TRIM(IF(ISNUMBER(FIND("PNSME",Base_report!D594,1)),SUBSTITUTE(Base_report!D594,"PNSME",""),IF(ISNUMBER(FIND("PHG",Base_report!D594,1)),SUBSTITUTE(Base_report!D594,"PHG",""),IF(ISNUMBER(FIND("PCS",Base_report!D594,1)),SUBSTITUTE(Base_report!D594,"PCS",""),IF(ISNUMBER(FIND("CMU",Base_report!D594,1)),SUBSTITUTE(Base_report!D594,"CMU",""),Base_report!D594)))))</f>
        <v>HOPITAL GENERAL PORT-BOUET</v>
      </c>
      <c r="E595" s="14" t="str">
        <f>SUBSTITUTE(Base_report!E594,"-","/")</f>
        <v>PNN/MEDICAMENTS ET INTRANTS</v>
      </c>
      <c r="F595" s="14" t="s">
        <v>788</v>
      </c>
      <c r="G595" s="16">
        <f>DATE(YEAR(SUBSTITUTE(LEFT(Base_report!F594,10),"-","/")),MONTH(SUBSTITUTE(LEFT(Base_report!F594,10),"-","/")),DAY(SUBSTITUTE(LEFT(Base_report!F594,10),"-","/")))</f>
        <v>45295</v>
      </c>
      <c r="H595" s="16">
        <f>DATE(YEAR(SUBSTITUTE(LEFT(Base_report!G594,10),"-","/")),MONTH(SUBSTITUTE(LEFT(Base_report!G594,10),"-","/")),DAY(SUBSTITUTE(LEFT(Base_report!G594,10),"-","/")))</f>
        <v>45295</v>
      </c>
      <c r="I595" s="17" t="str">
        <f t="shared" si="1"/>
        <v>OUI</v>
      </c>
      <c r="J595" s="18">
        <f>IF(L595="DS",DATE(RIGHT(B595,4),VLOOKUP(LEFT(B595,LEN(B595)-5),Feuil1!$E$3:$F$19,2,FALSE)+1,10),DATE(RIGHT(B595,4),VLOOKUP(LEFT(B595,LEN(B595)-5),Feuil1!$E$3:$F$19,2,FALSE)+1,7))</f>
        <v>45298</v>
      </c>
      <c r="K595" s="19">
        <f t="shared" si="2"/>
        <v>1</v>
      </c>
      <c r="L595" s="6" t="str">
        <f t="shared" si="3"/>
        <v>FS</v>
      </c>
    </row>
    <row r="596" ht="14.25" customHeight="1">
      <c r="A596" s="14" t="str">
        <f>Base_report!A595</f>
        <v>AGNEBY-TIASSA</v>
      </c>
      <c r="B596" s="14" t="str">
        <f>Base_report!B595</f>
        <v>DECEMBRE 2023</v>
      </c>
      <c r="C596" s="15" t="str">
        <f>Base_report!C595</f>
        <v>C1004</v>
      </c>
      <c r="D596" s="14" t="str">
        <f>TRIM(IF(ISNUMBER(FIND("PNSME",Base_report!D595,1)),SUBSTITUTE(Base_report!D595,"PNSME",""),IF(ISNUMBER(FIND("PHG",Base_report!D595,1)),SUBSTITUTE(Base_report!D595,"PHG",""),IF(ISNUMBER(FIND("PCS",Base_report!D595,1)),SUBSTITUTE(Base_report!D595,"PCS",""),IF(ISNUMBER(FIND("CMU",Base_report!D595,1)),SUBSTITUTE(Base_report!D595,"CMU",""),Base_report!D595)))))</f>
        <v>CHR AGBOVILLE</v>
      </c>
      <c r="E596" s="14" t="str">
        <f>SUBSTITUTE(Base_report!E595,"-","/")</f>
        <v>PNSME_GRATUITE:MEDICAMENTS ET INTRANTS</v>
      </c>
      <c r="F596" s="14" t="s">
        <v>788</v>
      </c>
      <c r="G596" s="16">
        <f>DATE(YEAR(SUBSTITUTE(LEFT(Base_report!F595,10),"-","/")),MONTH(SUBSTITUTE(LEFT(Base_report!F595,10),"-","/")),DAY(SUBSTITUTE(LEFT(Base_report!F595,10),"-","/")))</f>
        <v>45294</v>
      </c>
      <c r="H596" s="16">
        <f>DATE(YEAR(SUBSTITUTE(LEFT(Base_report!G595,10),"-","/")),MONTH(SUBSTITUTE(LEFT(Base_report!G595,10),"-","/")),DAY(SUBSTITUTE(LEFT(Base_report!G595,10),"-","/")))</f>
        <v>45295</v>
      </c>
      <c r="I596" s="17" t="str">
        <f t="shared" si="1"/>
        <v>OUI</v>
      </c>
      <c r="J596" s="18">
        <f>IF(L596="DS",DATE(RIGHT(B596,4),VLOOKUP(LEFT(B596,LEN(B596)-5),Feuil1!$E$3:$F$19,2,FALSE)+1,10),DATE(RIGHT(B596,4),VLOOKUP(LEFT(B596,LEN(B596)-5),Feuil1!$E$3:$F$19,2,FALSE)+1,7))</f>
        <v>45298</v>
      </c>
      <c r="K596" s="19">
        <f t="shared" si="2"/>
        <v>1</v>
      </c>
      <c r="L596" s="6" t="str">
        <f t="shared" si="3"/>
        <v>FS</v>
      </c>
    </row>
    <row r="597" ht="14.25" customHeight="1">
      <c r="A597" s="14" t="str">
        <f>Base_report!A596</f>
        <v>ABIDJAN 2</v>
      </c>
      <c r="B597" s="14" t="str">
        <f>Base_report!B596</f>
        <v>DECEMBRE 2023</v>
      </c>
      <c r="C597" s="15" t="str">
        <f>Base_report!C596</f>
        <v>C1001</v>
      </c>
      <c r="D597" s="14" t="str">
        <f>TRIM(IF(ISNUMBER(FIND("PNSME",Base_report!D596,1)),SUBSTITUTE(Base_report!D596,"PNSME",""),IF(ISNUMBER(FIND("PHG",Base_report!D596,1)),SUBSTITUTE(Base_report!D596,"PHG",""),IF(ISNUMBER(FIND("PCS",Base_report!D596,1)),SUBSTITUTE(Base_report!D596,"PCS",""),IF(ISNUMBER(FIND("CMU",Base_report!D596,1)),SUBSTITUTE(Base_report!D596,"CMU",""),Base_report!D596)))))</f>
        <v>CENTRE ANTITUBERCULEUX ADJAME</v>
      </c>
      <c r="E597" s="14" t="str">
        <f>SUBSTITUTE(Base_report!E596,"-","/")</f>
        <v>PNLS/ANTIRETROVIRAUX ET IO</v>
      </c>
      <c r="F597" s="14" t="s">
        <v>788</v>
      </c>
      <c r="G597" s="16">
        <f>DATE(YEAR(SUBSTITUTE(LEFT(Base_report!F596,10),"-","/")),MONTH(SUBSTITUTE(LEFT(Base_report!F596,10),"-","/")),DAY(SUBSTITUTE(LEFT(Base_report!F596,10),"-","/")))</f>
        <v>45293</v>
      </c>
      <c r="H597" s="16">
        <f>DATE(YEAR(SUBSTITUTE(LEFT(Base_report!G596,10),"-","/")),MONTH(SUBSTITUTE(LEFT(Base_report!G596,10),"-","/")),DAY(SUBSTITUTE(LEFT(Base_report!G596,10),"-","/")))</f>
        <v>45299</v>
      </c>
      <c r="I597" s="17" t="str">
        <f t="shared" si="1"/>
        <v>OUI</v>
      </c>
      <c r="J597" s="18">
        <f>IF(L597="DS",DATE(RIGHT(B597,4),VLOOKUP(LEFT(B597,LEN(B597)-5),Feuil1!$E$3:$F$19,2,FALSE)+1,10),DATE(RIGHT(B597,4),VLOOKUP(LEFT(B597,LEN(B597)-5),Feuil1!$E$3:$F$19,2,FALSE)+1,7))</f>
        <v>45298</v>
      </c>
      <c r="K597" s="19">
        <f t="shared" si="2"/>
        <v>0</v>
      </c>
      <c r="L597" s="6" t="str">
        <f t="shared" si="3"/>
        <v>FS</v>
      </c>
    </row>
    <row r="598" ht="14.25" customHeight="1">
      <c r="A598" s="14" t="str">
        <f>Base_report!A597</f>
        <v>GUEMON</v>
      </c>
      <c r="B598" s="14" t="str">
        <f>Base_report!B597</f>
        <v>DECEMBRE 2023</v>
      </c>
      <c r="C598" s="15" t="str">
        <f>Base_report!C597</f>
        <v>C5019</v>
      </c>
      <c r="D598" s="14" t="str">
        <f>TRIM(IF(ISNUMBER(FIND("PNSME",Base_report!D597,1)),SUBSTITUTE(Base_report!D597,"PNSME",""),IF(ISNUMBER(FIND("PHG",Base_report!D597,1)),SUBSTITUTE(Base_report!D597,"PHG",""),IF(ISNUMBER(FIND("PCS",Base_report!D597,1)),SUBSTITUTE(Base_report!D597,"PCS",""),IF(ISNUMBER(FIND("CMU",Base_report!D597,1)),SUBSTITUTE(Base_report!D597,"CMU",""),Base_report!D597)))))</f>
        <v>HOPITAL GENERAL DUEKOUE</v>
      </c>
      <c r="E598" s="14" t="str">
        <f>SUBSTITUTE(Base_report!E597,"-","/")</f>
        <v>PNN/MEDICAMENTS ET INTRANTS</v>
      </c>
      <c r="F598" s="14" t="s">
        <v>788</v>
      </c>
      <c r="G598" s="16">
        <f>DATE(YEAR(SUBSTITUTE(LEFT(Base_report!F597,10),"-","/")),MONTH(SUBSTITUTE(LEFT(Base_report!F597,10),"-","/")),DAY(SUBSTITUTE(LEFT(Base_report!F597,10),"-","/")))</f>
        <v>45293</v>
      </c>
      <c r="H598" s="16">
        <f>DATE(YEAR(SUBSTITUTE(LEFT(Base_report!G597,10),"-","/")),MONTH(SUBSTITUTE(LEFT(Base_report!G597,10),"-","/")),DAY(SUBSTITUTE(LEFT(Base_report!G597,10),"-","/")))</f>
        <v>45293</v>
      </c>
      <c r="I598" s="17" t="str">
        <f t="shared" si="1"/>
        <v>OUI</v>
      </c>
      <c r="J598" s="18">
        <f>IF(L598="DS",DATE(RIGHT(B598,4),VLOOKUP(LEFT(B598,LEN(B598)-5),Feuil1!$E$3:$F$19,2,FALSE)+1,10),DATE(RIGHT(B598,4),VLOOKUP(LEFT(B598,LEN(B598)-5),Feuil1!$E$3:$F$19,2,FALSE)+1,7))</f>
        <v>45298</v>
      </c>
      <c r="K598" s="19">
        <f t="shared" si="2"/>
        <v>1</v>
      </c>
      <c r="L598" s="6" t="str">
        <f t="shared" si="3"/>
        <v>FS</v>
      </c>
    </row>
    <row r="599" ht="14.25" customHeight="1">
      <c r="A599" s="14" t="str">
        <f>Base_report!A598</f>
        <v>ME</v>
      </c>
      <c r="B599" s="14" t="str">
        <f>Base_report!B598</f>
        <v>DECEMBRE 2023</v>
      </c>
      <c r="C599" s="15" t="str">
        <f>Base_report!C598</f>
        <v>C4036</v>
      </c>
      <c r="D599" s="14" t="str">
        <f>TRIM(IF(ISNUMBER(FIND("PNSME",Base_report!D598,1)),SUBSTITUTE(Base_report!D598,"PNSME",""),IF(ISNUMBER(FIND("PHG",Base_report!D598,1)),SUBSTITUTE(Base_report!D598,"PHG",""),IF(ISNUMBER(FIND("PCS",Base_report!D598,1)),SUBSTITUTE(Base_report!D598,"PCS",""),IF(ISNUMBER(FIND("CMU",Base_report!D598,1)),SUBSTITUTE(Base_report!D598,"CMU",""),Base_report!D598)))))</f>
        <v>DISTRICT SANITAIRE ADZOPE</v>
      </c>
      <c r="E599" s="14" t="str">
        <f>SUBSTITUTE(Base_report!E598,"-","/")</f>
        <v>PNLS/TESTS RAPIDES ET CONSOMMABLES</v>
      </c>
      <c r="F599" s="14" t="s">
        <v>788</v>
      </c>
      <c r="G599" s="16">
        <f>DATE(YEAR(SUBSTITUTE(LEFT(Base_report!F598,10),"-","/")),MONTH(SUBSTITUTE(LEFT(Base_report!F598,10),"-","/")),DAY(SUBSTITUTE(LEFT(Base_report!F598,10),"-","/")))</f>
        <v>45301</v>
      </c>
      <c r="H599" s="16">
        <f>DATE(YEAR(SUBSTITUTE(LEFT(Base_report!G598,10),"-","/")),MONTH(SUBSTITUTE(LEFT(Base_report!G598,10),"-","/")),DAY(SUBSTITUTE(LEFT(Base_report!G598,10),"-","/")))</f>
        <v>45301</v>
      </c>
      <c r="I599" s="17" t="str">
        <f t="shared" si="1"/>
        <v>OUI</v>
      </c>
      <c r="J599" s="18">
        <f>IF(L599="DS",DATE(RIGHT(B599,4),VLOOKUP(LEFT(B599,LEN(B599)-5),Feuil1!$E$3:$F$19,2,FALSE)+1,10),DATE(RIGHT(B599,4),VLOOKUP(LEFT(B599,LEN(B599)-5),Feuil1!$E$3:$F$19,2,FALSE)+1,7))</f>
        <v>45301</v>
      </c>
      <c r="K599" s="19">
        <f t="shared" si="2"/>
        <v>1</v>
      </c>
      <c r="L599" s="6" t="str">
        <f t="shared" si="3"/>
        <v>DS</v>
      </c>
    </row>
    <row r="600" ht="14.25" customHeight="1">
      <c r="A600" s="14" t="str">
        <f>Base_report!A599</f>
        <v>TONKPI</v>
      </c>
      <c r="B600" s="14" t="str">
        <f>Base_report!B599</f>
        <v>DECEMBRE 2023</v>
      </c>
      <c r="C600" s="15" t="str">
        <f>Base_report!C599</f>
        <v>C5001</v>
      </c>
      <c r="D600" s="14" t="str">
        <f>TRIM(IF(ISNUMBER(FIND("PNSME",Base_report!D599,1)),SUBSTITUTE(Base_report!D599,"PNSME",""),IF(ISNUMBER(FIND("PHG",Base_report!D599,1)),SUBSTITUTE(Base_report!D599,"PHG",""),IF(ISNUMBER(FIND("PCS",Base_report!D599,1)),SUBSTITUTE(Base_report!D599,"PCS",""),IF(ISNUMBER(FIND("CMU",Base_report!D599,1)),SUBSTITUTE(Base_report!D599,"CMU",""),Base_report!D599)))))</f>
        <v>CHR MAN</v>
      </c>
      <c r="E600" s="14" t="str">
        <f>SUBSTITUTE(Base_report!E599,"-","/")</f>
        <v>PNLS/CHARGES VIRALES</v>
      </c>
      <c r="F600" s="14" t="s">
        <v>788</v>
      </c>
      <c r="G600" s="16">
        <f>DATE(YEAR(SUBSTITUTE(LEFT(Base_report!F599,10),"-","/")),MONTH(SUBSTITUTE(LEFT(Base_report!F599,10),"-","/")),DAY(SUBSTITUTE(LEFT(Base_report!F599,10),"-","/")))</f>
        <v>45295</v>
      </c>
      <c r="H600" s="16">
        <f>DATE(YEAR(SUBSTITUTE(LEFT(Base_report!G599,10),"-","/")),MONTH(SUBSTITUTE(LEFT(Base_report!G599,10),"-","/")),DAY(SUBSTITUTE(LEFT(Base_report!G599,10),"-","/")))</f>
        <v>45295</v>
      </c>
      <c r="I600" s="17" t="str">
        <f t="shared" si="1"/>
        <v>OUI</v>
      </c>
      <c r="J600" s="18">
        <f>IF(L600="DS",DATE(RIGHT(B600,4),VLOOKUP(LEFT(B600,LEN(B600)-5),Feuil1!$E$3:$F$19,2,FALSE)+1,10),DATE(RIGHT(B600,4),VLOOKUP(LEFT(B600,LEN(B600)-5),Feuil1!$E$3:$F$19,2,FALSE)+1,7))</f>
        <v>45298</v>
      </c>
      <c r="K600" s="19">
        <f t="shared" si="2"/>
        <v>1</v>
      </c>
      <c r="L600" s="6" t="str">
        <f t="shared" si="3"/>
        <v>FS</v>
      </c>
    </row>
    <row r="601" ht="14.25" customHeight="1">
      <c r="A601" s="14" t="str">
        <f>Base_report!A600</f>
        <v>GUEMON</v>
      </c>
      <c r="B601" s="14" t="str">
        <f>Base_report!B600</f>
        <v>DECEMBRE 2023</v>
      </c>
      <c r="C601" s="15" t="str">
        <f>Base_report!C600</f>
        <v>C5019</v>
      </c>
      <c r="D601" s="14" t="str">
        <f>TRIM(IF(ISNUMBER(FIND("PNSME",Base_report!D600,1)),SUBSTITUTE(Base_report!D600,"PNSME",""),IF(ISNUMBER(FIND("PHG",Base_report!D600,1)),SUBSTITUTE(Base_report!D600,"PHG",""),IF(ISNUMBER(FIND("PCS",Base_report!D600,1)),SUBSTITUTE(Base_report!D600,"PCS",""),IF(ISNUMBER(FIND("CMU",Base_report!D600,1)),SUBSTITUTE(Base_report!D600,"CMU",""),Base_report!D600)))))</f>
        <v>HOPITAL GENERAL DUEKOUE</v>
      </c>
      <c r="E601" s="14" t="str">
        <f>SUBSTITUTE(Base_report!E600,"-","/")</f>
        <v>PNSME/MEDICAMENTS ET INTRANTS</v>
      </c>
      <c r="F601" s="14" t="s">
        <v>788</v>
      </c>
      <c r="G601" s="16">
        <f>DATE(YEAR(SUBSTITUTE(LEFT(Base_report!F600,10),"-","/")),MONTH(SUBSTITUTE(LEFT(Base_report!F600,10),"-","/")),DAY(SUBSTITUTE(LEFT(Base_report!F600,10),"-","/")))</f>
        <v>45293</v>
      </c>
      <c r="H601" s="16">
        <f>DATE(YEAR(SUBSTITUTE(LEFT(Base_report!G600,10),"-","/")),MONTH(SUBSTITUTE(LEFT(Base_report!G600,10),"-","/")),DAY(SUBSTITUTE(LEFT(Base_report!G600,10),"-","/")))</f>
        <v>45293</v>
      </c>
      <c r="I601" s="17" t="str">
        <f t="shared" si="1"/>
        <v>OUI</v>
      </c>
      <c r="J601" s="18">
        <f>IF(L601="DS",DATE(RIGHT(B601,4),VLOOKUP(LEFT(B601,LEN(B601)-5),Feuil1!$E$3:$F$19,2,FALSE)+1,10),DATE(RIGHT(B601,4),VLOOKUP(LEFT(B601,LEN(B601)-5),Feuil1!$E$3:$F$19,2,FALSE)+1,7))</f>
        <v>45298</v>
      </c>
      <c r="K601" s="19">
        <f t="shared" si="2"/>
        <v>1</v>
      </c>
      <c r="L601" s="6" t="str">
        <f t="shared" si="3"/>
        <v>FS</v>
      </c>
    </row>
    <row r="602" ht="14.25" customHeight="1">
      <c r="A602" s="14" t="str">
        <f>Base_report!A601</f>
        <v>ME</v>
      </c>
      <c r="B602" s="14" t="str">
        <f>Base_report!B601</f>
        <v>DECEMBRE 2023</v>
      </c>
      <c r="C602" s="15" t="str">
        <f>Base_report!C601</f>
        <v>C1083</v>
      </c>
      <c r="D602" s="14" t="str">
        <f>TRIM(IF(ISNUMBER(FIND("PNSME",Base_report!D601,1)),SUBSTITUTE(Base_report!D601,"PNSME",""),IF(ISNUMBER(FIND("PHG",Base_report!D601,1)),SUBSTITUTE(Base_report!D601,"PHG",""),IF(ISNUMBER(FIND("PCS",Base_report!D601,1)),SUBSTITUTE(Base_report!D601,"PCS",""),IF(ISNUMBER(FIND("CMU",Base_report!D601,1)),SUBSTITUTE(Base_report!D601,"CMU",""),Base_report!D601)))))</f>
        <v>HOPITAL GENERAL ALEPE</v>
      </c>
      <c r="E602" s="14" t="str">
        <f>SUBSTITUTE(Base_report!E601,"-","/")</f>
        <v>PNLS/PRODUITS DE LABORATOIRE</v>
      </c>
      <c r="F602" s="14" t="s">
        <v>788</v>
      </c>
      <c r="G602" s="16">
        <f>DATE(YEAR(SUBSTITUTE(LEFT(Base_report!F601,10),"-","/")),MONTH(SUBSTITUTE(LEFT(Base_report!F601,10),"-","/")),DAY(SUBSTITUTE(LEFT(Base_report!F601,10),"-","/")))</f>
        <v>45296</v>
      </c>
      <c r="H602" s="16">
        <f>DATE(YEAR(SUBSTITUTE(LEFT(Base_report!G601,10),"-","/")),MONTH(SUBSTITUTE(LEFT(Base_report!G601,10),"-","/")),DAY(SUBSTITUTE(LEFT(Base_report!G601,10),"-","/")))</f>
        <v>45296</v>
      </c>
      <c r="I602" s="17" t="str">
        <f t="shared" si="1"/>
        <v>OUI</v>
      </c>
      <c r="J602" s="18">
        <f>IF(L602="DS",DATE(RIGHT(B602,4),VLOOKUP(LEFT(B602,LEN(B602)-5),Feuil1!$E$3:$F$19,2,FALSE)+1,10),DATE(RIGHT(B602,4),VLOOKUP(LEFT(B602,LEN(B602)-5),Feuil1!$E$3:$F$19,2,FALSE)+1,7))</f>
        <v>45298</v>
      </c>
      <c r="K602" s="19">
        <f t="shared" si="2"/>
        <v>1</v>
      </c>
      <c r="L602" s="6" t="str">
        <f t="shared" si="3"/>
        <v>FS</v>
      </c>
    </row>
    <row r="603" ht="14.25" customHeight="1">
      <c r="A603" s="14" t="str">
        <f>Base_report!A602</f>
        <v>ABIDJAN 2</v>
      </c>
      <c r="B603" s="14" t="str">
        <f>Base_report!B602</f>
        <v>DECEMBRE 2023</v>
      </c>
      <c r="C603" s="15" t="str">
        <f>Base_report!C602</f>
        <v>C1141</v>
      </c>
      <c r="D603" s="14" t="str">
        <f>TRIM(IF(ISNUMBER(FIND("PNSME",Base_report!D602,1)),SUBSTITUTE(Base_report!D602,"PNSME",""),IF(ISNUMBER(FIND("PHG",Base_report!D602,1)),SUBSTITUTE(Base_report!D602,"PHG",""),IF(ISNUMBER(FIND("PCS",Base_report!D602,1)),SUBSTITUTE(Base_report!D602,"PCS",""),IF(ISNUMBER(FIND("CMU",Base_report!D602,1)),SUBSTITUTE(Base_report!D602,"CMU",""),Base_report!D602)))))</f>
        <v>UNITE SOINS AMBULATOIRE</v>
      </c>
      <c r="E603" s="14" t="str">
        <f>SUBSTITUTE(Base_report!E602,"-","/")</f>
        <v>PNLS/ANTIRETROVIRAUX ET IO</v>
      </c>
      <c r="F603" s="14" t="s">
        <v>788</v>
      </c>
      <c r="G603" s="16">
        <f>DATE(YEAR(SUBSTITUTE(LEFT(Base_report!F602,10),"-","/")),MONTH(SUBSTITUTE(LEFT(Base_report!F602,10),"-","/")),DAY(SUBSTITUTE(LEFT(Base_report!F602,10),"-","/")))</f>
        <v>45296</v>
      </c>
      <c r="H603" s="16">
        <f>DATE(YEAR(SUBSTITUTE(LEFT(Base_report!G602,10),"-","/")),MONTH(SUBSTITUTE(LEFT(Base_report!G602,10),"-","/")),DAY(SUBSTITUTE(LEFT(Base_report!G602,10),"-","/")))</f>
        <v>45296</v>
      </c>
      <c r="I603" s="17" t="str">
        <f t="shared" si="1"/>
        <v>OUI</v>
      </c>
      <c r="J603" s="18">
        <f>IF(L603="DS",DATE(RIGHT(B603,4),VLOOKUP(LEFT(B603,LEN(B603)-5),Feuil1!$E$3:$F$19,2,FALSE)+1,10),DATE(RIGHT(B603,4),VLOOKUP(LEFT(B603,LEN(B603)-5),Feuil1!$E$3:$F$19,2,FALSE)+1,7))</f>
        <v>45298</v>
      </c>
      <c r="K603" s="19">
        <f t="shared" si="2"/>
        <v>1</v>
      </c>
      <c r="L603" s="6" t="str">
        <f t="shared" si="3"/>
        <v>FS</v>
      </c>
    </row>
    <row r="604" ht="14.25" customHeight="1">
      <c r="A604" s="14" t="str">
        <f>Base_report!A603</f>
        <v>ABIDJAN 2</v>
      </c>
      <c r="B604" s="14" t="str">
        <f>Base_report!B603</f>
        <v>DECEMBRE 2023</v>
      </c>
      <c r="C604" s="15" t="str">
        <f>Base_report!C603</f>
        <v>C1581</v>
      </c>
      <c r="D604" s="14" t="str">
        <f>TRIM(IF(ISNUMBER(FIND("PNSME",Base_report!D603,1)),SUBSTITUTE(Base_report!D603,"PNSME",""),IF(ISNUMBER(FIND("PHG",Base_report!D603,1)),SUBSTITUTE(Base_report!D603,"PHG",""),IF(ISNUMBER(FIND("PCS",Base_report!D603,1)),SUBSTITUTE(Base_report!D603,"PCS",""),IF(ISNUMBER(FIND("CMU",Base_report!D603,1)),SUBSTITUTE(Base_report!D603,"CMU",""),Base_report!D603)))))</f>
        <v>PROJET RETRO-CI (AMBASSADE USA)</v>
      </c>
      <c r="E604" s="14" t="str">
        <f>SUBSTITUTE(Base_report!E603,"-","/")</f>
        <v>PNLS/CHARGES VIRALES</v>
      </c>
      <c r="F604" s="14" t="s">
        <v>788</v>
      </c>
      <c r="G604" s="16">
        <f>DATE(YEAR(SUBSTITUTE(LEFT(Base_report!F603,10),"-","/")),MONTH(SUBSTITUTE(LEFT(Base_report!F603,10),"-","/")),DAY(SUBSTITUTE(LEFT(Base_report!F603,10),"-","/")))</f>
        <v>45296</v>
      </c>
      <c r="H604" s="16">
        <f>DATE(YEAR(SUBSTITUTE(LEFT(Base_report!G603,10),"-","/")),MONTH(SUBSTITUTE(LEFT(Base_report!G603,10),"-","/")),DAY(SUBSTITUTE(LEFT(Base_report!G603,10),"-","/")))</f>
        <v>45297</v>
      </c>
      <c r="I604" s="17" t="str">
        <f t="shared" si="1"/>
        <v>OUI</v>
      </c>
      <c r="J604" s="18">
        <f>IF(L604="DS",DATE(RIGHT(B604,4),VLOOKUP(LEFT(B604,LEN(B604)-5),Feuil1!$E$3:$F$19,2,FALSE)+1,10),DATE(RIGHT(B604,4),VLOOKUP(LEFT(B604,LEN(B604)-5),Feuil1!$E$3:$F$19,2,FALSE)+1,7))</f>
        <v>45298</v>
      </c>
      <c r="K604" s="19">
        <f t="shared" si="2"/>
        <v>1</v>
      </c>
      <c r="L604" s="6" t="str">
        <f t="shared" si="3"/>
        <v>FS</v>
      </c>
    </row>
    <row r="605" ht="14.25" customHeight="1">
      <c r="A605" s="14" t="str">
        <f>Base_report!A604</f>
        <v>TONKPI</v>
      </c>
      <c r="B605" s="14" t="str">
        <f>Base_report!B604</f>
        <v>DECEMBRE 2023</v>
      </c>
      <c r="C605" s="15" t="str">
        <f>Base_report!C604</f>
        <v>C5001</v>
      </c>
      <c r="D605" s="14" t="str">
        <f>TRIM(IF(ISNUMBER(FIND("PNSME",Base_report!D604,1)),SUBSTITUTE(Base_report!D604,"PNSME",""),IF(ISNUMBER(FIND("PHG",Base_report!D604,1)),SUBSTITUTE(Base_report!D604,"PHG",""),IF(ISNUMBER(FIND("PCS",Base_report!D604,1)),SUBSTITUTE(Base_report!D604,"PCS",""),IF(ISNUMBER(FIND("CMU",Base_report!D604,1)),SUBSTITUTE(Base_report!D604,"CMU",""),Base_report!D604)))))</f>
        <v>CHR MAN</v>
      </c>
      <c r="E605" s="14" t="str">
        <f>SUBSTITUTE(Base_report!E604,"-","/")</f>
        <v>PNLP/MEDICAMENTS ET INTRANTS</v>
      </c>
      <c r="F605" s="14" t="s">
        <v>788</v>
      </c>
      <c r="G605" s="16">
        <f>DATE(YEAR(SUBSTITUTE(LEFT(Base_report!F604,10),"-","/")),MONTH(SUBSTITUTE(LEFT(Base_report!F604,10),"-","/")),DAY(SUBSTITUTE(LEFT(Base_report!F604,10),"-","/")))</f>
        <v>45295</v>
      </c>
      <c r="H605" s="16">
        <f>DATE(YEAR(SUBSTITUTE(LEFT(Base_report!G604,10),"-","/")),MONTH(SUBSTITUTE(LEFT(Base_report!G604,10),"-","/")),DAY(SUBSTITUTE(LEFT(Base_report!G604,10),"-","/")))</f>
        <v>45295</v>
      </c>
      <c r="I605" s="17" t="str">
        <f t="shared" si="1"/>
        <v>OUI</v>
      </c>
      <c r="J605" s="18">
        <f>IF(L605="DS",DATE(RIGHT(B605,4),VLOOKUP(LEFT(B605,LEN(B605)-5),Feuil1!$E$3:$F$19,2,FALSE)+1,10),DATE(RIGHT(B605,4),VLOOKUP(LEFT(B605,LEN(B605)-5),Feuil1!$E$3:$F$19,2,FALSE)+1,7))</f>
        <v>45298</v>
      </c>
      <c r="K605" s="19">
        <f t="shared" si="2"/>
        <v>1</v>
      </c>
      <c r="L605" s="6" t="str">
        <f t="shared" si="3"/>
        <v>FS</v>
      </c>
    </row>
    <row r="606" ht="14.25" customHeight="1">
      <c r="A606" s="14" t="str">
        <f>Base_report!A605</f>
        <v>BAFING</v>
      </c>
      <c r="B606" s="14" t="str">
        <f>Base_report!B605</f>
        <v>DECEMBRE 2023</v>
      </c>
      <c r="C606" s="15" t="str">
        <f>Base_report!C605</f>
        <v>C5078</v>
      </c>
      <c r="D606" s="14" t="str">
        <f>TRIM(IF(ISNUMBER(FIND("PNSME",Base_report!D605,1)),SUBSTITUTE(Base_report!D605,"PNSME",""),IF(ISNUMBER(FIND("PHG",Base_report!D605,1)),SUBSTITUTE(Base_report!D605,"PHG",""),IF(ISNUMBER(FIND("PCS",Base_report!D605,1)),SUBSTITUTE(Base_report!D605,"PCS",""),IF(ISNUMBER(FIND("CMU",Base_report!D605,1)),SUBSTITUTE(Base_report!D605,"CMU",""),Base_report!D605)))))</f>
        <v>HOPITAL GENERAL OUANINOU</v>
      </c>
      <c r="E606" s="14" t="str">
        <f>SUBSTITUTE(Base_report!E605,"-","/")</f>
        <v>PNLS/ANTIRETROVIRAUX ET IO</v>
      </c>
      <c r="F606" s="14" t="s">
        <v>788</v>
      </c>
      <c r="G606" s="16">
        <f>DATE(YEAR(SUBSTITUTE(LEFT(Base_report!F605,10),"-","/")),MONTH(SUBSTITUTE(LEFT(Base_report!F605,10),"-","/")),DAY(SUBSTITUTE(LEFT(Base_report!F605,10),"-","/")))</f>
        <v>45298</v>
      </c>
      <c r="H606" s="16">
        <f>DATE(YEAR(SUBSTITUTE(LEFT(Base_report!G605,10),"-","/")),MONTH(SUBSTITUTE(LEFT(Base_report!G605,10),"-","/")),DAY(SUBSTITUTE(LEFT(Base_report!G605,10),"-","/")))</f>
        <v>45298</v>
      </c>
      <c r="I606" s="17" t="str">
        <f t="shared" si="1"/>
        <v>OUI</v>
      </c>
      <c r="J606" s="18">
        <f>IF(L606="DS",DATE(RIGHT(B606,4),VLOOKUP(LEFT(B606,LEN(B606)-5),Feuil1!$E$3:$F$19,2,FALSE)+1,10),DATE(RIGHT(B606,4),VLOOKUP(LEFT(B606,LEN(B606)-5),Feuil1!$E$3:$F$19,2,FALSE)+1,7))</f>
        <v>45298</v>
      </c>
      <c r="K606" s="19">
        <f t="shared" si="2"/>
        <v>1</v>
      </c>
      <c r="L606" s="6" t="str">
        <f t="shared" si="3"/>
        <v>FS</v>
      </c>
    </row>
    <row r="607" ht="14.25" customHeight="1">
      <c r="A607" s="14" t="str">
        <f>Base_report!A606</f>
        <v>GBOKLE</v>
      </c>
      <c r="B607" s="14" t="str">
        <f>Base_report!B606</f>
        <v>DECEMBRE 2023</v>
      </c>
      <c r="C607" s="15" t="str">
        <f>Base_report!C606</f>
        <v>C1097</v>
      </c>
      <c r="D607" s="14" t="str">
        <f>TRIM(IF(ISNUMBER(FIND("PNSME",Base_report!D606,1)),SUBSTITUTE(Base_report!D606,"PNSME",""),IF(ISNUMBER(FIND("PHG",Base_report!D606,1)),SUBSTITUTE(Base_report!D606,"PHG",""),IF(ISNUMBER(FIND("PCS",Base_report!D606,1)),SUBSTITUTE(Base_report!D606,"PCS",""),IF(ISNUMBER(FIND("CMU",Base_report!D606,1)),SUBSTITUTE(Base_report!D606,"CMU",""),Base_report!D606)))))</f>
        <v>DISTRICT SANITAIRE FRESCO</v>
      </c>
      <c r="E607" s="14" t="str">
        <f>SUBSTITUTE(Base_report!E606,"-","/")</f>
        <v>PNLP/MEDICAMENTS ET INTRANTS</v>
      </c>
      <c r="F607" s="14" t="s">
        <v>788</v>
      </c>
      <c r="G607" s="16">
        <f>DATE(YEAR(SUBSTITUTE(LEFT(Base_report!F606,10),"-","/")),MONTH(SUBSTITUTE(LEFT(Base_report!F606,10),"-","/")),DAY(SUBSTITUTE(LEFT(Base_report!F606,10),"-","/")))</f>
        <v>45300</v>
      </c>
      <c r="H607" s="16">
        <f>DATE(YEAR(SUBSTITUTE(LEFT(Base_report!G606,10),"-","/")),MONTH(SUBSTITUTE(LEFT(Base_report!G606,10),"-","/")),DAY(SUBSTITUTE(LEFT(Base_report!G606,10),"-","/")))</f>
        <v>45301</v>
      </c>
      <c r="I607" s="17" t="str">
        <f t="shared" si="1"/>
        <v>OUI</v>
      </c>
      <c r="J607" s="18">
        <f>IF(L607="DS",DATE(RIGHT(B607,4),VLOOKUP(LEFT(B607,LEN(B607)-5),Feuil1!$E$3:$F$19,2,FALSE)+1,10),DATE(RIGHT(B607,4),VLOOKUP(LEFT(B607,LEN(B607)-5),Feuil1!$E$3:$F$19,2,FALSE)+1,7))</f>
        <v>45301</v>
      </c>
      <c r="K607" s="19">
        <f t="shared" si="2"/>
        <v>1</v>
      </c>
      <c r="L607" s="6" t="str">
        <f t="shared" si="3"/>
        <v>DS</v>
      </c>
    </row>
    <row r="608" ht="14.25" customHeight="1">
      <c r="A608" s="14" t="str">
        <f>Base_report!A607</f>
        <v>ABIDJAN 1</v>
      </c>
      <c r="B608" s="14" t="str">
        <f>Base_report!B607</f>
        <v>DECEMBRE 2023</v>
      </c>
      <c r="C608" s="15" t="str">
        <f>Base_report!C607</f>
        <v>C1017</v>
      </c>
      <c r="D608" s="14" t="str">
        <f>TRIM(IF(ISNUMBER(FIND("PNSME",Base_report!D607,1)),SUBSTITUTE(Base_report!D607,"PNSME",""),IF(ISNUMBER(FIND("PHG",Base_report!D607,1)),SUBSTITUTE(Base_report!D607,"PHG",""),IF(ISNUMBER(FIND("PCS",Base_report!D607,1)),SUBSTITUTE(Base_report!D607,"PCS",""),IF(ISNUMBER(FIND("CMU",Base_report!D607,1)),SUBSTITUTE(Base_report!D607,"CMU",""),Base_report!D607)))))</f>
        <v>FSU COM ANDOKOI</v>
      </c>
      <c r="E608" s="14" t="str">
        <f>SUBSTITUTE(Base_report!E607,"-","/")</f>
        <v>PNLP/MEDICAMENTS ET INTRANTS</v>
      </c>
      <c r="F608" s="14" t="s">
        <v>788</v>
      </c>
      <c r="G608" s="16">
        <f>DATE(YEAR(SUBSTITUTE(LEFT(Base_report!F607,10),"-","/")),MONTH(SUBSTITUTE(LEFT(Base_report!F607,10),"-","/")),DAY(SUBSTITUTE(LEFT(Base_report!F607,10),"-","/")))</f>
        <v>45293</v>
      </c>
      <c r="H608" s="16">
        <f>DATE(YEAR(SUBSTITUTE(LEFT(Base_report!G607,10),"-","/")),MONTH(SUBSTITUTE(LEFT(Base_report!G607,10),"-","/")),DAY(SUBSTITUTE(LEFT(Base_report!G607,10),"-","/")))</f>
        <v>45293</v>
      </c>
      <c r="I608" s="17" t="str">
        <f t="shared" si="1"/>
        <v>OUI</v>
      </c>
      <c r="J608" s="18">
        <f>IF(L608="DS",DATE(RIGHT(B608,4),VLOOKUP(LEFT(B608,LEN(B608)-5),Feuil1!$E$3:$F$19,2,FALSE)+1,10),DATE(RIGHT(B608,4),VLOOKUP(LEFT(B608,LEN(B608)-5),Feuil1!$E$3:$F$19,2,FALSE)+1,7))</f>
        <v>45298</v>
      </c>
      <c r="K608" s="19">
        <f t="shared" si="2"/>
        <v>1</v>
      </c>
      <c r="L608" s="6" t="str">
        <f t="shared" si="3"/>
        <v>FS</v>
      </c>
    </row>
    <row r="609" ht="14.25" customHeight="1">
      <c r="A609" s="14" t="str">
        <f>Base_report!A608</f>
        <v>GBOKLE</v>
      </c>
      <c r="B609" s="14" t="str">
        <f>Base_report!B608</f>
        <v>DECEMBRE 2023</v>
      </c>
      <c r="C609" s="15" t="str">
        <f>Base_report!C608</f>
        <v>C1097</v>
      </c>
      <c r="D609" s="14" t="str">
        <f>TRIM(IF(ISNUMBER(FIND("PNSME",Base_report!D608,1)),SUBSTITUTE(Base_report!D608,"PNSME",""),IF(ISNUMBER(FIND("PHG",Base_report!D608,1)),SUBSTITUTE(Base_report!D608,"PHG",""),IF(ISNUMBER(FIND("PCS",Base_report!D608,1)),SUBSTITUTE(Base_report!D608,"PCS",""),IF(ISNUMBER(FIND("CMU",Base_report!D608,1)),SUBSTITUTE(Base_report!D608,"CMU",""),Base_report!D608)))))</f>
        <v>DISTRICT SANITAIRE FRESCO</v>
      </c>
      <c r="E609" s="14" t="str">
        <f>SUBSTITUTE(Base_report!E608,"-","/")</f>
        <v>PNLS/ANTIRETROVIRAUX ET IO</v>
      </c>
      <c r="F609" s="14" t="s">
        <v>788</v>
      </c>
      <c r="G609" s="16">
        <f>DATE(YEAR(SUBSTITUTE(LEFT(Base_report!F608,10),"-","/")),MONTH(SUBSTITUTE(LEFT(Base_report!F608,10),"-","/")),DAY(SUBSTITUTE(LEFT(Base_report!F608,10),"-","/")))</f>
        <v>45300</v>
      </c>
      <c r="H609" s="16">
        <f>DATE(YEAR(SUBSTITUTE(LEFT(Base_report!G608,10),"-","/")),MONTH(SUBSTITUTE(LEFT(Base_report!G608,10),"-","/")),DAY(SUBSTITUTE(LEFT(Base_report!G608,10),"-","/")))</f>
        <v>45301</v>
      </c>
      <c r="I609" s="17" t="str">
        <f t="shared" si="1"/>
        <v>OUI</v>
      </c>
      <c r="J609" s="18">
        <f>IF(L609="DS",DATE(RIGHT(B609,4),VLOOKUP(LEFT(B609,LEN(B609)-5),Feuil1!$E$3:$F$19,2,FALSE)+1,10),DATE(RIGHT(B609,4),VLOOKUP(LEFT(B609,LEN(B609)-5),Feuil1!$E$3:$F$19,2,FALSE)+1,7))</f>
        <v>45301</v>
      </c>
      <c r="K609" s="19">
        <f t="shared" si="2"/>
        <v>1</v>
      </c>
      <c r="L609" s="6" t="str">
        <f t="shared" si="3"/>
        <v>DS</v>
      </c>
    </row>
    <row r="610" ht="14.25" customHeight="1">
      <c r="A610" s="14" t="str">
        <f>Base_report!A609</f>
        <v>GBOKLE</v>
      </c>
      <c r="B610" s="14" t="str">
        <f>Base_report!B609</f>
        <v>DECEMBRE 2023</v>
      </c>
      <c r="C610" s="15" t="str">
        <f>Base_report!C609</f>
        <v>C1097</v>
      </c>
      <c r="D610" s="14" t="str">
        <f>TRIM(IF(ISNUMBER(FIND("PNSME",Base_report!D609,1)),SUBSTITUTE(Base_report!D609,"PNSME",""),IF(ISNUMBER(FIND("PHG",Base_report!D609,1)),SUBSTITUTE(Base_report!D609,"PHG",""),IF(ISNUMBER(FIND("PCS",Base_report!D609,1)),SUBSTITUTE(Base_report!D609,"PCS",""),IF(ISNUMBER(FIND("CMU",Base_report!D609,1)),SUBSTITUTE(Base_report!D609,"CMU",""),Base_report!D609)))))</f>
        <v>DISTRICT SANITAIRE FRESCO</v>
      </c>
      <c r="E610" s="14" t="str">
        <f>SUBSTITUTE(Base_report!E609,"-","/")</f>
        <v>PNLS/PRODUITS DE LABORATOIRE</v>
      </c>
      <c r="F610" s="14" t="s">
        <v>788</v>
      </c>
      <c r="G610" s="16">
        <f>DATE(YEAR(SUBSTITUTE(LEFT(Base_report!F609,10),"-","/")),MONTH(SUBSTITUTE(LEFT(Base_report!F609,10),"-","/")),DAY(SUBSTITUTE(LEFT(Base_report!F609,10),"-","/")))</f>
        <v>45300</v>
      </c>
      <c r="H610" s="16">
        <f>DATE(YEAR(SUBSTITUTE(LEFT(Base_report!G609,10),"-","/")),MONTH(SUBSTITUTE(LEFT(Base_report!G609,10),"-","/")),DAY(SUBSTITUTE(LEFT(Base_report!G609,10),"-","/")))</f>
        <v>45301</v>
      </c>
      <c r="I610" s="17" t="str">
        <f t="shared" si="1"/>
        <v>OUI</v>
      </c>
      <c r="J610" s="18">
        <f>IF(L610="DS",DATE(RIGHT(B610,4),VLOOKUP(LEFT(B610,LEN(B610)-5),Feuil1!$E$3:$F$19,2,FALSE)+1,10),DATE(RIGHT(B610,4),VLOOKUP(LEFT(B610,LEN(B610)-5),Feuil1!$E$3:$F$19,2,FALSE)+1,7))</f>
        <v>45301</v>
      </c>
      <c r="K610" s="19">
        <f t="shared" si="2"/>
        <v>1</v>
      </c>
      <c r="L610" s="6" t="str">
        <f t="shared" si="3"/>
        <v>DS</v>
      </c>
    </row>
    <row r="611" ht="14.25" customHeight="1">
      <c r="A611" s="14" t="str">
        <f>Base_report!A610</f>
        <v>PORO</v>
      </c>
      <c r="B611" s="14" t="str">
        <f>Base_report!B610</f>
        <v>DECEMBRE 2023</v>
      </c>
      <c r="C611" s="15" t="str">
        <f>Base_report!C610</f>
        <v>C3043</v>
      </c>
      <c r="D611" s="14" t="str">
        <f>TRIM(IF(ISNUMBER(FIND("PNSME",Base_report!D610,1)),SUBSTITUTE(Base_report!D610,"PNSME",""),IF(ISNUMBER(FIND("PHG",Base_report!D610,1)),SUBSTITUTE(Base_report!D610,"PHG",""),IF(ISNUMBER(FIND("PCS",Base_report!D610,1)),SUBSTITUTE(Base_report!D610,"PCS",""),IF(ISNUMBER(FIND("CMU",Base_report!D610,1)),SUBSTITUTE(Base_report!D610,"CMU",""),Base_report!D610)))))</f>
        <v>HOPITAL GENERAL DIKODOUGOU</v>
      </c>
      <c r="E611" s="14" t="str">
        <f>SUBSTITUTE(Base_report!E610,"-","/")</f>
        <v>PNLS/ANTIRETROVIRAUX ET IO</v>
      </c>
      <c r="F611" s="14" t="s">
        <v>788</v>
      </c>
      <c r="G611" s="16">
        <f>DATE(YEAR(SUBSTITUTE(LEFT(Base_report!F610,10),"-","/")),MONTH(SUBSTITUTE(LEFT(Base_report!F610,10),"-","/")),DAY(SUBSTITUTE(LEFT(Base_report!F610,10),"-","/")))</f>
        <v>45296</v>
      </c>
      <c r="H611" s="16">
        <f>DATE(YEAR(SUBSTITUTE(LEFT(Base_report!G610,10),"-","/")),MONTH(SUBSTITUTE(LEFT(Base_report!G610,10),"-","/")),DAY(SUBSTITUTE(LEFT(Base_report!G610,10),"-","/")))</f>
        <v>45298</v>
      </c>
      <c r="I611" s="17" t="str">
        <f t="shared" si="1"/>
        <v>OUI</v>
      </c>
      <c r="J611" s="18">
        <f>IF(L611="DS",DATE(RIGHT(B611,4),VLOOKUP(LEFT(B611,LEN(B611)-5),Feuil1!$E$3:$F$19,2,FALSE)+1,10),DATE(RIGHT(B611,4),VLOOKUP(LEFT(B611,LEN(B611)-5),Feuil1!$E$3:$F$19,2,FALSE)+1,7))</f>
        <v>45298</v>
      </c>
      <c r="K611" s="19">
        <f t="shared" si="2"/>
        <v>1</v>
      </c>
      <c r="L611" s="6" t="str">
        <f t="shared" si="3"/>
        <v>FS</v>
      </c>
    </row>
    <row r="612" ht="14.25" customHeight="1">
      <c r="A612" s="14" t="str">
        <f>Base_report!A611</f>
        <v>GBOKLE</v>
      </c>
      <c r="B612" s="14" t="str">
        <f>Base_report!B611</f>
        <v>DECEMBRE 2023</v>
      </c>
      <c r="C612" s="15" t="str">
        <f>Base_report!C611</f>
        <v>C1097</v>
      </c>
      <c r="D612" s="14" t="str">
        <f>TRIM(IF(ISNUMBER(FIND("PNSME",Base_report!D611,1)),SUBSTITUTE(Base_report!D611,"PNSME",""),IF(ISNUMBER(FIND("PHG",Base_report!D611,1)),SUBSTITUTE(Base_report!D611,"PHG",""),IF(ISNUMBER(FIND("PCS",Base_report!D611,1)),SUBSTITUTE(Base_report!D611,"PCS",""),IF(ISNUMBER(FIND("CMU",Base_report!D611,1)),SUBSTITUTE(Base_report!D611,"CMU",""),Base_report!D611)))))</f>
        <v>DISTRICT SANITAIRE FRESCO</v>
      </c>
      <c r="E612" s="14" t="str">
        <f>SUBSTITUTE(Base_report!E611,"-","/")</f>
        <v>PNLS/TESTS RAPIDES ET CONSOMMABLES</v>
      </c>
      <c r="F612" s="14" t="s">
        <v>788</v>
      </c>
      <c r="G612" s="16">
        <f>DATE(YEAR(SUBSTITUTE(LEFT(Base_report!F611,10),"-","/")),MONTH(SUBSTITUTE(LEFT(Base_report!F611,10),"-","/")),DAY(SUBSTITUTE(LEFT(Base_report!F611,10),"-","/")))</f>
        <v>45300</v>
      </c>
      <c r="H612" s="16">
        <f>DATE(YEAR(SUBSTITUTE(LEFT(Base_report!G611,10),"-","/")),MONTH(SUBSTITUTE(LEFT(Base_report!G611,10),"-","/")),DAY(SUBSTITUTE(LEFT(Base_report!G611,10),"-","/")))</f>
        <v>45301</v>
      </c>
      <c r="I612" s="17" t="str">
        <f t="shared" si="1"/>
        <v>OUI</v>
      </c>
      <c r="J612" s="18">
        <f>IF(L612="DS",DATE(RIGHT(B612,4),VLOOKUP(LEFT(B612,LEN(B612)-5),Feuil1!$E$3:$F$19,2,FALSE)+1,10),DATE(RIGHT(B612,4),VLOOKUP(LEFT(B612,LEN(B612)-5),Feuil1!$E$3:$F$19,2,FALSE)+1,7))</f>
        <v>45301</v>
      </c>
      <c r="K612" s="19">
        <f t="shared" si="2"/>
        <v>1</v>
      </c>
      <c r="L612" s="6" t="str">
        <f t="shared" si="3"/>
        <v>DS</v>
      </c>
    </row>
    <row r="613" ht="14.25" customHeight="1">
      <c r="A613" s="14" t="str">
        <f>Base_report!A612</f>
        <v>GBOKLE</v>
      </c>
      <c r="B613" s="14" t="str">
        <f>Base_report!B612</f>
        <v>DECEMBRE 2023</v>
      </c>
      <c r="C613" s="15" t="str">
        <f>Base_report!C612</f>
        <v>C1097</v>
      </c>
      <c r="D613" s="14" t="str">
        <f>TRIM(IF(ISNUMBER(FIND("PNSME",Base_report!D612,1)),SUBSTITUTE(Base_report!D612,"PNSME",""),IF(ISNUMBER(FIND("PHG",Base_report!D612,1)),SUBSTITUTE(Base_report!D612,"PHG",""),IF(ISNUMBER(FIND("PCS",Base_report!D612,1)),SUBSTITUTE(Base_report!D612,"PCS",""),IF(ISNUMBER(FIND("CMU",Base_report!D612,1)),SUBSTITUTE(Base_report!D612,"CMU",""),Base_report!D612)))))</f>
        <v>DISTRICT SANITAIRE FRESCO</v>
      </c>
      <c r="E613" s="14" t="str">
        <f>SUBSTITUTE(Base_report!E612,"-","/")</f>
        <v>PNN/MEDICAMENTS ET INTRANTS</v>
      </c>
      <c r="F613" s="14" t="s">
        <v>788</v>
      </c>
      <c r="G613" s="16">
        <f>DATE(YEAR(SUBSTITUTE(LEFT(Base_report!F612,10),"-","/")),MONTH(SUBSTITUTE(LEFT(Base_report!F612,10),"-","/")),DAY(SUBSTITUTE(LEFT(Base_report!F612,10),"-","/")))</f>
        <v>45300</v>
      </c>
      <c r="H613" s="16">
        <f>DATE(YEAR(SUBSTITUTE(LEFT(Base_report!G612,10),"-","/")),MONTH(SUBSTITUTE(LEFT(Base_report!G612,10),"-","/")),DAY(SUBSTITUTE(LEFT(Base_report!G612,10),"-","/")))</f>
        <v>45301</v>
      </c>
      <c r="I613" s="17" t="str">
        <f t="shared" si="1"/>
        <v>OUI</v>
      </c>
      <c r="J613" s="18">
        <f>IF(L613="DS",DATE(RIGHT(B613,4),VLOOKUP(LEFT(B613,LEN(B613)-5),Feuil1!$E$3:$F$19,2,FALSE)+1,10),DATE(RIGHT(B613,4),VLOOKUP(LEFT(B613,LEN(B613)-5),Feuil1!$E$3:$F$19,2,FALSE)+1,7))</f>
        <v>45301</v>
      </c>
      <c r="K613" s="19">
        <f t="shared" si="2"/>
        <v>1</v>
      </c>
      <c r="L613" s="6" t="str">
        <f t="shared" si="3"/>
        <v>DS</v>
      </c>
    </row>
    <row r="614" ht="14.25" customHeight="1">
      <c r="A614" s="14" t="str">
        <f>Base_report!A613</f>
        <v>GBOKLE</v>
      </c>
      <c r="B614" s="14" t="str">
        <f>Base_report!B613</f>
        <v>DECEMBRE 2023</v>
      </c>
      <c r="C614" s="15" t="str">
        <f>Base_report!C613</f>
        <v>C1097</v>
      </c>
      <c r="D614" s="14" t="str">
        <f>TRIM(IF(ISNUMBER(FIND("PNSME",Base_report!D613,1)),SUBSTITUTE(Base_report!D613,"PNSME",""),IF(ISNUMBER(FIND("PHG",Base_report!D613,1)),SUBSTITUTE(Base_report!D613,"PHG",""),IF(ISNUMBER(FIND("PCS",Base_report!D613,1)),SUBSTITUTE(Base_report!D613,"PCS",""),IF(ISNUMBER(FIND("CMU",Base_report!D613,1)),SUBSTITUTE(Base_report!D613,"CMU",""),Base_report!D613)))))</f>
        <v>DISTRICT SANITAIRE FRESCO</v>
      </c>
      <c r="E614" s="14" t="str">
        <f>SUBSTITUTE(Base_report!E613,"-","/")</f>
        <v>PNSME/MEDICAMENTS ET INTRANTS</v>
      </c>
      <c r="F614" s="14" t="s">
        <v>788</v>
      </c>
      <c r="G614" s="16">
        <f>DATE(YEAR(SUBSTITUTE(LEFT(Base_report!F613,10),"-","/")),MONTH(SUBSTITUTE(LEFT(Base_report!F613,10),"-","/")),DAY(SUBSTITUTE(LEFT(Base_report!F613,10),"-","/")))</f>
        <v>45300</v>
      </c>
      <c r="H614" s="16">
        <f>DATE(YEAR(SUBSTITUTE(LEFT(Base_report!G613,10),"-","/")),MONTH(SUBSTITUTE(LEFT(Base_report!G613,10),"-","/")),DAY(SUBSTITUTE(LEFT(Base_report!G613,10),"-","/")))</f>
        <v>45301</v>
      </c>
      <c r="I614" s="17" t="str">
        <f t="shared" si="1"/>
        <v>OUI</v>
      </c>
      <c r="J614" s="18">
        <f>IF(L614="DS",DATE(RIGHT(B614,4),VLOOKUP(LEFT(B614,LEN(B614)-5),Feuil1!$E$3:$F$19,2,FALSE)+1,10),DATE(RIGHT(B614,4),VLOOKUP(LEFT(B614,LEN(B614)-5),Feuil1!$E$3:$F$19,2,FALSE)+1,7))</f>
        <v>45301</v>
      </c>
      <c r="K614" s="19">
        <f t="shared" si="2"/>
        <v>1</v>
      </c>
      <c r="L614" s="6" t="str">
        <f t="shared" si="3"/>
        <v>DS</v>
      </c>
    </row>
    <row r="615" ht="14.25" customHeight="1">
      <c r="A615" s="14" t="str">
        <f>Base_report!A614</f>
        <v>SUD-COMOE</v>
      </c>
      <c r="B615" s="14" t="str">
        <f>Base_report!B614</f>
        <v>DECEMBRE 2023</v>
      </c>
      <c r="C615" s="15" t="str">
        <f>Base_report!C614</f>
        <v>C1003</v>
      </c>
      <c r="D615" s="14" t="str">
        <f>TRIM(IF(ISNUMBER(FIND("PNSME",Base_report!D614,1)),SUBSTITUTE(Base_report!D614,"PNSME",""),IF(ISNUMBER(FIND("PHG",Base_report!D614,1)),SUBSTITUTE(Base_report!D614,"PHG",""),IF(ISNUMBER(FIND("PCS",Base_report!D614,1)),SUBSTITUTE(Base_report!D614,"PCS",""),IF(ISNUMBER(FIND("CMU",Base_report!D614,1)),SUBSTITUTE(Base_report!D614,"CMU",""),Base_report!D614)))))</f>
        <v>CHR ABOISSO</v>
      </c>
      <c r="E615" s="14" t="str">
        <f>SUBSTITUTE(Base_report!E614,"-","/")</f>
        <v>PNLP/MEDICAMENTS ET INTRANTS</v>
      </c>
      <c r="F615" s="14" t="s">
        <v>788</v>
      </c>
      <c r="G615" s="16">
        <f>DATE(YEAR(SUBSTITUTE(LEFT(Base_report!F614,10),"-","/")),MONTH(SUBSTITUTE(LEFT(Base_report!F614,10),"-","/")),DAY(SUBSTITUTE(LEFT(Base_report!F614,10),"-","/")))</f>
        <v>45294</v>
      </c>
      <c r="H615" s="16">
        <f>DATE(YEAR(SUBSTITUTE(LEFT(Base_report!G614,10),"-","/")),MONTH(SUBSTITUTE(LEFT(Base_report!G614,10),"-","/")),DAY(SUBSTITUTE(LEFT(Base_report!G614,10),"-","/")))</f>
        <v>45296</v>
      </c>
      <c r="I615" s="17" t="str">
        <f t="shared" si="1"/>
        <v>OUI</v>
      </c>
      <c r="J615" s="18">
        <f>IF(L615="DS",DATE(RIGHT(B615,4),VLOOKUP(LEFT(B615,LEN(B615)-5),Feuil1!$E$3:$F$19,2,FALSE)+1,10),DATE(RIGHT(B615,4),VLOOKUP(LEFT(B615,LEN(B615)-5),Feuil1!$E$3:$F$19,2,FALSE)+1,7))</f>
        <v>45298</v>
      </c>
      <c r="K615" s="19">
        <f t="shared" si="2"/>
        <v>1</v>
      </c>
      <c r="L615" s="6" t="str">
        <f t="shared" si="3"/>
        <v>FS</v>
      </c>
    </row>
    <row r="616" ht="14.25" customHeight="1">
      <c r="A616" s="14" t="str">
        <f>Base_report!A615</f>
        <v>ABIDJAN 2</v>
      </c>
      <c r="B616" s="14" t="str">
        <f>Base_report!B615</f>
        <v>DECEMBRE 2023</v>
      </c>
      <c r="C616" s="15" t="str">
        <f>Base_report!C615</f>
        <v>C1015</v>
      </c>
      <c r="D616" s="14" t="str">
        <f>TRIM(IF(ISNUMBER(FIND("PNSME",Base_report!D615,1)),SUBSTITUTE(Base_report!D615,"PNSME",""),IF(ISNUMBER(FIND("PHG",Base_report!D615,1)),SUBSTITUTE(Base_report!D615,"PHG",""),IF(ISNUMBER(FIND("PCS",Base_report!D615,1)),SUBSTITUTE(Base_report!D615,"PCS",""),IF(ISNUMBER(FIND("CMU",Base_report!D615,1)),SUBSTITUTE(Base_report!D615,"CMU",""),Base_report!D615)))))</f>
        <v>CSU COM AKLOMIABLA</v>
      </c>
      <c r="E616" s="14" t="str">
        <f>SUBSTITUTE(Base_report!E615,"-","/")</f>
        <v>PNLP/MEDICAMENTS ET INTRANTS</v>
      </c>
      <c r="F616" s="14" t="s">
        <v>788</v>
      </c>
      <c r="G616" s="16">
        <f>DATE(YEAR(SUBSTITUTE(LEFT(Base_report!F615,10),"-","/")),MONTH(SUBSTITUTE(LEFT(Base_report!F615,10),"-","/")),DAY(SUBSTITUTE(LEFT(Base_report!F615,10),"-","/")))</f>
        <v>45293</v>
      </c>
      <c r="H616" s="16">
        <f>DATE(YEAR(SUBSTITUTE(LEFT(Base_report!G615,10),"-","/")),MONTH(SUBSTITUTE(LEFT(Base_report!G615,10),"-","/")),DAY(SUBSTITUTE(LEFT(Base_report!G615,10),"-","/")))</f>
        <v>45293</v>
      </c>
      <c r="I616" s="17" t="str">
        <f t="shared" si="1"/>
        <v>OUI</v>
      </c>
      <c r="J616" s="18">
        <f>IF(L616="DS",DATE(RIGHT(B616,4),VLOOKUP(LEFT(B616,LEN(B616)-5),Feuil1!$E$3:$F$19,2,FALSE)+1,10),DATE(RIGHT(B616,4),VLOOKUP(LEFT(B616,LEN(B616)-5),Feuil1!$E$3:$F$19,2,FALSE)+1,7))</f>
        <v>45298</v>
      </c>
      <c r="K616" s="19">
        <f t="shared" si="2"/>
        <v>1</v>
      </c>
      <c r="L616" s="6" t="str">
        <f t="shared" si="3"/>
        <v>FS</v>
      </c>
    </row>
    <row r="617" ht="14.25" customHeight="1">
      <c r="A617" s="14" t="str">
        <f>Base_report!A616</f>
        <v>SUD-COMOE</v>
      </c>
      <c r="B617" s="14" t="str">
        <f>Base_report!B616</f>
        <v>DECEMBRE 2023</v>
      </c>
      <c r="C617" s="15" t="str">
        <f>Base_report!C616</f>
        <v>C1090</v>
      </c>
      <c r="D617" s="14" t="str">
        <f>TRIM(IF(ISNUMBER(FIND("PNSME",Base_report!D616,1)),SUBSTITUTE(Base_report!D616,"PNSME",""),IF(ISNUMBER(FIND("PHG",Base_report!D616,1)),SUBSTITUTE(Base_report!D616,"PHG",""),IF(ISNUMBER(FIND("PCS",Base_report!D616,1)),SUBSTITUTE(Base_report!D616,"PCS",""),IF(ISNUMBER(FIND("CMU",Base_report!D616,1)),SUBSTITUTE(Base_report!D616,"CMU",""),Base_report!D616)))))</f>
        <v>HOPITAL GENERAL GRAND-BASSAM</v>
      </c>
      <c r="E617" s="14" t="str">
        <f>SUBSTITUTE(Base_report!E616,"-","/")</f>
        <v>PNLS/ANTIRETROVIRAUX ET IO</v>
      </c>
      <c r="F617" s="14" t="s">
        <v>788</v>
      </c>
      <c r="G617" s="16">
        <f>DATE(YEAR(SUBSTITUTE(LEFT(Base_report!F616,10),"-","/")),MONTH(SUBSTITUTE(LEFT(Base_report!F616,10),"-","/")),DAY(SUBSTITUTE(LEFT(Base_report!F616,10),"-","/")))</f>
        <v>45296</v>
      </c>
      <c r="H617" s="16">
        <f>DATE(YEAR(SUBSTITUTE(LEFT(Base_report!G616,10),"-","/")),MONTH(SUBSTITUTE(LEFT(Base_report!G616,10),"-","/")),DAY(SUBSTITUTE(LEFT(Base_report!G616,10),"-","/")))</f>
        <v>45297</v>
      </c>
      <c r="I617" s="17" t="str">
        <f t="shared" si="1"/>
        <v>OUI</v>
      </c>
      <c r="J617" s="18">
        <f>IF(L617="DS",DATE(RIGHT(B617,4),VLOOKUP(LEFT(B617,LEN(B617)-5),Feuil1!$E$3:$F$19,2,FALSE)+1,10),DATE(RIGHT(B617,4),VLOOKUP(LEFT(B617,LEN(B617)-5),Feuil1!$E$3:$F$19,2,FALSE)+1,7))</f>
        <v>45298</v>
      </c>
      <c r="K617" s="19">
        <f t="shared" si="2"/>
        <v>1</v>
      </c>
      <c r="L617" s="6" t="str">
        <f t="shared" si="3"/>
        <v>FS</v>
      </c>
    </row>
    <row r="618" ht="14.25" customHeight="1">
      <c r="A618" s="14" t="str">
        <f>Base_report!A617</f>
        <v>ABIDJAN 2</v>
      </c>
      <c r="B618" s="14" t="str">
        <f>Base_report!B617</f>
        <v>DECEMBRE 2023</v>
      </c>
      <c r="C618" s="15" t="str">
        <f>Base_report!C617</f>
        <v>C1019</v>
      </c>
      <c r="D618" s="14" t="str">
        <f>TRIM(IF(ISNUMBER(FIND("PNSME",Base_report!D617,1)),SUBSTITUTE(Base_report!D617,"PNSME",""),IF(ISNUMBER(FIND("PHG",Base_report!D617,1)),SUBSTITUTE(Base_report!D617,"PHG",""),IF(ISNUMBER(FIND("PCS",Base_report!D617,1)),SUBSTITUTE(Base_report!D617,"PCS",""),IF(ISNUMBER(FIND("CMU",Base_report!D617,1)),SUBSTITUTE(Base_report!D617,"CMU",""),Base_report!D617)))))</f>
        <v>CSU COM ANONO VILLAGE</v>
      </c>
      <c r="E618" s="14" t="str">
        <f>SUBSTITUTE(Base_report!E617,"-","/")</f>
        <v>PNLP/MEDICAMENTS ET INTRANTS</v>
      </c>
      <c r="F618" s="14" t="s">
        <v>788</v>
      </c>
      <c r="G618" s="16">
        <f>DATE(YEAR(SUBSTITUTE(LEFT(Base_report!F617,10),"-","/")),MONTH(SUBSTITUTE(LEFT(Base_report!F617,10),"-","/")),DAY(SUBSTITUTE(LEFT(Base_report!F617,10),"-","/")))</f>
        <v>45294</v>
      </c>
      <c r="H618" s="16">
        <f>DATE(YEAR(SUBSTITUTE(LEFT(Base_report!G617,10),"-","/")),MONTH(SUBSTITUTE(LEFT(Base_report!G617,10),"-","/")),DAY(SUBSTITUTE(LEFT(Base_report!G617,10),"-","/")))</f>
        <v>45294</v>
      </c>
      <c r="I618" s="17" t="str">
        <f t="shared" si="1"/>
        <v>OUI</v>
      </c>
      <c r="J618" s="18">
        <f>IF(L618="DS",DATE(RIGHT(B618,4),VLOOKUP(LEFT(B618,LEN(B618)-5),Feuil1!$E$3:$F$19,2,FALSE)+1,10),DATE(RIGHT(B618,4),VLOOKUP(LEFT(B618,LEN(B618)-5),Feuil1!$E$3:$F$19,2,FALSE)+1,7))</f>
        <v>45298</v>
      </c>
      <c r="K618" s="19">
        <f t="shared" si="2"/>
        <v>1</v>
      </c>
      <c r="L618" s="6" t="str">
        <f t="shared" si="3"/>
        <v>FS</v>
      </c>
    </row>
    <row r="619" ht="14.25" customHeight="1">
      <c r="A619" s="14" t="str">
        <f>Base_report!A618</f>
        <v>MORONOU</v>
      </c>
      <c r="B619" s="14" t="str">
        <f>Base_report!B618</f>
        <v>DECEMBRE 2023</v>
      </c>
      <c r="C619" s="15" t="str">
        <f>Base_report!C618</f>
        <v>C4054</v>
      </c>
      <c r="D619" s="14" t="str">
        <f>TRIM(IF(ISNUMBER(FIND("PNSME",Base_report!D618,1)),SUBSTITUTE(Base_report!D618,"PNSME",""),IF(ISNUMBER(FIND("PHG",Base_report!D618,1)),SUBSTITUTE(Base_report!D618,"PHG",""),IF(ISNUMBER(FIND("PCS",Base_report!D618,1)),SUBSTITUTE(Base_report!D618,"PCS",""),IF(ISNUMBER(FIND("CMU",Base_report!D618,1)),SUBSTITUTE(Base_report!D618,"CMU",""),Base_report!D618)))))</f>
        <v>HOPITAL GENERAL M'BATTO</v>
      </c>
      <c r="E619" s="14" t="str">
        <f>SUBSTITUTE(Base_report!E618,"-","/")</f>
        <v>PNLS/TESTS RAPIDES ET CONSOMMABLES</v>
      </c>
      <c r="F619" s="14" t="s">
        <v>788</v>
      </c>
      <c r="G619" s="16">
        <f>DATE(YEAR(SUBSTITUTE(LEFT(Base_report!F618,10),"-","/")),MONTH(SUBSTITUTE(LEFT(Base_report!F618,10),"-","/")),DAY(SUBSTITUTE(LEFT(Base_report!F618,10),"-","/")))</f>
        <v>45294</v>
      </c>
      <c r="H619" s="16">
        <f>DATE(YEAR(SUBSTITUTE(LEFT(Base_report!G618,10),"-","/")),MONTH(SUBSTITUTE(LEFT(Base_report!G618,10),"-","/")),DAY(SUBSTITUTE(LEFT(Base_report!G618,10),"-","/")))</f>
        <v>45295</v>
      </c>
      <c r="I619" s="17" t="str">
        <f t="shared" si="1"/>
        <v>OUI</v>
      </c>
      <c r="J619" s="18">
        <f>IF(L619="DS",DATE(RIGHT(B619,4),VLOOKUP(LEFT(B619,LEN(B619)-5),Feuil1!$E$3:$F$19,2,FALSE)+1,10),DATE(RIGHT(B619,4),VLOOKUP(LEFT(B619,LEN(B619)-5),Feuil1!$E$3:$F$19,2,FALSE)+1,7))</f>
        <v>45298</v>
      </c>
      <c r="K619" s="19">
        <f t="shared" si="2"/>
        <v>1</v>
      </c>
      <c r="L619" s="6" t="str">
        <f t="shared" si="3"/>
        <v>FS</v>
      </c>
    </row>
    <row r="620" ht="14.25" customHeight="1">
      <c r="A620" s="14" t="str">
        <f>Base_report!A619</f>
        <v>MORONOU</v>
      </c>
      <c r="B620" s="14" t="str">
        <f>Base_report!B619</f>
        <v>DECEMBRE 2023</v>
      </c>
      <c r="C620" s="15" t="str">
        <f>Base_report!C619</f>
        <v>C4054</v>
      </c>
      <c r="D620" s="14" t="str">
        <f>TRIM(IF(ISNUMBER(FIND("PNSME",Base_report!D619,1)),SUBSTITUTE(Base_report!D619,"PNSME",""),IF(ISNUMBER(FIND("PHG",Base_report!D619,1)),SUBSTITUTE(Base_report!D619,"PHG",""),IF(ISNUMBER(FIND("PCS",Base_report!D619,1)),SUBSTITUTE(Base_report!D619,"PCS",""),IF(ISNUMBER(FIND("CMU",Base_report!D619,1)),SUBSTITUTE(Base_report!D619,"CMU",""),Base_report!D619)))))</f>
        <v>HOPITAL GENERAL M'BATTO</v>
      </c>
      <c r="E620" s="14" t="str">
        <f>SUBSTITUTE(Base_report!E619,"-","/")</f>
        <v>PNLS/PRODUITS DE LABORATOIRE</v>
      </c>
      <c r="F620" s="14" t="s">
        <v>788</v>
      </c>
      <c r="G620" s="16">
        <f>DATE(YEAR(SUBSTITUTE(LEFT(Base_report!F619,10),"-","/")),MONTH(SUBSTITUTE(LEFT(Base_report!F619,10),"-","/")),DAY(SUBSTITUTE(LEFT(Base_report!F619,10),"-","/")))</f>
        <v>45294</v>
      </c>
      <c r="H620" s="16">
        <f>DATE(YEAR(SUBSTITUTE(LEFT(Base_report!G619,10),"-","/")),MONTH(SUBSTITUTE(LEFT(Base_report!G619,10),"-","/")),DAY(SUBSTITUTE(LEFT(Base_report!G619,10),"-","/")))</f>
        <v>45295</v>
      </c>
      <c r="I620" s="17" t="str">
        <f t="shared" si="1"/>
        <v>OUI</v>
      </c>
      <c r="J620" s="18">
        <f>IF(L620="DS",DATE(RIGHT(B620,4),VLOOKUP(LEFT(B620,LEN(B620)-5),Feuil1!$E$3:$F$19,2,FALSE)+1,10),DATE(RIGHT(B620,4),VLOOKUP(LEFT(B620,LEN(B620)-5),Feuil1!$E$3:$F$19,2,FALSE)+1,7))</f>
        <v>45298</v>
      </c>
      <c r="K620" s="19">
        <f t="shared" si="2"/>
        <v>1</v>
      </c>
      <c r="L620" s="6" t="str">
        <f t="shared" si="3"/>
        <v>FS</v>
      </c>
    </row>
    <row r="621" ht="14.25" customHeight="1">
      <c r="A621" s="14" t="str">
        <f>Base_report!A620</f>
        <v>ME</v>
      </c>
      <c r="B621" s="14" t="str">
        <f>Base_report!B620</f>
        <v>DECEMBRE 2023</v>
      </c>
      <c r="C621" s="15" t="str">
        <f>Base_report!C620</f>
        <v>C1083</v>
      </c>
      <c r="D621" s="14" t="str">
        <f>TRIM(IF(ISNUMBER(FIND("PNSME",Base_report!D620,1)),SUBSTITUTE(Base_report!D620,"PNSME",""),IF(ISNUMBER(FIND("PHG",Base_report!D620,1)),SUBSTITUTE(Base_report!D620,"PHG",""),IF(ISNUMBER(FIND("PCS",Base_report!D620,1)),SUBSTITUTE(Base_report!D620,"PCS",""),IF(ISNUMBER(FIND("CMU",Base_report!D620,1)),SUBSTITUTE(Base_report!D620,"CMU",""),Base_report!D620)))))</f>
        <v>HOPITAL GENERAL ALEPE</v>
      </c>
      <c r="E621" s="14" t="str">
        <f>SUBSTITUTE(Base_report!E620,"-","/")</f>
        <v>PNLS/TESTS RAPIDES ET CONSOMMABLES</v>
      </c>
      <c r="F621" s="14" t="s">
        <v>788</v>
      </c>
      <c r="G621" s="16">
        <f>DATE(YEAR(SUBSTITUTE(LEFT(Base_report!F620,10),"-","/")),MONTH(SUBSTITUTE(LEFT(Base_report!F620,10),"-","/")),DAY(SUBSTITUTE(LEFT(Base_report!F620,10),"-","/")))</f>
        <v>45296</v>
      </c>
      <c r="H621" s="16">
        <f>DATE(YEAR(SUBSTITUTE(LEFT(Base_report!G620,10),"-","/")),MONTH(SUBSTITUTE(LEFT(Base_report!G620,10),"-","/")),DAY(SUBSTITUTE(LEFT(Base_report!G620,10),"-","/")))</f>
        <v>45296</v>
      </c>
      <c r="I621" s="17" t="str">
        <f t="shared" si="1"/>
        <v>OUI</v>
      </c>
      <c r="J621" s="18">
        <f>IF(L621="DS",DATE(RIGHT(B621,4),VLOOKUP(LEFT(B621,LEN(B621)-5),Feuil1!$E$3:$F$19,2,FALSE)+1,10),DATE(RIGHT(B621,4),VLOOKUP(LEFT(B621,LEN(B621)-5),Feuil1!$E$3:$F$19,2,FALSE)+1,7))</f>
        <v>45298</v>
      </c>
      <c r="K621" s="19">
        <f t="shared" si="2"/>
        <v>1</v>
      </c>
      <c r="L621" s="6" t="str">
        <f t="shared" si="3"/>
        <v>FS</v>
      </c>
    </row>
    <row r="622" ht="14.25" customHeight="1">
      <c r="A622" s="14" t="str">
        <f>Base_report!A621</f>
        <v>MORONOU</v>
      </c>
      <c r="B622" s="14" t="str">
        <f>Base_report!B621</f>
        <v>DECEMBRE 2023</v>
      </c>
      <c r="C622" s="15" t="str">
        <f>Base_report!C621</f>
        <v>C4054</v>
      </c>
      <c r="D622" s="14" t="str">
        <f>TRIM(IF(ISNUMBER(FIND("PNSME",Base_report!D621,1)),SUBSTITUTE(Base_report!D621,"PNSME",""),IF(ISNUMBER(FIND("PHG",Base_report!D621,1)),SUBSTITUTE(Base_report!D621,"PHG",""),IF(ISNUMBER(FIND("PCS",Base_report!D621,1)),SUBSTITUTE(Base_report!D621,"PCS",""),IF(ISNUMBER(FIND("CMU",Base_report!D621,1)),SUBSTITUTE(Base_report!D621,"CMU",""),Base_report!D621)))))</f>
        <v>HOPITAL GENERAL M'BATTO</v>
      </c>
      <c r="E622" s="14" t="str">
        <f>SUBSTITUTE(Base_report!E621,"-","/")</f>
        <v>PNN/MEDICAMENTS ET INTRANTS</v>
      </c>
      <c r="F622" s="14" t="s">
        <v>788</v>
      </c>
      <c r="G622" s="16">
        <f>DATE(YEAR(SUBSTITUTE(LEFT(Base_report!F621,10),"-","/")),MONTH(SUBSTITUTE(LEFT(Base_report!F621,10),"-","/")),DAY(SUBSTITUTE(LEFT(Base_report!F621,10),"-","/")))</f>
        <v>45295</v>
      </c>
      <c r="H622" s="16">
        <f>DATE(YEAR(SUBSTITUTE(LEFT(Base_report!G621,10),"-","/")),MONTH(SUBSTITUTE(LEFT(Base_report!G621,10),"-","/")),DAY(SUBSTITUTE(LEFT(Base_report!G621,10),"-","/")))</f>
        <v>45295</v>
      </c>
      <c r="I622" s="17" t="str">
        <f t="shared" si="1"/>
        <v>OUI</v>
      </c>
      <c r="J622" s="18">
        <f>IF(L622="DS",DATE(RIGHT(B622,4),VLOOKUP(LEFT(B622,LEN(B622)-5),Feuil1!$E$3:$F$19,2,FALSE)+1,10),DATE(RIGHT(B622,4),VLOOKUP(LEFT(B622,LEN(B622)-5),Feuil1!$E$3:$F$19,2,FALSE)+1,7))</f>
        <v>45298</v>
      </c>
      <c r="K622" s="19">
        <f t="shared" si="2"/>
        <v>1</v>
      </c>
      <c r="L622" s="6" t="str">
        <f t="shared" si="3"/>
        <v>FS</v>
      </c>
    </row>
    <row r="623" ht="14.25" customHeight="1">
      <c r="A623" s="14" t="str">
        <f>Base_report!A622</f>
        <v>ABIDJAN 2</v>
      </c>
      <c r="B623" s="14" t="str">
        <f>Base_report!B622</f>
        <v>DECEMBRE 2023</v>
      </c>
      <c r="C623" s="15" t="str">
        <f>Base_report!C622</f>
        <v>C1001</v>
      </c>
      <c r="D623" s="14" t="str">
        <f>TRIM(IF(ISNUMBER(FIND("PNSME",Base_report!D622,1)),SUBSTITUTE(Base_report!D622,"PNSME",""),IF(ISNUMBER(FIND("PHG",Base_report!D622,1)),SUBSTITUTE(Base_report!D622,"PHG",""),IF(ISNUMBER(FIND("PCS",Base_report!D622,1)),SUBSTITUTE(Base_report!D622,"PCS",""),IF(ISNUMBER(FIND("CMU",Base_report!D622,1)),SUBSTITUTE(Base_report!D622,"CMU",""),Base_report!D622)))))</f>
        <v>CENTRE ANTITUBERCULEUX ADJAME</v>
      </c>
      <c r="E623" s="14" t="str">
        <f>SUBSTITUTE(Base_report!E622,"-","/")</f>
        <v>PNLS/PRODUITS DE LABORATOIRE</v>
      </c>
      <c r="F623" s="14" t="s">
        <v>788</v>
      </c>
      <c r="G623" s="16">
        <f>DATE(YEAR(SUBSTITUTE(LEFT(Base_report!F622,10),"-","/")),MONTH(SUBSTITUTE(LEFT(Base_report!F622,10),"-","/")),DAY(SUBSTITUTE(LEFT(Base_report!F622,10),"-","/")))</f>
        <v>45294</v>
      </c>
      <c r="H623" s="16">
        <f>DATE(YEAR(SUBSTITUTE(LEFT(Base_report!G622,10),"-","/")),MONTH(SUBSTITUTE(LEFT(Base_report!G622,10),"-","/")),DAY(SUBSTITUTE(LEFT(Base_report!G622,10),"-","/")))</f>
        <v>45299</v>
      </c>
      <c r="I623" s="17" t="str">
        <f t="shared" si="1"/>
        <v>OUI</v>
      </c>
      <c r="J623" s="18">
        <f>IF(L623="DS",DATE(RIGHT(B623,4),VLOOKUP(LEFT(B623,LEN(B623)-5),Feuil1!$E$3:$F$19,2,FALSE)+1,10),DATE(RIGHT(B623,4),VLOOKUP(LEFT(B623,LEN(B623)-5),Feuil1!$E$3:$F$19,2,FALSE)+1,7))</f>
        <v>45298</v>
      </c>
      <c r="K623" s="19">
        <f t="shared" si="2"/>
        <v>0</v>
      </c>
      <c r="L623" s="6" t="str">
        <f t="shared" si="3"/>
        <v>FS</v>
      </c>
    </row>
    <row r="624" ht="14.25" customHeight="1">
      <c r="A624" s="14" t="str">
        <f>Base_report!A623</f>
        <v>ABIDJAN 2</v>
      </c>
      <c r="B624" s="14" t="str">
        <f>Base_report!B623</f>
        <v>DECEMBRE 2023</v>
      </c>
      <c r="C624" s="15" t="str">
        <f>Base_report!C623</f>
        <v>C1001</v>
      </c>
      <c r="D624" s="14" t="str">
        <f>TRIM(IF(ISNUMBER(FIND("PNSME",Base_report!D623,1)),SUBSTITUTE(Base_report!D623,"PNSME",""),IF(ISNUMBER(FIND("PHG",Base_report!D623,1)),SUBSTITUTE(Base_report!D623,"PHG",""),IF(ISNUMBER(FIND("PCS",Base_report!D623,1)),SUBSTITUTE(Base_report!D623,"PCS",""),IF(ISNUMBER(FIND("CMU",Base_report!D623,1)),SUBSTITUTE(Base_report!D623,"CMU",""),Base_report!D623)))))</f>
        <v>CENTRE ANTITUBERCULEUX ADJAME</v>
      </c>
      <c r="E624" s="14" t="str">
        <f>SUBSTITUTE(Base_report!E623,"-","/")</f>
        <v>PNLS/TESTS RAPIDES ET CONSOMMABLES</v>
      </c>
      <c r="F624" s="14" t="s">
        <v>788</v>
      </c>
      <c r="G624" s="16">
        <f>DATE(YEAR(SUBSTITUTE(LEFT(Base_report!F623,10),"-","/")),MONTH(SUBSTITUTE(LEFT(Base_report!F623,10),"-","/")),DAY(SUBSTITUTE(LEFT(Base_report!F623,10),"-","/")))</f>
        <v>45293</v>
      </c>
      <c r="H624" s="16">
        <f>DATE(YEAR(SUBSTITUTE(LEFT(Base_report!G623,10),"-","/")),MONTH(SUBSTITUTE(LEFT(Base_report!G623,10),"-","/")),DAY(SUBSTITUTE(LEFT(Base_report!G623,10),"-","/")))</f>
        <v>45299</v>
      </c>
      <c r="I624" s="17" t="str">
        <f t="shared" si="1"/>
        <v>OUI</v>
      </c>
      <c r="J624" s="18">
        <f>IF(L624="DS",DATE(RIGHT(B624,4),VLOOKUP(LEFT(B624,LEN(B624)-5),Feuil1!$E$3:$F$19,2,FALSE)+1,10),DATE(RIGHT(B624,4),VLOOKUP(LEFT(B624,LEN(B624)-5),Feuil1!$E$3:$F$19,2,FALSE)+1,7))</f>
        <v>45298</v>
      </c>
      <c r="K624" s="19">
        <f t="shared" si="2"/>
        <v>0</v>
      </c>
      <c r="L624" s="6" t="str">
        <f t="shared" si="3"/>
        <v>FS</v>
      </c>
    </row>
    <row r="625" ht="14.25" customHeight="1">
      <c r="A625" s="14" t="str">
        <f>Base_report!A624</f>
        <v>ABIDJAN 2</v>
      </c>
      <c r="B625" s="14" t="str">
        <f>Base_report!B624</f>
        <v>DECEMBRE 2023</v>
      </c>
      <c r="C625" s="15" t="str">
        <f>Base_report!C624</f>
        <v>C1056</v>
      </c>
      <c r="D625" s="14" t="str">
        <f>TRIM(IF(ISNUMBER(FIND("PNSME",Base_report!D624,1)),SUBSTITUTE(Base_report!D624,"PNSME",""),IF(ISNUMBER(FIND("PHG",Base_report!D624,1)),SUBSTITUTE(Base_report!D624,"PHG",""),IF(ISNUMBER(FIND("PCS",Base_report!D624,1)),SUBSTITUTE(Base_report!D624,"PCS",""),IF(ISNUMBER(FIND("CMU",Base_report!D624,1)),SUBSTITUTE(Base_report!D624,"CMU",""),Base_report!D624)))))</f>
        <v>FSU COCODY DISPENSAIRE</v>
      </c>
      <c r="E625" s="14" t="str">
        <f>SUBSTITUTE(Base_report!E624,"-","/")</f>
        <v>PNSME/MEDICAMENTS ET INTRANTS</v>
      </c>
      <c r="F625" s="14" t="s">
        <v>788</v>
      </c>
      <c r="G625" s="16">
        <f>DATE(YEAR(SUBSTITUTE(LEFT(Base_report!F624,10),"-","/")),MONTH(SUBSTITUTE(LEFT(Base_report!F624,10),"-","/")),DAY(SUBSTITUTE(LEFT(Base_report!F624,10),"-","/")))</f>
        <v>45293</v>
      </c>
      <c r="H625" s="16">
        <f>DATE(YEAR(SUBSTITUTE(LEFT(Base_report!G624,10),"-","/")),MONTH(SUBSTITUTE(LEFT(Base_report!G624,10),"-","/")),DAY(SUBSTITUTE(LEFT(Base_report!G624,10),"-","/")))</f>
        <v>45293</v>
      </c>
      <c r="I625" s="17" t="str">
        <f t="shared" si="1"/>
        <v>OUI</v>
      </c>
      <c r="J625" s="18">
        <f>IF(L625="DS",DATE(RIGHT(B625,4),VLOOKUP(LEFT(B625,LEN(B625)-5),Feuil1!$E$3:$F$19,2,FALSE)+1,10),DATE(RIGHT(B625,4),VLOOKUP(LEFT(B625,LEN(B625)-5),Feuil1!$E$3:$F$19,2,FALSE)+1,7))</f>
        <v>45298</v>
      </c>
      <c r="K625" s="19">
        <f t="shared" si="2"/>
        <v>1</v>
      </c>
      <c r="L625" s="6" t="str">
        <f t="shared" si="3"/>
        <v>FS</v>
      </c>
    </row>
    <row r="626" ht="14.25" customHeight="1">
      <c r="A626" s="14" t="str">
        <f>Base_report!A625</f>
        <v>ABIDJAN 2</v>
      </c>
      <c r="B626" s="14" t="str">
        <f>Base_report!B625</f>
        <v>DECEMBRE 2023</v>
      </c>
      <c r="C626" s="15" t="str">
        <f>Base_report!C625</f>
        <v>C1019</v>
      </c>
      <c r="D626" s="14" t="str">
        <f>TRIM(IF(ISNUMBER(FIND("PNSME",Base_report!D625,1)),SUBSTITUTE(Base_report!D625,"PNSME",""),IF(ISNUMBER(FIND("PHG",Base_report!D625,1)),SUBSTITUTE(Base_report!D625,"PHG",""),IF(ISNUMBER(FIND("PCS",Base_report!D625,1)),SUBSTITUTE(Base_report!D625,"PCS",""),IF(ISNUMBER(FIND("CMU",Base_report!D625,1)),SUBSTITUTE(Base_report!D625,"CMU",""),Base_report!D625)))))</f>
        <v>CSU COM ANONO VILLAGE</v>
      </c>
      <c r="E626" s="14" t="str">
        <f>SUBSTITUTE(Base_report!E625,"-","/")</f>
        <v>PNSME/MEDICAMENTS ET INTRANTS</v>
      </c>
      <c r="F626" s="14" t="s">
        <v>788</v>
      </c>
      <c r="G626" s="16">
        <f>DATE(YEAR(SUBSTITUTE(LEFT(Base_report!F625,10),"-","/")),MONTH(SUBSTITUTE(LEFT(Base_report!F625,10),"-","/")),DAY(SUBSTITUTE(LEFT(Base_report!F625,10),"-","/")))</f>
        <v>45294</v>
      </c>
      <c r="H626" s="16">
        <f>DATE(YEAR(SUBSTITUTE(LEFT(Base_report!G625,10),"-","/")),MONTH(SUBSTITUTE(LEFT(Base_report!G625,10),"-","/")),DAY(SUBSTITUTE(LEFT(Base_report!G625,10),"-","/")))</f>
        <v>45294</v>
      </c>
      <c r="I626" s="17" t="str">
        <f t="shared" si="1"/>
        <v>OUI</v>
      </c>
      <c r="J626" s="18">
        <f>IF(L626="DS",DATE(RIGHT(B626,4),VLOOKUP(LEFT(B626,LEN(B626)-5),Feuil1!$E$3:$F$19,2,FALSE)+1,10),DATE(RIGHT(B626,4),VLOOKUP(LEFT(B626,LEN(B626)-5),Feuil1!$E$3:$F$19,2,FALSE)+1,7))</f>
        <v>45298</v>
      </c>
      <c r="K626" s="19">
        <f t="shared" si="2"/>
        <v>1</v>
      </c>
      <c r="L626" s="6" t="str">
        <f t="shared" si="3"/>
        <v>FS</v>
      </c>
    </row>
    <row r="627" ht="14.25" customHeight="1">
      <c r="A627" s="14" t="str">
        <f>Base_report!A626</f>
        <v>INDENIE-DJUABLIN</v>
      </c>
      <c r="B627" s="14" t="str">
        <f>Base_report!B626</f>
        <v>DECEMBRE 2023</v>
      </c>
      <c r="C627" s="15" t="str">
        <f>Base_report!C626</f>
        <v>C4004</v>
      </c>
      <c r="D627" s="14" t="str">
        <f>TRIM(IF(ISNUMBER(FIND("PNSME",Base_report!D626,1)),SUBSTITUTE(Base_report!D626,"PNSME",""),IF(ISNUMBER(FIND("PHG",Base_report!D626,1)),SUBSTITUTE(Base_report!D626,"PHG",""),IF(ISNUMBER(FIND("PCS",Base_report!D626,1)),SUBSTITUTE(Base_report!D626,"PCS",""),IF(ISNUMBER(FIND("CMU",Base_report!D626,1)),SUBSTITUTE(Base_report!D626,"CMU",""),Base_report!D626)))))</f>
        <v>DISTRICT SANITAIRE ABENGOUROU</v>
      </c>
      <c r="E627" s="14" t="str">
        <f>SUBSTITUTE(Base_report!E626,"-","/")</f>
        <v>PNLS/TESTS RAPIDES ET CONSOMMABLES</v>
      </c>
      <c r="F627" s="14" t="s">
        <v>788</v>
      </c>
      <c r="G627" s="16">
        <f>DATE(YEAR(SUBSTITUTE(LEFT(Base_report!F626,10),"-","/")),MONTH(SUBSTITUTE(LEFT(Base_report!F626,10),"-","/")),DAY(SUBSTITUTE(LEFT(Base_report!F626,10),"-","/")))</f>
        <v>45301</v>
      </c>
      <c r="H627" s="16">
        <f>DATE(YEAR(SUBSTITUTE(LEFT(Base_report!G626,10),"-","/")),MONTH(SUBSTITUTE(LEFT(Base_report!G626,10),"-","/")),DAY(SUBSTITUTE(LEFT(Base_report!G626,10),"-","/")))</f>
        <v>45301</v>
      </c>
      <c r="I627" s="17" t="str">
        <f t="shared" si="1"/>
        <v>OUI</v>
      </c>
      <c r="J627" s="18">
        <f>IF(L627="DS",DATE(RIGHT(B627,4),VLOOKUP(LEFT(B627,LEN(B627)-5),Feuil1!$E$3:$F$19,2,FALSE)+1,10),DATE(RIGHT(B627,4),VLOOKUP(LEFT(B627,LEN(B627)-5),Feuil1!$E$3:$F$19,2,FALSE)+1,7))</f>
        <v>45301</v>
      </c>
      <c r="K627" s="19">
        <f t="shared" si="2"/>
        <v>1</v>
      </c>
      <c r="L627" s="6" t="str">
        <f t="shared" si="3"/>
        <v>DS</v>
      </c>
    </row>
    <row r="628" ht="14.25" customHeight="1">
      <c r="A628" s="14" t="str">
        <f>Base_report!A627</f>
        <v>ABIDJAN 2</v>
      </c>
      <c r="B628" s="14" t="str">
        <f>Base_report!B627</f>
        <v>DECEMBRE 2023</v>
      </c>
      <c r="C628" s="15" t="str">
        <f>Base_report!C627</f>
        <v>C1141</v>
      </c>
      <c r="D628" s="14" t="str">
        <f>TRIM(IF(ISNUMBER(FIND("PNSME",Base_report!D627,1)),SUBSTITUTE(Base_report!D627,"PNSME",""),IF(ISNUMBER(FIND("PHG",Base_report!D627,1)),SUBSTITUTE(Base_report!D627,"PHG",""),IF(ISNUMBER(FIND("PCS",Base_report!D627,1)),SUBSTITUTE(Base_report!D627,"PCS",""),IF(ISNUMBER(FIND("CMU",Base_report!D627,1)),SUBSTITUTE(Base_report!D627,"CMU",""),Base_report!D627)))))</f>
        <v>UNITE SOINS AMBULATOIRE</v>
      </c>
      <c r="E628" s="14" t="str">
        <f>SUBSTITUTE(Base_report!E627,"-","/")</f>
        <v>PNLS/TESTS RAPIDES ET CONSOMMABLES</v>
      </c>
      <c r="F628" s="14" t="s">
        <v>788</v>
      </c>
      <c r="G628" s="16">
        <f>DATE(YEAR(SUBSTITUTE(LEFT(Base_report!F627,10),"-","/")),MONTH(SUBSTITUTE(LEFT(Base_report!F627,10),"-","/")),DAY(SUBSTITUTE(LEFT(Base_report!F627,10),"-","/")))</f>
        <v>45296</v>
      </c>
      <c r="H628" s="16">
        <f>DATE(YEAR(SUBSTITUTE(LEFT(Base_report!G627,10),"-","/")),MONTH(SUBSTITUTE(LEFT(Base_report!G627,10),"-","/")),DAY(SUBSTITUTE(LEFT(Base_report!G627,10),"-","/")))</f>
        <v>45296</v>
      </c>
      <c r="I628" s="17" t="str">
        <f t="shared" si="1"/>
        <v>OUI</v>
      </c>
      <c r="J628" s="18">
        <f>IF(L628="DS",DATE(RIGHT(B628,4),VLOOKUP(LEFT(B628,LEN(B628)-5),Feuil1!$E$3:$F$19,2,FALSE)+1,10),DATE(RIGHT(B628,4),VLOOKUP(LEFT(B628,LEN(B628)-5),Feuil1!$E$3:$F$19,2,FALSE)+1,7))</f>
        <v>45298</v>
      </c>
      <c r="K628" s="19">
        <f t="shared" si="2"/>
        <v>1</v>
      </c>
      <c r="L628" s="6" t="str">
        <f t="shared" si="3"/>
        <v>FS</v>
      </c>
    </row>
    <row r="629" ht="14.25" customHeight="1">
      <c r="A629" s="14" t="str">
        <f>Base_report!A628</f>
        <v>GOH</v>
      </c>
      <c r="B629" s="14" t="str">
        <f>Base_report!B628</f>
        <v>DECEMBRE 2023</v>
      </c>
      <c r="C629" s="15" t="str">
        <f>Base_report!C628</f>
        <v>C2053</v>
      </c>
      <c r="D629" s="14" t="str">
        <f>TRIM(IF(ISNUMBER(FIND("PNSME",Base_report!D628,1)),SUBSTITUTE(Base_report!D628,"PNSME",""),IF(ISNUMBER(FIND("PHG",Base_report!D628,1)),SUBSTITUTE(Base_report!D628,"PHG",""),IF(ISNUMBER(FIND("PCS",Base_report!D628,1)),SUBSTITUTE(Base_report!D628,"PCS",""),IF(ISNUMBER(FIND("CMU",Base_report!D628,1)),SUBSTITUTE(Base_report!D628,"CMU",""),Base_report!D628)))))</f>
        <v>HOPITAL GENERAL GAGNOA</v>
      </c>
      <c r="E629" s="14" t="str">
        <f>SUBSTITUTE(Base_report!E628,"-","/")</f>
        <v>PNLS/ANTIRETROVIRAUX ET IO</v>
      </c>
      <c r="F629" s="14" t="s">
        <v>788</v>
      </c>
      <c r="G629" s="16">
        <f>DATE(YEAR(SUBSTITUTE(LEFT(Base_report!F628,10),"-","/")),MONTH(SUBSTITUTE(LEFT(Base_report!F628,10),"-","/")),DAY(SUBSTITUTE(LEFT(Base_report!F628,10),"-","/")))</f>
        <v>45295</v>
      </c>
      <c r="H629" s="16">
        <f>DATE(YEAR(SUBSTITUTE(LEFT(Base_report!G628,10),"-","/")),MONTH(SUBSTITUTE(LEFT(Base_report!G628,10),"-","/")),DAY(SUBSTITUTE(LEFT(Base_report!G628,10),"-","/")))</f>
        <v>45295</v>
      </c>
      <c r="I629" s="17" t="str">
        <f t="shared" si="1"/>
        <v>OUI</v>
      </c>
      <c r="J629" s="18">
        <f>IF(L629="DS",DATE(RIGHT(B629,4),VLOOKUP(LEFT(B629,LEN(B629)-5),Feuil1!$E$3:$F$19,2,FALSE)+1,10),DATE(RIGHT(B629,4),VLOOKUP(LEFT(B629,LEN(B629)-5),Feuil1!$E$3:$F$19,2,FALSE)+1,7))</f>
        <v>45298</v>
      </c>
      <c r="K629" s="19">
        <f t="shared" si="2"/>
        <v>1</v>
      </c>
      <c r="L629" s="6" t="str">
        <f t="shared" si="3"/>
        <v>FS</v>
      </c>
    </row>
    <row r="630" ht="14.25" customHeight="1">
      <c r="A630" s="14" t="str">
        <f>Base_report!A629</f>
        <v>SAN PEDRO</v>
      </c>
      <c r="B630" s="14" t="str">
        <f>Base_report!B629</f>
        <v>DECEMBRE 2023</v>
      </c>
      <c r="C630" s="15" t="str">
        <f>Base_report!C629</f>
        <v>C2018</v>
      </c>
      <c r="D630" s="14" t="str">
        <f>TRIM(IF(ISNUMBER(FIND("PNSME",Base_report!D629,1)),SUBSTITUTE(Base_report!D629,"PNSME",""),IF(ISNUMBER(FIND("PHG",Base_report!D629,1)),SUBSTITUTE(Base_report!D629,"PHG",""),IF(ISNUMBER(FIND("PCS",Base_report!D629,1)),SUBSTITUTE(Base_report!D629,"PCS",""),IF(ISNUMBER(FIND("CMU",Base_report!D629,1)),SUBSTITUTE(Base_report!D629,"CMU",""),Base_report!D629)))))</f>
        <v>CSU SAN-PEDRO</v>
      </c>
      <c r="E630" s="14" t="str">
        <f>SUBSTITUTE(Base_report!E629,"-","/")</f>
        <v>PNSME/MEDICAMENTS ET INTRANTS</v>
      </c>
      <c r="F630" s="14" t="s">
        <v>788</v>
      </c>
      <c r="G630" s="16">
        <f>DATE(YEAR(SUBSTITUTE(LEFT(Base_report!F629,10),"-","/")),MONTH(SUBSTITUTE(LEFT(Base_report!F629,10),"-","/")),DAY(SUBSTITUTE(LEFT(Base_report!F629,10),"-","/")))</f>
        <v>45293</v>
      </c>
      <c r="H630" s="16">
        <f>DATE(YEAR(SUBSTITUTE(LEFT(Base_report!G629,10),"-","/")),MONTH(SUBSTITUTE(LEFT(Base_report!G629,10),"-","/")),DAY(SUBSTITUTE(LEFT(Base_report!G629,10),"-","/")))</f>
        <v>45299</v>
      </c>
      <c r="I630" s="17" t="str">
        <f t="shared" si="1"/>
        <v>OUI</v>
      </c>
      <c r="J630" s="18">
        <f>IF(L630="DS",DATE(RIGHT(B630,4),VLOOKUP(LEFT(B630,LEN(B630)-5),Feuil1!$E$3:$F$19,2,FALSE)+1,10),DATE(RIGHT(B630,4),VLOOKUP(LEFT(B630,LEN(B630)-5),Feuil1!$E$3:$F$19,2,FALSE)+1,7))</f>
        <v>45298</v>
      </c>
      <c r="K630" s="19">
        <f t="shared" si="2"/>
        <v>0</v>
      </c>
      <c r="L630" s="6" t="str">
        <f t="shared" si="3"/>
        <v>FS</v>
      </c>
    </row>
    <row r="631" ht="14.25" customHeight="1">
      <c r="A631" s="14" t="str">
        <f>Base_report!A630</f>
        <v>ABIDJAN 2</v>
      </c>
      <c r="B631" s="14" t="str">
        <f>Base_report!B630</f>
        <v>DECEMBRE 2023</v>
      </c>
      <c r="C631" s="15" t="str">
        <f>Base_report!C630</f>
        <v>C1015</v>
      </c>
      <c r="D631" s="14" t="str">
        <f>TRIM(IF(ISNUMBER(FIND("PNSME",Base_report!D630,1)),SUBSTITUTE(Base_report!D630,"PNSME",""),IF(ISNUMBER(FIND("PHG",Base_report!D630,1)),SUBSTITUTE(Base_report!D630,"PHG",""),IF(ISNUMBER(FIND("PCS",Base_report!D630,1)),SUBSTITUTE(Base_report!D630,"PCS",""),IF(ISNUMBER(FIND("CMU",Base_report!D630,1)),SUBSTITUTE(Base_report!D630,"CMU",""),Base_report!D630)))))</f>
        <v>CSU COM AKLOMIABLA</v>
      </c>
      <c r="E631" s="14" t="str">
        <f>SUBSTITUTE(Base_report!E630,"-","/")</f>
        <v>PNSME/MEDICAMENTS ET INTRANTS</v>
      </c>
      <c r="F631" s="14" t="s">
        <v>788</v>
      </c>
      <c r="G631" s="16">
        <f>DATE(YEAR(SUBSTITUTE(LEFT(Base_report!F630,10),"-","/")),MONTH(SUBSTITUTE(LEFT(Base_report!F630,10),"-","/")),DAY(SUBSTITUTE(LEFT(Base_report!F630,10),"-","/")))</f>
        <v>45293</v>
      </c>
      <c r="H631" s="16">
        <f>DATE(YEAR(SUBSTITUTE(LEFT(Base_report!G630,10),"-","/")),MONTH(SUBSTITUTE(LEFT(Base_report!G630,10),"-","/")),DAY(SUBSTITUTE(LEFT(Base_report!G630,10),"-","/")))</f>
        <v>45293</v>
      </c>
      <c r="I631" s="17" t="str">
        <f t="shared" si="1"/>
        <v>OUI</v>
      </c>
      <c r="J631" s="18">
        <f>IF(L631="DS",DATE(RIGHT(B631,4),VLOOKUP(LEFT(B631,LEN(B631)-5),Feuil1!$E$3:$F$19,2,FALSE)+1,10),DATE(RIGHT(B631,4),VLOOKUP(LEFT(B631,LEN(B631)-5),Feuil1!$E$3:$F$19,2,FALSE)+1,7))</f>
        <v>45298</v>
      </c>
      <c r="K631" s="19">
        <f t="shared" si="2"/>
        <v>1</v>
      </c>
      <c r="L631" s="6" t="str">
        <f t="shared" si="3"/>
        <v>FS</v>
      </c>
    </row>
    <row r="632" ht="14.25" customHeight="1">
      <c r="A632" s="14" t="str">
        <f>Base_report!A631</f>
        <v>GRANDS PONTS</v>
      </c>
      <c r="B632" s="14" t="str">
        <f>Base_report!B631</f>
        <v>DECEMBRE 2023</v>
      </c>
      <c r="C632" s="15" t="str">
        <f>Base_report!C631</f>
        <v>C1050</v>
      </c>
      <c r="D632" s="14" t="str">
        <f>TRIM(IF(ISNUMBER(FIND("PNSME",Base_report!D631,1)),SUBSTITUTE(Base_report!D631,"PNSME",""),IF(ISNUMBER(FIND("PHG",Base_report!D631,1)),SUBSTITUTE(Base_report!D631,"PHG",""),IF(ISNUMBER(FIND("PCS",Base_report!D631,1)),SUBSTITUTE(Base_report!D631,"PCS",""),IF(ISNUMBER(FIND("CMU",Base_report!D631,1)),SUBSTITUTE(Base_report!D631,"CMU",""),Base_report!D631)))))</f>
        <v>DISTRICT SANITAIRE JACQUEVILLE</v>
      </c>
      <c r="E632" s="14" t="str">
        <f>SUBSTITUTE(Base_report!E631,"-","/")</f>
        <v>PNLP/MEDICAMENTS ET INTRANTS</v>
      </c>
      <c r="F632" s="14" t="s">
        <v>788</v>
      </c>
      <c r="G632" s="16">
        <f>DATE(YEAR(SUBSTITUTE(LEFT(Base_report!F631,10),"-","/")),MONTH(SUBSTITUTE(LEFT(Base_report!F631,10),"-","/")),DAY(SUBSTITUTE(LEFT(Base_report!F631,10),"-","/")))</f>
        <v>45300</v>
      </c>
      <c r="H632" s="16">
        <f>DATE(YEAR(SUBSTITUTE(LEFT(Base_report!G631,10),"-","/")),MONTH(SUBSTITUTE(LEFT(Base_report!G631,10),"-","/")),DAY(SUBSTITUTE(LEFT(Base_report!G631,10),"-","/")))</f>
        <v>45300</v>
      </c>
      <c r="I632" s="17" t="str">
        <f t="shared" si="1"/>
        <v>OUI</v>
      </c>
      <c r="J632" s="18">
        <f>IF(L632="DS",DATE(RIGHT(B632,4),VLOOKUP(LEFT(B632,LEN(B632)-5),Feuil1!$E$3:$F$19,2,FALSE)+1,10),DATE(RIGHT(B632,4),VLOOKUP(LEFT(B632,LEN(B632)-5),Feuil1!$E$3:$F$19,2,FALSE)+1,7))</f>
        <v>45301</v>
      </c>
      <c r="K632" s="19">
        <f t="shared" si="2"/>
        <v>1</v>
      </c>
      <c r="L632" s="6" t="str">
        <f t="shared" si="3"/>
        <v>DS</v>
      </c>
    </row>
    <row r="633" ht="14.25" customHeight="1">
      <c r="A633" s="14" t="str">
        <f>Base_report!A632</f>
        <v>GRANDS PONTS</v>
      </c>
      <c r="B633" s="14" t="str">
        <f>Base_report!B632</f>
        <v>DECEMBRE 2023</v>
      </c>
      <c r="C633" s="15" t="str">
        <f>Base_report!C632</f>
        <v>C1050</v>
      </c>
      <c r="D633" s="14" t="str">
        <f>TRIM(IF(ISNUMBER(FIND("PNSME",Base_report!D632,1)),SUBSTITUTE(Base_report!D632,"PNSME",""),IF(ISNUMBER(FIND("PHG",Base_report!D632,1)),SUBSTITUTE(Base_report!D632,"PHG",""),IF(ISNUMBER(FIND("PCS",Base_report!D632,1)),SUBSTITUTE(Base_report!D632,"PCS",""),IF(ISNUMBER(FIND("CMU",Base_report!D632,1)),SUBSTITUTE(Base_report!D632,"CMU",""),Base_report!D632)))))</f>
        <v>DISTRICT SANITAIRE JACQUEVILLE</v>
      </c>
      <c r="E633" s="14" t="str">
        <f>SUBSTITUTE(Base_report!E632,"-","/")</f>
        <v>PNLS/ANTIRETROVIRAUX ET IO</v>
      </c>
      <c r="F633" s="14" t="s">
        <v>788</v>
      </c>
      <c r="G633" s="16">
        <f>DATE(YEAR(SUBSTITUTE(LEFT(Base_report!F632,10),"-","/")),MONTH(SUBSTITUTE(LEFT(Base_report!F632,10),"-","/")),DAY(SUBSTITUTE(LEFT(Base_report!F632,10),"-","/")))</f>
        <v>45301</v>
      </c>
      <c r="H633" s="16">
        <f>DATE(YEAR(SUBSTITUTE(LEFT(Base_report!G632,10),"-","/")),MONTH(SUBSTITUTE(LEFT(Base_report!G632,10),"-","/")),DAY(SUBSTITUTE(LEFT(Base_report!G632,10),"-","/")))</f>
        <v>45301</v>
      </c>
      <c r="I633" s="17" t="str">
        <f t="shared" si="1"/>
        <v>OUI</v>
      </c>
      <c r="J633" s="18">
        <f>IF(L633="DS",DATE(RIGHT(B633,4),VLOOKUP(LEFT(B633,LEN(B633)-5),Feuil1!$E$3:$F$19,2,FALSE)+1,10),DATE(RIGHT(B633,4),VLOOKUP(LEFT(B633,LEN(B633)-5),Feuil1!$E$3:$F$19,2,FALSE)+1,7))</f>
        <v>45301</v>
      </c>
      <c r="K633" s="19">
        <f t="shared" si="2"/>
        <v>1</v>
      </c>
      <c r="L633" s="6" t="str">
        <f t="shared" si="3"/>
        <v>DS</v>
      </c>
    </row>
    <row r="634" ht="14.25" customHeight="1">
      <c r="A634" s="14" t="str">
        <f>Base_report!A633</f>
        <v>ABIDJAN 2</v>
      </c>
      <c r="B634" s="14" t="str">
        <f>Base_report!B633</f>
        <v>DECEMBRE 2023</v>
      </c>
      <c r="C634" s="15" t="str">
        <f>Base_report!C633</f>
        <v>C1175</v>
      </c>
      <c r="D634" s="14" t="str">
        <f>TRIM(IF(ISNUMBER(FIND("PNSME",Base_report!D633,1)),SUBSTITUTE(Base_report!D633,"PNSME",""),IF(ISNUMBER(FIND("PHG",Base_report!D633,1)),SUBSTITUTE(Base_report!D633,"PHG",""),IF(ISNUMBER(FIND("PCS",Base_report!D633,1)),SUBSTITUTE(Base_report!D633,"PCS",""),IF(ISNUMBER(FIND("CMU",Base_report!D633,1)),SUBSTITUTE(Base_report!D633,"CMU",""),Base_report!D633)))))</f>
        <v>CSU AKOUEDO VILLAGE</v>
      </c>
      <c r="E634" s="14" t="str">
        <f>SUBSTITUTE(Base_report!E633,"-","/")</f>
        <v>PNSME/MEDICAMENTS ET INTRANTS</v>
      </c>
      <c r="F634" s="14" t="s">
        <v>788</v>
      </c>
      <c r="G634" s="16">
        <f>DATE(YEAR(SUBSTITUTE(LEFT(Base_report!F633,10),"-","/")),MONTH(SUBSTITUTE(LEFT(Base_report!F633,10),"-","/")),DAY(SUBSTITUTE(LEFT(Base_report!F633,10),"-","/")))</f>
        <v>45293</v>
      </c>
      <c r="H634" s="16">
        <f>DATE(YEAR(SUBSTITUTE(LEFT(Base_report!G633,10),"-","/")),MONTH(SUBSTITUTE(LEFT(Base_report!G633,10),"-","/")),DAY(SUBSTITUTE(LEFT(Base_report!G633,10),"-","/")))</f>
        <v>45293</v>
      </c>
      <c r="I634" s="17" t="str">
        <f t="shared" si="1"/>
        <v>OUI</v>
      </c>
      <c r="J634" s="18">
        <f>IF(L634="DS",DATE(RIGHT(B634,4),VLOOKUP(LEFT(B634,LEN(B634)-5),Feuil1!$E$3:$F$19,2,FALSE)+1,10),DATE(RIGHT(B634,4),VLOOKUP(LEFT(B634,LEN(B634)-5),Feuil1!$E$3:$F$19,2,FALSE)+1,7))</f>
        <v>45298</v>
      </c>
      <c r="K634" s="19">
        <f t="shared" si="2"/>
        <v>1</v>
      </c>
      <c r="L634" s="6" t="str">
        <f t="shared" si="3"/>
        <v>FS</v>
      </c>
    </row>
    <row r="635" ht="14.25" customHeight="1">
      <c r="A635" s="14" t="str">
        <f>Base_report!A634</f>
        <v>GRANDS PONTS</v>
      </c>
      <c r="B635" s="14" t="str">
        <f>Base_report!B634</f>
        <v>DECEMBRE 2023</v>
      </c>
      <c r="C635" s="15" t="str">
        <f>Base_report!C634</f>
        <v>C1050</v>
      </c>
      <c r="D635" s="14" t="str">
        <f>TRIM(IF(ISNUMBER(FIND("PNSME",Base_report!D634,1)),SUBSTITUTE(Base_report!D634,"PNSME",""),IF(ISNUMBER(FIND("PHG",Base_report!D634,1)),SUBSTITUTE(Base_report!D634,"PHG",""),IF(ISNUMBER(FIND("PCS",Base_report!D634,1)),SUBSTITUTE(Base_report!D634,"PCS",""),IF(ISNUMBER(FIND("CMU",Base_report!D634,1)),SUBSTITUTE(Base_report!D634,"CMU",""),Base_report!D634)))))</f>
        <v>DISTRICT SANITAIRE JACQUEVILLE</v>
      </c>
      <c r="E635" s="14" t="str">
        <f>SUBSTITUTE(Base_report!E634,"-","/")</f>
        <v>PNLS/TESTS RAPIDES ET CONSOMMABLES</v>
      </c>
      <c r="F635" s="14" t="s">
        <v>788</v>
      </c>
      <c r="G635" s="16">
        <f>DATE(YEAR(SUBSTITUTE(LEFT(Base_report!F634,10),"-","/")),MONTH(SUBSTITUTE(LEFT(Base_report!F634,10),"-","/")),DAY(SUBSTITUTE(LEFT(Base_report!F634,10),"-","/")))</f>
        <v>45300</v>
      </c>
      <c r="H635" s="16">
        <f>DATE(YEAR(SUBSTITUTE(LEFT(Base_report!G634,10),"-","/")),MONTH(SUBSTITUTE(LEFT(Base_report!G634,10),"-","/")),DAY(SUBSTITUTE(LEFT(Base_report!G634,10),"-","/")))</f>
        <v>45300</v>
      </c>
      <c r="I635" s="17" t="str">
        <f t="shared" si="1"/>
        <v>OUI</v>
      </c>
      <c r="J635" s="18">
        <f>IF(L635="DS",DATE(RIGHT(B635,4),VLOOKUP(LEFT(B635,LEN(B635)-5),Feuil1!$E$3:$F$19,2,FALSE)+1,10),DATE(RIGHT(B635,4),VLOOKUP(LEFT(B635,LEN(B635)-5),Feuil1!$E$3:$F$19,2,FALSE)+1,7))</f>
        <v>45301</v>
      </c>
      <c r="K635" s="19">
        <f t="shared" si="2"/>
        <v>1</v>
      </c>
      <c r="L635" s="6" t="str">
        <f t="shared" si="3"/>
        <v>DS</v>
      </c>
    </row>
    <row r="636" ht="14.25" customHeight="1">
      <c r="A636" s="14" t="str">
        <f>Base_report!A635</f>
        <v>BELIER</v>
      </c>
      <c r="B636" s="14" t="str">
        <f>Base_report!B635</f>
        <v>DECEMBRE 2023</v>
      </c>
      <c r="C636" s="15" t="str">
        <f>Base_report!C635</f>
        <v>C2069</v>
      </c>
      <c r="D636" s="14" t="str">
        <f>TRIM(IF(ISNUMBER(FIND("PNSME",Base_report!D635,1)),SUBSTITUTE(Base_report!D635,"PNSME",""),IF(ISNUMBER(FIND("PHG",Base_report!D635,1)),SUBSTITUTE(Base_report!D635,"PHG",""),IF(ISNUMBER(FIND("PCS",Base_report!D635,1)),SUBSTITUTE(Base_report!D635,"PCS",""),IF(ISNUMBER(FIND("CMU",Base_report!D635,1)),SUBSTITUTE(Base_report!D635,"CMU",""),Base_report!D635)))))</f>
        <v>HOPITAL GENERAL TOUMODI</v>
      </c>
      <c r="E636" s="14" t="str">
        <f>SUBSTITUTE(Base_report!E635,"-","/")</f>
        <v>PNSME_GRATUITE:MEDICAMENTS ET INTRANTS</v>
      </c>
      <c r="F636" s="14" t="s">
        <v>788</v>
      </c>
      <c r="G636" s="16">
        <f>DATE(YEAR(SUBSTITUTE(LEFT(Base_report!F635,10),"-","/")),MONTH(SUBSTITUTE(LEFT(Base_report!F635,10),"-","/")),DAY(SUBSTITUTE(LEFT(Base_report!F635,10),"-","/")))</f>
        <v>45295</v>
      </c>
      <c r="H636" s="16">
        <f>DATE(YEAR(SUBSTITUTE(LEFT(Base_report!G635,10),"-","/")),MONTH(SUBSTITUTE(LEFT(Base_report!G635,10),"-","/")),DAY(SUBSTITUTE(LEFT(Base_report!G635,10),"-","/")))</f>
        <v>45296</v>
      </c>
      <c r="I636" s="17" t="str">
        <f t="shared" si="1"/>
        <v>OUI</v>
      </c>
      <c r="J636" s="18">
        <f>IF(L636="DS",DATE(RIGHT(B636,4),VLOOKUP(LEFT(B636,LEN(B636)-5),Feuil1!$E$3:$F$19,2,FALSE)+1,10),DATE(RIGHT(B636,4),VLOOKUP(LEFT(B636,LEN(B636)-5),Feuil1!$E$3:$F$19,2,FALSE)+1,7))</f>
        <v>45298</v>
      </c>
      <c r="K636" s="19">
        <f t="shared" si="2"/>
        <v>1</v>
      </c>
      <c r="L636" s="6" t="str">
        <f t="shared" si="3"/>
        <v>FS</v>
      </c>
    </row>
    <row r="637" ht="14.25" customHeight="1">
      <c r="A637" s="14" t="str">
        <f>Base_report!A636</f>
        <v>ABIDJAN 1</v>
      </c>
      <c r="B637" s="14" t="str">
        <f>Base_report!B636</f>
        <v>DECEMBRE 2023</v>
      </c>
      <c r="C637" s="15" t="str">
        <f>Base_report!C636</f>
        <v>C1017</v>
      </c>
      <c r="D637" s="14" t="str">
        <f>TRIM(IF(ISNUMBER(FIND("PNSME",Base_report!D636,1)),SUBSTITUTE(Base_report!D636,"PNSME",""),IF(ISNUMBER(FIND("PHG",Base_report!D636,1)),SUBSTITUTE(Base_report!D636,"PHG",""),IF(ISNUMBER(FIND("PCS",Base_report!D636,1)),SUBSTITUTE(Base_report!D636,"PCS",""),IF(ISNUMBER(FIND("CMU",Base_report!D636,1)),SUBSTITUTE(Base_report!D636,"CMU",""),Base_report!D636)))))</f>
        <v>FSU COM ANDOKOI</v>
      </c>
      <c r="E637" s="14" t="str">
        <f>SUBSTITUTE(Base_report!E636,"-","/")</f>
        <v>PNSME/MEDICAMENTS ET INTRANTS</v>
      </c>
      <c r="F637" s="14" t="s">
        <v>788</v>
      </c>
      <c r="G637" s="16">
        <f>DATE(YEAR(SUBSTITUTE(LEFT(Base_report!F636,10),"-","/")),MONTH(SUBSTITUTE(LEFT(Base_report!F636,10),"-","/")),DAY(SUBSTITUTE(LEFT(Base_report!F636,10),"-","/")))</f>
        <v>45295</v>
      </c>
      <c r="H637" s="16">
        <f>DATE(YEAR(SUBSTITUTE(LEFT(Base_report!G636,10),"-","/")),MONTH(SUBSTITUTE(LEFT(Base_report!G636,10),"-","/")),DAY(SUBSTITUTE(LEFT(Base_report!G636,10),"-","/")))</f>
        <v>45295</v>
      </c>
      <c r="I637" s="17" t="str">
        <f t="shared" si="1"/>
        <v>OUI</v>
      </c>
      <c r="J637" s="18">
        <f>IF(L637="DS",DATE(RIGHT(B637,4),VLOOKUP(LEFT(B637,LEN(B637)-5),Feuil1!$E$3:$F$19,2,FALSE)+1,10),DATE(RIGHT(B637,4),VLOOKUP(LEFT(B637,LEN(B637)-5),Feuil1!$E$3:$F$19,2,FALSE)+1,7))</f>
        <v>45298</v>
      </c>
      <c r="K637" s="19">
        <f t="shared" si="2"/>
        <v>1</v>
      </c>
      <c r="L637" s="6" t="str">
        <f t="shared" si="3"/>
        <v>FS</v>
      </c>
    </row>
    <row r="638" ht="14.25" customHeight="1">
      <c r="A638" s="14" t="str">
        <f>Base_report!A637</f>
        <v>PORO</v>
      </c>
      <c r="B638" s="14" t="str">
        <f>Base_report!B637</f>
        <v>DECEMBRE 2023</v>
      </c>
      <c r="C638" s="15" t="str">
        <f>Base_report!C637</f>
        <v>C3043</v>
      </c>
      <c r="D638" s="14" t="str">
        <f>TRIM(IF(ISNUMBER(FIND("PNSME",Base_report!D637,1)),SUBSTITUTE(Base_report!D637,"PNSME",""),IF(ISNUMBER(FIND("PHG",Base_report!D637,1)),SUBSTITUTE(Base_report!D637,"PHG",""),IF(ISNUMBER(FIND("PCS",Base_report!D637,1)),SUBSTITUTE(Base_report!D637,"PCS",""),IF(ISNUMBER(FIND("CMU",Base_report!D637,1)),SUBSTITUTE(Base_report!D637,"CMU",""),Base_report!D637)))))</f>
        <v>HOPITAL GENERAL DIKODOUGOU</v>
      </c>
      <c r="E638" s="14" t="str">
        <f>SUBSTITUTE(Base_report!E637,"-","/")</f>
        <v>PNN/MEDICAMENTS ET INTRANTS</v>
      </c>
      <c r="F638" s="14" t="s">
        <v>788</v>
      </c>
      <c r="G638" s="16">
        <f>DATE(YEAR(SUBSTITUTE(LEFT(Base_report!F637,10),"-","/")),MONTH(SUBSTITUTE(LEFT(Base_report!F637,10),"-","/")),DAY(SUBSTITUTE(LEFT(Base_report!F637,10),"-","/")))</f>
        <v>45296</v>
      </c>
      <c r="H638" s="16">
        <f>DATE(YEAR(SUBSTITUTE(LEFT(Base_report!G637,10),"-","/")),MONTH(SUBSTITUTE(LEFT(Base_report!G637,10),"-","/")),DAY(SUBSTITUTE(LEFT(Base_report!G637,10),"-","/")))</f>
        <v>45298</v>
      </c>
      <c r="I638" s="17" t="str">
        <f t="shared" si="1"/>
        <v>OUI</v>
      </c>
      <c r="J638" s="18">
        <f>IF(L638="DS",DATE(RIGHT(B638,4),VLOOKUP(LEFT(B638,LEN(B638)-5),Feuil1!$E$3:$F$19,2,FALSE)+1,10),DATE(RIGHT(B638,4),VLOOKUP(LEFT(B638,LEN(B638)-5),Feuil1!$E$3:$F$19,2,FALSE)+1,7))</f>
        <v>45298</v>
      </c>
      <c r="K638" s="19">
        <f t="shared" si="2"/>
        <v>1</v>
      </c>
      <c r="L638" s="6" t="str">
        <f t="shared" si="3"/>
        <v>FS</v>
      </c>
    </row>
    <row r="639" ht="14.25" customHeight="1">
      <c r="A639" s="14" t="str">
        <f>Base_report!A638</f>
        <v>ABIDJAN 2</v>
      </c>
      <c r="B639" s="14" t="str">
        <f>Base_report!B638</f>
        <v>DECEMBRE 2023</v>
      </c>
      <c r="C639" s="15" t="str">
        <f>Base_report!C638</f>
        <v>C1024</v>
      </c>
      <c r="D639" s="14" t="str">
        <f>TRIM(IF(ISNUMBER(FIND("PNSME",Base_report!D638,1)),SUBSTITUTE(Base_report!D638,"PNSME",""),IF(ISNUMBER(FIND("PHG",Base_report!D638,1)),SUBSTITUTE(Base_report!D638,"PHG",""),IF(ISNUMBER(FIND("PCS",Base_report!D638,1)),SUBSTITUTE(Base_report!D638,"PCS",""),IF(ISNUMBER(FIND("CMU",Base_report!D638,1)),SUBSTITUTE(Base_report!D638,"CMU",""),Base_report!D638)))))</f>
        <v>CSU COM GONZAGUEVILLE</v>
      </c>
      <c r="E639" s="14" t="str">
        <f>SUBSTITUTE(Base_report!E638,"-","/")</f>
        <v>PNLP/MEDICAMENTS ET INTRANTS</v>
      </c>
      <c r="F639" s="14" t="s">
        <v>788</v>
      </c>
      <c r="G639" s="16">
        <f>DATE(YEAR(SUBSTITUTE(LEFT(Base_report!F638,10),"-","/")),MONTH(SUBSTITUTE(LEFT(Base_report!F638,10),"-","/")),DAY(SUBSTITUTE(LEFT(Base_report!F638,10),"-","/")))</f>
        <v>45293</v>
      </c>
      <c r="H639" s="16">
        <f>DATE(YEAR(SUBSTITUTE(LEFT(Base_report!G638,10),"-","/")),MONTH(SUBSTITUTE(LEFT(Base_report!G638,10),"-","/")),DAY(SUBSTITUTE(LEFT(Base_report!G638,10),"-","/")))</f>
        <v>45295</v>
      </c>
      <c r="I639" s="17" t="str">
        <f t="shared" si="1"/>
        <v>OUI</v>
      </c>
      <c r="J639" s="18">
        <f>IF(L639="DS",DATE(RIGHT(B639,4),VLOOKUP(LEFT(B639,LEN(B639)-5),Feuil1!$E$3:$F$19,2,FALSE)+1,10),DATE(RIGHT(B639,4),VLOOKUP(LEFT(B639,LEN(B639)-5),Feuil1!$E$3:$F$19,2,FALSE)+1,7))</f>
        <v>45298</v>
      </c>
      <c r="K639" s="19">
        <f t="shared" si="2"/>
        <v>1</v>
      </c>
      <c r="L639" s="6" t="str">
        <f t="shared" si="3"/>
        <v>FS</v>
      </c>
    </row>
    <row r="640" ht="14.25" customHeight="1">
      <c r="A640" s="14" t="str">
        <f>Base_report!A639</f>
        <v>ME</v>
      </c>
      <c r="B640" s="14" t="str">
        <f>Base_report!B639</f>
        <v>DECEMBRE 2023</v>
      </c>
      <c r="C640" s="15" t="str">
        <f>Base_report!C639</f>
        <v>C1083</v>
      </c>
      <c r="D640" s="14" t="str">
        <f>TRIM(IF(ISNUMBER(FIND("PNSME",Base_report!D639,1)),SUBSTITUTE(Base_report!D639,"PNSME",""),IF(ISNUMBER(FIND("PHG",Base_report!D639,1)),SUBSTITUTE(Base_report!D639,"PHG",""),IF(ISNUMBER(FIND("PCS",Base_report!D639,1)),SUBSTITUTE(Base_report!D639,"PCS",""),IF(ISNUMBER(FIND("CMU",Base_report!D639,1)),SUBSTITUTE(Base_report!D639,"CMU",""),Base_report!D639)))))</f>
        <v>HOPITAL GENERAL ALEPE</v>
      </c>
      <c r="E640" s="14" t="str">
        <f>SUBSTITUTE(Base_report!E639,"-","/")</f>
        <v>PNLP/MEDICAMENTS ET INTRANTS</v>
      </c>
      <c r="F640" s="14" t="s">
        <v>788</v>
      </c>
      <c r="G640" s="16">
        <f>DATE(YEAR(SUBSTITUTE(LEFT(Base_report!F639,10),"-","/")),MONTH(SUBSTITUTE(LEFT(Base_report!F639,10),"-","/")),DAY(SUBSTITUTE(LEFT(Base_report!F639,10),"-","/")))</f>
        <v>45296</v>
      </c>
      <c r="H640" s="16">
        <f>DATE(YEAR(SUBSTITUTE(LEFT(Base_report!G639,10),"-","/")),MONTH(SUBSTITUTE(LEFT(Base_report!G639,10),"-","/")),DAY(SUBSTITUTE(LEFT(Base_report!G639,10),"-","/")))</f>
        <v>45296</v>
      </c>
      <c r="I640" s="17" t="str">
        <f t="shared" si="1"/>
        <v>OUI</v>
      </c>
      <c r="J640" s="18">
        <f>IF(L640="DS",DATE(RIGHT(B640,4),VLOOKUP(LEFT(B640,LEN(B640)-5),Feuil1!$E$3:$F$19,2,FALSE)+1,10),DATE(RIGHT(B640,4),VLOOKUP(LEFT(B640,LEN(B640)-5),Feuil1!$E$3:$F$19,2,FALSE)+1,7))</f>
        <v>45298</v>
      </c>
      <c r="K640" s="19">
        <f t="shared" si="2"/>
        <v>1</v>
      </c>
      <c r="L640" s="6" t="str">
        <f t="shared" si="3"/>
        <v>FS</v>
      </c>
    </row>
    <row r="641" ht="14.25" customHeight="1">
      <c r="A641" s="14" t="str">
        <f>Base_report!A640</f>
        <v>WORODOUGOU</v>
      </c>
      <c r="B641" s="14" t="str">
        <f>Base_report!B640</f>
        <v>DECEMBRE 2023</v>
      </c>
      <c r="C641" s="15" t="str">
        <f>Base_report!C640</f>
        <v>C2008</v>
      </c>
      <c r="D641" s="14" t="str">
        <f>TRIM(IF(ISNUMBER(FIND("PNSME",Base_report!D640,1)),SUBSTITUTE(Base_report!D640,"PNSME",""),IF(ISNUMBER(FIND("PHG",Base_report!D640,1)),SUBSTITUTE(Base_report!D640,"PHG",""),IF(ISNUMBER(FIND("PCS",Base_report!D640,1)),SUBSTITUTE(Base_report!D640,"PCS",""),IF(ISNUMBER(FIND("CMU",Base_report!D640,1)),SUBSTITUTE(Base_report!D640,"CMU",""),Base_report!D640)))))</f>
        <v>CHR SEGUELA</v>
      </c>
      <c r="E641" s="14" t="str">
        <f>SUBSTITUTE(Base_report!E640,"-","/")</f>
        <v>PNSME/MEDICAMENTS ET INTRANTS</v>
      </c>
      <c r="F641" s="14" t="s">
        <v>788</v>
      </c>
      <c r="G641" s="16">
        <f>DATE(YEAR(SUBSTITUTE(LEFT(Base_report!F640,10),"-","/")),MONTH(SUBSTITUTE(LEFT(Base_report!F640,10),"-","/")),DAY(SUBSTITUTE(LEFT(Base_report!F640,10),"-","/")))</f>
        <v>45296</v>
      </c>
      <c r="H641" s="16">
        <f>DATE(YEAR(SUBSTITUTE(LEFT(Base_report!G640,10),"-","/")),MONTH(SUBSTITUTE(LEFT(Base_report!G640,10),"-","/")),DAY(SUBSTITUTE(LEFT(Base_report!G640,10),"-","/")))</f>
        <v>45296</v>
      </c>
      <c r="I641" s="17" t="str">
        <f t="shared" si="1"/>
        <v>OUI</v>
      </c>
      <c r="J641" s="18">
        <f>IF(L641="DS",DATE(RIGHT(B641,4),VLOOKUP(LEFT(B641,LEN(B641)-5),Feuil1!$E$3:$F$19,2,FALSE)+1,10),DATE(RIGHT(B641,4),VLOOKUP(LEFT(B641,LEN(B641)-5),Feuil1!$E$3:$F$19,2,FALSE)+1,7))</f>
        <v>45298</v>
      </c>
      <c r="K641" s="19">
        <f t="shared" si="2"/>
        <v>1</v>
      </c>
      <c r="L641" s="6" t="str">
        <f t="shared" si="3"/>
        <v>FS</v>
      </c>
    </row>
    <row r="642" ht="14.25" customHeight="1">
      <c r="A642" s="14" t="str">
        <f>Base_report!A641</f>
        <v>BAFING</v>
      </c>
      <c r="B642" s="14" t="str">
        <f>Base_report!B641</f>
        <v>DECEMBRE 2023</v>
      </c>
      <c r="C642" s="15" t="str">
        <f>Base_report!C641</f>
        <v>C5078</v>
      </c>
      <c r="D642" s="14" t="str">
        <f>TRIM(IF(ISNUMBER(FIND("PNSME",Base_report!D641,1)),SUBSTITUTE(Base_report!D641,"PNSME",""),IF(ISNUMBER(FIND("PHG",Base_report!D641,1)),SUBSTITUTE(Base_report!D641,"PHG",""),IF(ISNUMBER(FIND("PCS",Base_report!D641,1)),SUBSTITUTE(Base_report!D641,"PCS",""),IF(ISNUMBER(FIND("CMU",Base_report!D641,1)),SUBSTITUTE(Base_report!D641,"CMU",""),Base_report!D641)))))</f>
        <v>HOPITAL GENERAL OUANINOU</v>
      </c>
      <c r="E642" s="14" t="str">
        <f>SUBSTITUTE(Base_report!E641,"-","/")</f>
        <v>PNLP/MEDICAMENTS ET INTRANTS</v>
      </c>
      <c r="F642" s="14" t="s">
        <v>788</v>
      </c>
      <c r="G642" s="16">
        <f>DATE(YEAR(SUBSTITUTE(LEFT(Base_report!F641,10),"-","/")),MONTH(SUBSTITUTE(LEFT(Base_report!F641,10),"-","/")),DAY(SUBSTITUTE(LEFT(Base_report!F641,10),"-","/")))</f>
        <v>45298</v>
      </c>
      <c r="H642" s="16">
        <f>DATE(YEAR(SUBSTITUTE(LEFT(Base_report!G641,10),"-","/")),MONTH(SUBSTITUTE(LEFT(Base_report!G641,10),"-","/")),DAY(SUBSTITUTE(LEFT(Base_report!G641,10),"-","/")))</f>
        <v>45298</v>
      </c>
      <c r="I642" s="17" t="str">
        <f t="shared" si="1"/>
        <v>OUI</v>
      </c>
      <c r="J642" s="18">
        <f>IF(L642="DS",DATE(RIGHT(B642,4),VLOOKUP(LEFT(B642,LEN(B642)-5),Feuil1!$E$3:$F$19,2,FALSE)+1,10),DATE(RIGHT(B642,4),VLOOKUP(LEFT(B642,LEN(B642)-5),Feuil1!$E$3:$F$19,2,FALSE)+1,7))</f>
        <v>45298</v>
      </c>
      <c r="K642" s="19">
        <f t="shared" si="2"/>
        <v>1</v>
      </c>
      <c r="L642" s="6" t="str">
        <f t="shared" si="3"/>
        <v>FS</v>
      </c>
    </row>
    <row r="643" ht="14.25" customHeight="1">
      <c r="A643" s="14" t="str">
        <f>Base_report!A642</f>
        <v>LOH-DJIBOUA</v>
      </c>
      <c r="B643" s="14" t="str">
        <f>Base_report!B642</f>
        <v>DECEMBRE 2023</v>
      </c>
      <c r="C643" s="15" t="str">
        <f>Base_report!C642</f>
        <v>C2226</v>
      </c>
      <c r="D643" s="14" t="str">
        <f>TRIM(IF(ISNUMBER(FIND("PNSME",Base_report!D642,1)),SUBSTITUTE(Base_report!D642,"PNSME",""),IF(ISNUMBER(FIND("PHG",Base_report!D642,1)),SUBSTITUTE(Base_report!D642,"PHG",""),IF(ISNUMBER(FIND("PCS",Base_report!D642,1)),SUBSTITUTE(Base_report!D642,"PCS",""),IF(ISNUMBER(FIND("CMU",Base_report!D642,1)),SUBSTITUTE(Base_report!D642,"CMU",""),Base_report!D642)))))</f>
        <v>CSU NIAMBEZARIA</v>
      </c>
      <c r="E643" s="14" t="str">
        <f>SUBSTITUTE(Base_report!E642,"-","/")</f>
        <v>PNSME/MEDICAMENTS ET INTRANTS</v>
      </c>
      <c r="F643" s="14" t="s">
        <v>788</v>
      </c>
      <c r="G643" s="16">
        <f>DATE(YEAR(SUBSTITUTE(LEFT(Base_report!F642,10),"-","/")),MONTH(SUBSTITUTE(LEFT(Base_report!F642,10),"-","/")),DAY(SUBSTITUTE(LEFT(Base_report!F642,10),"-","/")))</f>
        <v>45294</v>
      </c>
      <c r="H643" s="16">
        <f>DATE(YEAR(SUBSTITUTE(LEFT(Base_report!G642,10),"-","/")),MONTH(SUBSTITUTE(LEFT(Base_report!G642,10),"-","/")),DAY(SUBSTITUTE(LEFT(Base_report!G642,10),"-","/")))</f>
        <v>45294</v>
      </c>
      <c r="I643" s="17" t="str">
        <f t="shared" si="1"/>
        <v>OUI</v>
      </c>
      <c r="J643" s="18">
        <f>IF(L643="DS",DATE(RIGHT(B643,4),VLOOKUP(LEFT(B643,LEN(B643)-5),Feuil1!$E$3:$F$19,2,FALSE)+1,10),DATE(RIGHT(B643,4),VLOOKUP(LEFT(B643,LEN(B643)-5),Feuil1!$E$3:$F$19,2,FALSE)+1,7))</f>
        <v>45298</v>
      </c>
      <c r="K643" s="19">
        <f t="shared" si="2"/>
        <v>1</v>
      </c>
      <c r="L643" s="6" t="str">
        <f t="shared" si="3"/>
        <v>FS</v>
      </c>
    </row>
    <row r="644" ht="14.25" customHeight="1">
      <c r="A644" s="14" t="str">
        <f>Base_report!A643</f>
        <v>TCHOLOGO</v>
      </c>
      <c r="B644" s="14" t="str">
        <f>Base_report!B643</f>
        <v>DECEMBRE 2023</v>
      </c>
      <c r="C644" s="15" t="str">
        <f>Base_report!C643</f>
        <v>C3061</v>
      </c>
      <c r="D644" s="14" t="str">
        <f>TRIM(IF(ISNUMBER(FIND("PNSME",Base_report!D643,1)),SUBSTITUTE(Base_report!D643,"PNSME",""),IF(ISNUMBER(FIND("PHG",Base_report!D643,1)),SUBSTITUTE(Base_report!D643,"PHG",""),IF(ISNUMBER(FIND("PCS",Base_report!D643,1)),SUBSTITUTE(Base_report!D643,"PCS",""),IF(ISNUMBER(FIND("CMU",Base_report!D643,1)),SUBSTITUTE(Base_report!D643,"CMU",""),Base_report!D643)))))</f>
        <v>CSU DIAWALA</v>
      </c>
      <c r="E644" s="14" t="str">
        <f>SUBSTITUTE(Base_report!E643,"-","/")</f>
        <v>PNLP/MEDICAMENTS ET INTRANTS</v>
      </c>
      <c r="F644" s="14" t="s">
        <v>788</v>
      </c>
      <c r="G644" s="16">
        <f>DATE(YEAR(SUBSTITUTE(LEFT(Base_report!F643,10),"-","/")),MONTH(SUBSTITUTE(LEFT(Base_report!F643,10),"-","/")),DAY(SUBSTITUTE(LEFT(Base_report!F643,10),"-","/")))</f>
        <v>45295</v>
      </c>
      <c r="H644" s="16">
        <f>DATE(YEAR(SUBSTITUTE(LEFT(Base_report!G643,10),"-","/")),MONTH(SUBSTITUTE(LEFT(Base_report!G643,10),"-","/")),DAY(SUBSTITUTE(LEFT(Base_report!G643,10),"-","/")))</f>
        <v>45295</v>
      </c>
      <c r="I644" s="17" t="str">
        <f t="shared" si="1"/>
        <v>OUI</v>
      </c>
      <c r="J644" s="18">
        <f>IF(L644="DS",DATE(RIGHT(B644,4),VLOOKUP(LEFT(B644,LEN(B644)-5),Feuil1!$E$3:$F$19,2,FALSE)+1,10),DATE(RIGHT(B644,4),VLOOKUP(LEFT(B644,LEN(B644)-5),Feuil1!$E$3:$F$19,2,FALSE)+1,7))</f>
        <v>45298</v>
      </c>
      <c r="K644" s="19">
        <f t="shared" si="2"/>
        <v>1</v>
      </c>
      <c r="L644" s="6" t="str">
        <f t="shared" si="3"/>
        <v>FS</v>
      </c>
    </row>
    <row r="645" ht="14.25" customHeight="1">
      <c r="A645" s="14" t="str">
        <f>Base_report!A644</f>
        <v>TCHOLOGO</v>
      </c>
      <c r="B645" s="14" t="str">
        <f>Base_report!B644</f>
        <v>DECEMBRE 2023</v>
      </c>
      <c r="C645" s="15" t="str">
        <f>Base_report!C644</f>
        <v>C3061</v>
      </c>
      <c r="D645" s="14" t="str">
        <f>TRIM(IF(ISNUMBER(FIND("PNSME",Base_report!D644,1)),SUBSTITUTE(Base_report!D644,"PNSME",""),IF(ISNUMBER(FIND("PHG",Base_report!D644,1)),SUBSTITUTE(Base_report!D644,"PHG",""),IF(ISNUMBER(FIND("PCS",Base_report!D644,1)),SUBSTITUTE(Base_report!D644,"PCS",""),IF(ISNUMBER(FIND("CMU",Base_report!D644,1)),SUBSTITUTE(Base_report!D644,"CMU",""),Base_report!D644)))))</f>
        <v>CSU DIAWALA</v>
      </c>
      <c r="E645" s="14" t="str">
        <f>SUBSTITUTE(Base_report!E644,"-","/")</f>
        <v>PNN/MEDICAMENTS ET INTRANTS</v>
      </c>
      <c r="F645" s="14" t="s">
        <v>788</v>
      </c>
      <c r="G645" s="16">
        <f>DATE(YEAR(SUBSTITUTE(LEFT(Base_report!F644,10),"-","/")),MONTH(SUBSTITUTE(LEFT(Base_report!F644,10),"-","/")),DAY(SUBSTITUTE(LEFT(Base_report!F644,10),"-","/")))</f>
        <v>45294</v>
      </c>
      <c r="H645" s="16">
        <f>DATE(YEAR(SUBSTITUTE(LEFT(Base_report!G644,10),"-","/")),MONTH(SUBSTITUTE(LEFT(Base_report!G644,10),"-","/")),DAY(SUBSTITUTE(LEFT(Base_report!G644,10),"-","/")))</f>
        <v>45295</v>
      </c>
      <c r="I645" s="17" t="str">
        <f t="shared" si="1"/>
        <v>OUI</v>
      </c>
      <c r="J645" s="18">
        <f>IF(L645="DS",DATE(RIGHT(B645,4),VLOOKUP(LEFT(B645,LEN(B645)-5),Feuil1!$E$3:$F$19,2,FALSE)+1,10),DATE(RIGHT(B645,4),VLOOKUP(LEFT(B645,LEN(B645)-5),Feuil1!$E$3:$F$19,2,FALSE)+1,7))</f>
        <v>45298</v>
      </c>
      <c r="K645" s="19">
        <f t="shared" si="2"/>
        <v>1</v>
      </c>
      <c r="L645" s="6" t="str">
        <f t="shared" si="3"/>
        <v>FS</v>
      </c>
    </row>
    <row r="646" ht="14.25" customHeight="1">
      <c r="A646" s="14" t="str">
        <f>Base_report!A645</f>
        <v>ABIDJAN 2</v>
      </c>
      <c r="B646" s="14" t="str">
        <f>Base_report!B645</f>
        <v>DECEMBRE 2023</v>
      </c>
      <c r="C646" s="15" t="str">
        <f>Base_report!C645</f>
        <v>C1419</v>
      </c>
      <c r="D646" s="14" t="str">
        <f>TRIM(IF(ISNUMBER(FIND("PNSME",Base_report!D645,1)),SUBSTITUTE(Base_report!D645,"PNSME",""),IF(ISNUMBER(FIND("PHG",Base_report!D645,1)),SUBSTITUTE(Base_report!D645,"PHG",""),IF(ISNUMBER(FIND("PCS",Base_report!D645,1)),SUBSTITUTE(Base_report!D645,"PCS",""),IF(ISNUMBER(FIND("CMU",Base_report!D645,1)),SUBSTITUTE(Base_report!D645,"CMU",""),Base_report!D645)))))</f>
        <v>CENTRE SOCIO-MEDICAL HOPE CI (CSMH)</v>
      </c>
      <c r="E646" s="14" t="str">
        <f>SUBSTITUTE(Base_report!E645,"-","/")</f>
        <v>PNLS/PRODUITS DE LABORATOIRE</v>
      </c>
      <c r="F646" s="14" t="s">
        <v>788</v>
      </c>
      <c r="G646" s="16">
        <f>DATE(YEAR(SUBSTITUTE(LEFT(Base_report!F645,10),"-","/")),MONTH(SUBSTITUTE(LEFT(Base_report!F645,10),"-","/")),DAY(SUBSTITUTE(LEFT(Base_report!F645,10),"-","/")))</f>
        <v>45296</v>
      </c>
      <c r="H646" s="16">
        <f>DATE(YEAR(SUBSTITUTE(LEFT(Base_report!G645,10),"-","/")),MONTH(SUBSTITUTE(LEFT(Base_report!G645,10),"-","/")),DAY(SUBSTITUTE(LEFT(Base_report!G645,10),"-","/")))</f>
        <v>45296</v>
      </c>
      <c r="I646" s="17" t="str">
        <f t="shared" si="1"/>
        <v>OUI</v>
      </c>
      <c r="J646" s="18">
        <f>IF(L646="DS",DATE(RIGHT(B646,4),VLOOKUP(LEFT(B646,LEN(B646)-5),Feuil1!$E$3:$F$19,2,FALSE)+1,10),DATE(RIGHT(B646,4),VLOOKUP(LEFT(B646,LEN(B646)-5),Feuil1!$E$3:$F$19,2,FALSE)+1,7))</f>
        <v>45298</v>
      </c>
      <c r="K646" s="19">
        <f t="shared" si="2"/>
        <v>1</v>
      </c>
      <c r="L646" s="6" t="str">
        <f t="shared" si="3"/>
        <v>FS</v>
      </c>
    </row>
    <row r="647" ht="14.25" customHeight="1">
      <c r="A647" s="14" t="str">
        <f>Base_report!A646</f>
        <v>ABIDJAN 2</v>
      </c>
      <c r="B647" s="14" t="str">
        <f>Base_report!B646</f>
        <v>DECEMBRE 2023</v>
      </c>
      <c r="C647" s="15" t="str">
        <f>Base_report!C646</f>
        <v>C1419</v>
      </c>
      <c r="D647" s="14" t="str">
        <f>TRIM(IF(ISNUMBER(FIND("PNSME",Base_report!D646,1)),SUBSTITUTE(Base_report!D646,"PNSME",""),IF(ISNUMBER(FIND("PHG",Base_report!D646,1)),SUBSTITUTE(Base_report!D646,"PHG",""),IF(ISNUMBER(FIND("PCS",Base_report!D646,1)),SUBSTITUTE(Base_report!D646,"PCS",""),IF(ISNUMBER(FIND("CMU",Base_report!D646,1)),SUBSTITUTE(Base_report!D646,"CMU",""),Base_report!D646)))))</f>
        <v>CENTRE SOCIO-MEDICAL HOPE CI (CSMH)</v>
      </c>
      <c r="E647" s="14" t="str">
        <f>SUBSTITUTE(Base_report!E646,"-","/")</f>
        <v>PNLS/TESTS RAPIDES ET CONSOMMABLES</v>
      </c>
      <c r="F647" s="14" t="s">
        <v>788</v>
      </c>
      <c r="G647" s="16">
        <f>DATE(YEAR(SUBSTITUTE(LEFT(Base_report!F646,10),"-","/")),MONTH(SUBSTITUTE(LEFT(Base_report!F646,10),"-","/")),DAY(SUBSTITUTE(LEFT(Base_report!F646,10),"-","/")))</f>
        <v>45296</v>
      </c>
      <c r="H647" s="16">
        <f>DATE(YEAR(SUBSTITUTE(LEFT(Base_report!G646,10),"-","/")),MONTH(SUBSTITUTE(LEFT(Base_report!G646,10),"-","/")),DAY(SUBSTITUTE(LEFT(Base_report!G646,10),"-","/")))</f>
        <v>45296</v>
      </c>
      <c r="I647" s="17" t="str">
        <f t="shared" si="1"/>
        <v>OUI</v>
      </c>
      <c r="J647" s="18">
        <f>IF(L647="DS",DATE(RIGHT(B647,4),VLOOKUP(LEFT(B647,LEN(B647)-5),Feuil1!$E$3:$F$19,2,FALSE)+1,10),DATE(RIGHT(B647,4),VLOOKUP(LEFT(B647,LEN(B647)-5),Feuil1!$E$3:$F$19,2,FALSE)+1,7))</f>
        <v>45298</v>
      </c>
      <c r="K647" s="19">
        <f t="shared" si="2"/>
        <v>1</v>
      </c>
      <c r="L647" s="6" t="str">
        <f t="shared" si="3"/>
        <v>FS</v>
      </c>
    </row>
    <row r="648" ht="14.25" customHeight="1">
      <c r="A648" s="14" t="str">
        <f>Base_report!A647</f>
        <v>SUD-COMOE</v>
      </c>
      <c r="B648" s="14" t="str">
        <f>Base_report!B647</f>
        <v>DECEMBRE 2023</v>
      </c>
      <c r="C648" s="15" t="str">
        <f>Base_report!C647</f>
        <v>C1090</v>
      </c>
      <c r="D648" s="14" t="str">
        <f>TRIM(IF(ISNUMBER(FIND("PNSME",Base_report!D647,1)),SUBSTITUTE(Base_report!D647,"PNSME",""),IF(ISNUMBER(FIND("PHG",Base_report!D647,1)),SUBSTITUTE(Base_report!D647,"PHG",""),IF(ISNUMBER(FIND("PCS",Base_report!D647,1)),SUBSTITUTE(Base_report!D647,"PCS",""),IF(ISNUMBER(FIND("CMU",Base_report!D647,1)),SUBSTITUTE(Base_report!D647,"CMU",""),Base_report!D647)))))</f>
        <v>HOPITAL GENERAL GRAND-BASSAM</v>
      </c>
      <c r="E648" s="14" t="str">
        <f>SUBSTITUTE(Base_report!E647,"-","/")</f>
        <v>PNSME/MEDICAMENTS ET INTRANTS</v>
      </c>
      <c r="F648" s="14" t="s">
        <v>788</v>
      </c>
      <c r="G648" s="16">
        <f>DATE(YEAR(SUBSTITUTE(LEFT(Base_report!F647,10),"-","/")),MONTH(SUBSTITUTE(LEFT(Base_report!F647,10),"-","/")),DAY(SUBSTITUTE(LEFT(Base_report!F647,10),"-","/")))</f>
        <v>45294</v>
      </c>
      <c r="H648" s="16">
        <f>DATE(YEAR(SUBSTITUTE(LEFT(Base_report!G647,10),"-","/")),MONTH(SUBSTITUTE(LEFT(Base_report!G647,10),"-","/")),DAY(SUBSTITUTE(LEFT(Base_report!G647,10),"-","/")))</f>
        <v>45296</v>
      </c>
      <c r="I648" s="17" t="str">
        <f t="shared" si="1"/>
        <v>OUI</v>
      </c>
      <c r="J648" s="18">
        <f>IF(L648="DS",DATE(RIGHT(B648,4),VLOOKUP(LEFT(B648,LEN(B648)-5),Feuil1!$E$3:$F$19,2,FALSE)+1,10),DATE(RIGHT(B648,4),VLOOKUP(LEFT(B648,LEN(B648)-5),Feuil1!$E$3:$F$19,2,FALSE)+1,7))</f>
        <v>45298</v>
      </c>
      <c r="K648" s="19">
        <f t="shared" si="2"/>
        <v>1</v>
      </c>
      <c r="L648" s="6" t="str">
        <f t="shared" si="3"/>
        <v>FS</v>
      </c>
    </row>
    <row r="649" ht="14.25" customHeight="1">
      <c r="A649" s="14" t="str">
        <f>Base_report!A648</f>
        <v>TONKPI</v>
      </c>
      <c r="B649" s="14" t="str">
        <f>Base_report!B648</f>
        <v>DECEMBRE 2023</v>
      </c>
      <c r="C649" s="15" t="str">
        <f>Base_report!C648</f>
        <v>C5016</v>
      </c>
      <c r="D649" s="14" t="str">
        <f>TRIM(IF(ISNUMBER(FIND("PNSME",Base_report!D648,1)),SUBSTITUTE(Base_report!D648,"PNSME",""),IF(ISNUMBER(FIND("PHG",Base_report!D648,1)),SUBSTITUTE(Base_report!D648,"PHG",""),IF(ISNUMBER(FIND("PCS",Base_report!D648,1)),SUBSTITUTE(Base_report!D648,"PCS",""),IF(ISNUMBER(FIND("CMU",Base_report!D648,1)),SUBSTITUTE(Base_report!D648,"CMU",""),Base_report!D648)))))</f>
        <v>HOPITAL GENERAL BIANKOUMA</v>
      </c>
      <c r="E649" s="14" t="str">
        <f>SUBSTITUTE(Base_report!E648,"-","/")</f>
        <v>PNLP/MEDICAMENTS ET INTRANTS</v>
      </c>
      <c r="F649" s="14" t="s">
        <v>788</v>
      </c>
      <c r="G649" s="16">
        <f>DATE(YEAR(SUBSTITUTE(LEFT(Base_report!F648,10),"-","/")),MONTH(SUBSTITUTE(LEFT(Base_report!F648,10),"-","/")),DAY(SUBSTITUTE(LEFT(Base_report!F648,10),"-","/")))</f>
        <v>45298</v>
      </c>
      <c r="H649" s="16">
        <f>DATE(YEAR(SUBSTITUTE(LEFT(Base_report!G648,10),"-","/")),MONTH(SUBSTITUTE(LEFT(Base_report!G648,10),"-","/")),DAY(SUBSTITUTE(LEFT(Base_report!G648,10),"-","/")))</f>
        <v>45298</v>
      </c>
      <c r="I649" s="17" t="str">
        <f t="shared" si="1"/>
        <v>OUI</v>
      </c>
      <c r="J649" s="18">
        <f>IF(L649="DS",DATE(RIGHT(B649,4),VLOOKUP(LEFT(B649,LEN(B649)-5),Feuil1!$E$3:$F$19,2,FALSE)+1,10),DATE(RIGHT(B649,4),VLOOKUP(LEFT(B649,LEN(B649)-5),Feuil1!$E$3:$F$19,2,FALSE)+1,7))</f>
        <v>45298</v>
      </c>
      <c r="K649" s="19">
        <f t="shared" si="2"/>
        <v>1</v>
      </c>
      <c r="L649" s="6" t="str">
        <f t="shared" si="3"/>
        <v>FS</v>
      </c>
    </row>
    <row r="650" ht="14.25" customHeight="1">
      <c r="A650" s="14" t="str">
        <f>Base_report!A649</f>
        <v>SUD-COMOE</v>
      </c>
      <c r="B650" s="14" t="str">
        <f>Base_report!B649</f>
        <v>DECEMBRE 2023</v>
      </c>
      <c r="C650" s="15" t="str">
        <f>Base_report!C649</f>
        <v>C1090</v>
      </c>
      <c r="D650" s="14" t="str">
        <f>TRIM(IF(ISNUMBER(FIND("PNSME",Base_report!D649,1)),SUBSTITUTE(Base_report!D649,"PNSME",""),IF(ISNUMBER(FIND("PHG",Base_report!D649,1)),SUBSTITUTE(Base_report!D649,"PHG",""),IF(ISNUMBER(FIND("PCS",Base_report!D649,1)),SUBSTITUTE(Base_report!D649,"PCS",""),IF(ISNUMBER(FIND("CMU",Base_report!D649,1)),SUBSTITUTE(Base_report!D649,"CMU",""),Base_report!D649)))))</f>
        <v>HOPITAL GENERAL GRAND-BASSAM</v>
      </c>
      <c r="E650" s="14" t="str">
        <f>SUBSTITUTE(Base_report!E649,"-","/")</f>
        <v>PNN/MEDICAMENTS ET INTRANTS</v>
      </c>
      <c r="F650" s="14" t="s">
        <v>788</v>
      </c>
      <c r="G650" s="16">
        <f>DATE(YEAR(SUBSTITUTE(LEFT(Base_report!F649,10),"-","/")),MONTH(SUBSTITUTE(LEFT(Base_report!F649,10),"-","/")),DAY(SUBSTITUTE(LEFT(Base_report!F649,10),"-","/")))</f>
        <v>45294</v>
      </c>
      <c r="H650" s="16">
        <f>DATE(YEAR(SUBSTITUTE(LEFT(Base_report!G649,10),"-","/")),MONTH(SUBSTITUTE(LEFT(Base_report!G649,10),"-","/")),DAY(SUBSTITUTE(LEFT(Base_report!G649,10),"-","/")))</f>
        <v>45296</v>
      </c>
      <c r="I650" s="17" t="str">
        <f t="shared" si="1"/>
        <v>OUI</v>
      </c>
      <c r="J650" s="18">
        <f>IF(L650="DS",DATE(RIGHT(B650,4),VLOOKUP(LEFT(B650,LEN(B650)-5),Feuil1!$E$3:$F$19,2,FALSE)+1,10),DATE(RIGHT(B650,4),VLOOKUP(LEFT(B650,LEN(B650)-5),Feuil1!$E$3:$F$19,2,FALSE)+1,7))</f>
        <v>45298</v>
      </c>
      <c r="K650" s="19">
        <f t="shared" si="2"/>
        <v>1</v>
      </c>
      <c r="L650" s="6" t="str">
        <f t="shared" si="3"/>
        <v>FS</v>
      </c>
    </row>
    <row r="651" ht="14.25" customHeight="1">
      <c r="A651" s="14" t="str">
        <f>Base_report!A650</f>
        <v>TONKPI</v>
      </c>
      <c r="B651" s="14" t="str">
        <f>Base_report!B650</f>
        <v>DECEMBRE 2023</v>
      </c>
      <c r="C651" s="15" t="str">
        <f>Base_report!C650</f>
        <v>C5001</v>
      </c>
      <c r="D651" s="14" t="str">
        <f>TRIM(IF(ISNUMBER(FIND("PNSME",Base_report!D650,1)),SUBSTITUTE(Base_report!D650,"PNSME",""),IF(ISNUMBER(FIND("PHG",Base_report!D650,1)),SUBSTITUTE(Base_report!D650,"PHG",""),IF(ISNUMBER(FIND("PCS",Base_report!D650,1)),SUBSTITUTE(Base_report!D650,"PCS",""),IF(ISNUMBER(FIND("CMU",Base_report!D650,1)),SUBSTITUTE(Base_report!D650,"CMU",""),Base_report!D650)))))</f>
        <v>CHR MAN</v>
      </c>
      <c r="E651" s="14" t="str">
        <f>SUBSTITUTE(Base_report!E650,"-","/")</f>
        <v>PNN/MEDICAMENTS ET INTRANTS</v>
      </c>
      <c r="F651" s="14" t="s">
        <v>788</v>
      </c>
      <c r="G651" s="16">
        <f>DATE(YEAR(SUBSTITUTE(LEFT(Base_report!F650,10),"-","/")),MONTH(SUBSTITUTE(LEFT(Base_report!F650,10),"-","/")),DAY(SUBSTITUTE(LEFT(Base_report!F650,10),"-","/")))</f>
        <v>45295</v>
      </c>
      <c r="H651" s="16">
        <f>DATE(YEAR(SUBSTITUTE(LEFT(Base_report!G650,10),"-","/")),MONTH(SUBSTITUTE(LEFT(Base_report!G650,10),"-","/")),DAY(SUBSTITUTE(LEFT(Base_report!G650,10),"-","/")))</f>
        <v>45295</v>
      </c>
      <c r="I651" s="17" t="str">
        <f t="shared" si="1"/>
        <v>OUI</v>
      </c>
      <c r="J651" s="18">
        <f>IF(L651="DS",DATE(RIGHT(B651,4),VLOOKUP(LEFT(B651,LEN(B651)-5),Feuil1!$E$3:$F$19,2,FALSE)+1,10),DATE(RIGHT(B651,4),VLOOKUP(LEFT(B651,LEN(B651)-5),Feuil1!$E$3:$F$19,2,FALSE)+1,7))</f>
        <v>45298</v>
      </c>
      <c r="K651" s="19">
        <f t="shared" si="2"/>
        <v>1</v>
      </c>
      <c r="L651" s="6" t="str">
        <f t="shared" si="3"/>
        <v>FS</v>
      </c>
    </row>
    <row r="652" ht="14.25" customHeight="1">
      <c r="A652" s="14" t="str">
        <f>Base_report!A651</f>
        <v>TONKPI</v>
      </c>
      <c r="B652" s="14" t="str">
        <f>Base_report!B651</f>
        <v>DECEMBRE 2023</v>
      </c>
      <c r="C652" s="15" t="str">
        <f>Base_report!C651</f>
        <v>C5001</v>
      </c>
      <c r="D652" s="14" t="str">
        <f>TRIM(IF(ISNUMBER(FIND("PNSME",Base_report!D651,1)),SUBSTITUTE(Base_report!D651,"PNSME",""),IF(ISNUMBER(FIND("PHG",Base_report!D651,1)),SUBSTITUTE(Base_report!D651,"PHG",""),IF(ISNUMBER(FIND("PCS",Base_report!D651,1)),SUBSTITUTE(Base_report!D651,"PCS",""),IF(ISNUMBER(FIND("CMU",Base_report!D651,1)),SUBSTITUTE(Base_report!D651,"CMU",""),Base_report!D651)))))</f>
        <v>CHR MAN</v>
      </c>
      <c r="E652" s="14" t="str">
        <f>SUBSTITUTE(Base_report!E651,"-","/")</f>
        <v>PNLS/PRODUITS DE LABORATOIRE</v>
      </c>
      <c r="F652" s="14" t="s">
        <v>788</v>
      </c>
      <c r="G652" s="16">
        <f>DATE(YEAR(SUBSTITUTE(LEFT(Base_report!F651,10),"-","/")),MONTH(SUBSTITUTE(LEFT(Base_report!F651,10),"-","/")),DAY(SUBSTITUTE(LEFT(Base_report!F651,10),"-","/")))</f>
        <v>45294</v>
      </c>
      <c r="H652" s="16">
        <f>DATE(YEAR(SUBSTITUTE(LEFT(Base_report!G651,10),"-","/")),MONTH(SUBSTITUTE(LEFT(Base_report!G651,10),"-","/")),DAY(SUBSTITUTE(LEFT(Base_report!G651,10),"-","/")))</f>
        <v>45295</v>
      </c>
      <c r="I652" s="17" t="str">
        <f t="shared" si="1"/>
        <v>OUI</v>
      </c>
      <c r="J652" s="18">
        <f>IF(L652="DS",DATE(RIGHT(B652,4),VLOOKUP(LEFT(B652,LEN(B652)-5),Feuil1!$E$3:$F$19,2,FALSE)+1,10),DATE(RIGHT(B652,4),VLOOKUP(LEFT(B652,LEN(B652)-5),Feuil1!$E$3:$F$19,2,FALSE)+1,7))</f>
        <v>45298</v>
      </c>
      <c r="K652" s="19">
        <f t="shared" si="2"/>
        <v>1</v>
      </c>
      <c r="L652" s="6" t="str">
        <f t="shared" si="3"/>
        <v>FS</v>
      </c>
    </row>
    <row r="653" ht="14.25" customHeight="1">
      <c r="A653" s="14" t="str">
        <f>Base_report!A652</f>
        <v>HAMBOL</v>
      </c>
      <c r="B653" s="14" t="str">
        <f>Base_report!B652</f>
        <v>DECEMBRE 2023</v>
      </c>
      <c r="C653" s="15" t="str">
        <f>Base_report!C652</f>
        <v>C3011</v>
      </c>
      <c r="D653" s="14" t="str">
        <f>TRIM(IF(ISNUMBER(FIND("PNSME",Base_report!D652,1)),SUBSTITUTE(Base_report!D652,"PNSME",""),IF(ISNUMBER(FIND("PHG",Base_report!D652,1)),SUBSTITUTE(Base_report!D652,"PHG",""),IF(ISNUMBER(FIND("PCS",Base_report!D652,1)),SUBSTITUTE(Base_report!D652,"PCS",""),IF(ISNUMBER(FIND("CMU",Base_report!D652,1)),SUBSTITUTE(Base_report!D652,"CMU",""),Base_report!D652)))))</f>
        <v>HOPITAL GENERAL DABAKALA</v>
      </c>
      <c r="E653" s="14" t="str">
        <f>SUBSTITUTE(Base_report!E652,"-","/")</f>
        <v>PNLP/MEDICAMENTS ET INTRANTS</v>
      </c>
      <c r="F653" s="14" t="s">
        <v>788</v>
      </c>
      <c r="G653" s="16">
        <f>DATE(YEAR(SUBSTITUTE(LEFT(Base_report!F652,10),"-","/")),MONTH(SUBSTITUTE(LEFT(Base_report!F652,10),"-","/")),DAY(SUBSTITUTE(LEFT(Base_report!F652,10),"-","/")))</f>
        <v>45298</v>
      </c>
      <c r="H653" s="16">
        <f>DATE(YEAR(SUBSTITUTE(LEFT(Base_report!G652,10),"-","/")),MONTH(SUBSTITUTE(LEFT(Base_report!G652,10),"-","/")),DAY(SUBSTITUTE(LEFT(Base_report!G652,10),"-","/")))</f>
        <v>45298</v>
      </c>
      <c r="I653" s="17" t="str">
        <f t="shared" si="1"/>
        <v>OUI</v>
      </c>
      <c r="J653" s="18">
        <f>IF(L653="DS",DATE(RIGHT(B653,4),VLOOKUP(LEFT(B653,LEN(B653)-5),Feuil1!$E$3:$F$19,2,FALSE)+1,10),DATE(RIGHT(B653,4),VLOOKUP(LEFT(B653,LEN(B653)-5),Feuil1!$E$3:$F$19,2,FALSE)+1,7))</f>
        <v>45298</v>
      </c>
      <c r="K653" s="19">
        <f t="shared" si="2"/>
        <v>1</v>
      </c>
      <c r="L653" s="6" t="str">
        <f t="shared" si="3"/>
        <v>FS</v>
      </c>
    </row>
    <row r="654" ht="14.25" customHeight="1">
      <c r="A654" s="14" t="str">
        <f>Base_report!A653</f>
        <v>ABIDJAN 1</v>
      </c>
      <c r="B654" s="14" t="str">
        <f>Base_report!B653</f>
        <v>DECEMBRE 2023</v>
      </c>
      <c r="C654" s="15" t="str">
        <f>Base_report!C653</f>
        <v>C1423</v>
      </c>
      <c r="D654" s="14" t="str">
        <f>TRIM(IF(ISNUMBER(FIND("PNSME",Base_report!D653,1)),SUBSTITUTE(Base_report!D653,"PNSME",""),IF(ISNUMBER(FIND("PHG",Base_report!D653,1)),SUBSTITUTE(Base_report!D653,"PHG",""),IF(ISNUMBER(FIND("PCS",Base_report!D653,1)),SUBSTITUTE(Base_report!D653,"PCS",""),IF(ISNUMBER(FIND("CMU",Base_report!D653,1)),SUBSTITUTE(Base_report!D653,"CMU",""),Base_report!D653)))))</f>
        <v>CENTRE MEDICO-SOCIAL SAINT COEUR ABOBOTE</v>
      </c>
      <c r="E654" s="14" t="str">
        <f>SUBSTITUTE(Base_report!E653,"-","/")</f>
        <v>PNLS/ANTIRETROVIRAUX ET IO</v>
      </c>
      <c r="F654" s="14" t="s">
        <v>788</v>
      </c>
      <c r="G654" s="16">
        <f>DATE(YEAR(SUBSTITUTE(LEFT(Base_report!F653,10),"-","/")),MONTH(SUBSTITUTE(LEFT(Base_report!F653,10),"-","/")),DAY(SUBSTITUTE(LEFT(Base_report!F653,10),"-","/")))</f>
        <v>45295</v>
      </c>
      <c r="H654" s="16">
        <f>DATE(YEAR(SUBSTITUTE(LEFT(Base_report!G653,10),"-","/")),MONTH(SUBSTITUTE(LEFT(Base_report!G653,10),"-","/")),DAY(SUBSTITUTE(LEFT(Base_report!G653,10),"-","/")))</f>
        <v>45296</v>
      </c>
      <c r="I654" s="17" t="str">
        <f t="shared" si="1"/>
        <v>OUI</v>
      </c>
      <c r="J654" s="18">
        <f>IF(L654="DS",DATE(RIGHT(B654,4),VLOOKUP(LEFT(B654,LEN(B654)-5),Feuil1!$E$3:$F$19,2,FALSE)+1,10),DATE(RIGHT(B654,4),VLOOKUP(LEFT(B654,LEN(B654)-5),Feuil1!$E$3:$F$19,2,FALSE)+1,7))</f>
        <v>45298</v>
      </c>
      <c r="K654" s="19">
        <f t="shared" si="2"/>
        <v>1</v>
      </c>
      <c r="L654" s="6" t="str">
        <f t="shared" si="3"/>
        <v>FS</v>
      </c>
    </row>
    <row r="655" ht="14.25" customHeight="1">
      <c r="A655" s="14" t="str">
        <f>Base_report!A654</f>
        <v>ABIDJAN 1</v>
      </c>
      <c r="B655" s="14" t="str">
        <f>Base_report!B654</f>
        <v>DECEMBRE 2023</v>
      </c>
      <c r="C655" s="15" t="str">
        <f>Base_report!C654</f>
        <v>C1423</v>
      </c>
      <c r="D655" s="14" t="str">
        <f>TRIM(IF(ISNUMBER(FIND("PNSME",Base_report!D654,1)),SUBSTITUTE(Base_report!D654,"PNSME",""),IF(ISNUMBER(FIND("PHG",Base_report!D654,1)),SUBSTITUTE(Base_report!D654,"PHG",""),IF(ISNUMBER(FIND("PCS",Base_report!D654,1)),SUBSTITUTE(Base_report!D654,"PCS",""),IF(ISNUMBER(FIND("CMU",Base_report!D654,1)),SUBSTITUTE(Base_report!D654,"CMU",""),Base_report!D654)))))</f>
        <v>CENTRE MEDICO-SOCIAL SAINT COEUR ABOBOTE</v>
      </c>
      <c r="E655" s="14" t="str">
        <f>SUBSTITUTE(Base_report!E654,"-","/")</f>
        <v>PNLS/TESTS RAPIDES ET CONSOMMABLES</v>
      </c>
      <c r="F655" s="14" t="s">
        <v>788</v>
      </c>
      <c r="G655" s="16">
        <f>DATE(YEAR(SUBSTITUTE(LEFT(Base_report!F654,10),"-","/")),MONTH(SUBSTITUTE(LEFT(Base_report!F654,10),"-","/")),DAY(SUBSTITUTE(LEFT(Base_report!F654,10),"-","/")))</f>
        <v>45295</v>
      </c>
      <c r="H655" s="16">
        <f>DATE(YEAR(SUBSTITUTE(LEFT(Base_report!G654,10),"-","/")),MONTH(SUBSTITUTE(LEFT(Base_report!G654,10),"-","/")),DAY(SUBSTITUTE(LEFT(Base_report!G654,10),"-","/")))</f>
        <v>45296</v>
      </c>
      <c r="I655" s="17" t="str">
        <f t="shared" si="1"/>
        <v>OUI</v>
      </c>
      <c r="J655" s="18">
        <f>IF(L655="DS",DATE(RIGHT(B655,4),VLOOKUP(LEFT(B655,LEN(B655)-5),Feuil1!$E$3:$F$19,2,FALSE)+1,10),DATE(RIGHT(B655,4),VLOOKUP(LEFT(B655,LEN(B655)-5),Feuil1!$E$3:$F$19,2,FALSE)+1,7))</f>
        <v>45298</v>
      </c>
      <c r="K655" s="19">
        <f t="shared" si="2"/>
        <v>1</v>
      </c>
      <c r="L655" s="6" t="str">
        <f t="shared" si="3"/>
        <v>FS</v>
      </c>
    </row>
    <row r="656" ht="14.25" customHeight="1">
      <c r="A656" s="14" t="str">
        <f>Base_report!A655</f>
        <v>ME</v>
      </c>
      <c r="B656" s="14" t="str">
        <f>Base_report!B655</f>
        <v>DECEMBRE 2023</v>
      </c>
      <c r="C656" s="15" t="str">
        <f>Base_report!C655</f>
        <v>C1083</v>
      </c>
      <c r="D656" s="14" t="str">
        <f>TRIM(IF(ISNUMBER(FIND("PNSME",Base_report!D655,1)),SUBSTITUTE(Base_report!D655,"PNSME",""),IF(ISNUMBER(FIND("PHG",Base_report!D655,1)),SUBSTITUTE(Base_report!D655,"PHG",""),IF(ISNUMBER(FIND("PCS",Base_report!D655,1)),SUBSTITUTE(Base_report!D655,"PCS",""),IF(ISNUMBER(FIND("CMU",Base_report!D655,1)),SUBSTITUTE(Base_report!D655,"CMU",""),Base_report!D655)))))</f>
        <v>HOPITAL GENERAL ALEPE</v>
      </c>
      <c r="E656" s="14" t="str">
        <f>SUBSTITUTE(Base_report!E655,"-","/")</f>
        <v>PNN/MEDICAMENTS ET INTRANTS</v>
      </c>
      <c r="F656" s="14" t="s">
        <v>788</v>
      </c>
      <c r="G656" s="16">
        <f>DATE(YEAR(SUBSTITUTE(LEFT(Base_report!F655,10),"-","/")),MONTH(SUBSTITUTE(LEFT(Base_report!F655,10),"-","/")),DAY(SUBSTITUTE(LEFT(Base_report!F655,10),"-","/")))</f>
        <v>45296</v>
      </c>
      <c r="H656" s="16">
        <f>DATE(YEAR(SUBSTITUTE(LEFT(Base_report!G655,10),"-","/")),MONTH(SUBSTITUTE(LEFT(Base_report!G655,10),"-","/")),DAY(SUBSTITUTE(LEFT(Base_report!G655,10),"-","/")))</f>
        <v>45296</v>
      </c>
      <c r="I656" s="17" t="str">
        <f t="shared" si="1"/>
        <v>OUI</v>
      </c>
      <c r="J656" s="18">
        <f>IF(L656="DS",DATE(RIGHT(B656,4),VLOOKUP(LEFT(B656,LEN(B656)-5),Feuil1!$E$3:$F$19,2,FALSE)+1,10),DATE(RIGHT(B656,4),VLOOKUP(LEFT(B656,LEN(B656)-5),Feuil1!$E$3:$F$19,2,FALSE)+1,7))</f>
        <v>45298</v>
      </c>
      <c r="K656" s="19">
        <f t="shared" si="2"/>
        <v>1</v>
      </c>
      <c r="L656" s="6" t="str">
        <f t="shared" si="3"/>
        <v>FS</v>
      </c>
    </row>
    <row r="657" ht="14.25" customHeight="1">
      <c r="A657" s="14" t="str">
        <f>Base_report!A656</f>
        <v>GBEKE</v>
      </c>
      <c r="B657" s="14" t="str">
        <f>Base_report!B656</f>
        <v>DECEMBRE 2023</v>
      </c>
      <c r="C657" s="15" t="str">
        <f>Base_report!C656</f>
        <v>C2010</v>
      </c>
      <c r="D657" s="14" t="str">
        <f>TRIM(IF(ISNUMBER(FIND("PNSME",Base_report!D656,1)),SUBSTITUTE(Base_report!D656,"PNSME",""),IF(ISNUMBER(FIND("PHG",Base_report!D656,1)),SUBSTITUTE(Base_report!D656,"PHG",""),IF(ISNUMBER(FIND("PCS",Base_report!D656,1)),SUBSTITUTE(Base_report!D656,"PCS",""),IF(ISNUMBER(FIND("CMU",Base_report!D656,1)),SUBSTITUTE(Base_report!D656,"CMU",""),Base_report!D656)))))</f>
        <v>CHU BOUAKE</v>
      </c>
      <c r="E657" s="14" t="str">
        <f>SUBSTITUTE(Base_report!E656,"-","/")</f>
        <v>PNLS/ANTIRETROVIRAUX ET IO</v>
      </c>
      <c r="F657" s="14" t="s">
        <v>788</v>
      </c>
      <c r="G657" s="16">
        <f>DATE(YEAR(SUBSTITUTE(LEFT(Base_report!F656,10),"-","/")),MONTH(SUBSTITUTE(LEFT(Base_report!F656,10),"-","/")),DAY(SUBSTITUTE(LEFT(Base_report!F656,10),"-","/")))</f>
        <v>45300</v>
      </c>
      <c r="H657" s="16">
        <f>DATE(YEAR(SUBSTITUTE(LEFT(Base_report!G656,10),"-","/")),MONTH(SUBSTITUTE(LEFT(Base_report!G656,10),"-","/")),DAY(SUBSTITUTE(LEFT(Base_report!G656,10),"-","/")))</f>
        <v>45301</v>
      </c>
      <c r="I657" s="17" t="str">
        <f t="shared" si="1"/>
        <v>OUI</v>
      </c>
      <c r="J657" s="18">
        <f>IF(L657="DS",DATE(RIGHT(B657,4),VLOOKUP(LEFT(B657,LEN(B657)-5),Feuil1!$E$3:$F$19,2,FALSE)+1,10),DATE(RIGHT(B657,4),VLOOKUP(LEFT(B657,LEN(B657)-5),Feuil1!$E$3:$F$19,2,FALSE)+1,7))</f>
        <v>45298</v>
      </c>
      <c r="K657" s="19">
        <f t="shared" si="2"/>
        <v>0</v>
      </c>
      <c r="L657" s="6" t="str">
        <f t="shared" si="3"/>
        <v>FS</v>
      </c>
    </row>
    <row r="658" ht="14.25" customHeight="1">
      <c r="A658" s="14" t="str">
        <f>Base_report!A657</f>
        <v>ABIDJAN 2</v>
      </c>
      <c r="B658" s="14" t="str">
        <f>Base_report!B657</f>
        <v>DECEMBRE 2023</v>
      </c>
      <c r="C658" s="15" t="str">
        <f>Base_report!C657</f>
        <v>C1030</v>
      </c>
      <c r="D658" s="14" t="str">
        <f>TRIM(IF(ISNUMBER(FIND("PNSME",Base_report!D657,1)),SUBSTITUTE(Base_report!D657,"PNSME",""),IF(ISNUMBER(FIND("PHG",Base_report!D657,1)),SUBSTITUTE(Base_report!D657,"PHG",""),IF(ISNUMBER(FIND("PCS",Base_report!D657,1)),SUBSTITUTE(Base_report!D657,"PCS",""),IF(ISNUMBER(FIND("CMU",Base_report!D657,1)),SUBSTITUTE(Base_report!D657,"CMU",""),Base_report!D657)))))</f>
        <v>CSU COM PANGOLIN</v>
      </c>
      <c r="E658" s="14" t="str">
        <f>SUBSTITUTE(Base_report!E657,"-","/")</f>
        <v>PNLP/MEDICAMENTS ET INTRANTS</v>
      </c>
      <c r="F658" s="14" t="s">
        <v>788</v>
      </c>
      <c r="G658" s="16">
        <f>DATE(YEAR(SUBSTITUTE(LEFT(Base_report!F657,10),"-","/")),MONTH(SUBSTITUTE(LEFT(Base_report!F657,10),"-","/")),DAY(SUBSTITUTE(LEFT(Base_report!F657,10),"-","/")))</f>
        <v>45296</v>
      </c>
      <c r="H658" s="16">
        <f>DATE(YEAR(SUBSTITUTE(LEFT(Base_report!G657,10),"-","/")),MONTH(SUBSTITUTE(LEFT(Base_report!G657,10),"-","/")),DAY(SUBSTITUTE(LEFT(Base_report!G657,10),"-","/")))</f>
        <v>45298</v>
      </c>
      <c r="I658" s="17" t="str">
        <f t="shared" si="1"/>
        <v>OUI</v>
      </c>
      <c r="J658" s="18">
        <f>IF(L658="DS",DATE(RIGHT(B658,4),VLOOKUP(LEFT(B658,LEN(B658)-5),Feuil1!$E$3:$F$19,2,FALSE)+1,10),DATE(RIGHT(B658,4),VLOOKUP(LEFT(B658,LEN(B658)-5),Feuil1!$E$3:$F$19,2,FALSE)+1,7))</f>
        <v>45298</v>
      </c>
      <c r="K658" s="19">
        <f t="shared" si="2"/>
        <v>1</v>
      </c>
      <c r="L658" s="6" t="str">
        <f t="shared" si="3"/>
        <v>FS</v>
      </c>
    </row>
    <row r="659" ht="14.25" customHeight="1">
      <c r="A659" s="14" t="str">
        <f>Base_report!A658</f>
        <v>TONKPI</v>
      </c>
      <c r="B659" s="14" t="str">
        <f>Base_report!B658</f>
        <v>DECEMBRE 2023</v>
      </c>
      <c r="C659" s="15" t="str">
        <f>Base_report!C658</f>
        <v>C5016</v>
      </c>
      <c r="D659" s="14" t="str">
        <f>TRIM(IF(ISNUMBER(FIND("PNSME",Base_report!D658,1)),SUBSTITUTE(Base_report!D658,"PNSME",""),IF(ISNUMBER(FIND("PHG",Base_report!D658,1)),SUBSTITUTE(Base_report!D658,"PHG",""),IF(ISNUMBER(FIND("PCS",Base_report!D658,1)),SUBSTITUTE(Base_report!D658,"PCS",""),IF(ISNUMBER(FIND("CMU",Base_report!D658,1)),SUBSTITUTE(Base_report!D658,"CMU",""),Base_report!D658)))))</f>
        <v>HOPITAL GENERAL BIANKOUMA</v>
      </c>
      <c r="E659" s="14" t="str">
        <f>SUBSTITUTE(Base_report!E658,"-","/")</f>
        <v>PNN/MEDICAMENTS ET INTRANTS</v>
      </c>
      <c r="F659" s="14" t="s">
        <v>788</v>
      </c>
      <c r="G659" s="16">
        <f>DATE(YEAR(SUBSTITUTE(LEFT(Base_report!F658,10),"-","/")),MONTH(SUBSTITUTE(LEFT(Base_report!F658,10),"-","/")),DAY(SUBSTITUTE(LEFT(Base_report!F658,10),"-","/")))</f>
        <v>45298</v>
      </c>
      <c r="H659" s="16">
        <f>DATE(YEAR(SUBSTITUTE(LEFT(Base_report!G658,10),"-","/")),MONTH(SUBSTITUTE(LEFT(Base_report!G658,10),"-","/")),DAY(SUBSTITUTE(LEFT(Base_report!G658,10),"-","/")))</f>
        <v>45298</v>
      </c>
      <c r="I659" s="17" t="str">
        <f t="shared" si="1"/>
        <v>OUI</v>
      </c>
      <c r="J659" s="18">
        <f>IF(L659="DS",DATE(RIGHT(B659,4),VLOOKUP(LEFT(B659,LEN(B659)-5),Feuil1!$E$3:$F$19,2,FALSE)+1,10),DATE(RIGHT(B659,4),VLOOKUP(LEFT(B659,LEN(B659)-5),Feuil1!$E$3:$F$19,2,FALSE)+1,7))</f>
        <v>45298</v>
      </c>
      <c r="K659" s="19">
        <f t="shared" si="2"/>
        <v>1</v>
      </c>
      <c r="L659" s="6" t="str">
        <f t="shared" si="3"/>
        <v>FS</v>
      </c>
    </row>
    <row r="660" ht="14.25" customHeight="1">
      <c r="A660" s="14" t="str">
        <f>Base_report!A659</f>
        <v>SUD-COMOE</v>
      </c>
      <c r="B660" s="14" t="str">
        <f>Base_report!B659</f>
        <v>DECEMBRE 2023</v>
      </c>
      <c r="C660" s="15" t="str">
        <f>Base_report!C659</f>
        <v>C1008</v>
      </c>
      <c r="D660" s="14" t="str">
        <f>TRIM(IF(ISNUMBER(FIND("PNSME",Base_report!D659,1)),SUBSTITUTE(Base_report!D659,"PNSME",""),IF(ISNUMBER(FIND("PHG",Base_report!D659,1)),SUBSTITUTE(Base_report!D659,"PHG",""),IF(ISNUMBER(FIND("PCS",Base_report!D659,1)),SUBSTITUTE(Base_report!D659,"PCS",""),IF(ISNUMBER(FIND("CMU",Base_report!D659,1)),SUBSTITUTE(Base_report!D659,"CMU",""),Base_report!D659)))))</f>
        <v>HOPITAL GENERAL MAFERE</v>
      </c>
      <c r="E660" s="14" t="str">
        <f>SUBSTITUTE(Base_report!E659,"-","/")</f>
        <v>PNLP/MEDICAMENTS ET INTRANTS</v>
      </c>
      <c r="F660" s="14" t="s">
        <v>788</v>
      </c>
      <c r="G660" s="16">
        <f>DATE(YEAR(SUBSTITUTE(LEFT(Base_report!F659,10),"-","/")),MONTH(SUBSTITUTE(LEFT(Base_report!F659,10),"-","/")),DAY(SUBSTITUTE(LEFT(Base_report!F659,10),"-","/")))</f>
        <v>45297</v>
      </c>
      <c r="H660" s="16">
        <f>DATE(YEAR(SUBSTITUTE(LEFT(Base_report!G659,10),"-","/")),MONTH(SUBSTITUTE(LEFT(Base_report!G659,10),"-","/")),DAY(SUBSTITUTE(LEFT(Base_report!G659,10),"-","/")))</f>
        <v>45297</v>
      </c>
      <c r="I660" s="17" t="str">
        <f t="shared" si="1"/>
        <v>OUI</v>
      </c>
      <c r="J660" s="18">
        <f>IF(L660="DS",DATE(RIGHT(B660,4),VLOOKUP(LEFT(B660,LEN(B660)-5),Feuil1!$E$3:$F$19,2,FALSE)+1,10),DATE(RIGHT(B660,4),VLOOKUP(LEFT(B660,LEN(B660)-5),Feuil1!$E$3:$F$19,2,FALSE)+1,7))</f>
        <v>45298</v>
      </c>
      <c r="K660" s="19">
        <f t="shared" si="2"/>
        <v>1</v>
      </c>
      <c r="L660" s="6" t="str">
        <f t="shared" si="3"/>
        <v>FS</v>
      </c>
    </row>
    <row r="661" ht="14.25" customHeight="1">
      <c r="A661" s="14" t="str">
        <f>Base_report!A660</f>
        <v>TONKPI</v>
      </c>
      <c r="B661" s="14" t="str">
        <f>Base_report!B660</f>
        <v>DECEMBRE 2023</v>
      </c>
      <c r="C661" s="15" t="str">
        <f>Base_report!C660</f>
        <v>C5016</v>
      </c>
      <c r="D661" s="14" t="str">
        <f>TRIM(IF(ISNUMBER(FIND("PNSME",Base_report!D660,1)),SUBSTITUTE(Base_report!D660,"PNSME",""),IF(ISNUMBER(FIND("PHG",Base_report!D660,1)),SUBSTITUTE(Base_report!D660,"PHG",""),IF(ISNUMBER(FIND("PCS",Base_report!D660,1)),SUBSTITUTE(Base_report!D660,"PCS",""),IF(ISNUMBER(FIND("CMU",Base_report!D660,1)),SUBSTITUTE(Base_report!D660,"CMU",""),Base_report!D660)))))</f>
        <v>HOPITAL GENERAL BIANKOUMA</v>
      </c>
      <c r="E661" s="14" t="str">
        <f>SUBSTITUTE(Base_report!E660,"-","/")</f>
        <v>PNSME/MEDICAMENTS ET INTRANTS</v>
      </c>
      <c r="F661" s="14" t="s">
        <v>788</v>
      </c>
      <c r="G661" s="16">
        <f>DATE(YEAR(SUBSTITUTE(LEFT(Base_report!F660,10),"-","/")),MONTH(SUBSTITUTE(LEFT(Base_report!F660,10),"-","/")),DAY(SUBSTITUTE(LEFT(Base_report!F660,10),"-","/")))</f>
        <v>45298</v>
      </c>
      <c r="H661" s="16">
        <f>DATE(YEAR(SUBSTITUTE(LEFT(Base_report!G660,10),"-","/")),MONTH(SUBSTITUTE(LEFT(Base_report!G660,10),"-","/")),DAY(SUBSTITUTE(LEFT(Base_report!G660,10),"-","/")))</f>
        <v>45298</v>
      </c>
      <c r="I661" s="17" t="str">
        <f t="shared" si="1"/>
        <v>OUI</v>
      </c>
      <c r="J661" s="18">
        <f>IF(L661="DS",DATE(RIGHT(B661,4),VLOOKUP(LEFT(B661,LEN(B661)-5),Feuil1!$E$3:$F$19,2,FALSE)+1,10),DATE(RIGHT(B661,4),VLOOKUP(LEFT(B661,LEN(B661)-5),Feuil1!$E$3:$F$19,2,FALSE)+1,7))</f>
        <v>45298</v>
      </c>
      <c r="K661" s="19">
        <f t="shared" si="2"/>
        <v>1</v>
      </c>
      <c r="L661" s="6" t="str">
        <f t="shared" si="3"/>
        <v>FS</v>
      </c>
    </row>
    <row r="662" ht="14.25" customHeight="1">
      <c r="A662" s="14" t="str">
        <f>Base_report!A661</f>
        <v>GUEMON</v>
      </c>
      <c r="B662" s="14" t="str">
        <f>Base_report!B661</f>
        <v>DECEMBRE 2023</v>
      </c>
      <c r="C662" s="15" t="str">
        <f>Base_report!C661</f>
        <v>C5020</v>
      </c>
      <c r="D662" s="14" t="str">
        <f>TRIM(IF(ISNUMBER(FIND("PNSME",Base_report!D661,1)),SUBSTITUTE(Base_report!D661,"PNSME",""),IF(ISNUMBER(FIND("PHG",Base_report!D661,1)),SUBSTITUTE(Base_report!D661,"PHG",""),IF(ISNUMBER(FIND("PCS",Base_report!D661,1)),SUBSTITUTE(Base_report!D661,"PCS",""),IF(ISNUMBER(FIND("CMU",Base_report!D661,1)),SUBSTITUTE(Base_report!D661,"CMU",""),Base_report!D661)))))</f>
        <v>HOPITAL GENERAL KOUIBLY</v>
      </c>
      <c r="E662" s="14" t="str">
        <f>SUBSTITUTE(Base_report!E661,"-","/")</f>
        <v>PNLS/PRODUITS DE LABORATOIRE</v>
      </c>
      <c r="F662" s="14" t="s">
        <v>788</v>
      </c>
      <c r="G662" s="16">
        <f>DATE(YEAR(SUBSTITUTE(LEFT(Base_report!F661,10),"-","/")),MONTH(SUBSTITUTE(LEFT(Base_report!F661,10),"-","/")),DAY(SUBSTITUTE(LEFT(Base_report!F661,10),"-","/")))</f>
        <v>45296</v>
      </c>
      <c r="H662" s="16">
        <f>DATE(YEAR(SUBSTITUTE(LEFT(Base_report!G661,10),"-","/")),MONTH(SUBSTITUTE(LEFT(Base_report!G661,10),"-","/")),DAY(SUBSTITUTE(LEFT(Base_report!G661,10),"-","/")))</f>
        <v>45297</v>
      </c>
      <c r="I662" s="17" t="str">
        <f t="shared" si="1"/>
        <v>OUI</v>
      </c>
      <c r="J662" s="18">
        <f>IF(L662="DS",DATE(RIGHT(B662,4),VLOOKUP(LEFT(B662,LEN(B662)-5),Feuil1!$E$3:$F$19,2,FALSE)+1,10),DATE(RIGHT(B662,4),VLOOKUP(LEFT(B662,LEN(B662)-5),Feuil1!$E$3:$F$19,2,FALSE)+1,7))</f>
        <v>45298</v>
      </c>
      <c r="K662" s="19">
        <f t="shared" si="2"/>
        <v>1</v>
      </c>
      <c r="L662" s="6" t="str">
        <f t="shared" si="3"/>
        <v>FS</v>
      </c>
    </row>
    <row r="663" ht="14.25" customHeight="1">
      <c r="A663" s="14" t="str">
        <f>Base_report!A662</f>
        <v>AGNEBY-TIASSA</v>
      </c>
      <c r="B663" s="14" t="str">
        <f>Base_report!B662</f>
        <v>DECEMBRE 2023</v>
      </c>
      <c r="C663" s="15" t="str">
        <f>Base_report!C662</f>
        <v>C1098</v>
      </c>
      <c r="D663" s="14" t="str">
        <f>TRIM(IF(ISNUMBER(FIND("PNSME",Base_report!D662,1)),SUBSTITUTE(Base_report!D662,"PNSME",""),IF(ISNUMBER(FIND("PHG",Base_report!D662,1)),SUBSTITUTE(Base_report!D662,"PHG",""),IF(ISNUMBER(FIND("PCS",Base_report!D662,1)),SUBSTITUTE(Base_report!D662,"PCS",""),IF(ISNUMBER(FIND("CMU",Base_report!D662,1)),SUBSTITUTE(Base_report!D662,"CMU",""),Base_report!D662)))))</f>
        <v>HOPITAL GENERAL SIKENSI</v>
      </c>
      <c r="E663" s="14" t="str">
        <f>SUBSTITUTE(Base_report!E662,"-","/")</f>
        <v>PNLP/MEDICAMENTS ET INTRANTS</v>
      </c>
      <c r="F663" s="14" t="s">
        <v>788</v>
      </c>
      <c r="G663" s="16">
        <f>DATE(YEAR(SUBSTITUTE(LEFT(Base_report!F662,10),"-","/")),MONTH(SUBSTITUTE(LEFT(Base_report!F662,10),"-","/")),DAY(SUBSTITUTE(LEFT(Base_report!F662,10),"-","/")))</f>
        <v>45294</v>
      </c>
      <c r="H663" s="16">
        <f>DATE(YEAR(SUBSTITUTE(LEFT(Base_report!G662,10),"-","/")),MONTH(SUBSTITUTE(LEFT(Base_report!G662,10),"-","/")),DAY(SUBSTITUTE(LEFT(Base_report!G662,10),"-","/")))</f>
        <v>45295</v>
      </c>
      <c r="I663" s="17" t="str">
        <f t="shared" si="1"/>
        <v>OUI</v>
      </c>
      <c r="J663" s="18">
        <f>IF(L663="DS",DATE(RIGHT(B663,4),VLOOKUP(LEFT(B663,LEN(B663)-5),Feuil1!$E$3:$F$19,2,FALSE)+1,10),DATE(RIGHT(B663,4),VLOOKUP(LEFT(B663,LEN(B663)-5),Feuil1!$E$3:$F$19,2,FALSE)+1,7))</f>
        <v>45298</v>
      </c>
      <c r="K663" s="19">
        <f t="shared" si="2"/>
        <v>1</v>
      </c>
      <c r="L663" s="6" t="str">
        <f t="shared" si="3"/>
        <v>FS</v>
      </c>
    </row>
    <row r="664" ht="14.25" customHeight="1">
      <c r="A664" s="14" t="str">
        <f>Base_report!A663</f>
        <v>N'ZI</v>
      </c>
      <c r="B664" s="14" t="str">
        <f>Base_report!B663</f>
        <v>DECEMBRE 2023</v>
      </c>
      <c r="C664" s="15" t="str">
        <f>Base_report!C663</f>
        <v>C2004</v>
      </c>
      <c r="D664" s="14" t="str">
        <f>TRIM(IF(ISNUMBER(FIND("PNSME",Base_report!D663,1)),SUBSTITUTE(Base_report!D663,"PNSME",""),IF(ISNUMBER(FIND("PHG",Base_report!D663,1)),SUBSTITUTE(Base_report!D663,"PHG",""),IF(ISNUMBER(FIND("PCS",Base_report!D663,1)),SUBSTITUTE(Base_report!D663,"PCS",""),IF(ISNUMBER(FIND("CMU",Base_report!D663,1)),SUBSTITUTE(Base_report!D663,"CMU",""),Base_report!D663)))))</f>
        <v>CHR DIMBOKRO</v>
      </c>
      <c r="E664" s="14" t="str">
        <f>SUBSTITUTE(Base_report!E663,"-","/")</f>
        <v>PNN/MEDICAMENTS ET INTRANTS</v>
      </c>
      <c r="F664" s="14" t="s">
        <v>788</v>
      </c>
      <c r="G664" s="16">
        <f>DATE(YEAR(SUBSTITUTE(LEFT(Base_report!F663,10),"-","/")),MONTH(SUBSTITUTE(LEFT(Base_report!F663,10),"-","/")),DAY(SUBSTITUTE(LEFT(Base_report!F663,10),"-","/")))</f>
        <v>45295</v>
      </c>
      <c r="H664" s="16">
        <f>DATE(YEAR(SUBSTITUTE(LEFT(Base_report!G663,10),"-","/")),MONTH(SUBSTITUTE(LEFT(Base_report!G663,10),"-","/")),DAY(SUBSTITUTE(LEFT(Base_report!G663,10),"-","/")))</f>
        <v>45295</v>
      </c>
      <c r="I664" s="17" t="str">
        <f t="shared" si="1"/>
        <v>OUI</v>
      </c>
      <c r="J664" s="18">
        <f>IF(L664="DS",DATE(RIGHT(B664,4),VLOOKUP(LEFT(B664,LEN(B664)-5),Feuil1!$E$3:$F$19,2,FALSE)+1,10),DATE(RIGHT(B664,4),VLOOKUP(LEFT(B664,LEN(B664)-5),Feuil1!$E$3:$F$19,2,FALSE)+1,7))</f>
        <v>45298</v>
      </c>
      <c r="K664" s="19">
        <f t="shared" si="2"/>
        <v>1</v>
      </c>
      <c r="L664" s="6" t="str">
        <f t="shared" si="3"/>
        <v>FS</v>
      </c>
    </row>
    <row r="665" ht="14.25" customHeight="1">
      <c r="A665" s="14" t="str">
        <f>Base_report!A664</f>
        <v>ABIDJAN 1</v>
      </c>
      <c r="B665" s="14" t="str">
        <f>Base_report!B664</f>
        <v>DECEMBRE 2023</v>
      </c>
      <c r="C665" s="15" t="str">
        <f>Base_report!C664</f>
        <v>C1067</v>
      </c>
      <c r="D665" s="14" t="str">
        <f>TRIM(IF(ISNUMBER(FIND("PNSME",Base_report!D664,1)),SUBSTITUTE(Base_report!D664,"PNSME",""),IF(ISNUMBER(FIND("PHG",Base_report!D664,1)),SUBSTITUTE(Base_report!D664,"PHG",""),IF(ISNUMBER(FIND("PCS",Base_report!D664,1)),SUBSTITUTE(Base_report!D664,"PCS",""),IF(ISNUMBER(FIND("CMU",Base_report!D664,1)),SUBSTITUTE(Base_report!D664,"CMU",""),Base_report!D664)))))</f>
        <v>FSU COM ADIOPODOUME</v>
      </c>
      <c r="E665" s="14" t="str">
        <f>SUBSTITUTE(Base_report!E664,"-","/")</f>
        <v>PNSME_GRATUITE:MEDICAMENTS ET INTRANTS</v>
      </c>
      <c r="F665" s="14" t="s">
        <v>788</v>
      </c>
      <c r="G665" s="16">
        <f>DATE(YEAR(SUBSTITUTE(LEFT(Base_report!F664,10),"-","/")),MONTH(SUBSTITUTE(LEFT(Base_report!F664,10),"-","/")),DAY(SUBSTITUTE(LEFT(Base_report!F664,10),"-","/")))</f>
        <v>45294</v>
      </c>
      <c r="H665" s="16">
        <f>DATE(YEAR(SUBSTITUTE(LEFT(Base_report!G664,10),"-","/")),MONTH(SUBSTITUTE(LEFT(Base_report!G664,10),"-","/")),DAY(SUBSTITUTE(LEFT(Base_report!G664,10),"-","/")))</f>
        <v>45296</v>
      </c>
      <c r="I665" s="17" t="str">
        <f t="shared" si="1"/>
        <v>OUI</v>
      </c>
      <c r="J665" s="18">
        <f>IF(L665="DS",DATE(RIGHT(B665,4),VLOOKUP(LEFT(B665,LEN(B665)-5),Feuil1!$E$3:$F$19,2,FALSE)+1,10),DATE(RIGHT(B665,4),VLOOKUP(LEFT(B665,LEN(B665)-5),Feuil1!$E$3:$F$19,2,FALSE)+1,7))</f>
        <v>45298</v>
      </c>
      <c r="K665" s="19">
        <f t="shared" si="2"/>
        <v>1</v>
      </c>
      <c r="L665" s="6" t="str">
        <f t="shared" si="3"/>
        <v>FS</v>
      </c>
    </row>
    <row r="666" ht="14.25" customHeight="1">
      <c r="A666" s="14" t="str">
        <f>Base_report!A665</f>
        <v>TONKPI</v>
      </c>
      <c r="B666" s="14" t="str">
        <f>Base_report!B665</f>
        <v>DECEMBRE 2023</v>
      </c>
      <c r="C666" s="15" t="str">
        <f>Base_report!C665</f>
        <v>C5001</v>
      </c>
      <c r="D666" s="14" t="str">
        <f>TRIM(IF(ISNUMBER(FIND("PNSME",Base_report!D665,1)),SUBSTITUTE(Base_report!D665,"PNSME",""),IF(ISNUMBER(FIND("PHG",Base_report!D665,1)),SUBSTITUTE(Base_report!D665,"PHG",""),IF(ISNUMBER(FIND("PCS",Base_report!D665,1)),SUBSTITUTE(Base_report!D665,"PCS",""),IF(ISNUMBER(FIND("CMU",Base_report!D665,1)),SUBSTITUTE(Base_report!D665,"CMU",""),Base_report!D665)))))</f>
        <v>CHR MAN</v>
      </c>
      <c r="E666" s="14" t="str">
        <f>SUBSTITUTE(Base_report!E665,"-","/")</f>
        <v>PNLS/ANTIRETROVIRAUX ET IO</v>
      </c>
      <c r="F666" s="14" t="s">
        <v>788</v>
      </c>
      <c r="G666" s="16">
        <f>DATE(YEAR(SUBSTITUTE(LEFT(Base_report!F665,10),"-","/")),MONTH(SUBSTITUTE(LEFT(Base_report!F665,10),"-","/")),DAY(SUBSTITUTE(LEFT(Base_report!F665,10),"-","/")))</f>
        <v>45295</v>
      </c>
      <c r="H666" s="16">
        <f>DATE(YEAR(SUBSTITUTE(LEFT(Base_report!G665,10),"-","/")),MONTH(SUBSTITUTE(LEFT(Base_report!G665,10),"-","/")),DAY(SUBSTITUTE(LEFT(Base_report!G665,10),"-","/")))</f>
        <v>45295</v>
      </c>
      <c r="I666" s="17" t="str">
        <f t="shared" si="1"/>
        <v>OUI</v>
      </c>
      <c r="J666" s="18">
        <f>IF(L666="DS",DATE(RIGHT(B666,4),VLOOKUP(LEFT(B666,LEN(B666)-5),Feuil1!$E$3:$F$19,2,FALSE)+1,10),DATE(RIGHT(B666,4),VLOOKUP(LEFT(B666,LEN(B666)-5),Feuil1!$E$3:$F$19,2,FALSE)+1,7))</f>
        <v>45298</v>
      </c>
      <c r="K666" s="19">
        <f t="shared" si="2"/>
        <v>1</v>
      </c>
      <c r="L666" s="6" t="str">
        <f t="shared" si="3"/>
        <v>FS</v>
      </c>
    </row>
    <row r="667" ht="14.25" customHeight="1">
      <c r="A667" s="14" t="str">
        <f>Base_report!A666</f>
        <v>ABIDJAN 2</v>
      </c>
      <c r="B667" s="14" t="str">
        <f>Base_report!B666</f>
        <v>DECEMBRE 2023</v>
      </c>
      <c r="C667" s="15" t="str">
        <f>Base_report!C666</f>
        <v>C1069</v>
      </c>
      <c r="D667" s="14" t="str">
        <f>TRIM(IF(ISNUMBER(FIND("PNSME",Base_report!D666,1)),SUBSTITUTE(Base_report!D666,"PNSME",""),IF(ISNUMBER(FIND("PHG",Base_report!D666,1)),SUBSTITUTE(Base_report!D666,"PHG",""),IF(ISNUMBER(FIND("PCS",Base_report!D666,1)),SUBSTITUTE(Base_report!D666,"PCS",""),IF(ISNUMBER(FIND("CMU",Base_report!D666,1)),SUBSTITUTE(Base_report!D666,"CMU",""),Base_report!D666)))))</f>
        <v>FSU COM KOUMASSI GRAND CAMPEMENT</v>
      </c>
      <c r="E667" s="14" t="str">
        <f>SUBSTITUTE(Base_report!E666,"-","/")</f>
        <v>PNLP/MEDICAMENTS ET INTRANTS</v>
      </c>
      <c r="F667" s="14" t="s">
        <v>788</v>
      </c>
      <c r="G667" s="16">
        <f>DATE(YEAR(SUBSTITUTE(LEFT(Base_report!F666,10),"-","/")),MONTH(SUBSTITUTE(LEFT(Base_report!F666,10),"-","/")),DAY(SUBSTITUTE(LEFT(Base_report!F666,10),"-","/")))</f>
        <v>45294</v>
      </c>
      <c r="H667" s="16">
        <f>DATE(YEAR(SUBSTITUTE(LEFT(Base_report!G666,10),"-","/")),MONTH(SUBSTITUTE(LEFT(Base_report!G666,10),"-","/")),DAY(SUBSTITUTE(LEFT(Base_report!G666,10),"-","/")))</f>
        <v>45294</v>
      </c>
      <c r="I667" s="17" t="str">
        <f t="shared" si="1"/>
        <v>OUI</v>
      </c>
      <c r="J667" s="18">
        <f>IF(L667="DS",DATE(RIGHT(B667,4),VLOOKUP(LEFT(B667,LEN(B667)-5),Feuil1!$E$3:$F$19,2,FALSE)+1,10),DATE(RIGHT(B667,4),VLOOKUP(LEFT(B667,LEN(B667)-5),Feuil1!$E$3:$F$19,2,FALSE)+1,7))</f>
        <v>45298</v>
      </c>
      <c r="K667" s="19">
        <f t="shared" si="2"/>
        <v>1</v>
      </c>
      <c r="L667" s="6" t="str">
        <f t="shared" si="3"/>
        <v>FS</v>
      </c>
    </row>
    <row r="668" ht="14.25" customHeight="1">
      <c r="A668" s="14" t="str">
        <f>Base_report!A667</f>
        <v>TONKPI</v>
      </c>
      <c r="B668" s="14" t="str">
        <f>Base_report!B667</f>
        <v>DECEMBRE 2023</v>
      </c>
      <c r="C668" s="15" t="str">
        <f>Base_report!C667</f>
        <v>C5016</v>
      </c>
      <c r="D668" s="14" t="str">
        <f>TRIM(IF(ISNUMBER(FIND("PNSME",Base_report!D667,1)),SUBSTITUTE(Base_report!D667,"PNSME",""),IF(ISNUMBER(FIND("PHG",Base_report!D667,1)),SUBSTITUTE(Base_report!D667,"PHG",""),IF(ISNUMBER(FIND("PCS",Base_report!D667,1)),SUBSTITUTE(Base_report!D667,"PCS",""),IF(ISNUMBER(FIND("CMU",Base_report!D667,1)),SUBSTITUTE(Base_report!D667,"CMU",""),Base_report!D667)))))</f>
        <v>HOPITAL GENERAL BIANKOUMA</v>
      </c>
      <c r="E668" s="14" t="str">
        <f>SUBSTITUTE(Base_report!E667,"-","/")</f>
        <v>PNLS/PRODUITS DE LABORATOIRE</v>
      </c>
      <c r="F668" s="14" t="s">
        <v>788</v>
      </c>
      <c r="G668" s="16">
        <f>DATE(YEAR(SUBSTITUTE(LEFT(Base_report!F667,10),"-","/")),MONTH(SUBSTITUTE(LEFT(Base_report!F667,10),"-","/")),DAY(SUBSTITUTE(LEFT(Base_report!F667,10),"-","/")))</f>
        <v>45298</v>
      </c>
      <c r="H668" s="16">
        <f>DATE(YEAR(SUBSTITUTE(LEFT(Base_report!G667,10),"-","/")),MONTH(SUBSTITUTE(LEFT(Base_report!G667,10),"-","/")),DAY(SUBSTITUTE(LEFT(Base_report!G667,10),"-","/")))</f>
        <v>45298</v>
      </c>
      <c r="I668" s="17" t="str">
        <f t="shared" si="1"/>
        <v>OUI</v>
      </c>
      <c r="J668" s="18">
        <f>IF(L668="DS",DATE(RIGHT(B668,4),VLOOKUP(LEFT(B668,LEN(B668)-5),Feuil1!$E$3:$F$19,2,FALSE)+1,10),DATE(RIGHT(B668,4),VLOOKUP(LEFT(B668,LEN(B668)-5),Feuil1!$E$3:$F$19,2,FALSE)+1,7))</f>
        <v>45298</v>
      </c>
      <c r="K668" s="19">
        <f t="shared" si="2"/>
        <v>1</v>
      </c>
      <c r="L668" s="6" t="str">
        <f t="shared" si="3"/>
        <v>FS</v>
      </c>
    </row>
    <row r="669" ht="14.25" customHeight="1">
      <c r="A669" s="14" t="str">
        <f>Base_report!A668</f>
        <v>WORODOUGOU</v>
      </c>
      <c r="B669" s="14" t="str">
        <f>Base_report!B668</f>
        <v>DECEMBRE 2023</v>
      </c>
      <c r="C669" s="15" t="str">
        <f>Base_report!C668</f>
        <v>C2008</v>
      </c>
      <c r="D669" s="14" t="str">
        <f>TRIM(IF(ISNUMBER(FIND("PNSME",Base_report!D668,1)),SUBSTITUTE(Base_report!D668,"PNSME",""),IF(ISNUMBER(FIND("PHG",Base_report!D668,1)),SUBSTITUTE(Base_report!D668,"PHG",""),IF(ISNUMBER(FIND("PCS",Base_report!D668,1)),SUBSTITUTE(Base_report!D668,"PCS",""),IF(ISNUMBER(FIND("CMU",Base_report!D668,1)),SUBSTITUTE(Base_report!D668,"CMU",""),Base_report!D668)))))</f>
        <v>CHR SEGUELA</v>
      </c>
      <c r="E669" s="14" t="str">
        <f>SUBSTITUTE(Base_report!E668,"-","/")</f>
        <v>PNLS/PRODUITS DE LABORATOIRE</v>
      </c>
      <c r="F669" s="14" t="s">
        <v>788</v>
      </c>
      <c r="G669" s="16">
        <f>DATE(YEAR(SUBSTITUTE(LEFT(Base_report!F668,10),"-","/")),MONTH(SUBSTITUTE(LEFT(Base_report!F668,10),"-","/")),DAY(SUBSTITUTE(LEFT(Base_report!F668,10),"-","/")))</f>
        <v>45296</v>
      </c>
      <c r="H669" s="16">
        <f>DATE(YEAR(SUBSTITUTE(LEFT(Base_report!G668,10),"-","/")),MONTH(SUBSTITUTE(LEFT(Base_report!G668,10),"-","/")),DAY(SUBSTITUTE(LEFT(Base_report!G668,10),"-","/")))</f>
        <v>45296</v>
      </c>
      <c r="I669" s="17" t="str">
        <f t="shared" si="1"/>
        <v>OUI</v>
      </c>
      <c r="J669" s="18">
        <f>IF(L669="DS",DATE(RIGHT(B669,4),VLOOKUP(LEFT(B669,LEN(B669)-5),Feuil1!$E$3:$F$19,2,FALSE)+1,10),DATE(RIGHT(B669,4),VLOOKUP(LEFT(B669,LEN(B669)-5),Feuil1!$E$3:$F$19,2,FALSE)+1,7))</f>
        <v>45298</v>
      </c>
      <c r="K669" s="19">
        <f t="shared" si="2"/>
        <v>1</v>
      </c>
      <c r="L669" s="6" t="str">
        <f t="shared" si="3"/>
        <v>FS</v>
      </c>
    </row>
    <row r="670" ht="14.25" customHeight="1">
      <c r="A670" s="14" t="str">
        <f>Base_report!A669</f>
        <v>GBEKE</v>
      </c>
      <c r="B670" s="14" t="str">
        <f>Base_report!B669</f>
        <v>DECEMBRE 2023</v>
      </c>
      <c r="C670" s="15" t="str">
        <f>Base_report!C669</f>
        <v>C2224</v>
      </c>
      <c r="D670" s="14" t="str">
        <f>TRIM(IF(ISNUMBER(FIND("PNSME",Base_report!D669,1)),SUBSTITUTE(Base_report!D669,"PNSME",""),IF(ISNUMBER(FIND("PHG",Base_report!D669,1)),SUBSTITUTE(Base_report!D669,"PHG",""),IF(ISNUMBER(FIND("PCS",Base_report!D669,1)),SUBSTITUTE(Base_report!D669,"PCS",""),IF(ISNUMBER(FIND("CMU",Base_report!D669,1)),SUBSTITUTE(Base_report!D669,"CMU",""),Base_report!D669)))))</f>
        <v>HOPITAL GENERAL BOTRO</v>
      </c>
      <c r="E670" s="14" t="str">
        <f>SUBSTITUTE(Base_report!E669,"-","/")</f>
        <v>PNLP/MEDICAMENTS ET INTRANTS</v>
      </c>
      <c r="F670" s="14" t="s">
        <v>788</v>
      </c>
      <c r="G670" s="16">
        <f>DATE(YEAR(SUBSTITUTE(LEFT(Base_report!F669,10),"-","/")),MONTH(SUBSTITUTE(LEFT(Base_report!F669,10),"-","/")),DAY(SUBSTITUTE(LEFT(Base_report!F669,10),"-","/")))</f>
        <v>45300</v>
      </c>
      <c r="H670" s="16">
        <f>DATE(YEAR(SUBSTITUTE(LEFT(Base_report!G669,10),"-","/")),MONTH(SUBSTITUTE(LEFT(Base_report!G669,10),"-","/")),DAY(SUBSTITUTE(LEFT(Base_report!G669,10),"-","/")))</f>
        <v>45300</v>
      </c>
      <c r="I670" s="17" t="str">
        <f t="shared" si="1"/>
        <v>OUI</v>
      </c>
      <c r="J670" s="18">
        <f>IF(L670="DS",DATE(RIGHT(B670,4),VLOOKUP(LEFT(B670,LEN(B670)-5),Feuil1!$E$3:$F$19,2,FALSE)+1,10),DATE(RIGHT(B670,4),VLOOKUP(LEFT(B670,LEN(B670)-5),Feuil1!$E$3:$F$19,2,FALSE)+1,7))</f>
        <v>45298</v>
      </c>
      <c r="K670" s="19">
        <f t="shared" si="2"/>
        <v>0</v>
      </c>
      <c r="L670" s="6" t="str">
        <f t="shared" si="3"/>
        <v>FS</v>
      </c>
    </row>
    <row r="671" ht="14.25" customHeight="1">
      <c r="A671" s="14" t="str">
        <f>Base_report!A670</f>
        <v>TONKPI</v>
      </c>
      <c r="B671" s="14" t="str">
        <f>Base_report!B670</f>
        <v>DECEMBRE 2023</v>
      </c>
      <c r="C671" s="15" t="str">
        <f>Base_report!C670</f>
        <v>C5016</v>
      </c>
      <c r="D671" s="14" t="str">
        <f>TRIM(IF(ISNUMBER(FIND("PNSME",Base_report!D670,1)),SUBSTITUTE(Base_report!D670,"PNSME",""),IF(ISNUMBER(FIND("PHG",Base_report!D670,1)),SUBSTITUTE(Base_report!D670,"PHG",""),IF(ISNUMBER(FIND("PCS",Base_report!D670,1)),SUBSTITUTE(Base_report!D670,"PCS",""),IF(ISNUMBER(FIND("CMU",Base_report!D670,1)),SUBSTITUTE(Base_report!D670,"CMU",""),Base_report!D670)))))</f>
        <v>HOPITAL GENERAL BIANKOUMA</v>
      </c>
      <c r="E671" s="14" t="str">
        <f>SUBSTITUTE(Base_report!E670,"-","/")</f>
        <v>PNLS/ANTIRETROVIRAUX ET IO</v>
      </c>
      <c r="F671" s="14" t="s">
        <v>788</v>
      </c>
      <c r="G671" s="16">
        <f>DATE(YEAR(SUBSTITUTE(LEFT(Base_report!F670,10),"-","/")),MONTH(SUBSTITUTE(LEFT(Base_report!F670,10),"-","/")),DAY(SUBSTITUTE(LEFT(Base_report!F670,10),"-","/")))</f>
        <v>45298</v>
      </c>
      <c r="H671" s="16">
        <f>DATE(YEAR(SUBSTITUTE(LEFT(Base_report!G670,10),"-","/")),MONTH(SUBSTITUTE(LEFT(Base_report!G670,10),"-","/")),DAY(SUBSTITUTE(LEFT(Base_report!G670,10),"-","/")))</f>
        <v>45298</v>
      </c>
      <c r="I671" s="17" t="str">
        <f t="shared" si="1"/>
        <v>OUI</v>
      </c>
      <c r="J671" s="18">
        <f>IF(L671="DS",DATE(RIGHT(B671,4),VLOOKUP(LEFT(B671,LEN(B671)-5),Feuil1!$E$3:$F$19,2,FALSE)+1,10),DATE(RIGHT(B671,4),VLOOKUP(LEFT(B671,LEN(B671)-5),Feuil1!$E$3:$F$19,2,FALSE)+1,7))</f>
        <v>45298</v>
      </c>
      <c r="K671" s="19">
        <f t="shared" si="2"/>
        <v>1</v>
      </c>
      <c r="L671" s="6" t="str">
        <f t="shared" si="3"/>
        <v>FS</v>
      </c>
    </row>
    <row r="672" ht="14.25" customHeight="1">
      <c r="A672" s="14" t="str">
        <f>Base_report!A671</f>
        <v>BERE</v>
      </c>
      <c r="B672" s="14" t="str">
        <f>Base_report!B671</f>
        <v>DECEMBRE 2023</v>
      </c>
      <c r="C672" s="15" t="str">
        <f>Base_report!C671</f>
        <v>C3017</v>
      </c>
      <c r="D672" s="14" t="str">
        <f>TRIM(IF(ISNUMBER(FIND("PNSME",Base_report!D671,1)),SUBSTITUTE(Base_report!D671,"PNSME",""),IF(ISNUMBER(FIND("PHG",Base_report!D671,1)),SUBSTITUTE(Base_report!D671,"PHG",""),IF(ISNUMBER(FIND("PCS",Base_report!D671,1)),SUBSTITUTE(Base_report!D671,"PCS",""),IF(ISNUMBER(FIND("CMU",Base_report!D671,1)),SUBSTITUTE(Base_report!D671,"CMU",""),Base_report!D671)))))</f>
        <v>HOPITAL GENERAL MANKONO</v>
      </c>
      <c r="E672" s="14" t="str">
        <f>SUBSTITUTE(Base_report!E671,"-","/")</f>
        <v>PNSME/MEDICAMENTS ET INTRANTS</v>
      </c>
      <c r="F672" s="14" t="s">
        <v>788</v>
      </c>
      <c r="G672" s="16">
        <f>DATE(YEAR(SUBSTITUTE(LEFT(Base_report!F671,10),"-","/")),MONTH(SUBSTITUTE(LEFT(Base_report!F671,10),"-","/")),DAY(SUBSTITUTE(LEFT(Base_report!F671,10),"-","/")))</f>
        <v>45298</v>
      </c>
      <c r="H672" s="16">
        <f>DATE(YEAR(SUBSTITUTE(LEFT(Base_report!G671,10),"-","/")),MONTH(SUBSTITUTE(LEFT(Base_report!G671,10),"-","/")),DAY(SUBSTITUTE(LEFT(Base_report!G671,10),"-","/")))</f>
        <v>45298</v>
      </c>
      <c r="I672" s="17" t="str">
        <f t="shared" si="1"/>
        <v>OUI</v>
      </c>
      <c r="J672" s="18">
        <f>IF(L672="DS",DATE(RIGHT(B672,4),VLOOKUP(LEFT(B672,LEN(B672)-5),Feuil1!$E$3:$F$19,2,FALSE)+1,10),DATE(RIGHT(B672,4),VLOOKUP(LEFT(B672,LEN(B672)-5),Feuil1!$E$3:$F$19,2,FALSE)+1,7))</f>
        <v>45298</v>
      </c>
      <c r="K672" s="19">
        <f t="shared" si="2"/>
        <v>1</v>
      </c>
      <c r="L672" s="6" t="str">
        <f t="shared" si="3"/>
        <v>FS</v>
      </c>
    </row>
    <row r="673" ht="14.25" customHeight="1">
      <c r="A673" s="14" t="str">
        <f>Base_report!A672</f>
        <v>ABIDJAN 2</v>
      </c>
      <c r="B673" s="14" t="str">
        <f>Base_report!B672</f>
        <v>DECEMBRE 2023</v>
      </c>
      <c r="C673" s="15" t="str">
        <f>Base_report!C672</f>
        <v>C1027</v>
      </c>
      <c r="D673" s="14" t="str">
        <f>TRIM(IF(ISNUMBER(FIND("PNSME",Base_report!D672,1)),SUBSTITUTE(Base_report!D672,"PNSME",""),IF(ISNUMBER(FIND("PHG",Base_report!D672,1)),SUBSTITUTE(Base_report!D672,"PHG",""),IF(ISNUMBER(FIND("PCS",Base_report!D672,1)),SUBSTITUTE(Base_report!D672,"PCS",""),IF(ISNUMBER(FIND("CMU",Base_report!D672,1)),SUBSTITUTE(Base_report!D672,"CMU",""),Base_report!D672)))))</f>
        <v>CSU COM KOUMASSI-DIVO</v>
      </c>
      <c r="E673" s="14" t="str">
        <f>SUBSTITUTE(Base_report!E672,"-","/")</f>
        <v>PNSME/MEDICAMENTS ET INTRANTS</v>
      </c>
      <c r="F673" s="14" t="s">
        <v>788</v>
      </c>
      <c r="G673" s="16">
        <f>DATE(YEAR(SUBSTITUTE(LEFT(Base_report!F672,10),"-","/")),MONTH(SUBSTITUTE(LEFT(Base_report!F672,10),"-","/")),DAY(SUBSTITUTE(LEFT(Base_report!F672,10),"-","/")))</f>
        <v>45294</v>
      </c>
      <c r="H673" s="16">
        <f>DATE(YEAR(SUBSTITUTE(LEFT(Base_report!G672,10),"-","/")),MONTH(SUBSTITUTE(LEFT(Base_report!G672,10),"-","/")),DAY(SUBSTITUTE(LEFT(Base_report!G672,10),"-","/")))</f>
        <v>45294</v>
      </c>
      <c r="I673" s="17" t="str">
        <f t="shared" si="1"/>
        <v>OUI</v>
      </c>
      <c r="J673" s="18">
        <f>IF(L673="DS",DATE(RIGHT(B673,4),VLOOKUP(LEFT(B673,LEN(B673)-5),Feuil1!$E$3:$F$19,2,FALSE)+1,10),DATE(RIGHT(B673,4),VLOOKUP(LEFT(B673,LEN(B673)-5),Feuil1!$E$3:$F$19,2,FALSE)+1,7))</f>
        <v>45298</v>
      </c>
      <c r="K673" s="19">
        <f t="shared" si="2"/>
        <v>1</v>
      </c>
      <c r="L673" s="6" t="str">
        <f t="shared" si="3"/>
        <v>FS</v>
      </c>
    </row>
    <row r="674" ht="14.25" customHeight="1">
      <c r="A674" s="14" t="str">
        <f>Base_report!A673</f>
        <v>ABIDJAN 1</v>
      </c>
      <c r="B674" s="14" t="str">
        <f>Base_report!B673</f>
        <v>DECEMBRE 2023</v>
      </c>
      <c r="C674" s="15" t="str">
        <f>Base_report!C673</f>
        <v>C1409</v>
      </c>
      <c r="D674" s="14" t="str">
        <f>TRIM(IF(ISNUMBER(FIND("PNSME",Base_report!D673,1)),SUBSTITUTE(Base_report!D673,"PNSME",""),IF(ISNUMBER(FIND("PHG",Base_report!D673,1)),SUBSTITUTE(Base_report!D673,"PHG",""),IF(ISNUMBER(FIND("PCS",Base_report!D673,1)),SUBSTITUTE(Base_report!D673,"PCS",""),IF(ISNUMBER(FIND("CMU",Base_report!D673,1)),SUBSTITUTE(Base_report!D673,"CMU",""),Base_report!D673)))))</f>
        <v>CS NAZAREEN</v>
      </c>
      <c r="E674" s="14" t="str">
        <f>SUBSTITUTE(Base_report!E673,"-","/")</f>
        <v>PNLS/ANTIRETROVIRAUX ET IO</v>
      </c>
      <c r="F674" s="14" t="s">
        <v>788</v>
      </c>
      <c r="G674" s="16">
        <f>DATE(YEAR(SUBSTITUTE(LEFT(Base_report!F673,10),"-","/")),MONTH(SUBSTITUTE(LEFT(Base_report!F673,10),"-","/")),DAY(SUBSTITUTE(LEFT(Base_report!F673,10),"-","/")))</f>
        <v>45294</v>
      </c>
      <c r="H674" s="16">
        <f>DATE(YEAR(SUBSTITUTE(LEFT(Base_report!G673,10),"-","/")),MONTH(SUBSTITUTE(LEFT(Base_report!G673,10),"-","/")),DAY(SUBSTITUTE(LEFT(Base_report!G673,10),"-","/")))</f>
        <v>45296</v>
      </c>
      <c r="I674" s="17" t="str">
        <f t="shared" si="1"/>
        <v>OUI</v>
      </c>
      <c r="J674" s="18">
        <f>IF(L674="DS",DATE(RIGHT(B674,4),VLOOKUP(LEFT(B674,LEN(B674)-5),Feuil1!$E$3:$F$19,2,FALSE)+1,10),DATE(RIGHT(B674,4),VLOOKUP(LEFT(B674,LEN(B674)-5),Feuil1!$E$3:$F$19,2,FALSE)+1,7))</f>
        <v>45298</v>
      </c>
      <c r="K674" s="19">
        <f t="shared" si="2"/>
        <v>1</v>
      </c>
      <c r="L674" s="6" t="str">
        <f t="shared" si="3"/>
        <v>FS</v>
      </c>
    </row>
    <row r="675" ht="14.25" customHeight="1">
      <c r="A675" s="14" t="str">
        <f>Base_report!A674</f>
        <v>ME</v>
      </c>
      <c r="B675" s="14" t="str">
        <f>Base_report!B674</f>
        <v>DECEMBRE 2023</v>
      </c>
      <c r="C675" s="15" t="str">
        <f>Base_report!C674</f>
        <v>C4036</v>
      </c>
      <c r="D675" s="14" t="str">
        <f>TRIM(IF(ISNUMBER(FIND("PNSME",Base_report!D674,1)),SUBSTITUTE(Base_report!D674,"PNSME",""),IF(ISNUMBER(FIND("PHG",Base_report!D674,1)),SUBSTITUTE(Base_report!D674,"PHG",""),IF(ISNUMBER(FIND("PCS",Base_report!D674,1)),SUBSTITUTE(Base_report!D674,"PCS",""),IF(ISNUMBER(FIND("CMU",Base_report!D674,1)),SUBSTITUTE(Base_report!D674,"CMU",""),Base_report!D674)))))</f>
        <v>DISTRICT SANITAIRE ADZOPE</v>
      </c>
      <c r="E675" s="14" t="str">
        <f>SUBSTITUTE(Base_report!E674,"-","/")</f>
        <v>PNLP/MEDICAMENTS ET INTRANTS</v>
      </c>
      <c r="F675" s="14" t="s">
        <v>788</v>
      </c>
      <c r="G675" s="16">
        <f>DATE(YEAR(SUBSTITUTE(LEFT(Base_report!F674,10),"-","/")),MONTH(SUBSTITUTE(LEFT(Base_report!F674,10),"-","/")),DAY(SUBSTITUTE(LEFT(Base_report!F674,10),"-","/")))</f>
        <v>45301</v>
      </c>
      <c r="H675" s="16">
        <f>DATE(YEAR(SUBSTITUTE(LEFT(Base_report!G674,10),"-","/")),MONTH(SUBSTITUTE(LEFT(Base_report!G674,10),"-","/")),DAY(SUBSTITUTE(LEFT(Base_report!G674,10),"-","/")))</f>
        <v>45301</v>
      </c>
      <c r="I675" s="17" t="str">
        <f t="shared" si="1"/>
        <v>OUI</v>
      </c>
      <c r="J675" s="18">
        <f>IF(L675="DS",DATE(RIGHT(B675,4),VLOOKUP(LEFT(B675,LEN(B675)-5),Feuil1!$E$3:$F$19,2,FALSE)+1,10),DATE(RIGHT(B675,4),VLOOKUP(LEFT(B675,LEN(B675)-5),Feuil1!$E$3:$F$19,2,FALSE)+1,7))</f>
        <v>45301</v>
      </c>
      <c r="K675" s="19">
        <f t="shared" si="2"/>
        <v>1</v>
      </c>
      <c r="L675" s="6" t="str">
        <f t="shared" si="3"/>
        <v>DS</v>
      </c>
    </row>
    <row r="676" ht="14.25" customHeight="1">
      <c r="A676" s="14" t="str">
        <f>Base_report!A675</f>
        <v>ABIDJAN 2</v>
      </c>
      <c r="B676" s="14" t="str">
        <f>Base_report!B675</f>
        <v>DECEMBRE 2023</v>
      </c>
      <c r="C676" s="15" t="str">
        <f>Base_report!C675</f>
        <v>C1030</v>
      </c>
      <c r="D676" s="14" t="str">
        <f>TRIM(IF(ISNUMBER(FIND("PNSME",Base_report!D675,1)),SUBSTITUTE(Base_report!D675,"PNSME",""),IF(ISNUMBER(FIND("PHG",Base_report!D675,1)),SUBSTITUTE(Base_report!D675,"PHG",""),IF(ISNUMBER(FIND("PCS",Base_report!D675,1)),SUBSTITUTE(Base_report!D675,"PCS",""),IF(ISNUMBER(FIND("CMU",Base_report!D675,1)),SUBSTITUTE(Base_report!D675,"CMU",""),Base_report!D675)))))</f>
        <v>CSU COM PANGOLIN</v>
      </c>
      <c r="E676" s="14" t="str">
        <f>SUBSTITUTE(Base_report!E675,"-","/")</f>
        <v>PNSME/MEDICAMENTS ET INTRANTS</v>
      </c>
      <c r="F676" s="14" t="s">
        <v>788</v>
      </c>
      <c r="G676" s="16">
        <f>DATE(YEAR(SUBSTITUTE(LEFT(Base_report!F675,10),"-","/")),MONTH(SUBSTITUTE(LEFT(Base_report!F675,10),"-","/")),DAY(SUBSTITUTE(LEFT(Base_report!F675,10),"-","/")))</f>
        <v>45294</v>
      </c>
      <c r="H676" s="16">
        <f>DATE(YEAR(SUBSTITUTE(LEFT(Base_report!G675,10),"-","/")),MONTH(SUBSTITUTE(LEFT(Base_report!G675,10),"-","/")),DAY(SUBSTITUTE(LEFT(Base_report!G675,10),"-","/")))</f>
        <v>45298</v>
      </c>
      <c r="I676" s="17" t="str">
        <f t="shared" si="1"/>
        <v>OUI</v>
      </c>
      <c r="J676" s="18">
        <f>IF(L676="DS",DATE(RIGHT(B676,4),VLOOKUP(LEFT(B676,LEN(B676)-5),Feuil1!$E$3:$F$19,2,FALSE)+1,10),DATE(RIGHT(B676,4),VLOOKUP(LEFT(B676,LEN(B676)-5),Feuil1!$E$3:$F$19,2,FALSE)+1,7))</f>
        <v>45298</v>
      </c>
      <c r="K676" s="19">
        <f t="shared" si="2"/>
        <v>1</v>
      </c>
      <c r="L676" s="6" t="str">
        <f t="shared" si="3"/>
        <v>FS</v>
      </c>
    </row>
    <row r="677" ht="14.25" customHeight="1">
      <c r="A677" s="14" t="str">
        <f>Base_report!A676</f>
        <v>GOH</v>
      </c>
      <c r="B677" s="14" t="str">
        <f>Base_report!B676</f>
        <v>DECEMBRE 2023</v>
      </c>
      <c r="C677" s="15" t="str">
        <f>Base_report!C676</f>
        <v>C2216</v>
      </c>
      <c r="D677" s="14" t="str">
        <f>TRIM(IF(ISNUMBER(FIND("PNSME",Base_report!D676,1)),SUBSTITUTE(Base_report!D676,"PNSME",""),IF(ISNUMBER(FIND("PHG",Base_report!D676,1)),SUBSTITUTE(Base_report!D676,"PHG",""),IF(ISNUMBER(FIND("PCS",Base_report!D676,1)),SUBSTITUTE(Base_report!D676,"PCS",""),IF(ISNUMBER(FIND("CMU",Base_report!D676,1)),SUBSTITUTE(Base_report!D676,"CMU",""),Base_report!D676)))))</f>
        <v>CSU HERMANKONO-GARO</v>
      </c>
      <c r="E677" s="14" t="str">
        <f>SUBSTITUTE(Base_report!E676,"-","/")</f>
        <v>PNSME/MEDICAMENTS ET INTRANTS</v>
      </c>
      <c r="F677" s="14" t="s">
        <v>788</v>
      </c>
      <c r="G677" s="16">
        <f>DATE(YEAR(SUBSTITUTE(LEFT(Base_report!F676,10),"-","/")),MONTH(SUBSTITUTE(LEFT(Base_report!F676,10),"-","/")),DAY(SUBSTITUTE(LEFT(Base_report!F676,10),"-","/")))</f>
        <v>45294</v>
      </c>
      <c r="H677" s="16">
        <f>DATE(YEAR(SUBSTITUTE(LEFT(Base_report!G676,10),"-","/")),MONTH(SUBSTITUTE(LEFT(Base_report!G676,10),"-","/")),DAY(SUBSTITUTE(LEFT(Base_report!G676,10),"-","/")))</f>
        <v>45294</v>
      </c>
      <c r="I677" s="17" t="str">
        <f t="shared" si="1"/>
        <v>OUI</v>
      </c>
      <c r="J677" s="18">
        <f>IF(L677="DS",DATE(RIGHT(B677,4),VLOOKUP(LEFT(B677,LEN(B677)-5),Feuil1!$E$3:$F$19,2,FALSE)+1,10),DATE(RIGHT(B677,4),VLOOKUP(LEFT(B677,LEN(B677)-5),Feuil1!$E$3:$F$19,2,FALSE)+1,7))</f>
        <v>45298</v>
      </c>
      <c r="K677" s="19">
        <f t="shared" si="2"/>
        <v>1</v>
      </c>
      <c r="L677" s="6" t="str">
        <f t="shared" si="3"/>
        <v>FS</v>
      </c>
    </row>
    <row r="678" ht="14.25" customHeight="1">
      <c r="A678" s="14" t="str">
        <f>Base_report!A677</f>
        <v>WORODOUGOU</v>
      </c>
      <c r="B678" s="14" t="str">
        <f>Base_report!B677</f>
        <v>DECEMBRE 2023</v>
      </c>
      <c r="C678" s="15" t="str">
        <f>Base_report!C677</f>
        <v>C2008</v>
      </c>
      <c r="D678" s="14" t="str">
        <f>TRIM(IF(ISNUMBER(FIND("PNSME",Base_report!D677,1)),SUBSTITUTE(Base_report!D677,"PNSME",""),IF(ISNUMBER(FIND("PHG",Base_report!D677,1)),SUBSTITUTE(Base_report!D677,"PHG",""),IF(ISNUMBER(FIND("PCS",Base_report!D677,1)),SUBSTITUTE(Base_report!D677,"PCS",""),IF(ISNUMBER(FIND("CMU",Base_report!D677,1)),SUBSTITUTE(Base_report!D677,"CMU",""),Base_report!D677)))))</f>
        <v>CHR SEGUELA</v>
      </c>
      <c r="E678" s="14" t="str">
        <f>SUBSTITUTE(Base_report!E677,"-","/")</f>
        <v>PNLP/MEDICAMENTS ET INTRANTS</v>
      </c>
      <c r="F678" s="14" t="s">
        <v>788</v>
      </c>
      <c r="G678" s="16">
        <f>DATE(YEAR(SUBSTITUTE(LEFT(Base_report!F677,10),"-","/")),MONTH(SUBSTITUTE(LEFT(Base_report!F677,10),"-","/")),DAY(SUBSTITUTE(LEFT(Base_report!F677,10),"-","/")))</f>
        <v>45296</v>
      </c>
      <c r="H678" s="16">
        <f>DATE(YEAR(SUBSTITUTE(LEFT(Base_report!G677,10),"-","/")),MONTH(SUBSTITUTE(LEFT(Base_report!G677,10),"-","/")),DAY(SUBSTITUTE(LEFT(Base_report!G677,10),"-","/")))</f>
        <v>45296</v>
      </c>
      <c r="I678" s="17" t="str">
        <f t="shared" si="1"/>
        <v>OUI</v>
      </c>
      <c r="J678" s="18">
        <f>IF(L678="DS",DATE(RIGHT(B678,4),VLOOKUP(LEFT(B678,LEN(B678)-5),Feuil1!$E$3:$F$19,2,FALSE)+1,10),DATE(RIGHT(B678,4),VLOOKUP(LEFT(B678,LEN(B678)-5),Feuil1!$E$3:$F$19,2,FALSE)+1,7))</f>
        <v>45298</v>
      </c>
      <c r="K678" s="19">
        <f t="shared" si="2"/>
        <v>1</v>
      </c>
      <c r="L678" s="6" t="str">
        <f t="shared" si="3"/>
        <v>FS</v>
      </c>
    </row>
    <row r="679" ht="14.25" customHeight="1">
      <c r="A679" s="14" t="str">
        <f>Base_report!A678</f>
        <v>ABIDJAN 2</v>
      </c>
      <c r="B679" s="14" t="str">
        <f>Base_report!B678</f>
        <v>DECEMBRE 2023</v>
      </c>
      <c r="C679" s="15" t="str">
        <f>Base_report!C678</f>
        <v>C1030</v>
      </c>
      <c r="D679" s="14" t="str">
        <f>TRIM(IF(ISNUMBER(FIND("PNSME",Base_report!D678,1)),SUBSTITUTE(Base_report!D678,"PNSME",""),IF(ISNUMBER(FIND("PHG",Base_report!D678,1)),SUBSTITUTE(Base_report!D678,"PHG",""),IF(ISNUMBER(FIND("PCS",Base_report!D678,1)),SUBSTITUTE(Base_report!D678,"PCS",""),IF(ISNUMBER(FIND("CMU",Base_report!D678,1)),SUBSTITUTE(Base_report!D678,"CMU",""),Base_report!D678)))))</f>
        <v>CSU COM PANGOLIN</v>
      </c>
      <c r="E679" s="14" t="str">
        <f>SUBSTITUTE(Base_report!E678,"-","/")</f>
        <v>PNLS/PRODUITS DE LABORATOIRE</v>
      </c>
      <c r="F679" s="14" t="s">
        <v>788</v>
      </c>
      <c r="G679" s="16">
        <f>DATE(YEAR(SUBSTITUTE(LEFT(Base_report!F678,10),"-","/")),MONTH(SUBSTITUTE(LEFT(Base_report!F678,10),"-","/")),DAY(SUBSTITUTE(LEFT(Base_report!F678,10),"-","/")))</f>
        <v>45294</v>
      </c>
      <c r="H679" s="16">
        <f>DATE(YEAR(SUBSTITUTE(LEFT(Base_report!G678,10),"-","/")),MONTH(SUBSTITUTE(LEFT(Base_report!G678,10),"-","/")),DAY(SUBSTITUTE(LEFT(Base_report!G678,10),"-","/")))</f>
        <v>45298</v>
      </c>
      <c r="I679" s="17" t="str">
        <f t="shared" si="1"/>
        <v>OUI</v>
      </c>
      <c r="J679" s="18">
        <f>IF(L679="DS",DATE(RIGHT(B679,4),VLOOKUP(LEFT(B679,LEN(B679)-5),Feuil1!$E$3:$F$19,2,FALSE)+1,10),DATE(RIGHT(B679,4),VLOOKUP(LEFT(B679,LEN(B679)-5),Feuil1!$E$3:$F$19,2,FALSE)+1,7))</f>
        <v>45298</v>
      </c>
      <c r="K679" s="19">
        <f t="shared" si="2"/>
        <v>1</v>
      </c>
      <c r="L679" s="6" t="str">
        <f t="shared" si="3"/>
        <v>FS</v>
      </c>
    </row>
    <row r="680" ht="14.25" customHeight="1">
      <c r="A680" s="14" t="str">
        <f>Base_report!A679</f>
        <v>MORONOU</v>
      </c>
      <c r="B680" s="14" t="str">
        <f>Base_report!B679</f>
        <v>DECEMBRE 2023</v>
      </c>
      <c r="C680" s="15" t="str">
        <f>Base_report!C679</f>
        <v>C4054</v>
      </c>
      <c r="D680" s="14" t="str">
        <f>TRIM(IF(ISNUMBER(FIND("PNSME",Base_report!D679,1)),SUBSTITUTE(Base_report!D679,"PNSME",""),IF(ISNUMBER(FIND("PHG",Base_report!D679,1)),SUBSTITUTE(Base_report!D679,"PHG",""),IF(ISNUMBER(FIND("PCS",Base_report!D679,1)),SUBSTITUTE(Base_report!D679,"PCS",""),IF(ISNUMBER(FIND("CMU",Base_report!D679,1)),SUBSTITUTE(Base_report!D679,"CMU",""),Base_report!D679)))))</f>
        <v>HOPITAL GENERAL M'BATTO</v>
      </c>
      <c r="E680" s="14" t="str">
        <f>SUBSTITUTE(Base_report!E679,"-","/")</f>
        <v>PNSME/MEDICAMENTS ET INTRANTS</v>
      </c>
      <c r="F680" s="14" t="s">
        <v>788</v>
      </c>
      <c r="G680" s="16">
        <f>DATE(YEAR(SUBSTITUTE(LEFT(Base_report!F679,10),"-","/")),MONTH(SUBSTITUTE(LEFT(Base_report!F679,10),"-","/")),DAY(SUBSTITUTE(LEFT(Base_report!F679,10),"-","/")))</f>
        <v>45294</v>
      </c>
      <c r="H680" s="16">
        <f>DATE(YEAR(SUBSTITUTE(LEFT(Base_report!G679,10),"-","/")),MONTH(SUBSTITUTE(LEFT(Base_report!G679,10),"-","/")),DAY(SUBSTITUTE(LEFT(Base_report!G679,10),"-","/")))</f>
        <v>45295</v>
      </c>
      <c r="I680" s="17" t="str">
        <f t="shared" si="1"/>
        <v>OUI</v>
      </c>
      <c r="J680" s="18">
        <f>IF(L680="DS",DATE(RIGHT(B680,4),VLOOKUP(LEFT(B680,LEN(B680)-5),Feuil1!$E$3:$F$19,2,FALSE)+1,10),DATE(RIGHT(B680,4),VLOOKUP(LEFT(B680,LEN(B680)-5),Feuil1!$E$3:$F$19,2,FALSE)+1,7))</f>
        <v>45298</v>
      </c>
      <c r="K680" s="19">
        <f t="shared" si="2"/>
        <v>1</v>
      </c>
      <c r="L680" s="6" t="str">
        <f t="shared" si="3"/>
        <v>FS</v>
      </c>
    </row>
    <row r="681" ht="14.25" customHeight="1">
      <c r="A681" s="14" t="str">
        <f>Base_report!A680</f>
        <v>ABIDJAN 2</v>
      </c>
      <c r="B681" s="14" t="str">
        <f>Base_report!B680</f>
        <v>DECEMBRE 2023</v>
      </c>
      <c r="C681" s="15" t="str">
        <f>Base_report!C680</f>
        <v>C1030</v>
      </c>
      <c r="D681" s="14" t="str">
        <f>TRIM(IF(ISNUMBER(FIND("PNSME",Base_report!D680,1)),SUBSTITUTE(Base_report!D680,"PNSME",""),IF(ISNUMBER(FIND("PHG",Base_report!D680,1)),SUBSTITUTE(Base_report!D680,"PHG",""),IF(ISNUMBER(FIND("PCS",Base_report!D680,1)),SUBSTITUTE(Base_report!D680,"PCS",""),IF(ISNUMBER(FIND("CMU",Base_report!D680,1)),SUBSTITUTE(Base_report!D680,"CMU",""),Base_report!D680)))))</f>
        <v>CSU COM PANGOLIN</v>
      </c>
      <c r="E681" s="14" t="str">
        <f>SUBSTITUTE(Base_report!E680,"-","/")</f>
        <v>PNLS/TESTS RAPIDES ET CONSOMMABLES</v>
      </c>
      <c r="F681" s="14" t="s">
        <v>788</v>
      </c>
      <c r="G681" s="16">
        <f>DATE(YEAR(SUBSTITUTE(LEFT(Base_report!F680,10),"-","/")),MONTH(SUBSTITUTE(LEFT(Base_report!F680,10),"-","/")),DAY(SUBSTITUTE(LEFT(Base_report!F680,10),"-","/")))</f>
        <v>45294</v>
      </c>
      <c r="H681" s="16">
        <f>DATE(YEAR(SUBSTITUTE(LEFT(Base_report!G680,10),"-","/")),MONTH(SUBSTITUTE(LEFT(Base_report!G680,10),"-","/")),DAY(SUBSTITUTE(LEFT(Base_report!G680,10),"-","/")))</f>
        <v>45298</v>
      </c>
      <c r="I681" s="17" t="str">
        <f t="shared" si="1"/>
        <v>OUI</v>
      </c>
      <c r="J681" s="18">
        <f>IF(L681="DS",DATE(RIGHT(B681,4),VLOOKUP(LEFT(B681,LEN(B681)-5),Feuil1!$E$3:$F$19,2,FALSE)+1,10),DATE(RIGHT(B681,4),VLOOKUP(LEFT(B681,LEN(B681)-5),Feuil1!$E$3:$F$19,2,FALSE)+1,7))</f>
        <v>45298</v>
      </c>
      <c r="K681" s="19">
        <f t="shared" si="2"/>
        <v>1</v>
      </c>
      <c r="L681" s="6" t="str">
        <f t="shared" si="3"/>
        <v>FS</v>
      </c>
    </row>
    <row r="682" ht="14.25" customHeight="1">
      <c r="A682" s="14" t="str">
        <f>Base_report!A681</f>
        <v>SUD-COMOE</v>
      </c>
      <c r="B682" s="14" t="str">
        <f>Base_report!B681</f>
        <v>DECEMBRE 2023</v>
      </c>
      <c r="C682" s="15" t="str">
        <f>Base_report!C681</f>
        <v>C1090</v>
      </c>
      <c r="D682" s="14" t="str">
        <f>TRIM(IF(ISNUMBER(FIND("PNSME",Base_report!D681,1)),SUBSTITUTE(Base_report!D681,"PNSME",""),IF(ISNUMBER(FIND("PHG",Base_report!D681,1)),SUBSTITUTE(Base_report!D681,"PHG",""),IF(ISNUMBER(FIND("PCS",Base_report!D681,1)),SUBSTITUTE(Base_report!D681,"PCS",""),IF(ISNUMBER(FIND("CMU",Base_report!D681,1)),SUBSTITUTE(Base_report!D681,"CMU",""),Base_report!D681)))))</f>
        <v>HOPITAL GENERAL GRAND-BASSAM</v>
      </c>
      <c r="E682" s="14" t="str">
        <f>SUBSTITUTE(Base_report!E681,"-","/")</f>
        <v>PNLP/MEDICAMENTS ET INTRANTS</v>
      </c>
      <c r="F682" s="14" t="s">
        <v>788</v>
      </c>
      <c r="G682" s="16">
        <f>DATE(YEAR(SUBSTITUTE(LEFT(Base_report!F681,10),"-","/")),MONTH(SUBSTITUTE(LEFT(Base_report!F681,10),"-","/")),DAY(SUBSTITUTE(LEFT(Base_report!F681,10),"-","/")))</f>
        <v>45295</v>
      </c>
      <c r="H682" s="16">
        <f>DATE(YEAR(SUBSTITUTE(LEFT(Base_report!G681,10),"-","/")),MONTH(SUBSTITUTE(LEFT(Base_report!G681,10),"-","/")),DAY(SUBSTITUTE(LEFT(Base_report!G681,10),"-","/")))</f>
        <v>45296</v>
      </c>
      <c r="I682" s="17" t="str">
        <f t="shared" si="1"/>
        <v>OUI</v>
      </c>
      <c r="J682" s="18">
        <f>IF(L682="DS",DATE(RIGHT(B682,4),VLOOKUP(LEFT(B682,LEN(B682)-5),Feuil1!$E$3:$F$19,2,FALSE)+1,10),DATE(RIGHT(B682,4),VLOOKUP(LEFT(B682,LEN(B682)-5),Feuil1!$E$3:$F$19,2,FALSE)+1,7))</f>
        <v>45298</v>
      </c>
      <c r="K682" s="19">
        <f t="shared" si="2"/>
        <v>1</v>
      </c>
      <c r="L682" s="6" t="str">
        <f t="shared" si="3"/>
        <v>FS</v>
      </c>
    </row>
    <row r="683" ht="14.25" customHeight="1">
      <c r="A683" s="14" t="str">
        <f>Base_report!A682</f>
        <v>GOH</v>
      </c>
      <c r="B683" s="14" t="str">
        <f>Base_report!B682</f>
        <v>DECEMBRE 2023</v>
      </c>
      <c r="C683" s="15" t="str">
        <f>Base_report!C682</f>
        <v>C2060</v>
      </c>
      <c r="D683" s="14" t="str">
        <f>TRIM(IF(ISNUMBER(FIND("PNSME",Base_report!D682,1)),SUBSTITUTE(Base_report!D682,"PNSME",""),IF(ISNUMBER(FIND("PHG",Base_report!D682,1)),SUBSTITUTE(Base_report!D682,"PHG",""),IF(ISNUMBER(FIND("PCS",Base_report!D682,1)),SUBSTITUTE(Base_report!D682,"PCS",""),IF(ISNUMBER(FIND("CMU",Base_report!D682,1)),SUBSTITUTE(Base_report!D682,"CMU",""),Base_report!D682)))))</f>
        <v>HOPITAL GENERAL OUME</v>
      </c>
      <c r="E683" s="14" t="str">
        <f>SUBSTITUTE(Base_report!E682,"-","/")</f>
        <v>PNN/MEDICAMENTS ET INTRANTS</v>
      </c>
      <c r="F683" s="14" t="s">
        <v>788</v>
      </c>
      <c r="G683" s="16">
        <f>DATE(YEAR(SUBSTITUTE(LEFT(Base_report!F682,10),"-","/")),MONTH(SUBSTITUTE(LEFT(Base_report!F682,10),"-","/")),DAY(SUBSTITUTE(LEFT(Base_report!F682,10),"-","/")))</f>
        <v>45296</v>
      </c>
      <c r="H683" s="16">
        <f>DATE(YEAR(SUBSTITUTE(LEFT(Base_report!G682,10),"-","/")),MONTH(SUBSTITUTE(LEFT(Base_report!G682,10),"-","/")),DAY(SUBSTITUTE(LEFT(Base_report!G682,10),"-","/")))</f>
        <v>45296</v>
      </c>
      <c r="I683" s="17" t="str">
        <f t="shared" si="1"/>
        <v>OUI</v>
      </c>
      <c r="J683" s="18">
        <f>IF(L683="DS",DATE(RIGHT(B683,4),VLOOKUP(LEFT(B683,LEN(B683)-5),Feuil1!$E$3:$F$19,2,FALSE)+1,10),DATE(RIGHT(B683,4),VLOOKUP(LEFT(B683,LEN(B683)-5),Feuil1!$E$3:$F$19,2,FALSE)+1,7))</f>
        <v>45298</v>
      </c>
      <c r="K683" s="19">
        <f t="shared" si="2"/>
        <v>1</v>
      </c>
      <c r="L683" s="6" t="str">
        <f t="shared" si="3"/>
        <v>FS</v>
      </c>
    </row>
    <row r="684" ht="14.25" customHeight="1">
      <c r="A684" s="14" t="str">
        <f>Base_report!A683</f>
        <v>GOH</v>
      </c>
      <c r="B684" s="14" t="str">
        <f>Base_report!B683</f>
        <v>DECEMBRE 2023</v>
      </c>
      <c r="C684" s="15" t="str">
        <f>Base_report!C683</f>
        <v>C2053</v>
      </c>
      <c r="D684" s="14" t="str">
        <f>TRIM(IF(ISNUMBER(FIND("PNSME",Base_report!D683,1)),SUBSTITUTE(Base_report!D683,"PNSME",""),IF(ISNUMBER(FIND("PHG",Base_report!D683,1)),SUBSTITUTE(Base_report!D683,"PHG",""),IF(ISNUMBER(FIND("PCS",Base_report!D683,1)),SUBSTITUTE(Base_report!D683,"PCS",""),IF(ISNUMBER(FIND("CMU",Base_report!D683,1)),SUBSTITUTE(Base_report!D683,"CMU",""),Base_report!D683)))))</f>
        <v>HOPITAL GENERAL GAGNOA</v>
      </c>
      <c r="E684" s="14" t="str">
        <f>SUBSTITUTE(Base_report!E683,"-","/")</f>
        <v>PNLS/CHARGES VIRALES</v>
      </c>
      <c r="F684" s="14" t="s">
        <v>788</v>
      </c>
      <c r="G684" s="16">
        <f>DATE(YEAR(SUBSTITUTE(LEFT(Base_report!F683,10),"-","/")),MONTH(SUBSTITUTE(LEFT(Base_report!F683,10),"-","/")),DAY(SUBSTITUTE(LEFT(Base_report!F683,10),"-","/")))</f>
        <v>45295</v>
      </c>
      <c r="H684" s="16">
        <f>DATE(YEAR(SUBSTITUTE(LEFT(Base_report!G683,10),"-","/")),MONTH(SUBSTITUTE(LEFT(Base_report!G683,10),"-","/")),DAY(SUBSTITUTE(LEFT(Base_report!G683,10),"-","/")))</f>
        <v>45295</v>
      </c>
      <c r="I684" s="17" t="str">
        <f t="shared" si="1"/>
        <v>OUI</v>
      </c>
      <c r="J684" s="18">
        <f>IF(L684="DS",DATE(RIGHT(B684,4),VLOOKUP(LEFT(B684,LEN(B684)-5),Feuil1!$E$3:$F$19,2,FALSE)+1,10),DATE(RIGHT(B684,4),VLOOKUP(LEFT(B684,LEN(B684)-5),Feuil1!$E$3:$F$19,2,FALSE)+1,7))</f>
        <v>45298</v>
      </c>
      <c r="K684" s="19">
        <f t="shared" si="2"/>
        <v>1</v>
      </c>
      <c r="L684" s="6" t="str">
        <f t="shared" si="3"/>
        <v>FS</v>
      </c>
    </row>
    <row r="685" ht="14.25" customHeight="1">
      <c r="A685" s="14" t="str">
        <f>Base_report!A684</f>
        <v>ABIDJAN 2</v>
      </c>
      <c r="B685" s="14" t="str">
        <f>Base_report!B684</f>
        <v>DECEMBRE 2023</v>
      </c>
      <c r="C685" s="15" t="str">
        <f>Base_report!C684</f>
        <v>C1069</v>
      </c>
      <c r="D685" s="14" t="str">
        <f>TRIM(IF(ISNUMBER(FIND("PNSME",Base_report!D684,1)),SUBSTITUTE(Base_report!D684,"PNSME",""),IF(ISNUMBER(FIND("PHG",Base_report!D684,1)),SUBSTITUTE(Base_report!D684,"PHG",""),IF(ISNUMBER(FIND("PCS",Base_report!D684,1)),SUBSTITUTE(Base_report!D684,"PCS",""),IF(ISNUMBER(FIND("CMU",Base_report!D684,1)),SUBSTITUTE(Base_report!D684,"CMU",""),Base_report!D684)))))</f>
        <v>FSU COM KOUMASSI GRAND CAMPEMENT</v>
      </c>
      <c r="E685" s="14" t="str">
        <f>SUBSTITUTE(Base_report!E684,"-","/")</f>
        <v>PNLS/ANTIRETROVIRAUX ET IO</v>
      </c>
      <c r="F685" s="14" t="s">
        <v>788</v>
      </c>
      <c r="G685" s="16">
        <f>DATE(YEAR(SUBSTITUTE(LEFT(Base_report!F684,10),"-","/")),MONTH(SUBSTITUTE(LEFT(Base_report!F684,10),"-","/")),DAY(SUBSTITUTE(LEFT(Base_report!F684,10),"-","/")))</f>
        <v>45294</v>
      </c>
      <c r="H685" s="16">
        <f>DATE(YEAR(SUBSTITUTE(LEFT(Base_report!G684,10),"-","/")),MONTH(SUBSTITUTE(LEFT(Base_report!G684,10),"-","/")),DAY(SUBSTITUTE(LEFT(Base_report!G684,10),"-","/")))</f>
        <v>45294</v>
      </c>
      <c r="I685" s="17" t="str">
        <f t="shared" si="1"/>
        <v>OUI</v>
      </c>
      <c r="J685" s="18">
        <f>IF(L685="DS",DATE(RIGHT(B685,4),VLOOKUP(LEFT(B685,LEN(B685)-5),Feuil1!$E$3:$F$19,2,FALSE)+1,10),DATE(RIGHT(B685,4),VLOOKUP(LEFT(B685,LEN(B685)-5),Feuil1!$E$3:$F$19,2,FALSE)+1,7))</f>
        <v>45298</v>
      </c>
      <c r="K685" s="19">
        <f t="shared" si="2"/>
        <v>1</v>
      </c>
      <c r="L685" s="6" t="str">
        <f t="shared" si="3"/>
        <v>FS</v>
      </c>
    </row>
    <row r="686" ht="14.25" customHeight="1">
      <c r="A686" s="14" t="str">
        <f>Base_report!A685</f>
        <v>ME</v>
      </c>
      <c r="B686" s="14" t="str">
        <f>Base_report!B685</f>
        <v>DECEMBRE 2023</v>
      </c>
      <c r="C686" s="15" t="str">
        <f>Base_report!C685</f>
        <v>C1083</v>
      </c>
      <c r="D686" s="14" t="str">
        <f>TRIM(IF(ISNUMBER(FIND("PNSME",Base_report!D685,1)),SUBSTITUTE(Base_report!D685,"PNSME",""),IF(ISNUMBER(FIND("PHG",Base_report!D685,1)),SUBSTITUTE(Base_report!D685,"PHG",""),IF(ISNUMBER(FIND("PCS",Base_report!D685,1)),SUBSTITUTE(Base_report!D685,"PCS",""),IF(ISNUMBER(FIND("CMU",Base_report!D685,1)),SUBSTITUTE(Base_report!D685,"CMU",""),Base_report!D685)))))</f>
        <v>HOPITAL GENERAL ALEPE</v>
      </c>
      <c r="E686" s="14" t="str">
        <f>SUBSTITUTE(Base_report!E685,"-","/")</f>
        <v>PNSME/MEDICAMENTS ET INTRANTS</v>
      </c>
      <c r="F686" s="14" t="s">
        <v>788</v>
      </c>
      <c r="G686" s="16">
        <f>DATE(YEAR(SUBSTITUTE(LEFT(Base_report!F685,10),"-","/")),MONTH(SUBSTITUTE(LEFT(Base_report!F685,10),"-","/")),DAY(SUBSTITUTE(LEFT(Base_report!F685,10),"-","/")))</f>
        <v>45296</v>
      </c>
      <c r="H686" s="16">
        <f>DATE(YEAR(SUBSTITUTE(LEFT(Base_report!G685,10),"-","/")),MONTH(SUBSTITUTE(LEFT(Base_report!G685,10),"-","/")),DAY(SUBSTITUTE(LEFT(Base_report!G685,10),"-","/")))</f>
        <v>45296</v>
      </c>
      <c r="I686" s="17" t="str">
        <f t="shared" si="1"/>
        <v>OUI</v>
      </c>
      <c r="J686" s="18">
        <f>IF(L686="DS",DATE(RIGHT(B686,4),VLOOKUP(LEFT(B686,LEN(B686)-5),Feuil1!$E$3:$F$19,2,FALSE)+1,10),DATE(RIGHT(B686,4),VLOOKUP(LEFT(B686,LEN(B686)-5),Feuil1!$E$3:$F$19,2,FALSE)+1,7))</f>
        <v>45298</v>
      </c>
      <c r="K686" s="19">
        <f t="shared" si="2"/>
        <v>1</v>
      </c>
      <c r="L686" s="6" t="str">
        <f t="shared" si="3"/>
        <v>FS</v>
      </c>
    </row>
    <row r="687" ht="14.25" customHeight="1">
      <c r="A687" s="14" t="str">
        <f>Base_report!A686</f>
        <v>TCHOLOGO</v>
      </c>
      <c r="B687" s="14" t="str">
        <f>Base_report!B686</f>
        <v>DECEMBRE 2023</v>
      </c>
      <c r="C687" s="15" t="str">
        <f>Base_report!C686</f>
        <v>C3061</v>
      </c>
      <c r="D687" s="14" t="str">
        <f>TRIM(IF(ISNUMBER(FIND("PNSME",Base_report!D686,1)),SUBSTITUTE(Base_report!D686,"PNSME",""),IF(ISNUMBER(FIND("PHG",Base_report!D686,1)),SUBSTITUTE(Base_report!D686,"PHG",""),IF(ISNUMBER(FIND("PCS",Base_report!D686,1)),SUBSTITUTE(Base_report!D686,"PCS",""),IF(ISNUMBER(FIND("CMU",Base_report!D686,1)),SUBSTITUTE(Base_report!D686,"CMU",""),Base_report!D686)))))</f>
        <v>CSU DIAWALA</v>
      </c>
      <c r="E687" s="14" t="str">
        <f>SUBSTITUTE(Base_report!E686,"-","/")</f>
        <v>PNSME/MEDICAMENTS ET INTRANTS</v>
      </c>
      <c r="F687" s="14" t="s">
        <v>788</v>
      </c>
      <c r="G687" s="16">
        <f>DATE(YEAR(SUBSTITUTE(LEFT(Base_report!F686,10),"-","/")),MONTH(SUBSTITUTE(LEFT(Base_report!F686,10),"-","/")),DAY(SUBSTITUTE(LEFT(Base_report!F686,10),"-","/")))</f>
        <v>45294</v>
      </c>
      <c r="H687" s="16">
        <f>DATE(YEAR(SUBSTITUTE(LEFT(Base_report!G686,10),"-","/")),MONTH(SUBSTITUTE(LEFT(Base_report!G686,10),"-","/")),DAY(SUBSTITUTE(LEFT(Base_report!G686,10),"-","/")))</f>
        <v>45295</v>
      </c>
      <c r="I687" s="17" t="str">
        <f t="shared" si="1"/>
        <v>OUI</v>
      </c>
      <c r="J687" s="18">
        <f>IF(L687="DS",DATE(RIGHT(B687,4),VLOOKUP(LEFT(B687,LEN(B687)-5),Feuil1!$E$3:$F$19,2,FALSE)+1,10),DATE(RIGHT(B687,4),VLOOKUP(LEFT(B687,LEN(B687)-5),Feuil1!$E$3:$F$19,2,FALSE)+1,7))</f>
        <v>45298</v>
      </c>
      <c r="K687" s="19">
        <f t="shared" si="2"/>
        <v>1</v>
      </c>
      <c r="L687" s="6" t="str">
        <f t="shared" si="3"/>
        <v>FS</v>
      </c>
    </row>
    <row r="688" ht="14.25" customHeight="1">
      <c r="A688" s="14" t="str">
        <f>Base_report!A687</f>
        <v>SAN PEDRO</v>
      </c>
      <c r="B688" s="14" t="str">
        <f>Base_report!B687</f>
        <v>DECEMBRE 2023</v>
      </c>
      <c r="C688" s="15" t="str">
        <f>Base_report!C687</f>
        <v>C2007</v>
      </c>
      <c r="D688" s="14" t="str">
        <f>TRIM(IF(ISNUMBER(FIND("PNSME",Base_report!D687,1)),SUBSTITUTE(Base_report!D687,"PNSME",""),IF(ISNUMBER(FIND("PHG",Base_report!D687,1)),SUBSTITUTE(Base_report!D687,"PHG",""),IF(ISNUMBER(FIND("PCS",Base_report!D687,1)),SUBSTITUTE(Base_report!D687,"PCS",""),IF(ISNUMBER(FIND("CMU",Base_report!D687,1)),SUBSTITUTE(Base_report!D687,"CMU",""),Base_report!D687)))))</f>
        <v>HOPITAL GENERAL SAN-PEDRO</v>
      </c>
      <c r="E688" s="14" t="str">
        <f>SUBSTITUTE(Base_report!E687,"-","/")</f>
        <v>PNLS/CHARGES VIRALES</v>
      </c>
      <c r="F688" s="14" t="s">
        <v>788</v>
      </c>
      <c r="G688" s="16">
        <f>DATE(YEAR(SUBSTITUTE(LEFT(Base_report!F687,10),"-","/")),MONTH(SUBSTITUTE(LEFT(Base_report!F687,10),"-","/")),DAY(SUBSTITUTE(LEFT(Base_report!F687,10),"-","/")))</f>
        <v>45296</v>
      </c>
      <c r="H688" s="16">
        <f>DATE(YEAR(SUBSTITUTE(LEFT(Base_report!G687,10),"-","/")),MONTH(SUBSTITUTE(LEFT(Base_report!G687,10),"-","/")),DAY(SUBSTITUTE(LEFT(Base_report!G687,10),"-","/")))</f>
        <v>45296</v>
      </c>
      <c r="I688" s="17" t="str">
        <f t="shared" si="1"/>
        <v>OUI</v>
      </c>
      <c r="J688" s="18">
        <f>IF(L688="DS",DATE(RIGHT(B688,4),VLOOKUP(LEFT(B688,LEN(B688)-5),Feuil1!$E$3:$F$19,2,FALSE)+1,10),DATE(RIGHT(B688,4),VLOOKUP(LEFT(B688,LEN(B688)-5),Feuil1!$E$3:$F$19,2,FALSE)+1,7))</f>
        <v>45298</v>
      </c>
      <c r="K688" s="19">
        <f t="shared" si="2"/>
        <v>1</v>
      </c>
      <c r="L688" s="6" t="str">
        <f t="shared" si="3"/>
        <v>FS</v>
      </c>
    </row>
    <row r="689" ht="14.25" customHeight="1">
      <c r="A689" s="14" t="str">
        <f>Base_report!A688</f>
        <v>BAFING</v>
      </c>
      <c r="B689" s="14" t="str">
        <f>Base_report!B688</f>
        <v>DECEMBRE 2023</v>
      </c>
      <c r="C689" s="15" t="str">
        <f>Base_report!C688</f>
        <v>C5004</v>
      </c>
      <c r="D689" s="14" t="str">
        <f>TRIM(IF(ISNUMBER(FIND("PNSME",Base_report!D688,1)),SUBSTITUTE(Base_report!D688,"PNSME",""),IF(ISNUMBER(FIND("PHG",Base_report!D688,1)),SUBSTITUTE(Base_report!D688,"PHG",""),IF(ISNUMBER(FIND("PCS",Base_report!D688,1)),SUBSTITUTE(Base_report!D688,"PCS",""),IF(ISNUMBER(FIND("CMU",Base_report!D688,1)),SUBSTITUTE(Base_report!D688,"CMU",""),Base_report!D688)))))</f>
        <v>CHR TOUBA</v>
      </c>
      <c r="E689" s="14" t="str">
        <f>SUBSTITUTE(Base_report!E688,"-","/")</f>
        <v>PNLS/ANTIRETROVIRAUX ET IO</v>
      </c>
      <c r="F689" s="14" t="s">
        <v>788</v>
      </c>
      <c r="G689" s="16">
        <f>DATE(YEAR(SUBSTITUTE(LEFT(Base_report!F688,10),"-","/")),MONTH(SUBSTITUTE(LEFT(Base_report!F688,10),"-","/")),DAY(SUBSTITUTE(LEFT(Base_report!F688,10),"-","/")))</f>
        <v>45299</v>
      </c>
      <c r="H689" s="16">
        <f>DATE(YEAR(SUBSTITUTE(LEFT(Base_report!G688,10),"-","/")),MONTH(SUBSTITUTE(LEFT(Base_report!G688,10),"-","/")),DAY(SUBSTITUTE(LEFT(Base_report!G688,10),"-","/")))</f>
        <v>45300</v>
      </c>
      <c r="I689" s="17" t="str">
        <f t="shared" si="1"/>
        <v>OUI</v>
      </c>
      <c r="J689" s="18">
        <f>IF(L689="DS",DATE(RIGHT(B689,4),VLOOKUP(LEFT(B689,LEN(B689)-5),Feuil1!$E$3:$F$19,2,FALSE)+1,10),DATE(RIGHT(B689,4),VLOOKUP(LEFT(B689,LEN(B689)-5),Feuil1!$E$3:$F$19,2,FALSE)+1,7))</f>
        <v>45298</v>
      </c>
      <c r="K689" s="19">
        <f t="shared" si="2"/>
        <v>0</v>
      </c>
      <c r="L689" s="6" t="str">
        <f t="shared" si="3"/>
        <v>FS</v>
      </c>
    </row>
    <row r="690" ht="14.25" customHeight="1">
      <c r="A690" s="14" t="str">
        <f>Base_report!A689</f>
        <v>GBEKE</v>
      </c>
      <c r="B690" s="14" t="str">
        <f>Base_report!B689</f>
        <v>DECEMBRE 2023</v>
      </c>
      <c r="C690" s="15" t="str">
        <f>Base_report!C689</f>
        <v>C2062</v>
      </c>
      <c r="D690" s="14" t="str">
        <f>TRIM(IF(ISNUMBER(FIND("PNSME",Base_report!D689,1)),SUBSTITUTE(Base_report!D689,"PNSME",""),IF(ISNUMBER(FIND("PHG",Base_report!D689,1)),SUBSTITUTE(Base_report!D689,"PHG",""),IF(ISNUMBER(FIND("PCS",Base_report!D689,1)),SUBSTITUTE(Base_report!D689,"PCS",""),IF(ISNUMBER(FIND("CMU",Base_report!D689,1)),SUBSTITUTE(Base_report!D689,"CMU",""),Base_report!D689)))))</f>
        <v>HOPITAL GENERAL SAKASSOU</v>
      </c>
      <c r="E690" s="14" t="str">
        <f>SUBSTITUTE(Base_report!E689,"-","/")</f>
        <v>PNSME/MEDICAMENTS ET INTRANTS</v>
      </c>
      <c r="F690" s="14" t="s">
        <v>788</v>
      </c>
      <c r="G690" s="16">
        <f>DATE(YEAR(SUBSTITUTE(LEFT(Base_report!F689,10),"-","/")),MONTH(SUBSTITUTE(LEFT(Base_report!F689,10),"-","/")),DAY(SUBSTITUTE(LEFT(Base_report!F689,10),"-","/")))</f>
        <v>45295</v>
      </c>
      <c r="H690" s="16">
        <f>DATE(YEAR(SUBSTITUTE(LEFT(Base_report!G689,10),"-","/")),MONTH(SUBSTITUTE(LEFT(Base_report!G689,10),"-","/")),DAY(SUBSTITUTE(LEFT(Base_report!G689,10),"-","/")))</f>
        <v>45295</v>
      </c>
      <c r="I690" s="17" t="str">
        <f t="shared" si="1"/>
        <v>OUI</v>
      </c>
      <c r="J690" s="18">
        <f>IF(L690="DS",DATE(RIGHT(B690,4),VLOOKUP(LEFT(B690,LEN(B690)-5),Feuil1!$E$3:$F$19,2,FALSE)+1,10),DATE(RIGHT(B690,4),VLOOKUP(LEFT(B690,LEN(B690)-5),Feuil1!$E$3:$F$19,2,FALSE)+1,7))</f>
        <v>45298</v>
      </c>
      <c r="K690" s="19">
        <f t="shared" si="2"/>
        <v>1</v>
      </c>
      <c r="L690" s="6" t="str">
        <f t="shared" si="3"/>
        <v>FS</v>
      </c>
    </row>
    <row r="691" ht="14.25" customHeight="1">
      <c r="A691" s="14" t="str">
        <f>Base_report!A690</f>
        <v>AGNEBY-TIASSA</v>
      </c>
      <c r="B691" s="14" t="str">
        <f>Base_report!B690</f>
        <v>DECEMBRE 2023</v>
      </c>
      <c r="C691" s="15" t="str">
        <f>Base_report!C690</f>
        <v>C1098</v>
      </c>
      <c r="D691" s="14" t="str">
        <f>TRIM(IF(ISNUMBER(FIND("PNSME",Base_report!D690,1)),SUBSTITUTE(Base_report!D690,"PNSME",""),IF(ISNUMBER(FIND("PHG",Base_report!D690,1)),SUBSTITUTE(Base_report!D690,"PHG",""),IF(ISNUMBER(FIND("PCS",Base_report!D690,1)),SUBSTITUTE(Base_report!D690,"PCS",""),IF(ISNUMBER(FIND("CMU",Base_report!D690,1)),SUBSTITUTE(Base_report!D690,"CMU",""),Base_report!D690)))))</f>
        <v>HOPITAL GENERAL SIKENSI</v>
      </c>
      <c r="E691" s="14" t="str">
        <f>SUBSTITUTE(Base_report!E690,"-","/")</f>
        <v>PNLS/ANTIRETROVIRAUX ET IO</v>
      </c>
      <c r="F691" s="14" t="s">
        <v>788</v>
      </c>
      <c r="G691" s="16">
        <f>DATE(YEAR(SUBSTITUTE(LEFT(Base_report!F690,10),"-","/")),MONTH(SUBSTITUTE(LEFT(Base_report!F690,10),"-","/")),DAY(SUBSTITUTE(LEFT(Base_report!F690,10),"-","/")))</f>
        <v>45294</v>
      </c>
      <c r="H691" s="16">
        <f>DATE(YEAR(SUBSTITUTE(LEFT(Base_report!G690,10),"-","/")),MONTH(SUBSTITUTE(LEFT(Base_report!G690,10),"-","/")),DAY(SUBSTITUTE(LEFT(Base_report!G690,10),"-","/")))</f>
        <v>45295</v>
      </c>
      <c r="I691" s="17" t="str">
        <f t="shared" si="1"/>
        <v>OUI</v>
      </c>
      <c r="J691" s="18">
        <f>IF(L691="DS",DATE(RIGHT(B691,4),VLOOKUP(LEFT(B691,LEN(B691)-5),Feuil1!$E$3:$F$19,2,FALSE)+1,10),DATE(RIGHT(B691,4),VLOOKUP(LEFT(B691,LEN(B691)-5),Feuil1!$E$3:$F$19,2,FALSE)+1,7))</f>
        <v>45298</v>
      </c>
      <c r="K691" s="19">
        <f t="shared" si="2"/>
        <v>1</v>
      </c>
      <c r="L691" s="6" t="str">
        <f t="shared" si="3"/>
        <v>FS</v>
      </c>
    </row>
    <row r="692" ht="14.25" customHeight="1">
      <c r="A692" s="14" t="str">
        <f>Base_report!A691</f>
        <v>SAN PEDRO</v>
      </c>
      <c r="B692" s="14" t="str">
        <f>Base_report!B691</f>
        <v>DECEMBRE 2023</v>
      </c>
      <c r="C692" s="15" t="str">
        <f>Base_report!C691</f>
        <v>C2007</v>
      </c>
      <c r="D692" s="14" t="str">
        <f>TRIM(IF(ISNUMBER(FIND("PNSME",Base_report!D691,1)),SUBSTITUTE(Base_report!D691,"PNSME",""),IF(ISNUMBER(FIND("PHG",Base_report!D691,1)),SUBSTITUTE(Base_report!D691,"PHG",""),IF(ISNUMBER(FIND("PCS",Base_report!D691,1)),SUBSTITUTE(Base_report!D691,"PCS",""),IF(ISNUMBER(FIND("CMU",Base_report!D691,1)),SUBSTITUTE(Base_report!D691,"CMU",""),Base_report!D691)))))</f>
        <v>HOPITAL GENERAL SAN-PEDRO</v>
      </c>
      <c r="E692" s="14" t="str">
        <f>SUBSTITUTE(Base_report!E691,"-","/")</f>
        <v>PNLS/PRODUITS DE LABORATOIRE</v>
      </c>
      <c r="F692" s="14" t="s">
        <v>788</v>
      </c>
      <c r="G692" s="16">
        <f>DATE(YEAR(SUBSTITUTE(LEFT(Base_report!F691,10),"-","/")),MONTH(SUBSTITUTE(LEFT(Base_report!F691,10),"-","/")),DAY(SUBSTITUTE(LEFT(Base_report!F691,10),"-","/")))</f>
        <v>45296</v>
      </c>
      <c r="H692" s="16">
        <f>DATE(YEAR(SUBSTITUTE(LEFT(Base_report!G691,10),"-","/")),MONTH(SUBSTITUTE(LEFT(Base_report!G691,10),"-","/")),DAY(SUBSTITUTE(LEFT(Base_report!G691,10),"-","/")))</f>
        <v>45296</v>
      </c>
      <c r="I692" s="17" t="str">
        <f t="shared" si="1"/>
        <v>OUI</v>
      </c>
      <c r="J692" s="18">
        <f>IF(L692="DS",DATE(RIGHT(B692,4),VLOOKUP(LEFT(B692,LEN(B692)-5),Feuil1!$E$3:$F$19,2,FALSE)+1,10),DATE(RIGHT(B692,4),VLOOKUP(LEFT(B692,LEN(B692)-5),Feuil1!$E$3:$F$19,2,FALSE)+1,7))</f>
        <v>45298</v>
      </c>
      <c r="K692" s="19">
        <f t="shared" si="2"/>
        <v>1</v>
      </c>
      <c r="L692" s="6" t="str">
        <f t="shared" si="3"/>
        <v>FS</v>
      </c>
    </row>
    <row r="693" ht="14.25" customHeight="1">
      <c r="A693" s="14" t="str">
        <f>Base_report!A692</f>
        <v>ABIDJAN 2</v>
      </c>
      <c r="B693" s="14" t="str">
        <f>Base_report!B692</f>
        <v>DECEMBRE 2023</v>
      </c>
      <c r="C693" s="15" t="str">
        <f>Base_report!C692</f>
        <v>C1581</v>
      </c>
      <c r="D693" s="14" t="str">
        <f>TRIM(IF(ISNUMBER(FIND("PNSME",Base_report!D692,1)),SUBSTITUTE(Base_report!D692,"PNSME",""),IF(ISNUMBER(FIND("PHG",Base_report!D692,1)),SUBSTITUTE(Base_report!D692,"PHG",""),IF(ISNUMBER(FIND("PCS",Base_report!D692,1)),SUBSTITUTE(Base_report!D692,"PCS",""),IF(ISNUMBER(FIND("CMU",Base_report!D692,1)),SUBSTITUTE(Base_report!D692,"CMU",""),Base_report!D692)))))</f>
        <v>PROJET RETRO-CI (AMBASSADE USA)</v>
      </c>
      <c r="E693" s="14" t="str">
        <f>SUBSTITUTE(Base_report!E692,"-","/")</f>
        <v>PNLS/PRODUITS DE LABORATOIRE</v>
      </c>
      <c r="F693" s="14" t="s">
        <v>788</v>
      </c>
      <c r="G693" s="16">
        <f>DATE(YEAR(SUBSTITUTE(LEFT(Base_report!F692,10),"-","/")),MONTH(SUBSTITUTE(LEFT(Base_report!F692,10),"-","/")),DAY(SUBSTITUTE(LEFT(Base_report!F692,10),"-","/")))</f>
        <v>45296</v>
      </c>
      <c r="H693" s="16">
        <f>DATE(YEAR(SUBSTITUTE(LEFT(Base_report!G692,10),"-","/")),MONTH(SUBSTITUTE(LEFT(Base_report!G692,10),"-","/")),DAY(SUBSTITUTE(LEFT(Base_report!G692,10),"-","/")))</f>
        <v>45297</v>
      </c>
      <c r="I693" s="17" t="str">
        <f t="shared" si="1"/>
        <v>OUI</v>
      </c>
      <c r="J693" s="18">
        <f>IF(L693="DS",DATE(RIGHT(B693,4),VLOOKUP(LEFT(B693,LEN(B693)-5),Feuil1!$E$3:$F$19,2,FALSE)+1,10),DATE(RIGHT(B693,4),VLOOKUP(LEFT(B693,LEN(B693)-5),Feuil1!$E$3:$F$19,2,FALSE)+1,7))</f>
        <v>45298</v>
      </c>
      <c r="K693" s="19">
        <f t="shared" si="2"/>
        <v>1</v>
      </c>
      <c r="L693" s="6" t="str">
        <f t="shared" si="3"/>
        <v>FS</v>
      </c>
    </row>
    <row r="694" ht="14.25" customHeight="1">
      <c r="A694" s="14" t="str">
        <f>Base_report!A693</f>
        <v>SAN PEDRO</v>
      </c>
      <c r="B694" s="14" t="str">
        <f>Base_report!B693</f>
        <v>DECEMBRE 2023</v>
      </c>
      <c r="C694" s="15" t="str">
        <f>Base_report!C693</f>
        <v>C2007</v>
      </c>
      <c r="D694" s="14" t="str">
        <f>TRIM(IF(ISNUMBER(FIND("PNSME",Base_report!D693,1)),SUBSTITUTE(Base_report!D693,"PNSME",""),IF(ISNUMBER(FIND("PHG",Base_report!D693,1)),SUBSTITUTE(Base_report!D693,"PHG",""),IF(ISNUMBER(FIND("PCS",Base_report!D693,1)),SUBSTITUTE(Base_report!D693,"PCS",""),IF(ISNUMBER(FIND("CMU",Base_report!D693,1)),SUBSTITUTE(Base_report!D693,"CMU",""),Base_report!D693)))))</f>
        <v>HOPITAL GENERAL SAN-PEDRO</v>
      </c>
      <c r="E694" s="14" t="str">
        <f>SUBSTITUTE(Base_report!E693,"-","/")</f>
        <v>PNLS/TESTS RAPIDES ET CONSOMMABLES</v>
      </c>
      <c r="F694" s="14" t="s">
        <v>788</v>
      </c>
      <c r="G694" s="16">
        <f>DATE(YEAR(SUBSTITUTE(LEFT(Base_report!F693,10),"-","/")),MONTH(SUBSTITUTE(LEFT(Base_report!F693,10),"-","/")),DAY(SUBSTITUTE(LEFT(Base_report!F693,10),"-","/")))</f>
        <v>45296</v>
      </c>
      <c r="H694" s="16">
        <f>DATE(YEAR(SUBSTITUTE(LEFT(Base_report!G693,10),"-","/")),MONTH(SUBSTITUTE(LEFT(Base_report!G693,10),"-","/")),DAY(SUBSTITUTE(LEFT(Base_report!G693,10),"-","/")))</f>
        <v>45296</v>
      </c>
      <c r="I694" s="17" t="str">
        <f t="shared" si="1"/>
        <v>OUI</v>
      </c>
      <c r="J694" s="18">
        <f>IF(L694="DS",DATE(RIGHT(B694,4),VLOOKUP(LEFT(B694,LEN(B694)-5),Feuil1!$E$3:$F$19,2,FALSE)+1,10),DATE(RIGHT(B694,4),VLOOKUP(LEFT(B694,LEN(B694)-5),Feuil1!$E$3:$F$19,2,FALSE)+1,7))</f>
        <v>45298</v>
      </c>
      <c r="K694" s="19">
        <f t="shared" si="2"/>
        <v>1</v>
      </c>
      <c r="L694" s="6" t="str">
        <f t="shared" si="3"/>
        <v>FS</v>
      </c>
    </row>
    <row r="695" ht="14.25" customHeight="1">
      <c r="A695" s="14" t="str">
        <f>Base_report!A694</f>
        <v>ABIDJAN 2</v>
      </c>
      <c r="B695" s="14" t="str">
        <f>Base_report!B694</f>
        <v>DECEMBRE 2023</v>
      </c>
      <c r="C695" s="15" t="str">
        <f>Base_report!C694</f>
        <v>C1006</v>
      </c>
      <c r="D695" s="14" t="str">
        <f>TRIM(IF(ISNUMBER(FIND("PNSME",Base_report!D694,1)),SUBSTITUTE(Base_report!D694,"PNSME",""),IF(ISNUMBER(FIND("PHG",Base_report!D694,1)),SUBSTITUTE(Base_report!D694,"PHG",""),IF(ISNUMBER(FIND("PCS",Base_report!D694,1)),SUBSTITUTE(Base_report!D694,"PCS",""),IF(ISNUMBER(FIND("CMU",Base_report!D694,1)),SUBSTITUTE(Base_report!D694,"CMU",""),Base_report!D694)))))</f>
        <v>CHU TREICHVILLE</v>
      </c>
      <c r="E695" s="14" t="str">
        <f>SUBSTITUTE(Base_report!E694,"-","/")</f>
        <v>PNLP/MEDICAMENTS ET INTRANTS</v>
      </c>
      <c r="F695" s="14" t="s">
        <v>788</v>
      </c>
      <c r="G695" s="16">
        <f>DATE(YEAR(SUBSTITUTE(LEFT(Base_report!F694,10),"-","/")),MONTH(SUBSTITUTE(LEFT(Base_report!F694,10),"-","/")),DAY(SUBSTITUTE(LEFT(Base_report!F694,10),"-","/")))</f>
        <v>45294</v>
      </c>
      <c r="H695" s="16">
        <f>DATE(YEAR(SUBSTITUTE(LEFT(Base_report!G694,10),"-","/")),MONTH(SUBSTITUTE(LEFT(Base_report!G694,10),"-","/")),DAY(SUBSTITUTE(LEFT(Base_report!G694,10),"-","/")))</f>
        <v>45294</v>
      </c>
      <c r="I695" s="17" t="str">
        <f t="shared" si="1"/>
        <v>OUI</v>
      </c>
      <c r="J695" s="18">
        <f>IF(L695="DS",DATE(RIGHT(B695,4),VLOOKUP(LEFT(B695,LEN(B695)-5),Feuil1!$E$3:$F$19,2,FALSE)+1,10),DATE(RIGHT(B695,4),VLOOKUP(LEFT(B695,LEN(B695)-5),Feuil1!$E$3:$F$19,2,FALSE)+1,7))</f>
        <v>45298</v>
      </c>
      <c r="K695" s="19">
        <f t="shared" si="2"/>
        <v>1</v>
      </c>
      <c r="L695" s="6" t="str">
        <f t="shared" si="3"/>
        <v>FS</v>
      </c>
    </row>
    <row r="696" ht="14.25" customHeight="1">
      <c r="A696" s="14" t="str">
        <f>Base_report!A695</f>
        <v>ABIDJAN 1</v>
      </c>
      <c r="B696" s="14" t="str">
        <f>Base_report!B695</f>
        <v>DECEMBRE 2023</v>
      </c>
      <c r="C696" s="15" t="str">
        <f>Base_report!C695</f>
        <v>C1010</v>
      </c>
      <c r="D696" s="14" t="str">
        <f>TRIM(IF(ISNUMBER(FIND("PNSME",Base_report!D695,1)),SUBSTITUTE(Base_report!D695,"PNSME",""),IF(ISNUMBER(FIND("PHG",Base_report!D695,1)),SUBSTITUTE(Base_report!D695,"PHG",""),IF(ISNUMBER(FIND("PCS",Base_report!D695,1)),SUBSTITUTE(Base_report!D695,"PCS",""),IF(ISNUMBER(FIND("CMU",Base_report!D695,1)),SUBSTITUTE(Base_report!D695,"CMU",""),Base_report!D695)))))</f>
        <v>CSU COM ABOBO BANCO SUD</v>
      </c>
      <c r="E696" s="14" t="str">
        <f>SUBSTITUTE(Base_report!E695,"-","/")</f>
        <v>PNLP/MEDICAMENTS ET INTRANTS</v>
      </c>
      <c r="F696" s="14" t="s">
        <v>788</v>
      </c>
      <c r="G696" s="16">
        <f>DATE(YEAR(SUBSTITUTE(LEFT(Base_report!F695,10),"-","/")),MONTH(SUBSTITUTE(LEFT(Base_report!F695,10),"-","/")),DAY(SUBSTITUTE(LEFT(Base_report!F695,10),"-","/")))</f>
        <v>45294</v>
      </c>
      <c r="H696" s="16">
        <f>DATE(YEAR(SUBSTITUTE(LEFT(Base_report!G695,10),"-","/")),MONTH(SUBSTITUTE(LEFT(Base_report!G695,10),"-","/")),DAY(SUBSTITUTE(LEFT(Base_report!G695,10),"-","/")))</f>
        <v>45295</v>
      </c>
      <c r="I696" s="17" t="str">
        <f t="shared" si="1"/>
        <v>OUI</v>
      </c>
      <c r="J696" s="18">
        <f>IF(L696="DS",DATE(RIGHT(B696,4),VLOOKUP(LEFT(B696,LEN(B696)-5),Feuil1!$E$3:$F$19,2,FALSE)+1,10),DATE(RIGHT(B696,4),VLOOKUP(LEFT(B696,LEN(B696)-5),Feuil1!$E$3:$F$19,2,FALSE)+1,7))</f>
        <v>45298</v>
      </c>
      <c r="K696" s="19">
        <f t="shared" si="2"/>
        <v>1</v>
      </c>
      <c r="L696" s="6" t="str">
        <f t="shared" si="3"/>
        <v>FS</v>
      </c>
    </row>
    <row r="697" ht="14.25" customHeight="1">
      <c r="A697" s="14" t="str">
        <f>Base_report!A696</f>
        <v>GBOKLE</v>
      </c>
      <c r="B697" s="14" t="str">
        <f>Base_report!B696</f>
        <v>DECEMBRE 2023</v>
      </c>
      <c r="C697" s="15" t="str">
        <f>Base_report!C696</f>
        <v>C1096</v>
      </c>
      <c r="D697" s="14" t="str">
        <f>TRIM(IF(ISNUMBER(FIND("PNSME",Base_report!D696,1)),SUBSTITUTE(Base_report!D696,"PNSME",""),IF(ISNUMBER(FIND("PHG",Base_report!D696,1)),SUBSTITUTE(Base_report!D696,"PHG",""),IF(ISNUMBER(FIND("PCS",Base_report!D696,1)),SUBSTITUTE(Base_report!D696,"PCS",""),IF(ISNUMBER(FIND("CMU",Base_report!D696,1)),SUBSTITUTE(Base_report!D696,"CMU",""),Base_report!D696)))))</f>
        <v>DISTRICT SANITAIRE SASSANDRA</v>
      </c>
      <c r="E697" s="14" t="str">
        <f>SUBSTITUTE(Base_report!E696,"-","/")</f>
        <v>PNSME/MEDICAMENTS ET INTRANTS</v>
      </c>
      <c r="F697" s="14" t="s">
        <v>788</v>
      </c>
      <c r="G697" s="16">
        <f>DATE(YEAR(SUBSTITUTE(LEFT(Base_report!F696,10),"-","/")),MONTH(SUBSTITUTE(LEFT(Base_report!F696,10),"-","/")),DAY(SUBSTITUTE(LEFT(Base_report!F696,10),"-","/")))</f>
        <v>45294</v>
      </c>
      <c r="H697" s="16">
        <f>DATE(YEAR(SUBSTITUTE(LEFT(Base_report!G696,10),"-","/")),MONTH(SUBSTITUTE(LEFT(Base_report!G696,10),"-","/")),DAY(SUBSTITUTE(LEFT(Base_report!G696,10),"-","/")))</f>
        <v>45301</v>
      </c>
      <c r="I697" s="17" t="str">
        <f t="shared" si="1"/>
        <v>OUI</v>
      </c>
      <c r="J697" s="18">
        <f>IF(L697="DS",DATE(RIGHT(B697,4),VLOOKUP(LEFT(B697,LEN(B697)-5),Feuil1!$E$3:$F$19,2,FALSE)+1,10),DATE(RIGHT(B697,4),VLOOKUP(LEFT(B697,LEN(B697)-5),Feuil1!$E$3:$F$19,2,FALSE)+1,7))</f>
        <v>45301</v>
      </c>
      <c r="K697" s="19">
        <f t="shared" si="2"/>
        <v>1</v>
      </c>
      <c r="L697" s="6" t="str">
        <f t="shared" si="3"/>
        <v>DS</v>
      </c>
    </row>
    <row r="698" ht="14.25" customHeight="1">
      <c r="A698" s="14" t="str">
        <f>Base_report!A697</f>
        <v>SUD-COMOE</v>
      </c>
      <c r="B698" s="14" t="str">
        <f>Base_report!B697</f>
        <v>DECEMBRE 2023</v>
      </c>
      <c r="C698" s="15" t="str">
        <f>Base_report!C697</f>
        <v>C1085</v>
      </c>
      <c r="D698" s="14" t="str">
        <f>TRIM(IF(ISNUMBER(FIND("PNSME",Base_report!D697,1)),SUBSTITUTE(Base_report!D697,"PNSME",""),IF(ISNUMBER(FIND("PHG",Base_report!D697,1)),SUBSTITUTE(Base_report!D697,"PHG",""),IF(ISNUMBER(FIND("PCS",Base_report!D697,1)),SUBSTITUTE(Base_report!D697,"PCS",""),IF(ISNUMBER(FIND("CMU",Base_report!D697,1)),SUBSTITUTE(Base_report!D697,"CMU",""),Base_report!D697)))))</f>
        <v>HOPITAL GENERAL AYAME</v>
      </c>
      <c r="E698" s="14" t="str">
        <f>SUBSTITUTE(Base_report!E697,"-","/")</f>
        <v>PNLP/MEDICAMENTS ET INTRANTS</v>
      </c>
      <c r="F698" s="14" t="s">
        <v>788</v>
      </c>
      <c r="G698" s="16">
        <f>DATE(YEAR(SUBSTITUTE(LEFT(Base_report!F697,10),"-","/")),MONTH(SUBSTITUTE(LEFT(Base_report!F697,10),"-","/")),DAY(SUBSTITUTE(LEFT(Base_report!F697,10),"-","/")))</f>
        <v>45295</v>
      </c>
      <c r="H698" s="16">
        <f>DATE(YEAR(SUBSTITUTE(LEFT(Base_report!G697,10),"-","/")),MONTH(SUBSTITUTE(LEFT(Base_report!G697,10),"-","/")),DAY(SUBSTITUTE(LEFT(Base_report!G697,10),"-","/")))</f>
        <v>45295</v>
      </c>
      <c r="I698" s="17" t="str">
        <f t="shared" si="1"/>
        <v>OUI</v>
      </c>
      <c r="J698" s="18">
        <f>IF(L698="DS",DATE(RIGHT(B698,4),VLOOKUP(LEFT(B698,LEN(B698)-5),Feuil1!$E$3:$F$19,2,FALSE)+1,10),DATE(RIGHT(B698,4),VLOOKUP(LEFT(B698,LEN(B698)-5),Feuil1!$E$3:$F$19,2,FALSE)+1,7))</f>
        <v>45298</v>
      </c>
      <c r="K698" s="19">
        <f t="shared" si="2"/>
        <v>1</v>
      </c>
      <c r="L698" s="6" t="str">
        <f t="shared" si="3"/>
        <v>FS</v>
      </c>
    </row>
    <row r="699" ht="14.25" customHeight="1">
      <c r="A699" s="14" t="str">
        <f>Base_report!A698</f>
        <v>ABIDJAN 2</v>
      </c>
      <c r="B699" s="14" t="str">
        <f>Base_report!B698</f>
        <v>DECEMBRE 2023</v>
      </c>
      <c r="C699" s="15" t="str">
        <f>Base_report!C698</f>
        <v>C1051</v>
      </c>
      <c r="D699" s="14" t="str">
        <f>TRIM(IF(ISNUMBER(FIND("PNSME",Base_report!D698,1)),SUBSTITUTE(Base_report!D698,"PNSME",""),IF(ISNUMBER(FIND("PHG",Base_report!D698,1)),SUBSTITUTE(Base_report!D698,"PHG",""),IF(ISNUMBER(FIND("PCS",Base_report!D698,1)),SUBSTITUTE(Base_report!D698,"PCS",""),IF(ISNUMBER(FIND("CMU",Base_report!D698,1)),SUBSTITUTE(Base_report!D698,"CMU",""),Base_report!D698)))))</f>
        <v>FSU ABOBO DOUME</v>
      </c>
      <c r="E699" s="14" t="str">
        <f>SUBSTITUTE(Base_report!E698,"-","/")</f>
        <v>PNSME/MEDICAMENTS ET INTRANTS</v>
      </c>
      <c r="F699" s="14" t="s">
        <v>788</v>
      </c>
      <c r="G699" s="16">
        <f>DATE(YEAR(SUBSTITUTE(LEFT(Base_report!F698,10),"-","/")),MONTH(SUBSTITUTE(LEFT(Base_report!F698,10),"-","/")),DAY(SUBSTITUTE(LEFT(Base_report!F698,10),"-","/")))</f>
        <v>45294</v>
      </c>
      <c r="H699" s="16">
        <f>DATE(YEAR(SUBSTITUTE(LEFT(Base_report!G698,10),"-","/")),MONTH(SUBSTITUTE(LEFT(Base_report!G698,10),"-","/")),DAY(SUBSTITUTE(LEFT(Base_report!G698,10),"-","/")))</f>
        <v>45294</v>
      </c>
      <c r="I699" s="17" t="str">
        <f t="shared" si="1"/>
        <v>OUI</v>
      </c>
      <c r="J699" s="18">
        <f>IF(L699="DS",DATE(RIGHT(B699,4),VLOOKUP(LEFT(B699,LEN(B699)-5),Feuil1!$E$3:$F$19,2,FALSE)+1,10),DATE(RIGHT(B699,4),VLOOKUP(LEFT(B699,LEN(B699)-5),Feuil1!$E$3:$F$19,2,FALSE)+1,7))</f>
        <v>45298</v>
      </c>
      <c r="K699" s="19">
        <f t="shared" si="2"/>
        <v>1</v>
      </c>
      <c r="L699" s="6" t="str">
        <f t="shared" si="3"/>
        <v>FS</v>
      </c>
    </row>
    <row r="700" ht="14.25" customHeight="1">
      <c r="A700" s="14" t="str">
        <f>Base_report!A699</f>
        <v>ABIDJAN 2</v>
      </c>
      <c r="B700" s="14" t="str">
        <f>Base_report!B699</f>
        <v>DECEMBRE 2023</v>
      </c>
      <c r="C700" s="15" t="str">
        <f>Base_report!C699</f>
        <v>C1581</v>
      </c>
      <c r="D700" s="14" t="str">
        <f>TRIM(IF(ISNUMBER(FIND("PNSME",Base_report!D699,1)),SUBSTITUTE(Base_report!D699,"PNSME",""),IF(ISNUMBER(FIND("PHG",Base_report!D699,1)),SUBSTITUTE(Base_report!D699,"PHG",""),IF(ISNUMBER(FIND("PCS",Base_report!D699,1)),SUBSTITUTE(Base_report!D699,"PCS",""),IF(ISNUMBER(FIND("CMU",Base_report!D699,1)),SUBSTITUTE(Base_report!D699,"CMU",""),Base_report!D699)))))</f>
        <v>PROJET RETRO-CI (AMBASSADE USA)</v>
      </c>
      <c r="E700" s="14" t="str">
        <f>SUBSTITUTE(Base_report!E699,"-","/")</f>
        <v>PNLS/TESTS RAPIDES ET CONSOMMABLES</v>
      </c>
      <c r="F700" s="14" t="s">
        <v>788</v>
      </c>
      <c r="G700" s="16">
        <f>DATE(YEAR(SUBSTITUTE(LEFT(Base_report!F699,10),"-","/")),MONTH(SUBSTITUTE(LEFT(Base_report!F699,10),"-","/")),DAY(SUBSTITUTE(LEFT(Base_report!F699,10),"-","/")))</f>
        <v>45296</v>
      </c>
      <c r="H700" s="16">
        <f>DATE(YEAR(SUBSTITUTE(LEFT(Base_report!G699,10),"-","/")),MONTH(SUBSTITUTE(LEFT(Base_report!G699,10),"-","/")),DAY(SUBSTITUTE(LEFT(Base_report!G699,10),"-","/")))</f>
        <v>45297</v>
      </c>
      <c r="I700" s="17" t="str">
        <f t="shared" si="1"/>
        <v>OUI</v>
      </c>
      <c r="J700" s="18">
        <f>IF(L700="DS",DATE(RIGHT(B700,4),VLOOKUP(LEFT(B700,LEN(B700)-5),Feuil1!$E$3:$F$19,2,FALSE)+1,10),DATE(RIGHT(B700,4),VLOOKUP(LEFT(B700,LEN(B700)-5),Feuil1!$E$3:$F$19,2,FALSE)+1,7))</f>
        <v>45298</v>
      </c>
      <c r="K700" s="19">
        <f t="shared" si="2"/>
        <v>1</v>
      </c>
      <c r="L700" s="6" t="str">
        <f t="shared" si="3"/>
        <v>FS</v>
      </c>
    </row>
    <row r="701" ht="14.25" customHeight="1">
      <c r="A701" s="14" t="str">
        <f>Base_report!A700</f>
        <v>CAVALLY</v>
      </c>
      <c r="B701" s="14" t="str">
        <f>Base_report!B700</f>
        <v>DECEMBRE 2023</v>
      </c>
      <c r="C701" s="15" t="str">
        <f>Base_report!C700</f>
        <v>C5045</v>
      </c>
      <c r="D701" s="14" t="str">
        <f>TRIM(IF(ISNUMBER(FIND("PNSME",Base_report!D700,1)),SUBSTITUTE(Base_report!D700,"PNSME",""),IF(ISNUMBER(FIND("PHG",Base_report!D700,1)),SUBSTITUTE(Base_report!D700,"PHG",""),IF(ISNUMBER(FIND("PCS",Base_report!D700,1)),SUBSTITUTE(Base_report!D700,"PCS",""),IF(ISNUMBER(FIND("CMU",Base_report!D700,1)),SUBSTITUTE(Base_report!D700,"CMU",""),Base_report!D700)))))</f>
        <v>DISTRICT SANITAIRE BLOLEQUIN</v>
      </c>
      <c r="E701" s="14" t="str">
        <f>SUBSTITUTE(Base_report!E700,"-","/")</f>
        <v>PNLP/MEDICAMENTS ET INTRANTS</v>
      </c>
      <c r="F701" s="14" t="s">
        <v>788</v>
      </c>
      <c r="G701" s="16">
        <f>DATE(YEAR(SUBSTITUTE(LEFT(Base_report!F700,10),"-","/")),MONTH(SUBSTITUTE(LEFT(Base_report!F700,10),"-","/")),DAY(SUBSTITUTE(LEFT(Base_report!F700,10),"-","/")))</f>
        <v>45301</v>
      </c>
      <c r="H701" s="16">
        <f>DATE(YEAR(SUBSTITUTE(LEFT(Base_report!G700,10),"-","/")),MONTH(SUBSTITUTE(LEFT(Base_report!G700,10),"-","/")),DAY(SUBSTITUTE(LEFT(Base_report!G700,10),"-","/")))</f>
        <v>45301</v>
      </c>
      <c r="I701" s="17" t="str">
        <f t="shared" si="1"/>
        <v>OUI</v>
      </c>
      <c r="J701" s="18">
        <f>IF(L701="DS",DATE(RIGHT(B701,4),VLOOKUP(LEFT(B701,LEN(B701)-5),Feuil1!$E$3:$F$19,2,FALSE)+1,10),DATE(RIGHT(B701,4),VLOOKUP(LEFT(B701,LEN(B701)-5),Feuil1!$E$3:$F$19,2,FALSE)+1,7))</f>
        <v>45301</v>
      </c>
      <c r="K701" s="19">
        <f t="shared" si="2"/>
        <v>1</v>
      </c>
      <c r="L701" s="6" t="str">
        <f t="shared" si="3"/>
        <v>DS</v>
      </c>
    </row>
    <row r="702" ht="14.25" customHeight="1">
      <c r="A702" s="14" t="str">
        <f>Base_report!A701</f>
        <v>ABIDJAN 2</v>
      </c>
      <c r="B702" s="14" t="str">
        <f>Base_report!B701</f>
        <v>DECEMBRE 2023</v>
      </c>
      <c r="C702" s="15" t="str">
        <f>Base_report!C701</f>
        <v>C1069</v>
      </c>
      <c r="D702" s="14" t="str">
        <f>TRIM(IF(ISNUMBER(FIND("PNSME",Base_report!D701,1)),SUBSTITUTE(Base_report!D701,"PNSME",""),IF(ISNUMBER(FIND("PHG",Base_report!D701,1)),SUBSTITUTE(Base_report!D701,"PHG",""),IF(ISNUMBER(FIND("PCS",Base_report!D701,1)),SUBSTITUTE(Base_report!D701,"PCS",""),IF(ISNUMBER(FIND("CMU",Base_report!D701,1)),SUBSTITUTE(Base_report!D701,"CMU",""),Base_report!D701)))))</f>
        <v>FSU COM KOUMASSI GRAND CAMPEMENT</v>
      </c>
      <c r="E702" s="14" t="str">
        <f>SUBSTITUTE(Base_report!E701,"-","/")</f>
        <v>PNSME/MEDICAMENTS ET INTRANTS</v>
      </c>
      <c r="F702" s="14" t="s">
        <v>788</v>
      </c>
      <c r="G702" s="16">
        <f>DATE(YEAR(SUBSTITUTE(LEFT(Base_report!F701,10),"-","/")),MONTH(SUBSTITUTE(LEFT(Base_report!F701,10),"-","/")),DAY(SUBSTITUTE(LEFT(Base_report!F701,10),"-","/")))</f>
        <v>45294</v>
      </c>
      <c r="H702" s="16">
        <f>DATE(YEAR(SUBSTITUTE(LEFT(Base_report!G701,10),"-","/")),MONTH(SUBSTITUTE(LEFT(Base_report!G701,10),"-","/")),DAY(SUBSTITUTE(LEFT(Base_report!G701,10),"-","/")))</f>
        <v>45294</v>
      </c>
      <c r="I702" s="17" t="str">
        <f t="shared" si="1"/>
        <v>OUI</v>
      </c>
      <c r="J702" s="18">
        <f>IF(L702="DS",DATE(RIGHT(B702,4),VLOOKUP(LEFT(B702,LEN(B702)-5),Feuil1!$E$3:$F$19,2,FALSE)+1,10),DATE(RIGHT(B702,4),VLOOKUP(LEFT(B702,LEN(B702)-5),Feuil1!$E$3:$F$19,2,FALSE)+1,7))</f>
        <v>45298</v>
      </c>
      <c r="K702" s="19">
        <f t="shared" si="2"/>
        <v>1</v>
      </c>
      <c r="L702" s="6" t="str">
        <f t="shared" si="3"/>
        <v>FS</v>
      </c>
    </row>
    <row r="703" ht="14.25" customHeight="1">
      <c r="A703" s="14" t="str">
        <f>Base_report!A702</f>
        <v>ABIDJAN 2</v>
      </c>
      <c r="B703" s="14" t="str">
        <f>Base_report!B702</f>
        <v>DECEMBRE 2023</v>
      </c>
      <c r="C703" s="15" t="str">
        <f>Base_report!C702</f>
        <v>C1069</v>
      </c>
      <c r="D703" s="14" t="str">
        <f>TRIM(IF(ISNUMBER(FIND("PNSME",Base_report!D702,1)),SUBSTITUTE(Base_report!D702,"PNSME",""),IF(ISNUMBER(FIND("PHG",Base_report!D702,1)),SUBSTITUTE(Base_report!D702,"PHG",""),IF(ISNUMBER(FIND("PCS",Base_report!D702,1)),SUBSTITUTE(Base_report!D702,"PCS",""),IF(ISNUMBER(FIND("CMU",Base_report!D702,1)),SUBSTITUTE(Base_report!D702,"CMU",""),Base_report!D702)))))</f>
        <v>FSU COM KOUMASSI GRAND CAMPEMENT</v>
      </c>
      <c r="E703" s="14" t="str">
        <f>SUBSTITUTE(Base_report!E702,"-","/")</f>
        <v>PNLS/TESTS RAPIDES ET CONSOMMABLES</v>
      </c>
      <c r="F703" s="14" t="s">
        <v>788</v>
      </c>
      <c r="G703" s="16">
        <f>DATE(YEAR(SUBSTITUTE(LEFT(Base_report!F702,10),"-","/")),MONTH(SUBSTITUTE(LEFT(Base_report!F702,10),"-","/")),DAY(SUBSTITUTE(LEFT(Base_report!F702,10),"-","/")))</f>
        <v>45294</v>
      </c>
      <c r="H703" s="16">
        <f>DATE(YEAR(SUBSTITUTE(LEFT(Base_report!G702,10),"-","/")),MONTH(SUBSTITUTE(LEFT(Base_report!G702,10),"-","/")),DAY(SUBSTITUTE(LEFT(Base_report!G702,10),"-","/")))</f>
        <v>45294</v>
      </c>
      <c r="I703" s="17" t="str">
        <f t="shared" si="1"/>
        <v>OUI</v>
      </c>
      <c r="J703" s="18">
        <f>IF(L703="DS",DATE(RIGHT(B703,4),VLOOKUP(LEFT(B703,LEN(B703)-5),Feuil1!$E$3:$F$19,2,FALSE)+1,10),DATE(RIGHT(B703,4),VLOOKUP(LEFT(B703,LEN(B703)-5),Feuil1!$E$3:$F$19,2,FALSE)+1,7))</f>
        <v>45298</v>
      </c>
      <c r="K703" s="19">
        <f t="shared" si="2"/>
        <v>1</v>
      </c>
      <c r="L703" s="6" t="str">
        <f t="shared" si="3"/>
        <v>FS</v>
      </c>
    </row>
    <row r="704" ht="14.25" customHeight="1">
      <c r="A704" s="14" t="str">
        <f>Base_report!A703</f>
        <v>INDENIE-DJUABLIN</v>
      </c>
      <c r="B704" s="14" t="str">
        <f>Base_report!B703</f>
        <v>DECEMBRE 2023</v>
      </c>
      <c r="C704" s="15" t="str">
        <f>Base_report!C703</f>
        <v>C4001</v>
      </c>
      <c r="D704" s="14" t="str">
        <f>TRIM(IF(ISNUMBER(FIND("PNSME",Base_report!D703,1)),SUBSTITUTE(Base_report!D703,"PNSME",""),IF(ISNUMBER(FIND("PHG",Base_report!D703,1)),SUBSTITUTE(Base_report!D703,"PHG",""),IF(ISNUMBER(FIND("PCS",Base_report!D703,1)),SUBSTITUTE(Base_report!D703,"PCS",""),IF(ISNUMBER(FIND("CMU",Base_report!D703,1)),SUBSTITUTE(Base_report!D703,"CMU",""),Base_report!D703)))))</f>
        <v>CHR ABENGOUROU</v>
      </c>
      <c r="E704" s="14" t="str">
        <f>SUBSTITUTE(Base_report!E703,"-","/")</f>
        <v>PNLP/MEDICAMENTS ET INTRANTS</v>
      </c>
      <c r="F704" s="14" t="s">
        <v>788</v>
      </c>
      <c r="G704" s="16">
        <f>DATE(YEAR(SUBSTITUTE(LEFT(Base_report!F703,10),"-","/")),MONTH(SUBSTITUTE(LEFT(Base_report!F703,10),"-","/")),DAY(SUBSTITUTE(LEFT(Base_report!F703,10),"-","/")))</f>
        <v>45295</v>
      </c>
      <c r="H704" s="16">
        <f>DATE(YEAR(SUBSTITUTE(LEFT(Base_report!G703,10),"-","/")),MONTH(SUBSTITUTE(LEFT(Base_report!G703,10),"-","/")),DAY(SUBSTITUTE(LEFT(Base_report!G703,10),"-","/")))</f>
        <v>45296</v>
      </c>
      <c r="I704" s="17" t="str">
        <f t="shared" si="1"/>
        <v>OUI</v>
      </c>
      <c r="J704" s="18">
        <f>IF(L704="DS",DATE(RIGHT(B704,4),VLOOKUP(LEFT(B704,LEN(B704)-5),Feuil1!$E$3:$F$19,2,FALSE)+1,10),DATE(RIGHT(B704,4),VLOOKUP(LEFT(B704,LEN(B704)-5),Feuil1!$E$3:$F$19,2,FALSE)+1,7))</f>
        <v>45298</v>
      </c>
      <c r="K704" s="19">
        <f t="shared" si="2"/>
        <v>1</v>
      </c>
      <c r="L704" s="6" t="str">
        <f t="shared" si="3"/>
        <v>FS</v>
      </c>
    </row>
    <row r="705" ht="14.25" customHeight="1">
      <c r="A705" s="14" t="str">
        <f>Base_report!A704</f>
        <v>BELIER</v>
      </c>
      <c r="B705" s="14" t="str">
        <f>Base_report!B704</f>
        <v>DECEMBRE 2023</v>
      </c>
      <c r="C705" s="15" t="str">
        <f>Base_report!C704</f>
        <v>C2052</v>
      </c>
      <c r="D705" s="14" t="str">
        <f>TRIM(IF(ISNUMBER(FIND("PNSME",Base_report!D704,1)),SUBSTITUTE(Base_report!D704,"PNSME",""),IF(ISNUMBER(FIND("PHG",Base_report!D704,1)),SUBSTITUTE(Base_report!D704,"PHG",""),IF(ISNUMBER(FIND("PCS",Base_report!D704,1)),SUBSTITUTE(Base_report!D704,"PCS",""),IF(ISNUMBER(FIND("CMU",Base_report!D704,1)),SUBSTITUTE(Base_report!D704,"CMU",""),Base_report!D704)))))</f>
        <v>HOPITAL GENERAL DJEKANOU</v>
      </c>
      <c r="E705" s="14" t="str">
        <f>SUBSTITUTE(Base_report!E704,"-","/")</f>
        <v>PNLS/ANTIRETROVIRAUX ET IO</v>
      </c>
      <c r="F705" s="14" t="s">
        <v>788</v>
      </c>
      <c r="G705" s="16">
        <f>DATE(YEAR(SUBSTITUTE(LEFT(Base_report!F704,10),"-","/")),MONTH(SUBSTITUTE(LEFT(Base_report!F704,10),"-","/")),DAY(SUBSTITUTE(LEFT(Base_report!F704,10),"-","/")))</f>
        <v>45295</v>
      </c>
      <c r="H705" s="16">
        <f>DATE(YEAR(SUBSTITUTE(LEFT(Base_report!G704,10),"-","/")),MONTH(SUBSTITUTE(LEFT(Base_report!G704,10),"-","/")),DAY(SUBSTITUTE(LEFT(Base_report!G704,10),"-","/")))</f>
        <v>45296</v>
      </c>
      <c r="I705" s="17" t="str">
        <f t="shared" si="1"/>
        <v>OUI</v>
      </c>
      <c r="J705" s="18">
        <f>IF(L705="DS",DATE(RIGHT(B705,4),VLOOKUP(LEFT(B705,LEN(B705)-5),Feuil1!$E$3:$F$19,2,FALSE)+1,10),DATE(RIGHT(B705,4),VLOOKUP(LEFT(B705,LEN(B705)-5),Feuil1!$E$3:$F$19,2,FALSE)+1,7))</f>
        <v>45298</v>
      </c>
      <c r="K705" s="19">
        <f t="shared" si="2"/>
        <v>1</v>
      </c>
      <c r="L705" s="6" t="str">
        <f t="shared" si="3"/>
        <v>FS</v>
      </c>
    </row>
    <row r="706" ht="14.25" customHeight="1">
      <c r="A706" s="14" t="str">
        <f>Base_report!A705</f>
        <v>SUD-COMOE</v>
      </c>
      <c r="B706" s="14" t="str">
        <f>Base_report!B705</f>
        <v>DECEMBRE 2023</v>
      </c>
      <c r="C706" s="15" t="str">
        <f>Base_report!C705</f>
        <v>C1085</v>
      </c>
      <c r="D706" s="14" t="str">
        <f>TRIM(IF(ISNUMBER(FIND("PNSME",Base_report!D705,1)),SUBSTITUTE(Base_report!D705,"PNSME",""),IF(ISNUMBER(FIND("PHG",Base_report!D705,1)),SUBSTITUTE(Base_report!D705,"PHG",""),IF(ISNUMBER(FIND("PCS",Base_report!D705,1)),SUBSTITUTE(Base_report!D705,"PCS",""),IF(ISNUMBER(FIND("CMU",Base_report!D705,1)),SUBSTITUTE(Base_report!D705,"CMU",""),Base_report!D705)))))</f>
        <v>HOPITAL GENERAL AYAME</v>
      </c>
      <c r="E706" s="14" t="str">
        <f>SUBSTITUTE(Base_report!E705,"-","/")</f>
        <v>PNSME/MEDICAMENTS ET INTRANTS</v>
      </c>
      <c r="F706" s="14" t="s">
        <v>788</v>
      </c>
      <c r="G706" s="16">
        <f>DATE(YEAR(SUBSTITUTE(LEFT(Base_report!F705,10),"-","/")),MONTH(SUBSTITUTE(LEFT(Base_report!F705,10),"-","/")),DAY(SUBSTITUTE(LEFT(Base_report!F705,10),"-","/")))</f>
        <v>45295</v>
      </c>
      <c r="H706" s="16">
        <f>DATE(YEAR(SUBSTITUTE(LEFT(Base_report!G705,10),"-","/")),MONTH(SUBSTITUTE(LEFT(Base_report!G705,10),"-","/")),DAY(SUBSTITUTE(LEFT(Base_report!G705,10),"-","/")))</f>
        <v>45295</v>
      </c>
      <c r="I706" s="17" t="str">
        <f t="shared" si="1"/>
        <v>OUI</v>
      </c>
      <c r="J706" s="18">
        <f>IF(L706="DS",DATE(RIGHT(B706,4),VLOOKUP(LEFT(B706,LEN(B706)-5),Feuil1!$E$3:$F$19,2,FALSE)+1,10),DATE(RIGHT(B706,4),VLOOKUP(LEFT(B706,LEN(B706)-5),Feuil1!$E$3:$F$19,2,FALSE)+1,7))</f>
        <v>45298</v>
      </c>
      <c r="K706" s="19">
        <f t="shared" si="2"/>
        <v>1</v>
      </c>
      <c r="L706" s="6" t="str">
        <f t="shared" si="3"/>
        <v>FS</v>
      </c>
    </row>
    <row r="707" ht="14.25" customHeight="1">
      <c r="A707" s="14" t="str">
        <f>Base_report!A706</f>
        <v>N'ZI</v>
      </c>
      <c r="B707" s="14" t="str">
        <f>Base_report!B706</f>
        <v>DECEMBRE 2023</v>
      </c>
      <c r="C707" s="15" t="str">
        <f>Base_report!C706</f>
        <v>C2049</v>
      </c>
      <c r="D707" s="14" t="str">
        <f>TRIM(IF(ISNUMBER(FIND("PNSME",Base_report!D706,1)),SUBSTITUTE(Base_report!D706,"PNSME",""),IF(ISNUMBER(FIND("PHG",Base_report!D706,1)),SUBSTITUTE(Base_report!D706,"PHG",""),IF(ISNUMBER(FIND("PCS",Base_report!D706,1)),SUBSTITUTE(Base_report!D706,"PCS",""),IF(ISNUMBER(FIND("CMU",Base_report!D706,1)),SUBSTITUTE(Base_report!D706,"CMU",""),Base_report!D706)))))</f>
        <v>HOPITAL GENERAL BOCANDA</v>
      </c>
      <c r="E707" s="14" t="str">
        <f>SUBSTITUTE(Base_report!E706,"-","/")</f>
        <v>PNLS/ANTIRETROVIRAUX ET IO</v>
      </c>
      <c r="F707" s="14" t="s">
        <v>788</v>
      </c>
      <c r="G707" s="16">
        <f>DATE(YEAR(SUBSTITUTE(LEFT(Base_report!F706,10),"-","/")),MONTH(SUBSTITUTE(LEFT(Base_report!F706,10),"-","/")),DAY(SUBSTITUTE(LEFT(Base_report!F706,10),"-","/")))</f>
        <v>45297</v>
      </c>
      <c r="H707" s="16">
        <f>DATE(YEAR(SUBSTITUTE(LEFT(Base_report!G706,10),"-","/")),MONTH(SUBSTITUTE(LEFT(Base_report!G706,10),"-","/")),DAY(SUBSTITUTE(LEFT(Base_report!G706,10),"-","/")))</f>
        <v>45297</v>
      </c>
      <c r="I707" s="17" t="str">
        <f t="shared" si="1"/>
        <v>OUI</v>
      </c>
      <c r="J707" s="18">
        <f>IF(L707="DS",DATE(RIGHT(B707,4),VLOOKUP(LEFT(B707,LEN(B707)-5),Feuil1!$E$3:$F$19,2,FALSE)+1,10),DATE(RIGHT(B707,4),VLOOKUP(LEFT(B707,LEN(B707)-5),Feuil1!$E$3:$F$19,2,FALSE)+1,7))</f>
        <v>45298</v>
      </c>
      <c r="K707" s="19">
        <f t="shared" si="2"/>
        <v>1</v>
      </c>
      <c r="L707" s="6" t="str">
        <f t="shared" si="3"/>
        <v>FS</v>
      </c>
    </row>
    <row r="708" ht="14.25" customHeight="1">
      <c r="A708" s="14" t="str">
        <f>Base_report!A707</f>
        <v>ABIDJAN 2</v>
      </c>
      <c r="B708" s="14" t="str">
        <f>Base_report!B707</f>
        <v>DECEMBRE 2023</v>
      </c>
      <c r="C708" s="15" t="str">
        <f>Base_report!C707</f>
        <v>C1069</v>
      </c>
      <c r="D708" s="14" t="str">
        <f>TRIM(IF(ISNUMBER(FIND("PNSME",Base_report!D707,1)),SUBSTITUTE(Base_report!D707,"PNSME",""),IF(ISNUMBER(FIND("PHG",Base_report!D707,1)),SUBSTITUTE(Base_report!D707,"PHG",""),IF(ISNUMBER(FIND("PCS",Base_report!D707,1)),SUBSTITUTE(Base_report!D707,"PCS",""),IF(ISNUMBER(FIND("CMU",Base_report!D707,1)),SUBSTITUTE(Base_report!D707,"CMU",""),Base_report!D707)))))</f>
        <v>FSU COM KOUMASSI GRAND CAMPEMENT</v>
      </c>
      <c r="E708" s="14" t="str">
        <f>SUBSTITUTE(Base_report!E707,"-","/")</f>
        <v>PNLS/PRODUITS DE LABORATOIRE</v>
      </c>
      <c r="F708" s="14" t="s">
        <v>788</v>
      </c>
      <c r="G708" s="16">
        <f>DATE(YEAR(SUBSTITUTE(LEFT(Base_report!F707,10),"-","/")),MONTH(SUBSTITUTE(LEFT(Base_report!F707,10),"-","/")),DAY(SUBSTITUTE(LEFT(Base_report!F707,10),"-","/")))</f>
        <v>45294</v>
      </c>
      <c r="H708" s="16">
        <f>DATE(YEAR(SUBSTITUTE(LEFT(Base_report!G707,10),"-","/")),MONTH(SUBSTITUTE(LEFT(Base_report!G707,10),"-","/")),DAY(SUBSTITUTE(LEFT(Base_report!G707,10),"-","/")))</f>
        <v>45294</v>
      </c>
      <c r="I708" s="17" t="str">
        <f t="shared" si="1"/>
        <v>OUI</v>
      </c>
      <c r="J708" s="18">
        <f>IF(L708="DS",DATE(RIGHT(B708,4),VLOOKUP(LEFT(B708,LEN(B708)-5),Feuil1!$E$3:$F$19,2,FALSE)+1,10),DATE(RIGHT(B708,4),VLOOKUP(LEFT(B708,LEN(B708)-5),Feuil1!$E$3:$F$19,2,FALSE)+1,7))</f>
        <v>45298</v>
      </c>
      <c r="K708" s="19">
        <f t="shared" si="2"/>
        <v>1</v>
      </c>
      <c r="L708" s="6" t="str">
        <f t="shared" si="3"/>
        <v>FS</v>
      </c>
    </row>
    <row r="709" ht="14.25" customHeight="1">
      <c r="A709" s="14" t="str">
        <f>Base_report!A708</f>
        <v>N'ZI</v>
      </c>
      <c r="B709" s="14" t="str">
        <f>Base_report!B708</f>
        <v>DECEMBRE 2023</v>
      </c>
      <c r="C709" s="15" t="str">
        <f>Base_report!C708</f>
        <v>C2049</v>
      </c>
      <c r="D709" s="14" t="str">
        <f>TRIM(IF(ISNUMBER(FIND("PNSME",Base_report!D708,1)),SUBSTITUTE(Base_report!D708,"PNSME",""),IF(ISNUMBER(FIND("PHG",Base_report!D708,1)),SUBSTITUTE(Base_report!D708,"PHG",""),IF(ISNUMBER(FIND("PCS",Base_report!D708,1)),SUBSTITUTE(Base_report!D708,"PCS",""),IF(ISNUMBER(FIND("CMU",Base_report!D708,1)),SUBSTITUTE(Base_report!D708,"CMU",""),Base_report!D708)))))</f>
        <v>HOPITAL GENERAL BOCANDA</v>
      </c>
      <c r="E709" s="14" t="str">
        <f>SUBSTITUTE(Base_report!E708,"-","/")</f>
        <v>PNLP/MEDICAMENTS ET INTRANTS</v>
      </c>
      <c r="F709" s="14" t="s">
        <v>788</v>
      </c>
      <c r="G709" s="16">
        <f>DATE(YEAR(SUBSTITUTE(LEFT(Base_report!F708,10),"-","/")),MONTH(SUBSTITUTE(LEFT(Base_report!F708,10),"-","/")),DAY(SUBSTITUTE(LEFT(Base_report!F708,10),"-","/")))</f>
        <v>45297</v>
      </c>
      <c r="H709" s="16">
        <f>DATE(YEAR(SUBSTITUTE(LEFT(Base_report!G708,10),"-","/")),MONTH(SUBSTITUTE(LEFT(Base_report!G708,10),"-","/")),DAY(SUBSTITUTE(LEFT(Base_report!G708,10),"-","/")))</f>
        <v>45297</v>
      </c>
      <c r="I709" s="17" t="str">
        <f t="shared" si="1"/>
        <v>OUI</v>
      </c>
      <c r="J709" s="18">
        <f>IF(L709="DS",DATE(RIGHT(B709,4),VLOOKUP(LEFT(B709,LEN(B709)-5),Feuil1!$E$3:$F$19,2,FALSE)+1,10),DATE(RIGHT(B709,4),VLOOKUP(LEFT(B709,LEN(B709)-5),Feuil1!$E$3:$F$19,2,FALSE)+1,7))</f>
        <v>45298</v>
      </c>
      <c r="K709" s="19">
        <f t="shared" si="2"/>
        <v>1</v>
      </c>
      <c r="L709" s="6" t="str">
        <f t="shared" si="3"/>
        <v>FS</v>
      </c>
    </row>
    <row r="710" ht="14.25" customHeight="1">
      <c r="A710" s="14" t="str">
        <f>Base_report!A709</f>
        <v>N'ZI</v>
      </c>
      <c r="B710" s="14" t="str">
        <f>Base_report!B709</f>
        <v>DECEMBRE 2023</v>
      </c>
      <c r="C710" s="15" t="str">
        <f>Base_report!C709</f>
        <v>C2049</v>
      </c>
      <c r="D710" s="14" t="str">
        <f>TRIM(IF(ISNUMBER(FIND("PNSME",Base_report!D709,1)),SUBSTITUTE(Base_report!D709,"PNSME",""),IF(ISNUMBER(FIND("PHG",Base_report!D709,1)),SUBSTITUTE(Base_report!D709,"PHG",""),IF(ISNUMBER(FIND("PCS",Base_report!D709,1)),SUBSTITUTE(Base_report!D709,"PCS",""),IF(ISNUMBER(FIND("CMU",Base_report!D709,1)),SUBSTITUTE(Base_report!D709,"CMU",""),Base_report!D709)))))</f>
        <v>HOPITAL GENERAL BOCANDA</v>
      </c>
      <c r="E710" s="14" t="str">
        <f>SUBSTITUTE(Base_report!E709,"-","/")</f>
        <v>PNLS/TESTS RAPIDES ET CONSOMMABLES</v>
      </c>
      <c r="F710" s="14" t="s">
        <v>788</v>
      </c>
      <c r="G710" s="16">
        <f>DATE(YEAR(SUBSTITUTE(LEFT(Base_report!F709,10),"-","/")),MONTH(SUBSTITUTE(LEFT(Base_report!F709,10),"-","/")),DAY(SUBSTITUTE(LEFT(Base_report!F709,10),"-","/")))</f>
        <v>45296</v>
      </c>
      <c r="H710" s="16">
        <f>DATE(YEAR(SUBSTITUTE(LEFT(Base_report!G709,10),"-","/")),MONTH(SUBSTITUTE(LEFT(Base_report!G709,10),"-","/")),DAY(SUBSTITUTE(LEFT(Base_report!G709,10),"-","/")))</f>
        <v>45297</v>
      </c>
      <c r="I710" s="17" t="str">
        <f t="shared" si="1"/>
        <v>OUI</v>
      </c>
      <c r="J710" s="18">
        <f>IF(L710="DS",DATE(RIGHT(B710,4),VLOOKUP(LEFT(B710,LEN(B710)-5),Feuil1!$E$3:$F$19,2,FALSE)+1,10),DATE(RIGHT(B710,4),VLOOKUP(LEFT(B710,LEN(B710)-5),Feuil1!$E$3:$F$19,2,FALSE)+1,7))</f>
        <v>45298</v>
      </c>
      <c r="K710" s="19">
        <f t="shared" si="2"/>
        <v>1</v>
      </c>
      <c r="L710" s="6" t="str">
        <f t="shared" si="3"/>
        <v>FS</v>
      </c>
    </row>
    <row r="711" ht="14.25" customHeight="1">
      <c r="A711" s="14" t="str">
        <f>Base_report!A710</f>
        <v>TONKPI</v>
      </c>
      <c r="B711" s="14" t="str">
        <f>Base_report!B710</f>
        <v>DECEMBRE 2023</v>
      </c>
      <c r="C711" s="15" t="str">
        <f>Base_report!C710</f>
        <v>C5016</v>
      </c>
      <c r="D711" s="14" t="str">
        <f>TRIM(IF(ISNUMBER(FIND("PNSME",Base_report!D710,1)),SUBSTITUTE(Base_report!D710,"PNSME",""),IF(ISNUMBER(FIND("PHG",Base_report!D710,1)),SUBSTITUTE(Base_report!D710,"PHG",""),IF(ISNUMBER(FIND("PCS",Base_report!D710,1)),SUBSTITUTE(Base_report!D710,"PCS",""),IF(ISNUMBER(FIND("CMU",Base_report!D710,1)),SUBSTITUTE(Base_report!D710,"CMU",""),Base_report!D710)))))</f>
        <v>HOPITAL GENERAL BIANKOUMA</v>
      </c>
      <c r="E711" s="14" t="str">
        <f>SUBSTITUTE(Base_report!E710,"-","/")</f>
        <v>PNLS/TESTS RAPIDES ET CONSOMMABLES</v>
      </c>
      <c r="F711" s="14" t="s">
        <v>788</v>
      </c>
      <c r="G711" s="16">
        <f>DATE(YEAR(SUBSTITUTE(LEFT(Base_report!F710,10),"-","/")),MONTH(SUBSTITUTE(LEFT(Base_report!F710,10),"-","/")),DAY(SUBSTITUTE(LEFT(Base_report!F710,10),"-","/")))</f>
        <v>45298</v>
      </c>
      <c r="H711" s="16">
        <f>DATE(YEAR(SUBSTITUTE(LEFT(Base_report!G710,10),"-","/")),MONTH(SUBSTITUTE(LEFT(Base_report!G710,10),"-","/")),DAY(SUBSTITUTE(LEFT(Base_report!G710,10),"-","/")))</f>
        <v>45298</v>
      </c>
      <c r="I711" s="17" t="str">
        <f t="shared" si="1"/>
        <v>OUI</v>
      </c>
      <c r="J711" s="18">
        <f>IF(L711="DS",DATE(RIGHT(B711,4),VLOOKUP(LEFT(B711,LEN(B711)-5),Feuil1!$E$3:$F$19,2,FALSE)+1,10),DATE(RIGHT(B711,4),VLOOKUP(LEFT(B711,LEN(B711)-5),Feuil1!$E$3:$F$19,2,FALSE)+1,7))</f>
        <v>45298</v>
      </c>
      <c r="K711" s="19">
        <f t="shared" si="2"/>
        <v>1</v>
      </c>
      <c r="L711" s="6" t="str">
        <f t="shared" si="3"/>
        <v>FS</v>
      </c>
    </row>
    <row r="712" ht="14.25" customHeight="1">
      <c r="A712" s="14" t="str">
        <f>Base_report!A711</f>
        <v>N'ZI</v>
      </c>
      <c r="B712" s="14" t="str">
        <f>Base_report!B711</f>
        <v>DECEMBRE 2023</v>
      </c>
      <c r="C712" s="15" t="str">
        <f>Base_report!C711</f>
        <v>C2049</v>
      </c>
      <c r="D712" s="14" t="str">
        <f>TRIM(IF(ISNUMBER(FIND("PNSME",Base_report!D711,1)),SUBSTITUTE(Base_report!D711,"PNSME",""),IF(ISNUMBER(FIND("PHG",Base_report!D711,1)),SUBSTITUTE(Base_report!D711,"PHG",""),IF(ISNUMBER(FIND("PCS",Base_report!D711,1)),SUBSTITUTE(Base_report!D711,"PCS",""),IF(ISNUMBER(FIND("CMU",Base_report!D711,1)),SUBSTITUTE(Base_report!D711,"CMU",""),Base_report!D711)))))</f>
        <v>HOPITAL GENERAL BOCANDA</v>
      </c>
      <c r="E712" s="14" t="str">
        <f>SUBSTITUTE(Base_report!E711,"-","/")</f>
        <v>PNLS/PRODUITS DE LABORATOIRE</v>
      </c>
      <c r="F712" s="14" t="s">
        <v>788</v>
      </c>
      <c r="G712" s="16">
        <f>DATE(YEAR(SUBSTITUTE(LEFT(Base_report!F711,10),"-","/")),MONTH(SUBSTITUTE(LEFT(Base_report!F711,10),"-","/")),DAY(SUBSTITUTE(LEFT(Base_report!F711,10),"-","/")))</f>
        <v>45297</v>
      </c>
      <c r="H712" s="16">
        <f>DATE(YEAR(SUBSTITUTE(LEFT(Base_report!G711,10),"-","/")),MONTH(SUBSTITUTE(LEFT(Base_report!G711,10),"-","/")),DAY(SUBSTITUTE(LEFT(Base_report!G711,10),"-","/")))</f>
        <v>45297</v>
      </c>
      <c r="I712" s="17" t="str">
        <f t="shared" si="1"/>
        <v>OUI</v>
      </c>
      <c r="J712" s="18">
        <f>IF(L712="DS",DATE(RIGHT(B712,4),VLOOKUP(LEFT(B712,LEN(B712)-5),Feuil1!$E$3:$F$19,2,FALSE)+1,10),DATE(RIGHT(B712,4),VLOOKUP(LEFT(B712,LEN(B712)-5),Feuil1!$E$3:$F$19,2,FALSE)+1,7))</f>
        <v>45298</v>
      </c>
      <c r="K712" s="19">
        <f t="shared" si="2"/>
        <v>1</v>
      </c>
      <c r="L712" s="6" t="str">
        <f t="shared" si="3"/>
        <v>FS</v>
      </c>
    </row>
    <row r="713" ht="14.25" customHeight="1">
      <c r="A713" s="14" t="str">
        <f>Base_report!A712</f>
        <v>N'ZI</v>
      </c>
      <c r="B713" s="14" t="str">
        <f>Base_report!B712</f>
        <v>DECEMBRE 2023</v>
      </c>
      <c r="C713" s="15" t="str">
        <f>Base_report!C712</f>
        <v>C2049</v>
      </c>
      <c r="D713" s="14" t="str">
        <f>TRIM(IF(ISNUMBER(FIND("PNSME",Base_report!D712,1)),SUBSTITUTE(Base_report!D712,"PNSME",""),IF(ISNUMBER(FIND("PHG",Base_report!D712,1)),SUBSTITUTE(Base_report!D712,"PHG",""),IF(ISNUMBER(FIND("PCS",Base_report!D712,1)),SUBSTITUTE(Base_report!D712,"PCS",""),IF(ISNUMBER(FIND("CMU",Base_report!D712,1)),SUBSTITUTE(Base_report!D712,"CMU",""),Base_report!D712)))))</f>
        <v>HOPITAL GENERAL BOCANDA</v>
      </c>
      <c r="E713" s="14" t="str">
        <f>SUBSTITUTE(Base_report!E712,"-","/")</f>
        <v>PNN/MEDICAMENTS ET INTRANTS</v>
      </c>
      <c r="F713" s="14" t="s">
        <v>788</v>
      </c>
      <c r="G713" s="16">
        <f>DATE(YEAR(SUBSTITUTE(LEFT(Base_report!F712,10),"-","/")),MONTH(SUBSTITUTE(LEFT(Base_report!F712,10),"-","/")),DAY(SUBSTITUTE(LEFT(Base_report!F712,10),"-","/")))</f>
        <v>45296</v>
      </c>
      <c r="H713" s="16">
        <f>DATE(YEAR(SUBSTITUTE(LEFT(Base_report!G712,10),"-","/")),MONTH(SUBSTITUTE(LEFT(Base_report!G712,10),"-","/")),DAY(SUBSTITUTE(LEFT(Base_report!G712,10),"-","/")))</f>
        <v>45297</v>
      </c>
      <c r="I713" s="17" t="str">
        <f t="shared" si="1"/>
        <v>OUI</v>
      </c>
      <c r="J713" s="18">
        <f>IF(L713="DS",DATE(RIGHT(B713,4),VLOOKUP(LEFT(B713,LEN(B713)-5),Feuil1!$E$3:$F$19,2,FALSE)+1,10),DATE(RIGHT(B713,4),VLOOKUP(LEFT(B713,LEN(B713)-5),Feuil1!$E$3:$F$19,2,FALSE)+1,7))</f>
        <v>45298</v>
      </c>
      <c r="K713" s="19">
        <f t="shared" si="2"/>
        <v>1</v>
      </c>
      <c r="L713" s="6" t="str">
        <f t="shared" si="3"/>
        <v>FS</v>
      </c>
    </row>
    <row r="714" ht="14.25" customHeight="1">
      <c r="A714" s="14" t="str">
        <f>Base_report!A713</f>
        <v>AGNEBY-TIASSA</v>
      </c>
      <c r="B714" s="14" t="str">
        <f>Base_report!B713</f>
        <v>DECEMBRE 2023</v>
      </c>
      <c r="C714" s="15" t="str">
        <f>Base_report!C713</f>
        <v>C1004</v>
      </c>
      <c r="D714" s="14" t="str">
        <f>TRIM(IF(ISNUMBER(FIND("PNSME",Base_report!D713,1)),SUBSTITUTE(Base_report!D713,"PNSME",""),IF(ISNUMBER(FIND("PHG",Base_report!D713,1)),SUBSTITUTE(Base_report!D713,"PHG",""),IF(ISNUMBER(FIND("PCS",Base_report!D713,1)),SUBSTITUTE(Base_report!D713,"PCS",""),IF(ISNUMBER(FIND("CMU",Base_report!D713,1)),SUBSTITUTE(Base_report!D713,"CMU",""),Base_report!D713)))))</f>
        <v>CHR AGBOVILLE</v>
      </c>
      <c r="E714" s="14" t="str">
        <f>SUBSTITUTE(Base_report!E713,"-","/")</f>
        <v>PNN/MEDICAMENTS ET INTRANTS</v>
      </c>
      <c r="F714" s="14" t="s">
        <v>788</v>
      </c>
      <c r="G714" s="16">
        <f>DATE(YEAR(SUBSTITUTE(LEFT(Base_report!F713,10),"-","/")),MONTH(SUBSTITUTE(LEFT(Base_report!F713,10),"-","/")),DAY(SUBSTITUTE(LEFT(Base_report!F713,10),"-","/")))</f>
        <v>45294</v>
      </c>
      <c r="H714" s="16">
        <f>DATE(YEAR(SUBSTITUTE(LEFT(Base_report!G713,10),"-","/")),MONTH(SUBSTITUTE(LEFT(Base_report!G713,10),"-","/")),DAY(SUBSTITUTE(LEFT(Base_report!G713,10),"-","/")))</f>
        <v>45295</v>
      </c>
      <c r="I714" s="17" t="str">
        <f t="shared" si="1"/>
        <v>OUI</v>
      </c>
      <c r="J714" s="18">
        <f>IF(L714="DS",DATE(RIGHT(B714,4),VLOOKUP(LEFT(B714,LEN(B714)-5),Feuil1!$E$3:$F$19,2,FALSE)+1,10),DATE(RIGHT(B714,4),VLOOKUP(LEFT(B714,LEN(B714)-5),Feuil1!$E$3:$F$19,2,FALSE)+1,7))</f>
        <v>45298</v>
      </c>
      <c r="K714" s="19">
        <f t="shared" si="2"/>
        <v>1</v>
      </c>
      <c r="L714" s="6" t="str">
        <f t="shared" si="3"/>
        <v>FS</v>
      </c>
    </row>
    <row r="715" ht="14.25" customHeight="1">
      <c r="A715" s="14" t="str">
        <f>Base_report!A714</f>
        <v>GBEKE</v>
      </c>
      <c r="B715" s="14" t="str">
        <f>Base_report!B714</f>
        <v>DECEMBRE 2023</v>
      </c>
      <c r="C715" s="15" t="str">
        <f>Base_report!C714</f>
        <v>C2224</v>
      </c>
      <c r="D715" s="14" t="str">
        <f>TRIM(IF(ISNUMBER(FIND("PNSME",Base_report!D714,1)),SUBSTITUTE(Base_report!D714,"PNSME",""),IF(ISNUMBER(FIND("PHG",Base_report!D714,1)),SUBSTITUTE(Base_report!D714,"PHG",""),IF(ISNUMBER(FIND("PCS",Base_report!D714,1)),SUBSTITUTE(Base_report!D714,"PCS",""),IF(ISNUMBER(FIND("CMU",Base_report!D714,1)),SUBSTITUTE(Base_report!D714,"CMU",""),Base_report!D714)))))</f>
        <v>HOPITAL GENERAL BOTRO</v>
      </c>
      <c r="E715" s="14" t="str">
        <f>SUBSTITUTE(Base_report!E714,"-","/")</f>
        <v>PNLS/ANTIRETROVIRAUX ET IO</v>
      </c>
      <c r="F715" s="14" t="s">
        <v>788</v>
      </c>
      <c r="G715" s="16">
        <f>DATE(YEAR(SUBSTITUTE(LEFT(Base_report!F714,10),"-","/")),MONTH(SUBSTITUTE(LEFT(Base_report!F714,10),"-","/")),DAY(SUBSTITUTE(LEFT(Base_report!F714,10),"-","/")))</f>
        <v>45300</v>
      </c>
      <c r="H715" s="16">
        <f>DATE(YEAR(SUBSTITUTE(LEFT(Base_report!G714,10),"-","/")),MONTH(SUBSTITUTE(LEFT(Base_report!G714,10),"-","/")),DAY(SUBSTITUTE(LEFT(Base_report!G714,10),"-","/")))</f>
        <v>45300</v>
      </c>
      <c r="I715" s="17" t="str">
        <f t="shared" si="1"/>
        <v>OUI</v>
      </c>
      <c r="J715" s="18">
        <f>IF(L715="DS",DATE(RIGHT(B715,4),VLOOKUP(LEFT(B715,LEN(B715)-5),Feuil1!$E$3:$F$19,2,FALSE)+1,10),DATE(RIGHT(B715,4),VLOOKUP(LEFT(B715,LEN(B715)-5),Feuil1!$E$3:$F$19,2,FALSE)+1,7))</f>
        <v>45298</v>
      </c>
      <c r="K715" s="19">
        <f t="shared" si="2"/>
        <v>0</v>
      </c>
      <c r="L715" s="6" t="str">
        <f t="shared" si="3"/>
        <v>FS</v>
      </c>
    </row>
    <row r="716" ht="14.25" customHeight="1">
      <c r="A716" s="14" t="str">
        <f>Base_report!A715</f>
        <v>ABIDJAN 1</v>
      </c>
      <c r="B716" s="14" t="str">
        <f>Base_report!B715</f>
        <v>DECEMBRE 2023</v>
      </c>
      <c r="C716" s="15" t="str">
        <f>Base_report!C715</f>
        <v>C1010</v>
      </c>
      <c r="D716" s="14" t="str">
        <f>TRIM(IF(ISNUMBER(FIND("PNSME",Base_report!D715,1)),SUBSTITUTE(Base_report!D715,"PNSME",""),IF(ISNUMBER(FIND("PHG",Base_report!D715,1)),SUBSTITUTE(Base_report!D715,"PHG",""),IF(ISNUMBER(FIND("PCS",Base_report!D715,1)),SUBSTITUTE(Base_report!D715,"PCS",""),IF(ISNUMBER(FIND("CMU",Base_report!D715,1)),SUBSTITUTE(Base_report!D715,"CMU",""),Base_report!D715)))))</f>
        <v>CSU COM ABOBO BANCO SUD</v>
      </c>
      <c r="E716" s="14" t="str">
        <f>SUBSTITUTE(Base_report!E715,"-","/")</f>
        <v>PNSME/MEDICAMENTS ET INTRANTS</v>
      </c>
      <c r="F716" s="14" t="s">
        <v>788</v>
      </c>
      <c r="G716" s="16">
        <f>DATE(YEAR(SUBSTITUTE(LEFT(Base_report!F715,10),"-","/")),MONTH(SUBSTITUTE(LEFT(Base_report!F715,10),"-","/")),DAY(SUBSTITUTE(LEFT(Base_report!F715,10),"-","/")))</f>
        <v>45294</v>
      </c>
      <c r="H716" s="16">
        <f>DATE(YEAR(SUBSTITUTE(LEFT(Base_report!G715,10),"-","/")),MONTH(SUBSTITUTE(LEFT(Base_report!G715,10),"-","/")),DAY(SUBSTITUTE(LEFT(Base_report!G715,10),"-","/")))</f>
        <v>45295</v>
      </c>
      <c r="I716" s="17" t="str">
        <f t="shared" si="1"/>
        <v>OUI</v>
      </c>
      <c r="J716" s="18">
        <f>IF(L716="DS",DATE(RIGHT(B716,4),VLOOKUP(LEFT(B716,LEN(B716)-5),Feuil1!$E$3:$F$19,2,FALSE)+1,10),DATE(RIGHT(B716,4),VLOOKUP(LEFT(B716,LEN(B716)-5),Feuil1!$E$3:$F$19,2,FALSE)+1,7))</f>
        <v>45298</v>
      </c>
      <c r="K716" s="19">
        <f t="shared" si="2"/>
        <v>1</v>
      </c>
      <c r="L716" s="6" t="str">
        <f t="shared" si="3"/>
        <v>FS</v>
      </c>
    </row>
    <row r="717" ht="14.25" customHeight="1">
      <c r="A717" s="14" t="str">
        <f>Base_report!A716</f>
        <v>SUD-COMOE</v>
      </c>
      <c r="B717" s="14" t="str">
        <f>Base_report!B716</f>
        <v>DECEMBRE 2023</v>
      </c>
      <c r="C717" s="15" t="str">
        <f>Base_report!C716</f>
        <v>C1085</v>
      </c>
      <c r="D717" s="14" t="str">
        <f>TRIM(IF(ISNUMBER(FIND("PNSME",Base_report!D716,1)),SUBSTITUTE(Base_report!D716,"PNSME",""),IF(ISNUMBER(FIND("PHG",Base_report!D716,1)),SUBSTITUTE(Base_report!D716,"PHG",""),IF(ISNUMBER(FIND("PCS",Base_report!D716,1)),SUBSTITUTE(Base_report!D716,"PCS",""),IF(ISNUMBER(FIND("CMU",Base_report!D716,1)),SUBSTITUTE(Base_report!D716,"CMU",""),Base_report!D716)))))</f>
        <v>HOPITAL GENERAL AYAME</v>
      </c>
      <c r="E717" s="14" t="str">
        <f>SUBSTITUTE(Base_report!E716,"-","/")</f>
        <v>PNSME_GRATUITE:MEDICAMENTS ET INTRANTS</v>
      </c>
      <c r="F717" s="14" t="s">
        <v>788</v>
      </c>
      <c r="G717" s="16">
        <f>DATE(YEAR(SUBSTITUTE(LEFT(Base_report!F716,10),"-","/")),MONTH(SUBSTITUTE(LEFT(Base_report!F716,10),"-","/")),DAY(SUBSTITUTE(LEFT(Base_report!F716,10),"-","/")))</f>
        <v>45295</v>
      </c>
      <c r="H717" s="16">
        <f>DATE(YEAR(SUBSTITUTE(LEFT(Base_report!G716,10),"-","/")),MONTH(SUBSTITUTE(LEFT(Base_report!G716,10),"-","/")),DAY(SUBSTITUTE(LEFT(Base_report!G716,10),"-","/")))</f>
        <v>45295</v>
      </c>
      <c r="I717" s="17" t="str">
        <f t="shared" si="1"/>
        <v>OUI</v>
      </c>
      <c r="J717" s="18">
        <f>IF(L717="DS",DATE(RIGHT(B717,4),VLOOKUP(LEFT(B717,LEN(B717)-5),Feuil1!$E$3:$F$19,2,FALSE)+1,10),DATE(RIGHT(B717,4),VLOOKUP(LEFT(B717,LEN(B717)-5),Feuil1!$E$3:$F$19,2,FALSE)+1,7))</f>
        <v>45298</v>
      </c>
      <c r="K717" s="19">
        <f t="shared" si="2"/>
        <v>1</v>
      </c>
      <c r="L717" s="6" t="str">
        <f t="shared" si="3"/>
        <v>FS</v>
      </c>
    </row>
    <row r="718" ht="14.25" customHeight="1">
      <c r="A718" s="14" t="str">
        <f>Base_report!A717</f>
        <v>ABIDJAN 1</v>
      </c>
      <c r="B718" s="14" t="str">
        <f>Base_report!B717</f>
        <v>DECEMBRE 2023</v>
      </c>
      <c r="C718" s="15" t="str">
        <f>Base_report!C717</f>
        <v>C1409</v>
      </c>
      <c r="D718" s="14" t="str">
        <f>TRIM(IF(ISNUMBER(FIND("PNSME",Base_report!D717,1)),SUBSTITUTE(Base_report!D717,"PNSME",""),IF(ISNUMBER(FIND("PHG",Base_report!D717,1)),SUBSTITUTE(Base_report!D717,"PHG",""),IF(ISNUMBER(FIND("PCS",Base_report!D717,1)),SUBSTITUTE(Base_report!D717,"PCS",""),IF(ISNUMBER(FIND("CMU",Base_report!D717,1)),SUBSTITUTE(Base_report!D717,"CMU",""),Base_report!D717)))))</f>
        <v>CS NAZAREEN</v>
      </c>
      <c r="E718" s="14" t="str">
        <f>SUBSTITUTE(Base_report!E717,"-","/")</f>
        <v>PNLS/PRODUITS DE LABORATOIRE</v>
      </c>
      <c r="F718" s="14" t="s">
        <v>788</v>
      </c>
      <c r="G718" s="16">
        <f>DATE(YEAR(SUBSTITUTE(LEFT(Base_report!F717,10),"-","/")),MONTH(SUBSTITUTE(LEFT(Base_report!F717,10),"-","/")),DAY(SUBSTITUTE(LEFT(Base_report!F717,10),"-","/")))</f>
        <v>45294</v>
      </c>
      <c r="H718" s="16">
        <f>DATE(YEAR(SUBSTITUTE(LEFT(Base_report!G717,10),"-","/")),MONTH(SUBSTITUTE(LEFT(Base_report!G717,10),"-","/")),DAY(SUBSTITUTE(LEFT(Base_report!G717,10),"-","/")))</f>
        <v>45296</v>
      </c>
      <c r="I718" s="17" t="str">
        <f t="shared" si="1"/>
        <v>OUI</v>
      </c>
      <c r="J718" s="18">
        <f>IF(L718="DS",DATE(RIGHT(B718,4),VLOOKUP(LEFT(B718,LEN(B718)-5),Feuil1!$E$3:$F$19,2,FALSE)+1,10),DATE(RIGHT(B718,4),VLOOKUP(LEFT(B718,LEN(B718)-5),Feuil1!$E$3:$F$19,2,FALSE)+1,7))</f>
        <v>45298</v>
      </c>
      <c r="K718" s="19">
        <f t="shared" si="2"/>
        <v>1</v>
      </c>
      <c r="L718" s="6" t="str">
        <f t="shared" si="3"/>
        <v>FS</v>
      </c>
    </row>
    <row r="719" ht="14.25" customHeight="1">
      <c r="A719" s="14" t="str">
        <f>Base_report!A718</f>
        <v>AGNEBY-TIASSA</v>
      </c>
      <c r="B719" s="14" t="str">
        <f>Base_report!B718</f>
        <v>DECEMBRE 2023</v>
      </c>
      <c r="C719" s="15" t="str">
        <f>Base_report!C718</f>
        <v>C1098</v>
      </c>
      <c r="D719" s="14" t="str">
        <f>TRIM(IF(ISNUMBER(FIND("PNSME",Base_report!D718,1)),SUBSTITUTE(Base_report!D718,"PNSME",""),IF(ISNUMBER(FIND("PHG",Base_report!D718,1)),SUBSTITUTE(Base_report!D718,"PHG",""),IF(ISNUMBER(FIND("PCS",Base_report!D718,1)),SUBSTITUTE(Base_report!D718,"PCS",""),IF(ISNUMBER(FIND("CMU",Base_report!D718,1)),SUBSTITUTE(Base_report!D718,"CMU",""),Base_report!D718)))))</f>
        <v>HOPITAL GENERAL SIKENSI</v>
      </c>
      <c r="E719" s="14" t="str">
        <f>SUBSTITUTE(Base_report!E718,"-","/")</f>
        <v>PNLS/PRODUITS DE LABORATOIRE</v>
      </c>
      <c r="F719" s="14" t="s">
        <v>788</v>
      </c>
      <c r="G719" s="16">
        <f>DATE(YEAR(SUBSTITUTE(LEFT(Base_report!F718,10),"-","/")),MONTH(SUBSTITUTE(LEFT(Base_report!F718,10),"-","/")),DAY(SUBSTITUTE(LEFT(Base_report!F718,10),"-","/")))</f>
        <v>45294</v>
      </c>
      <c r="H719" s="16">
        <f>DATE(YEAR(SUBSTITUTE(LEFT(Base_report!G718,10),"-","/")),MONTH(SUBSTITUTE(LEFT(Base_report!G718,10),"-","/")),DAY(SUBSTITUTE(LEFT(Base_report!G718,10),"-","/")))</f>
        <v>45295</v>
      </c>
      <c r="I719" s="17" t="str">
        <f t="shared" si="1"/>
        <v>OUI</v>
      </c>
      <c r="J719" s="18">
        <f>IF(L719="DS",DATE(RIGHT(B719,4),VLOOKUP(LEFT(B719,LEN(B719)-5),Feuil1!$E$3:$F$19,2,FALSE)+1,10),DATE(RIGHT(B719,4),VLOOKUP(LEFT(B719,LEN(B719)-5),Feuil1!$E$3:$F$19,2,FALSE)+1,7))</f>
        <v>45298</v>
      </c>
      <c r="K719" s="19">
        <f t="shared" si="2"/>
        <v>1</v>
      </c>
      <c r="L719" s="6" t="str">
        <f t="shared" si="3"/>
        <v>FS</v>
      </c>
    </row>
    <row r="720" ht="14.25" customHeight="1">
      <c r="A720" s="14" t="str">
        <f>Base_report!A719</f>
        <v>KABADOUGOU</v>
      </c>
      <c r="B720" s="14" t="str">
        <f>Base_report!B719</f>
        <v>DECEMBRE 2023</v>
      </c>
      <c r="C720" s="15" t="str">
        <f>Base_report!C719</f>
        <v>C5003</v>
      </c>
      <c r="D720" s="14" t="str">
        <f>TRIM(IF(ISNUMBER(FIND("PNSME",Base_report!D719,1)),SUBSTITUTE(Base_report!D719,"PNSME",""),IF(ISNUMBER(FIND("PHG",Base_report!D719,1)),SUBSTITUTE(Base_report!D719,"PHG",""),IF(ISNUMBER(FIND("PCS",Base_report!D719,1)),SUBSTITUTE(Base_report!D719,"PCS",""),IF(ISNUMBER(FIND("CMU",Base_report!D719,1)),SUBSTITUTE(Base_report!D719,"CMU",""),Base_report!D719)))))</f>
        <v>CHR ODIENNE</v>
      </c>
      <c r="E720" s="14" t="str">
        <f>SUBSTITUTE(Base_report!E719,"-","/")</f>
        <v>PNN/MEDICAMENTS ET INTRANTS</v>
      </c>
      <c r="F720" s="14" t="s">
        <v>788</v>
      </c>
      <c r="G720" s="16">
        <f>DATE(YEAR(SUBSTITUTE(LEFT(Base_report!F719,10),"-","/")),MONTH(SUBSTITUTE(LEFT(Base_report!F719,10),"-","/")),DAY(SUBSTITUTE(LEFT(Base_report!F719,10),"-","/")))</f>
        <v>45296</v>
      </c>
      <c r="H720" s="16">
        <f>DATE(YEAR(SUBSTITUTE(LEFT(Base_report!G719,10),"-","/")),MONTH(SUBSTITUTE(LEFT(Base_report!G719,10),"-","/")),DAY(SUBSTITUTE(LEFT(Base_report!G719,10),"-","/")))</f>
        <v>45297</v>
      </c>
      <c r="I720" s="17" t="str">
        <f t="shared" si="1"/>
        <v>OUI</v>
      </c>
      <c r="J720" s="18">
        <f>IF(L720="DS",DATE(RIGHT(B720,4),VLOOKUP(LEFT(B720,LEN(B720)-5),Feuil1!$E$3:$F$19,2,FALSE)+1,10),DATE(RIGHT(B720,4),VLOOKUP(LEFT(B720,LEN(B720)-5),Feuil1!$E$3:$F$19,2,FALSE)+1,7))</f>
        <v>45298</v>
      </c>
      <c r="K720" s="19">
        <f t="shared" si="2"/>
        <v>1</v>
      </c>
      <c r="L720" s="6" t="str">
        <f t="shared" si="3"/>
        <v>FS</v>
      </c>
    </row>
    <row r="721" ht="14.25" customHeight="1">
      <c r="A721" s="14" t="str">
        <f>Base_report!A720</f>
        <v>ABIDJAN 1</v>
      </c>
      <c r="B721" s="14" t="str">
        <f>Base_report!B720</f>
        <v>DECEMBRE 2023</v>
      </c>
      <c r="C721" s="15" t="str">
        <f>Base_report!C720</f>
        <v>C1409</v>
      </c>
      <c r="D721" s="14" t="str">
        <f>TRIM(IF(ISNUMBER(FIND("PNSME",Base_report!D720,1)),SUBSTITUTE(Base_report!D720,"PNSME",""),IF(ISNUMBER(FIND("PHG",Base_report!D720,1)),SUBSTITUTE(Base_report!D720,"PHG",""),IF(ISNUMBER(FIND("PCS",Base_report!D720,1)),SUBSTITUTE(Base_report!D720,"PCS",""),IF(ISNUMBER(FIND("CMU",Base_report!D720,1)),SUBSTITUTE(Base_report!D720,"CMU",""),Base_report!D720)))))</f>
        <v>CS NAZAREEN</v>
      </c>
      <c r="E721" s="14" t="str">
        <f>SUBSTITUTE(Base_report!E720,"-","/")</f>
        <v>PNLS/TESTS RAPIDES ET CONSOMMABLES</v>
      </c>
      <c r="F721" s="14" t="s">
        <v>788</v>
      </c>
      <c r="G721" s="16">
        <f>DATE(YEAR(SUBSTITUTE(LEFT(Base_report!F720,10),"-","/")),MONTH(SUBSTITUTE(LEFT(Base_report!F720,10),"-","/")),DAY(SUBSTITUTE(LEFT(Base_report!F720,10),"-","/")))</f>
        <v>45294</v>
      </c>
      <c r="H721" s="16">
        <f>DATE(YEAR(SUBSTITUTE(LEFT(Base_report!G720,10),"-","/")),MONTH(SUBSTITUTE(LEFT(Base_report!G720,10),"-","/")),DAY(SUBSTITUTE(LEFT(Base_report!G720,10),"-","/")))</f>
        <v>45296</v>
      </c>
      <c r="I721" s="17" t="str">
        <f t="shared" si="1"/>
        <v>OUI</v>
      </c>
      <c r="J721" s="18">
        <f>IF(L721="DS",DATE(RIGHT(B721,4),VLOOKUP(LEFT(B721,LEN(B721)-5),Feuil1!$E$3:$F$19,2,FALSE)+1,10),DATE(RIGHT(B721,4),VLOOKUP(LEFT(B721,LEN(B721)-5),Feuil1!$E$3:$F$19,2,FALSE)+1,7))</f>
        <v>45298</v>
      </c>
      <c r="K721" s="19">
        <f t="shared" si="2"/>
        <v>1</v>
      </c>
      <c r="L721" s="6" t="str">
        <f t="shared" si="3"/>
        <v>FS</v>
      </c>
    </row>
    <row r="722" ht="14.25" customHeight="1">
      <c r="A722" s="14" t="str">
        <f>Base_report!A721</f>
        <v>BELIER</v>
      </c>
      <c r="B722" s="14" t="str">
        <f>Base_report!B721</f>
        <v>DECEMBRE 2023</v>
      </c>
      <c r="C722" s="15" t="str">
        <f>Base_report!C721</f>
        <v>C2052</v>
      </c>
      <c r="D722" s="14" t="str">
        <f>TRIM(IF(ISNUMBER(FIND("PNSME",Base_report!D721,1)),SUBSTITUTE(Base_report!D721,"PNSME",""),IF(ISNUMBER(FIND("PHG",Base_report!D721,1)),SUBSTITUTE(Base_report!D721,"PHG",""),IF(ISNUMBER(FIND("PCS",Base_report!D721,1)),SUBSTITUTE(Base_report!D721,"PCS",""),IF(ISNUMBER(FIND("CMU",Base_report!D721,1)),SUBSTITUTE(Base_report!D721,"CMU",""),Base_report!D721)))))</f>
        <v>HOPITAL GENERAL DJEKANOU</v>
      </c>
      <c r="E722" s="14" t="str">
        <f>SUBSTITUTE(Base_report!E721,"-","/")</f>
        <v>PNLS/PRODUITS DE LABORATOIRE</v>
      </c>
      <c r="F722" s="14" t="s">
        <v>788</v>
      </c>
      <c r="G722" s="16">
        <f>DATE(YEAR(SUBSTITUTE(LEFT(Base_report!F721,10),"-","/")),MONTH(SUBSTITUTE(LEFT(Base_report!F721,10),"-","/")),DAY(SUBSTITUTE(LEFT(Base_report!F721,10),"-","/")))</f>
        <v>45295</v>
      </c>
      <c r="H722" s="16">
        <f>DATE(YEAR(SUBSTITUTE(LEFT(Base_report!G721,10),"-","/")),MONTH(SUBSTITUTE(LEFT(Base_report!G721,10),"-","/")),DAY(SUBSTITUTE(LEFT(Base_report!G721,10),"-","/")))</f>
        <v>45296</v>
      </c>
      <c r="I722" s="17" t="str">
        <f t="shared" si="1"/>
        <v>OUI</v>
      </c>
      <c r="J722" s="18">
        <f>IF(L722="DS",DATE(RIGHT(B722,4),VLOOKUP(LEFT(B722,LEN(B722)-5),Feuil1!$E$3:$F$19,2,FALSE)+1,10),DATE(RIGHT(B722,4),VLOOKUP(LEFT(B722,LEN(B722)-5),Feuil1!$E$3:$F$19,2,FALSE)+1,7))</f>
        <v>45298</v>
      </c>
      <c r="K722" s="19">
        <f t="shared" si="2"/>
        <v>1</v>
      </c>
      <c r="L722" s="6" t="str">
        <f t="shared" si="3"/>
        <v>FS</v>
      </c>
    </row>
    <row r="723" ht="14.25" customHeight="1">
      <c r="A723" s="14" t="str">
        <f>Base_report!A722</f>
        <v>ABIDJAN 2</v>
      </c>
      <c r="B723" s="14" t="str">
        <f>Base_report!B722</f>
        <v>DECEMBRE 2023</v>
      </c>
      <c r="C723" s="15" t="str">
        <f>Base_report!C722</f>
        <v>C1058</v>
      </c>
      <c r="D723" s="14" t="str">
        <f>TRIM(IF(ISNUMBER(FIND("PNSME",Base_report!D722,1)),SUBSTITUTE(Base_report!D722,"PNSME",""),IF(ISNUMBER(FIND("PHG",Base_report!D722,1)),SUBSTITUTE(Base_report!D722,"PHG",""),IF(ISNUMBER(FIND("PCS",Base_report!D722,1)),SUBSTITUTE(Base_report!D722,"PCS",""),IF(ISNUMBER(FIND("CMU",Base_report!D722,1)),SUBSTITUTE(Base_report!D722,"CMU",""),Base_report!D722)))))</f>
        <v>HOPITAL GENERAL KOUMASSI</v>
      </c>
      <c r="E723" s="14" t="str">
        <f>SUBSTITUTE(Base_report!E722,"-","/")</f>
        <v>PNLS/ANTIRETROVIRAUX ET IO</v>
      </c>
      <c r="F723" s="14" t="s">
        <v>788</v>
      </c>
      <c r="G723" s="16">
        <f>DATE(YEAR(SUBSTITUTE(LEFT(Base_report!F722,10),"-","/")),MONTH(SUBSTITUTE(LEFT(Base_report!F722,10),"-","/")),DAY(SUBSTITUTE(LEFT(Base_report!F722,10),"-","/")))</f>
        <v>45294</v>
      </c>
      <c r="H723" s="16">
        <f>DATE(YEAR(SUBSTITUTE(LEFT(Base_report!G722,10),"-","/")),MONTH(SUBSTITUTE(LEFT(Base_report!G722,10),"-","/")),DAY(SUBSTITUTE(LEFT(Base_report!G722,10),"-","/")))</f>
        <v>45296</v>
      </c>
      <c r="I723" s="17" t="str">
        <f t="shared" si="1"/>
        <v>OUI</v>
      </c>
      <c r="J723" s="18">
        <f>IF(L723="DS",DATE(RIGHT(B723,4),VLOOKUP(LEFT(B723,LEN(B723)-5),Feuil1!$E$3:$F$19,2,FALSE)+1,10),DATE(RIGHT(B723,4),VLOOKUP(LEFT(B723,LEN(B723)-5),Feuil1!$E$3:$F$19,2,FALSE)+1,7))</f>
        <v>45298</v>
      </c>
      <c r="K723" s="19">
        <f t="shared" si="2"/>
        <v>1</v>
      </c>
      <c r="L723" s="6" t="str">
        <f t="shared" si="3"/>
        <v>FS</v>
      </c>
    </row>
    <row r="724" ht="14.25" customHeight="1">
      <c r="A724" s="14" t="str">
        <f>Base_report!A723</f>
        <v>HAMBOL</v>
      </c>
      <c r="B724" s="14" t="str">
        <f>Base_report!B723</f>
        <v>DECEMBRE 2023</v>
      </c>
      <c r="C724" s="15" t="str">
        <f>Base_report!C723</f>
        <v>C3013</v>
      </c>
      <c r="D724" s="14" t="str">
        <f>TRIM(IF(ISNUMBER(FIND("PNSME",Base_report!D723,1)),SUBSTITUTE(Base_report!D723,"PNSME",""),IF(ISNUMBER(FIND("PHG",Base_report!D723,1)),SUBSTITUTE(Base_report!D723,"PHG",""),IF(ISNUMBER(FIND("PCS",Base_report!D723,1)),SUBSTITUTE(Base_report!D723,"PCS",""),IF(ISNUMBER(FIND("CMU",Base_report!D723,1)),SUBSTITUTE(Base_report!D723,"CMU",""),Base_report!D723)))))</f>
        <v>CHR KATIOLA</v>
      </c>
      <c r="E724" s="14" t="str">
        <f>SUBSTITUTE(Base_report!E723,"-","/")</f>
        <v>PNLS/CHARGES VIRALES</v>
      </c>
      <c r="F724" s="14" t="s">
        <v>788</v>
      </c>
      <c r="G724" s="16">
        <f>DATE(YEAR(SUBSTITUTE(LEFT(Base_report!F723,10),"-","/")),MONTH(SUBSTITUTE(LEFT(Base_report!F723,10),"-","/")),DAY(SUBSTITUTE(LEFT(Base_report!F723,10),"-","/")))</f>
        <v>45298</v>
      </c>
      <c r="H724" s="16">
        <f>DATE(YEAR(SUBSTITUTE(LEFT(Base_report!G723,10),"-","/")),MONTH(SUBSTITUTE(LEFT(Base_report!G723,10),"-","/")),DAY(SUBSTITUTE(LEFT(Base_report!G723,10),"-","/")))</f>
        <v>45298</v>
      </c>
      <c r="I724" s="17" t="str">
        <f t="shared" si="1"/>
        <v>OUI</v>
      </c>
      <c r="J724" s="18">
        <f>IF(L724="DS",DATE(RIGHT(B724,4),VLOOKUP(LEFT(B724,LEN(B724)-5),Feuil1!$E$3:$F$19,2,FALSE)+1,10),DATE(RIGHT(B724,4),VLOOKUP(LEFT(B724,LEN(B724)-5),Feuil1!$E$3:$F$19,2,FALSE)+1,7))</f>
        <v>45298</v>
      </c>
      <c r="K724" s="19">
        <f t="shared" si="2"/>
        <v>1</v>
      </c>
      <c r="L724" s="6" t="str">
        <f t="shared" si="3"/>
        <v>FS</v>
      </c>
    </row>
    <row r="725" ht="14.25" customHeight="1">
      <c r="A725" s="14" t="str">
        <f>Base_report!A724</f>
        <v>BELIER</v>
      </c>
      <c r="B725" s="14" t="str">
        <f>Base_report!B724</f>
        <v>DECEMBRE 2023</v>
      </c>
      <c r="C725" s="15" t="str">
        <f>Base_report!C724</f>
        <v>C2052</v>
      </c>
      <c r="D725" s="14" t="str">
        <f>TRIM(IF(ISNUMBER(FIND("PNSME",Base_report!D724,1)),SUBSTITUTE(Base_report!D724,"PNSME",""),IF(ISNUMBER(FIND("PHG",Base_report!D724,1)),SUBSTITUTE(Base_report!D724,"PHG",""),IF(ISNUMBER(FIND("PCS",Base_report!D724,1)),SUBSTITUTE(Base_report!D724,"PCS",""),IF(ISNUMBER(FIND("CMU",Base_report!D724,1)),SUBSTITUTE(Base_report!D724,"CMU",""),Base_report!D724)))))</f>
        <v>HOPITAL GENERAL DJEKANOU</v>
      </c>
      <c r="E725" s="14" t="str">
        <f>SUBSTITUTE(Base_report!E724,"-","/")</f>
        <v>PNLP/MEDICAMENTS ET INTRANTS</v>
      </c>
      <c r="F725" s="14" t="s">
        <v>788</v>
      </c>
      <c r="G725" s="16">
        <f>DATE(YEAR(SUBSTITUTE(LEFT(Base_report!F724,10),"-","/")),MONTH(SUBSTITUTE(LEFT(Base_report!F724,10),"-","/")),DAY(SUBSTITUTE(LEFT(Base_report!F724,10),"-","/")))</f>
        <v>45294</v>
      </c>
      <c r="H725" s="16">
        <f>DATE(YEAR(SUBSTITUTE(LEFT(Base_report!G724,10),"-","/")),MONTH(SUBSTITUTE(LEFT(Base_report!G724,10),"-","/")),DAY(SUBSTITUTE(LEFT(Base_report!G724,10),"-","/")))</f>
        <v>45295</v>
      </c>
      <c r="I725" s="17" t="str">
        <f t="shared" si="1"/>
        <v>OUI</v>
      </c>
      <c r="J725" s="18">
        <f>IF(L725="DS",DATE(RIGHT(B725,4),VLOOKUP(LEFT(B725,LEN(B725)-5),Feuil1!$E$3:$F$19,2,FALSE)+1,10),DATE(RIGHT(B725,4),VLOOKUP(LEFT(B725,LEN(B725)-5),Feuil1!$E$3:$F$19,2,FALSE)+1,7))</f>
        <v>45298</v>
      </c>
      <c r="K725" s="19">
        <f t="shared" si="2"/>
        <v>1</v>
      </c>
      <c r="L725" s="6" t="str">
        <f t="shared" si="3"/>
        <v>FS</v>
      </c>
    </row>
    <row r="726" ht="14.25" customHeight="1">
      <c r="A726" s="14" t="str">
        <f>Base_report!A725</f>
        <v>BELIER</v>
      </c>
      <c r="B726" s="14" t="str">
        <f>Base_report!B725</f>
        <v>DECEMBRE 2023</v>
      </c>
      <c r="C726" s="15" t="str">
        <f>Base_report!C725</f>
        <v>C2052</v>
      </c>
      <c r="D726" s="14" t="str">
        <f>TRIM(IF(ISNUMBER(FIND("PNSME",Base_report!D725,1)),SUBSTITUTE(Base_report!D725,"PNSME",""),IF(ISNUMBER(FIND("PHG",Base_report!D725,1)),SUBSTITUTE(Base_report!D725,"PHG",""),IF(ISNUMBER(FIND("PCS",Base_report!D725,1)),SUBSTITUTE(Base_report!D725,"PCS",""),IF(ISNUMBER(FIND("CMU",Base_report!D725,1)),SUBSTITUTE(Base_report!D725,"CMU",""),Base_report!D725)))))</f>
        <v>HOPITAL GENERAL DJEKANOU</v>
      </c>
      <c r="E726" s="14" t="str">
        <f>SUBSTITUTE(Base_report!E725,"-","/")</f>
        <v>PNLS/TESTS RAPIDES ET CONSOMMABLES</v>
      </c>
      <c r="F726" s="14" t="s">
        <v>788</v>
      </c>
      <c r="G726" s="16">
        <f>DATE(YEAR(SUBSTITUTE(LEFT(Base_report!F725,10),"-","/")),MONTH(SUBSTITUTE(LEFT(Base_report!F725,10),"-","/")),DAY(SUBSTITUTE(LEFT(Base_report!F725,10),"-","/")))</f>
        <v>45296</v>
      </c>
      <c r="H726" s="16">
        <f>DATE(YEAR(SUBSTITUTE(LEFT(Base_report!G725,10),"-","/")),MONTH(SUBSTITUTE(LEFT(Base_report!G725,10),"-","/")),DAY(SUBSTITUTE(LEFT(Base_report!G725,10),"-","/")))</f>
        <v>45296</v>
      </c>
      <c r="I726" s="17" t="str">
        <f t="shared" si="1"/>
        <v>OUI</v>
      </c>
      <c r="J726" s="18">
        <f>IF(L726="DS",DATE(RIGHT(B726,4),VLOOKUP(LEFT(B726,LEN(B726)-5),Feuil1!$E$3:$F$19,2,FALSE)+1,10),DATE(RIGHT(B726,4),VLOOKUP(LEFT(B726,LEN(B726)-5),Feuil1!$E$3:$F$19,2,FALSE)+1,7))</f>
        <v>45298</v>
      </c>
      <c r="K726" s="19">
        <f t="shared" si="2"/>
        <v>1</v>
      </c>
      <c r="L726" s="6" t="str">
        <f t="shared" si="3"/>
        <v>FS</v>
      </c>
    </row>
    <row r="727" ht="14.25" customHeight="1">
      <c r="A727" s="14" t="str">
        <f>Base_report!A726</f>
        <v>GBEKE</v>
      </c>
      <c r="B727" s="14" t="str">
        <f>Base_report!B726</f>
        <v>DECEMBRE 2023</v>
      </c>
      <c r="C727" s="15" t="str">
        <f>Base_report!C726</f>
        <v>C2224</v>
      </c>
      <c r="D727" s="14" t="str">
        <f>TRIM(IF(ISNUMBER(FIND("PNSME",Base_report!D726,1)),SUBSTITUTE(Base_report!D726,"PNSME",""),IF(ISNUMBER(FIND("PHG",Base_report!D726,1)),SUBSTITUTE(Base_report!D726,"PHG",""),IF(ISNUMBER(FIND("PCS",Base_report!D726,1)),SUBSTITUTE(Base_report!D726,"PCS",""),IF(ISNUMBER(FIND("CMU",Base_report!D726,1)),SUBSTITUTE(Base_report!D726,"CMU",""),Base_report!D726)))))</f>
        <v>HOPITAL GENERAL BOTRO</v>
      </c>
      <c r="E727" s="14" t="str">
        <f>SUBSTITUTE(Base_report!E726,"-","/")</f>
        <v>PNLS/TESTS RAPIDES ET CONSOMMABLES</v>
      </c>
      <c r="F727" s="14" t="s">
        <v>788</v>
      </c>
      <c r="G727" s="16">
        <f>DATE(YEAR(SUBSTITUTE(LEFT(Base_report!F726,10),"-","/")),MONTH(SUBSTITUTE(LEFT(Base_report!F726,10),"-","/")),DAY(SUBSTITUTE(LEFT(Base_report!F726,10),"-","/")))</f>
        <v>45300</v>
      </c>
      <c r="H727" s="16">
        <f>DATE(YEAR(SUBSTITUTE(LEFT(Base_report!G726,10),"-","/")),MONTH(SUBSTITUTE(LEFT(Base_report!G726,10),"-","/")),DAY(SUBSTITUTE(LEFT(Base_report!G726,10),"-","/")))</f>
        <v>45300</v>
      </c>
      <c r="I727" s="17" t="str">
        <f t="shared" si="1"/>
        <v>OUI</v>
      </c>
      <c r="J727" s="18">
        <f>IF(L727="DS",DATE(RIGHT(B727,4),VLOOKUP(LEFT(B727,LEN(B727)-5),Feuil1!$E$3:$F$19,2,FALSE)+1,10),DATE(RIGHT(B727,4),VLOOKUP(LEFT(B727,LEN(B727)-5),Feuil1!$E$3:$F$19,2,FALSE)+1,7))</f>
        <v>45298</v>
      </c>
      <c r="K727" s="19">
        <f t="shared" si="2"/>
        <v>0</v>
      </c>
      <c r="L727" s="6" t="str">
        <f t="shared" si="3"/>
        <v>FS</v>
      </c>
    </row>
    <row r="728" ht="14.25" customHeight="1">
      <c r="A728" s="14" t="str">
        <f>Base_report!A727</f>
        <v>ABIDJAN 2</v>
      </c>
      <c r="B728" s="14" t="str">
        <f>Base_report!B727</f>
        <v>DECEMBRE 2023</v>
      </c>
      <c r="C728" s="15" t="str">
        <f>Base_report!C727</f>
        <v>C1058</v>
      </c>
      <c r="D728" s="14" t="str">
        <f>TRIM(IF(ISNUMBER(FIND("PNSME",Base_report!D727,1)),SUBSTITUTE(Base_report!D727,"PNSME",""),IF(ISNUMBER(FIND("PHG",Base_report!D727,1)),SUBSTITUTE(Base_report!D727,"PHG",""),IF(ISNUMBER(FIND("PCS",Base_report!D727,1)),SUBSTITUTE(Base_report!D727,"PCS",""),IF(ISNUMBER(FIND("CMU",Base_report!D727,1)),SUBSTITUTE(Base_report!D727,"CMU",""),Base_report!D727)))))</f>
        <v>HOPITAL GENERAL KOUMASSI</v>
      </c>
      <c r="E728" s="14" t="str">
        <f>SUBSTITUTE(Base_report!E727,"-","/")</f>
        <v>PNLS/PRODUITS DE LABORATOIRE</v>
      </c>
      <c r="F728" s="14" t="s">
        <v>788</v>
      </c>
      <c r="G728" s="16">
        <f>DATE(YEAR(SUBSTITUTE(LEFT(Base_report!F727,10),"-","/")),MONTH(SUBSTITUTE(LEFT(Base_report!F727,10),"-","/")),DAY(SUBSTITUTE(LEFT(Base_report!F727,10),"-","/")))</f>
        <v>45294</v>
      </c>
      <c r="H728" s="16">
        <f>DATE(YEAR(SUBSTITUTE(LEFT(Base_report!G727,10),"-","/")),MONTH(SUBSTITUTE(LEFT(Base_report!G727,10),"-","/")),DAY(SUBSTITUTE(LEFT(Base_report!G727,10),"-","/")))</f>
        <v>45296</v>
      </c>
      <c r="I728" s="17" t="str">
        <f t="shared" si="1"/>
        <v>OUI</v>
      </c>
      <c r="J728" s="18">
        <f>IF(L728="DS",DATE(RIGHT(B728,4),VLOOKUP(LEFT(B728,LEN(B728)-5),Feuil1!$E$3:$F$19,2,FALSE)+1,10),DATE(RIGHT(B728,4),VLOOKUP(LEFT(B728,LEN(B728)-5),Feuil1!$E$3:$F$19,2,FALSE)+1,7))</f>
        <v>45298</v>
      </c>
      <c r="K728" s="19">
        <f t="shared" si="2"/>
        <v>1</v>
      </c>
      <c r="L728" s="6" t="str">
        <f t="shared" si="3"/>
        <v>FS</v>
      </c>
    </row>
    <row r="729" ht="14.25" customHeight="1">
      <c r="A729" s="14" t="str">
        <f>Base_report!A728</f>
        <v>ABIDJAN 2</v>
      </c>
      <c r="B729" s="14" t="str">
        <f>Base_report!B728</f>
        <v>DECEMBRE 2023</v>
      </c>
      <c r="C729" s="15" t="str">
        <f>Base_report!C728</f>
        <v>C1058</v>
      </c>
      <c r="D729" s="14" t="str">
        <f>TRIM(IF(ISNUMBER(FIND("PNSME",Base_report!D728,1)),SUBSTITUTE(Base_report!D728,"PNSME",""),IF(ISNUMBER(FIND("PHG",Base_report!D728,1)),SUBSTITUTE(Base_report!D728,"PHG",""),IF(ISNUMBER(FIND("PCS",Base_report!D728,1)),SUBSTITUTE(Base_report!D728,"PCS",""),IF(ISNUMBER(FIND("CMU",Base_report!D728,1)),SUBSTITUTE(Base_report!D728,"CMU",""),Base_report!D728)))))</f>
        <v>HOPITAL GENERAL KOUMASSI</v>
      </c>
      <c r="E729" s="14" t="str">
        <f>SUBSTITUTE(Base_report!E728,"-","/")</f>
        <v>PNLS/TESTS RAPIDES ET CONSOMMABLES</v>
      </c>
      <c r="F729" s="14" t="s">
        <v>788</v>
      </c>
      <c r="G729" s="16">
        <f>DATE(YEAR(SUBSTITUTE(LEFT(Base_report!F728,10),"-","/")),MONTH(SUBSTITUTE(LEFT(Base_report!F728,10),"-","/")),DAY(SUBSTITUTE(LEFT(Base_report!F728,10),"-","/")))</f>
        <v>45296</v>
      </c>
      <c r="H729" s="16">
        <f>DATE(YEAR(SUBSTITUTE(LEFT(Base_report!G728,10),"-","/")),MONTH(SUBSTITUTE(LEFT(Base_report!G728,10),"-","/")),DAY(SUBSTITUTE(LEFT(Base_report!G728,10),"-","/")))</f>
        <v>45299</v>
      </c>
      <c r="I729" s="17" t="str">
        <f t="shared" si="1"/>
        <v>OUI</v>
      </c>
      <c r="J729" s="18">
        <f>IF(L729="DS",DATE(RIGHT(B729,4),VLOOKUP(LEFT(B729,LEN(B729)-5),Feuil1!$E$3:$F$19,2,FALSE)+1,10),DATE(RIGHT(B729,4),VLOOKUP(LEFT(B729,LEN(B729)-5),Feuil1!$E$3:$F$19,2,FALSE)+1,7))</f>
        <v>45298</v>
      </c>
      <c r="K729" s="19">
        <f t="shared" si="2"/>
        <v>0</v>
      </c>
      <c r="L729" s="6" t="str">
        <f t="shared" si="3"/>
        <v>FS</v>
      </c>
    </row>
    <row r="730" ht="14.25" customHeight="1">
      <c r="A730" s="14" t="str">
        <f>Base_report!A729</f>
        <v>BELIER</v>
      </c>
      <c r="B730" s="14" t="str">
        <f>Base_report!B729</f>
        <v>DECEMBRE 2023</v>
      </c>
      <c r="C730" s="15" t="str">
        <f>Base_report!C729</f>
        <v>C2052</v>
      </c>
      <c r="D730" s="14" t="str">
        <f>TRIM(IF(ISNUMBER(FIND("PNSME",Base_report!D729,1)),SUBSTITUTE(Base_report!D729,"PNSME",""),IF(ISNUMBER(FIND("PHG",Base_report!D729,1)),SUBSTITUTE(Base_report!D729,"PHG",""),IF(ISNUMBER(FIND("PCS",Base_report!D729,1)),SUBSTITUTE(Base_report!D729,"PCS",""),IF(ISNUMBER(FIND("CMU",Base_report!D729,1)),SUBSTITUTE(Base_report!D729,"CMU",""),Base_report!D729)))))</f>
        <v>HOPITAL GENERAL DJEKANOU</v>
      </c>
      <c r="E730" s="14" t="str">
        <f>SUBSTITUTE(Base_report!E729,"-","/")</f>
        <v>PNN/MEDICAMENTS ET INTRANTS</v>
      </c>
      <c r="F730" s="14" t="s">
        <v>788</v>
      </c>
      <c r="G730" s="16">
        <f>DATE(YEAR(SUBSTITUTE(LEFT(Base_report!F729,10),"-","/")),MONTH(SUBSTITUTE(LEFT(Base_report!F729,10),"-","/")),DAY(SUBSTITUTE(LEFT(Base_report!F729,10),"-","/")))</f>
        <v>45294</v>
      </c>
      <c r="H730" s="16">
        <f>DATE(YEAR(SUBSTITUTE(LEFT(Base_report!G729,10),"-","/")),MONTH(SUBSTITUTE(LEFT(Base_report!G729,10),"-","/")),DAY(SUBSTITUTE(LEFT(Base_report!G729,10),"-","/")))</f>
        <v>45296</v>
      </c>
      <c r="I730" s="17" t="str">
        <f t="shared" si="1"/>
        <v>OUI</v>
      </c>
      <c r="J730" s="18">
        <f>IF(L730="DS",DATE(RIGHT(B730,4),VLOOKUP(LEFT(B730,LEN(B730)-5),Feuil1!$E$3:$F$19,2,FALSE)+1,10),DATE(RIGHT(B730,4),VLOOKUP(LEFT(B730,LEN(B730)-5),Feuil1!$E$3:$F$19,2,FALSE)+1,7))</f>
        <v>45298</v>
      </c>
      <c r="K730" s="19">
        <f t="shared" si="2"/>
        <v>1</v>
      </c>
      <c r="L730" s="6" t="str">
        <f t="shared" si="3"/>
        <v>FS</v>
      </c>
    </row>
    <row r="731" ht="14.25" customHeight="1">
      <c r="A731" s="14" t="str">
        <f>Base_report!A730</f>
        <v>ABIDJAN 1</v>
      </c>
      <c r="B731" s="14" t="str">
        <f>Base_report!B730</f>
        <v>DECEMBRE 2023</v>
      </c>
      <c r="C731" s="15" t="str">
        <f>Base_report!C730</f>
        <v>C1078</v>
      </c>
      <c r="D731" s="14" t="str">
        <f>TRIM(IF(ISNUMBER(FIND("PNSME",Base_report!D730,1)),SUBSTITUTE(Base_report!D730,"PNSME",""),IF(ISNUMBER(FIND("PHG",Base_report!D730,1)),SUBSTITUTE(Base_report!D730,"PHG",""),IF(ISNUMBER(FIND("PCS",Base_report!D730,1)),SUBSTITUTE(Base_report!D730,"PCS",""),IF(ISNUMBER(FIND("CMU",Base_report!D730,1)),SUBSTITUTE(Base_report!D730,"CMU",""),Base_report!D730)))))</f>
        <v>FSU COM YOPOUGON TOIT ROUGE</v>
      </c>
      <c r="E731" s="14" t="str">
        <f>SUBSTITUTE(Base_report!E730,"-","/")</f>
        <v>PNLS/ANTIRETROVIRAUX ET IO</v>
      </c>
      <c r="F731" s="14" t="s">
        <v>788</v>
      </c>
      <c r="G731" s="16">
        <f>DATE(YEAR(SUBSTITUTE(LEFT(Base_report!F730,10),"-","/")),MONTH(SUBSTITUTE(LEFT(Base_report!F730,10),"-","/")),DAY(SUBSTITUTE(LEFT(Base_report!F730,10),"-","/")))</f>
        <v>45295</v>
      </c>
      <c r="H731" s="16">
        <f>DATE(YEAR(SUBSTITUTE(LEFT(Base_report!G730,10),"-","/")),MONTH(SUBSTITUTE(LEFT(Base_report!G730,10),"-","/")),DAY(SUBSTITUTE(LEFT(Base_report!G730,10),"-","/")))</f>
        <v>45296</v>
      </c>
      <c r="I731" s="17" t="str">
        <f t="shared" si="1"/>
        <v>OUI</v>
      </c>
      <c r="J731" s="18">
        <f>IF(L731="DS",DATE(RIGHT(B731,4),VLOOKUP(LEFT(B731,LEN(B731)-5),Feuil1!$E$3:$F$19,2,FALSE)+1,10),DATE(RIGHT(B731,4),VLOOKUP(LEFT(B731,LEN(B731)-5),Feuil1!$E$3:$F$19,2,FALSE)+1,7))</f>
        <v>45298</v>
      </c>
      <c r="K731" s="19">
        <f t="shared" si="2"/>
        <v>1</v>
      </c>
      <c r="L731" s="6" t="str">
        <f t="shared" si="3"/>
        <v>FS</v>
      </c>
    </row>
    <row r="732" ht="14.25" customHeight="1">
      <c r="A732" s="14" t="str">
        <f>Base_report!A731</f>
        <v>ME</v>
      </c>
      <c r="B732" s="14" t="str">
        <f>Base_report!B731</f>
        <v>DECEMBRE 2023</v>
      </c>
      <c r="C732" s="15" t="str">
        <f>Base_report!C731</f>
        <v>C4015</v>
      </c>
      <c r="D732" s="14" t="str">
        <f>TRIM(IF(ISNUMBER(FIND("PNSME",Base_report!D731,1)),SUBSTITUTE(Base_report!D731,"PNSME",""),IF(ISNUMBER(FIND("PHG",Base_report!D731,1)),SUBSTITUTE(Base_report!D731,"PHG",""),IF(ISNUMBER(FIND("PCS",Base_report!D731,1)),SUBSTITUTE(Base_report!D731,"PCS",""),IF(ISNUMBER(FIND("CMU",Base_report!D731,1)),SUBSTITUTE(Base_report!D731,"CMU",""),Base_report!D731)))))</f>
        <v>HOPITAL GENERAL AKOUPE</v>
      </c>
      <c r="E732" s="14" t="str">
        <f>SUBSTITUTE(Base_report!E731,"-","/")</f>
        <v>PNLP/MEDICAMENTS ET INTRANTS</v>
      </c>
      <c r="F732" s="14" t="s">
        <v>788</v>
      </c>
      <c r="G732" s="16">
        <f>DATE(YEAR(SUBSTITUTE(LEFT(Base_report!F731,10),"-","/")),MONTH(SUBSTITUTE(LEFT(Base_report!F731,10),"-","/")),DAY(SUBSTITUTE(LEFT(Base_report!F731,10),"-","/")))</f>
        <v>45295</v>
      </c>
      <c r="H732" s="16">
        <f>DATE(YEAR(SUBSTITUTE(LEFT(Base_report!G731,10),"-","/")),MONTH(SUBSTITUTE(LEFT(Base_report!G731,10),"-","/")),DAY(SUBSTITUTE(LEFT(Base_report!G731,10),"-","/")))</f>
        <v>45295</v>
      </c>
      <c r="I732" s="17" t="str">
        <f t="shared" si="1"/>
        <v>OUI</v>
      </c>
      <c r="J732" s="18">
        <f>IF(L732="DS",DATE(RIGHT(B732,4),VLOOKUP(LEFT(B732,LEN(B732)-5),Feuil1!$E$3:$F$19,2,FALSE)+1,10),DATE(RIGHT(B732,4),VLOOKUP(LEFT(B732,LEN(B732)-5),Feuil1!$E$3:$F$19,2,FALSE)+1,7))</f>
        <v>45298</v>
      </c>
      <c r="K732" s="19">
        <f t="shared" si="2"/>
        <v>1</v>
      </c>
      <c r="L732" s="6" t="str">
        <f t="shared" si="3"/>
        <v>FS</v>
      </c>
    </row>
    <row r="733" ht="14.25" customHeight="1">
      <c r="A733" s="14" t="str">
        <f>Base_report!A732</f>
        <v>BELIER</v>
      </c>
      <c r="B733" s="14" t="str">
        <f>Base_report!B732</f>
        <v>DECEMBRE 2023</v>
      </c>
      <c r="C733" s="15" t="str">
        <f>Base_report!C732</f>
        <v>C2052</v>
      </c>
      <c r="D733" s="14" t="str">
        <f>TRIM(IF(ISNUMBER(FIND("PNSME",Base_report!D732,1)),SUBSTITUTE(Base_report!D732,"PNSME",""),IF(ISNUMBER(FIND("PHG",Base_report!D732,1)),SUBSTITUTE(Base_report!D732,"PHG",""),IF(ISNUMBER(FIND("PCS",Base_report!D732,1)),SUBSTITUTE(Base_report!D732,"PCS",""),IF(ISNUMBER(FIND("CMU",Base_report!D732,1)),SUBSTITUTE(Base_report!D732,"CMU",""),Base_report!D732)))))</f>
        <v>HOPITAL GENERAL DJEKANOU</v>
      </c>
      <c r="E733" s="14" t="str">
        <f>SUBSTITUTE(Base_report!E732,"-","/")</f>
        <v>PNSME/MEDICAMENTS ET INTRANTS</v>
      </c>
      <c r="F733" s="14" t="s">
        <v>788</v>
      </c>
      <c r="G733" s="16">
        <f>DATE(YEAR(SUBSTITUTE(LEFT(Base_report!F732,10),"-","/")),MONTH(SUBSTITUTE(LEFT(Base_report!F732,10),"-","/")),DAY(SUBSTITUTE(LEFT(Base_report!F732,10),"-","/")))</f>
        <v>45295</v>
      </c>
      <c r="H733" s="16">
        <f>DATE(YEAR(SUBSTITUTE(LEFT(Base_report!G732,10),"-","/")),MONTH(SUBSTITUTE(LEFT(Base_report!G732,10),"-","/")),DAY(SUBSTITUTE(LEFT(Base_report!G732,10),"-","/")))</f>
        <v>45295</v>
      </c>
      <c r="I733" s="17" t="str">
        <f t="shared" si="1"/>
        <v>OUI</v>
      </c>
      <c r="J733" s="18">
        <f>IF(L733="DS",DATE(RIGHT(B733,4),VLOOKUP(LEFT(B733,LEN(B733)-5),Feuil1!$E$3:$F$19,2,FALSE)+1,10),DATE(RIGHT(B733,4),VLOOKUP(LEFT(B733,LEN(B733)-5),Feuil1!$E$3:$F$19,2,FALSE)+1,7))</f>
        <v>45298</v>
      </c>
      <c r="K733" s="19">
        <f t="shared" si="2"/>
        <v>1</v>
      </c>
      <c r="L733" s="6" t="str">
        <f t="shared" si="3"/>
        <v>FS</v>
      </c>
    </row>
    <row r="734" ht="14.25" customHeight="1">
      <c r="A734" s="14" t="str">
        <f>Base_report!A733</f>
        <v>BELIER</v>
      </c>
      <c r="B734" s="14" t="str">
        <f>Base_report!B733</f>
        <v>DECEMBRE 2023</v>
      </c>
      <c r="C734" s="15" t="str">
        <f>Base_report!C733</f>
        <v>C2052</v>
      </c>
      <c r="D734" s="14" t="str">
        <f>TRIM(IF(ISNUMBER(FIND("PNSME",Base_report!D733,1)),SUBSTITUTE(Base_report!D733,"PNSME",""),IF(ISNUMBER(FIND("PHG",Base_report!D733,1)),SUBSTITUTE(Base_report!D733,"PHG",""),IF(ISNUMBER(FIND("PCS",Base_report!D733,1)),SUBSTITUTE(Base_report!D733,"PCS",""),IF(ISNUMBER(FIND("CMU",Base_report!D733,1)),SUBSTITUTE(Base_report!D733,"CMU",""),Base_report!D733)))))</f>
        <v>HOPITAL GENERAL DJEKANOU</v>
      </c>
      <c r="E734" s="14" t="str">
        <f>SUBSTITUTE(Base_report!E733,"-","/")</f>
        <v>PNSME_GRATUITE:MEDICAMENTS ET INTRANTS</v>
      </c>
      <c r="F734" s="14" t="s">
        <v>788</v>
      </c>
      <c r="G734" s="16">
        <f>DATE(YEAR(SUBSTITUTE(LEFT(Base_report!F733,10),"-","/")),MONTH(SUBSTITUTE(LEFT(Base_report!F733,10),"-","/")),DAY(SUBSTITUTE(LEFT(Base_report!F733,10),"-","/")))</f>
        <v>45295</v>
      </c>
      <c r="H734" s="16">
        <f>DATE(YEAR(SUBSTITUTE(LEFT(Base_report!G733,10),"-","/")),MONTH(SUBSTITUTE(LEFT(Base_report!G733,10),"-","/")),DAY(SUBSTITUTE(LEFT(Base_report!G733,10),"-","/")))</f>
        <v>45295</v>
      </c>
      <c r="I734" s="17" t="str">
        <f t="shared" si="1"/>
        <v>OUI</v>
      </c>
      <c r="J734" s="18">
        <f>IF(L734="DS",DATE(RIGHT(B734,4),VLOOKUP(LEFT(B734,LEN(B734)-5),Feuil1!$E$3:$F$19,2,FALSE)+1,10),DATE(RIGHT(B734,4),VLOOKUP(LEFT(B734,LEN(B734)-5),Feuil1!$E$3:$F$19,2,FALSE)+1,7))</f>
        <v>45298</v>
      </c>
      <c r="K734" s="19">
        <f t="shared" si="2"/>
        <v>1</v>
      </c>
      <c r="L734" s="6" t="str">
        <f t="shared" si="3"/>
        <v>FS</v>
      </c>
    </row>
    <row r="735" ht="14.25" customHeight="1">
      <c r="A735" s="14" t="str">
        <f>Base_report!A734</f>
        <v>ABIDJAN 1</v>
      </c>
      <c r="B735" s="14" t="str">
        <f>Base_report!B734</f>
        <v>DECEMBRE 2023</v>
      </c>
      <c r="C735" s="15" t="str">
        <f>Base_report!C734</f>
        <v>C1074</v>
      </c>
      <c r="D735" s="14" t="str">
        <f>TRIM(IF(ISNUMBER(FIND("PNSME",Base_report!D734,1)),SUBSTITUTE(Base_report!D734,"PNSME",""),IF(ISNUMBER(FIND("PHG",Base_report!D734,1)),SUBSTITUTE(Base_report!D734,"PHG",""),IF(ISNUMBER(FIND("PCS",Base_report!D734,1)),SUBSTITUTE(Base_report!D734,"PCS",""),IF(ISNUMBER(FIND("CMU",Base_report!D734,1)),SUBSTITUTE(Base_report!D734,"CMU",""),Base_report!D734)))))</f>
        <v>FSU COM YOPOUGON GESCO</v>
      </c>
      <c r="E735" s="14" t="str">
        <f>SUBSTITUTE(Base_report!E734,"-","/")</f>
        <v>PNSME/MEDICAMENTS ET INTRANTS</v>
      </c>
      <c r="F735" s="14" t="s">
        <v>788</v>
      </c>
      <c r="G735" s="16">
        <f>DATE(YEAR(SUBSTITUTE(LEFT(Base_report!F734,10),"-","/")),MONTH(SUBSTITUTE(LEFT(Base_report!F734,10),"-","/")),DAY(SUBSTITUTE(LEFT(Base_report!F734,10),"-","/")))</f>
        <v>45294</v>
      </c>
      <c r="H735" s="16">
        <f>DATE(YEAR(SUBSTITUTE(LEFT(Base_report!G734,10),"-","/")),MONTH(SUBSTITUTE(LEFT(Base_report!G734,10),"-","/")),DAY(SUBSTITUTE(LEFT(Base_report!G734,10),"-","/")))</f>
        <v>45294</v>
      </c>
      <c r="I735" s="17" t="str">
        <f t="shared" si="1"/>
        <v>OUI</v>
      </c>
      <c r="J735" s="18">
        <f>IF(L735="DS",DATE(RIGHT(B735,4),VLOOKUP(LEFT(B735,LEN(B735)-5),Feuil1!$E$3:$F$19,2,FALSE)+1,10),DATE(RIGHT(B735,4),VLOOKUP(LEFT(B735,LEN(B735)-5),Feuil1!$E$3:$F$19,2,FALSE)+1,7))</f>
        <v>45298</v>
      </c>
      <c r="K735" s="19">
        <f t="shared" si="2"/>
        <v>1</v>
      </c>
      <c r="L735" s="6" t="str">
        <f t="shared" si="3"/>
        <v>FS</v>
      </c>
    </row>
    <row r="736" ht="14.25" customHeight="1">
      <c r="A736" s="14" t="str">
        <f>Base_report!A735</f>
        <v>BELIER</v>
      </c>
      <c r="B736" s="14" t="str">
        <f>Base_report!B735</f>
        <v>DECEMBRE 2023</v>
      </c>
      <c r="C736" s="15" t="str">
        <f>Base_report!C735</f>
        <v>C2009</v>
      </c>
      <c r="D736" s="14" t="str">
        <f>TRIM(IF(ISNUMBER(FIND("PNSME",Base_report!D735,1)),SUBSTITUTE(Base_report!D735,"PNSME",""),IF(ISNUMBER(FIND("PHG",Base_report!D735,1)),SUBSTITUTE(Base_report!D735,"PHG",""),IF(ISNUMBER(FIND("PCS",Base_report!D735,1)),SUBSTITUTE(Base_report!D735,"PCS",""),IF(ISNUMBER(FIND("CMU",Base_report!D735,1)),SUBSTITUTE(Base_report!D735,"CMU",""),Base_report!D735)))))</f>
        <v>CHR YAMOUSSOUKRO</v>
      </c>
      <c r="E736" s="14" t="str">
        <f>SUBSTITUTE(Base_report!E735,"-","/")</f>
        <v>PNLS/ANTIRETROVIRAUX ET IO</v>
      </c>
      <c r="F736" s="14" t="s">
        <v>788</v>
      </c>
      <c r="G736" s="16">
        <f>DATE(YEAR(SUBSTITUTE(LEFT(Base_report!F735,10),"-","/")),MONTH(SUBSTITUTE(LEFT(Base_report!F735,10),"-","/")),DAY(SUBSTITUTE(LEFT(Base_report!F735,10),"-","/")))</f>
        <v>45296</v>
      </c>
      <c r="H736" s="16">
        <f>DATE(YEAR(SUBSTITUTE(LEFT(Base_report!G735,10),"-","/")),MONTH(SUBSTITUTE(LEFT(Base_report!G735,10),"-","/")),DAY(SUBSTITUTE(LEFT(Base_report!G735,10),"-","/")))</f>
        <v>45297</v>
      </c>
      <c r="I736" s="17" t="str">
        <f t="shared" si="1"/>
        <v>OUI</v>
      </c>
      <c r="J736" s="18">
        <f>IF(L736="DS",DATE(RIGHT(B736,4),VLOOKUP(LEFT(B736,LEN(B736)-5),Feuil1!$E$3:$F$19,2,FALSE)+1,10),DATE(RIGHT(B736,4),VLOOKUP(LEFT(B736,LEN(B736)-5),Feuil1!$E$3:$F$19,2,FALSE)+1,7))</f>
        <v>45298</v>
      </c>
      <c r="K736" s="19">
        <f t="shared" si="2"/>
        <v>1</v>
      </c>
      <c r="L736" s="6" t="str">
        <f t="shared" si="3"/>
        <v>FS</v>
      </c>
    </row>
    <row r="737" ht="14.25" customHeight="1">
      <c r="A737" s="14" t="str">
        <f>Base_report!A736</f>
        <v>AGNEBY-TIASSA</v>
      </c>
      <c r="B737" s="14" t="str">
        <f>Base_report!B736</f>
        <v>DECEMBRE 2023</v>
      </c>
      <c r="C737" s="15" t="str">
        <f>Base_report!C736</f>
        <v>C1098</v>
      </c>
      <c r="D737" s="14" t="str">
        <f>TRIM(IF(ISNUMBER(FIND("PNSME",Base_report!D736,1)),SUBSTITUTE(Base_report!D736,"PNSME",""),IF(ISNUMBER(FIND("PHG",Base_report!D736,1)),SUBSTITUTE(Base_report!D736,"PHG",""),IF(ISNUMBER(FIND("PCS",Base_report!D736,1)),SUBSTITUTE(Base_report!D736,"PCS",""),IF(ISNUMBER(FIND("CMU",Base_report!D736,1)),SUBSTITUTE(Base_report!D736,"CMU",""),Base_report!D736)))))</f>
        <v>HOPITAL GENERAL SIKENSI</v>
      </c>
      <c r="E737" s="14" t="str">
        <f>SUBSTITUTE(Base_report!E736,"-","/")</f>
        <v>PNSME_GRATUITE:MEDICAMENTS ET INTRANTS</v>
      </c>
      <c r="F737" s="14" t="s">
        <v>788</v>
      </c>
      <c r="G737" s="16">
        <f>DATE(YEAR(SUBSTITUTE(LEFT(Base_report!F736,10),"-","/")),MONTH(SUBSTITUTE(LEFT(Base_report!F736,10),"-","/")),DAY(SUBSTITUTE(LEFT(Base_report!F736,10),"-","/")))</f>
        <v>45294</v>
      </c>
      <c r="H737" s="16">
        <f>DATE(YEAR(SUBSTITUTE(LEFT(Base_report!G736,10),"-","/")),MONTH(SUBSTITUTE(LEFT(Base_report!G736,10),"-","/")),DAY(SUBSTITUTE(LEFT(Base_report!G736,10),"-","/")))</f>
        <v>45295</v>
      </c>
      <c r="I737" s="17" t="str">
        <f t="shared" si="1"/>
        <v>OUI</v>
      </c>
      <c r="J737" s="18">
        <f>IF(L737="DS",DATE(RIGHT(B737,4),VLOOKUP(LEFT(B737,LEN(B737)-5),Feuil1!$E$3:$F$19,2,FALSE)+1,10),DATE(RIGHT(B737,4),VLOOKUP(LEFT(B737,LEN(B737)-5),Feuil1!$E$3:$F$19,2,FALSE)+1,7))</f>
        <v>45298</v>
      </c>
      <c r="K737" s="19">
        <f t="shared" si="2"/>
        <v>1</v>
      </c>
      <c r="L737" s="6" t="str">
        <f t="shared" si="3"/>
        <v>FS</v>
      </c>
    </row>
    <row r="738" ht="14.25" customHeight="1">
      <c r="A738" s="14" t="str">
        <f>Base_report!A737</f>
        <v>BELIER</v>
      </c>
      <c r="B738" s="14" t="str">
        <f>Base_report!B737</f>
        <v>DECEMBRE 2023</v>
      </c>
      <c r="C738" s="15" t="str">
        <f>Base_report!C737</f>
        <v>C2069</v>
      </c>
      <c r="D738" s="14" t="str">
        <f>TRIM(IF(ISNUMBER(FIND("PNSME",Base_report!D737,1)),SUBSTITUTE(Base_report!D737,"PNSME",""),IF(ISNUMBER(FIND("PHG",Base_report!D737,1)),SUBSTITUTE(Base_report!D737,"PHG",""),IF(ISNUMBER(FIND("PCS",Base_report!D737,1)),SUBSTITUTE(Base_report!D737,"PCS",""),IF(ISNUMBER(FIND("CMU",Base_report!D737,1)),SUBSTITUTE(Base_report!D737,"CMU",""),Base_report!D737)))))</f>
        <v>HOPITAL GENERAL TOUMODI</v>
      </c>
      <c r="E738" s="14" t="str">
        <f>SUBSTITUTE(Base_report!E737,"-","/")</f>
        <v>PNN/MEDICAMENTS ET INTRANTS</v>
      </c>
      <c r="F738" s="14" t="s">
        <v>788</v>
      </c>
      <c r="G738" s="16">
        <f>DATE(YEAR(SUBSTITUTE(LEFT(Base_report!F737,10),"-","/")),MONTH(SUBSTITUTE(LEFT(Base_report!F737,10),"-","/")),DAY(SUBSTITUTE(LEFT(Base_report!F737,10),"-","/")))</f>
        <v>45295</v>
      </c>
      <c r="H738" s="16">
        <f>DATE(YEAR(SUBSTITUTE(LEFT(Base_report!G737,10),"-","/")),MONTH(SUBSTITUTE(LEFT(Base_report!G737,10),"-","/")),DAY(SUBSTITUTE(LEFT(Base_report!G737,10),"-","/")))</f>
        <v>45296</v>
      </c>
      <c r="I738" s="17" t="str">
        <f t="shared" si="1"/>
        <v>OUI</v>
      </c>
      <c r="J738" s="18">
        <f>IF(L738="DS",DATE(RIGHT(B738,4),VLOOKUP(LEFT(B738,LEN(B738)-5),Feuil1!$E$3:$F$19,2,FALSE)+1,10),DATE(RIGHT(B738,4),VLOOKUP(LEFT(B738,LEN(B738)-5),Feuil1!$E$3:$F$19,2,FALSE)+1,7))</f>
        <v>45298</v>
      </c>
      <c r="K738" s="19">
        <f t="shared" si="2"/>
        <v>1</v>
      </c>
      <c r="L738" s="6" t="str">
        <f t="shared" si="3"/>
        <v>FS</v>
      </c>
    </row>
    <row r="739" ht="14.25" customHeight="1">
      <c r="A739" s="14" t="str">
        <f>Base_report!A738</f>
        <v>BERE</v>
      </c>
      <c r="B739" s="14" t="str">
        <f>Base_report!B738</f>
        <v>DECEMBRE 2023</v>
      </c>
      <c r="C739" s="15" t="str">
        <f>Base_report!C738</f>
        <v>C5084</v>
      </c>
      <c r="D739" s="14" t="str">
        <f>TRIM(IF(ISNUMBER(FIND("PNSME",Base_report!D738,1)),SUBSTITUTE(Base_report!D738,"PNSME",""),IF(ISNUMBER(FIND("PHG",Base_report!D738,1)),SUBSTITUTE(Base_report!D738,"PHG",""),IF(ISNUMBER(FIND("PCS",Base_report!D738,1)),SUBSTITUTE(Base_report!D738,"PCS",""),IF(ISNUMBER(FIND("CMU",Base_report!D738,1)),SUBSTITUTE(Base_report!D738,"CMU",""),Base_report!D738)))))</f>
        <v>HOPITAL GENERAL KOUNAHIRI</v>
      </c>
      <c r="E739" s="14" t="str">
        <f>SUBSTITUTE(Base_report!E738,"-","/")</f>
        <v>PNLS/ANTIRETROVIRAUX ET IO</v>
      </c>
      <c r="F739" s="14" t="s">
        <v>788</v>
      </c>
      <c r="G739" s="16">
        <f>DATE(YEAR(SUBSTITUTE(LEFT(Base_report!F738,10),"-","/")),MONTH(SUBSTITUTE(LEFT(Base_report!F738,10),"-","/")),DAY(SUBSTITUTE(LEFT(Base_report!F738,10),"-","/")))</f>
        <v>45295</v>
      </c>
      <c r="H739" s="16">
        <f>DATE(YEAR(SUBSTITUTE(LEFT(Base_report!G738,10),"-","/")),MONTH(SUBSTITUTE(LEFT(Base_report!G738,10),"-","/")),DAY(SUBSTITUTE(LEFT(Base_report!G738,10),"-","/")))</f>
        <v>45296</v>
      </c>
      <c r="I739" s="17" t="str">
        <f t="shared" si="1"/>
        <v>OUI</v>
      </c>
      <c r="J739" s="18">
        <f>IF(L739="DS",DATE(RIGHT(B739,4),VLOOKUP(LEFT(B739,LEN(B739)-5),Feuil1!$E$3:$F$19,2,FALSE)+1,10),DATE(RIGHT(B739,4),VLOOKUP(LEFT(B739,LEN(B739)-5),Feuil1!$E$3:$F$19,2,FALSE)+1,7))</f>
        <v>45298</v>
      </c>
      <c r="K739" s="19">
        <f t="shared" si="2"/>
        <v>1</v>
      </c>
      <c r="L739" s="6" t="str">
        <f t="shared" si="3"/>
        <v>FS</v>
      </c>
    </row>
    <row r="740" ht="14.25" customHeight="1">
      <c r="A740" s="14" t="str">
        <f>Base_report!A739</f>
        <v>NAWA</v>
      </c>
      <c r="B740" s="14" t="str">
        <f>Base_report!B739</f>
        <v>DECEMBRE 2023</v>
      </c>
      <c r="C740" s="15" t="str">
        <f>Base_report!C739</f>
        <v>C1411</v>
      </c>
      <c r="D740" s="14" t="str">
        <f>TRIM(IF(ISNUMBER(FIND("PNSME",Base_report!D739,1)),SUBSTITUTE(Base_report!D739,"PNSME",""),IF(ISNUMBER(FIND("PHG",Base_report!D739,1)),SUBSTITUTE(Base_report!D739,"PHG",""),IF(ISNUMBER(FIND("PCS",Base_report!D739,1)),SUBSTITUTE(Base_report!D739,"PCS",""),IF(ISNUMBER(FIND("CMU",Base_report!D739,1)),SUBSTITUTE(Base_report!D739,"CMU",""),Base_report!D739)))))</f>
        <v>FSU MEAGUI</v>
      </c>
      <c r="E740" s="14" t="str">
        <f>SUBSTITUTE(Base_report!E739,"-","/")</f>
        <v>PNSME/MEDICAMENTS ET INTRANTS</v>
      </c>
      <c r="F740" s="14" t="s">
        <v>788</v>
      </c>
      <c r="G740" s="16">
        <f>DATE(YEAR(SUBSTITUTE(LEFT(Base_report!F739,10),"-","/")),MONTH(SUBSTITUTE(LEFT(Base_report!F739,10),"-","/")),DAY(SUBSTITUTE(LEFT(Base_report!F739,10),"-","/")))</f>
        <v>45296</v>
      </c>
      <c r="H740" s="16">
        <f>DATE(YEAR(SUBSTITUTE(LEFT(Base_report!G739,10),"-","/")),MONTH(SUBSTITUTE(LEFT(Base_report!G739,10),"-","/")),DAY(SUBSTITUTE(LEFT(Base_report!G739,10),"-","/")))</f>
        <v>45296</v>
      </c>
      <c r="I740" s="17" t="str">
        <f t="shared" si="1"/>
        <v>OUI</v>
      </c>
      <c r="J740" s="18">
        <f>IF(L740="DS",DATE(RIGHT(B740,4),VLOOKUP(LEFT(B740,LEN(B740)-5),Feuil1!$E$3:$F$19,2,FALSE)+1,10),DATE(RIGHT(B740,4),VLOOKUP(LEFT(B740,LEN(B740)-5),Feuil1!$E$3:$F$19,2,FALSE)+1,7))</f>
        <v>45298</v>
      </c>
      <c r="K740" s="19">
        <f t="shared" si="2"/>
        <v>1</v>
      </c>
      <c r="L740" s="6" t="str">
        <f t="shared" si="3"/>
        <v>FS</v>
      </c>
    </row>
    <row r="741" ht="14.25" customHeight="1">
      <c r="A741" s="14" t="str">
        <f>Base_report!A740</f>
        <v>ME</v>
      </c>
      <c r="B741" s="14" t="str">
        <f>Base_report!B740</f>
        <v>DECEMBRE 2023</v>
      </c>
      <c r="C741" s="15" t="str">
        <f>Base_report!C740</f>
        <v>C4015</v>
      </c>
      <c r="D741" s="14" t="str">
        <f>TRIM(IF(ISNUMBER(FIND("PNSME",Base_report!D740,1)),SUBSTITUTE(Base_report!D740,"PNSME",""),IF(ISNUMBER(FIND("PHG",Base_report!D740,1)),SUBSTITUTE(Base_report!D740,"PHG",""),IF(ISNUMBER(FIND("PCS",Base_report!D740,1)),SUBSTITUTE(Base_report!D740,"PCS",""),IF(ISNUMBER(FIND("CMU",Base_report!D740,1)),SUBSTITUTE(Base_report!D740,"CMU",""),Base_report!D740)))))</f>
        <v>HOPITAL GENERAL AKOUPE</v>
      </c>
      <c r="E741" s="14" t="str">
        <f>SUBSTITUTE(Base_report!E740,"-","/")</f>
        <v>PNLS/ANTIRETROVIRAUX ET IO</v>
      </c>
      <c r="F741" s="14" t="s">
        <v>788</v>
      </c>
      <c r="G741" s="16">
        <f>DATE(YEAR(SUBSTITUTE(LEFT(Base_report!F740,10),"-","/")),MONTH(SUBSTITUTE(LEFT(Base_report!F740,10),"-","/")),DAY(SUBSTITUTE(LEFT(Base_report!F740,10),"-","/")))</f>
        <v>45295</v>
      </c>
      <c r="H741" s="16">
        <f>DATE(YEAR(SUBSTITUTE(LEFT(Base_report!G740,10),"-","/")),MONTH(SUBSTITUTE(LEFT(Base_report!G740,10),"-","/")),DAY(SUBSTITUTE(LEFT(Base_report!G740,10),"-","/")))</f>
        <v>45295</v>
      </c>
      <c r="I741" s="17" t="str">
        <f t="shared" si="1"/>
        <v>OUI</v>
      </c>
      <c r="J741" s="18">
        <f>IF(L741="DS",DATE(RIGHT(B741,4),VLOOKUP(LEFT(B741,LEN(B741)-5),Feuil1!$E$3:$F$19,2,FALSE)+1,10),DATE(RIGHT(B741,4),VLOOKUP(LEFT(B741,LEN(B741)-5),Feuil1!$E$3:$F$19,2,FALSE)+1,7))</f>
        <v>45298</v>
      </c>
      <c r="K741" s="19">
        <f t="shared" si="2"/>
        <v>1</v>
      </c>
      <c r="L741" s="6" t="str">
        <f t="shared" si="3"/>
        <v>FS</v>
      </c>
    </row>
    <row r="742" ht="14.25" customHeight="1">
      <c r="A742" s="14" t="str">
        <f>Base_report!A741</f>
        <v>ABIDJAN 2</v>
      </c>
      <c r="B742" s="14" t="str">
        <f>Base_report!B741</f>
        <v>DECEMBRE 2023</v>
      </c>
      <c r="C742" s="15" t="str">
        <f>Base_report!C741</f>
        <v>C1413</v>
      </c>
      <c r="D742" s="14" t="str">
        <f>TRIM(IF(ISNUMBER(FIND("PNSME",Base_report!D741,1)),SUBSTITUTE(Base_report!D741,"PNSME",""),IF(ISNUMBER(FIND("PHG",Base_report!D741,1)),SUBSTITUTE(Base_report!D741,"PHG",""),IF(ISNUMBER(FIND("PCS",Base_report!D741,1)),SUBSTITUTE(Base_report!D741,"PCS",""),IF(ISNUMBER(FIND("CMU",Base_report!D741,1)),SUBSTITUTE(Base_report!D741,"CMU",""),Base_report!D741)))))</f>
        <v>FSU EDMOND BASQUE ( PLATEAU)</v>
      </c>
      <c r="E742" s="14" t="str">
        <f>SUBSTITUTE(Base_report!E741,"-","/")</f>
        <v>PNSME/MEDICAMENTS ET INTRANTS</v>
      </c>
      <c r="F742" s="14" t="s">
        <v>788</v>
      </c>
      <c r="G742" s="16">
        <f>DATE(YEAR(SUBSTITUTE(LEFT(Base_report!F741,10),"-","/")),MONTH(SUBSTITUTE(LEFT(Base_report!F741,10),"-","/")),DAY(SUBSTITUTE(LEFT(Base_report!F741,10),"-","/")))</f>
        <v>45295</v>
      </c>
      <c r="H742" s="16">
        <f>DATE(YEAR(SUBSTITUTE(LEFT(Base_report!G741,10),"-","/")),MONTH(SUBSTITUTE(LEFT(Base_report!G741,10),"-","/")),DAY(SUBSTITUTE(LEFT(Base_report!G741,10),"-","/")))</f>
        <v>45295</v>
      </c>
      <c r="I742" s="17" t="str">
        <f t="shared" si="1"/>
        <v>OUI</v>
      </c>
      <c r="J742" s="18">
        <f>IF(L742="DS",DATE(RIGHT(B742,4),VLOOKUP(LEFT(B742,LEN(B742)-5),Feuil1!$E$3:$F$19,2,FALSE)+1,10),DATE(RIGHT(B742,4),VLOOKUP(LEFT(B742,LEN(B742)-5),Feuil1!$E$3:$F$19,2,FALSE)+1,7))</f>
        <v>45298</v>
      </c>
      <c r="K742" s="19">
        <f t="shared" si="2"/>
        <v>1</v>
      </c>
      <c r="L742" s="6" t="str">
        <f t="shared" si="3"/>
        <v>FS</v>
      </c>
    </row>
    <row r="743" ht="14.25" customHeight="1">
      <c r="A743" s="14" t="str">
        <f>Base_report!A742</f>
        <v>LOH-DJIBOUA</v>
      </c>
      <c r="B743" s="14" t="str">
        <f>Base_report!B742</f>
        <v>DECEMBRE 2023</v>
      </c>
      <c r="C743" s="15" t="str">
        <f>Base_report!C742</f>
        <v>C2032</v>
      </c>
      <c r="D743" s="14" t="str">
        <f>TRIM(IF(ISNUMBER(FIND("PNSME",Base_report!D742,1)),SUBSTITUTE(Base_report!D742,"PNSME",""),IF(ISNUMBER(FIND("PHG",Base_report!D742,1)),SUBSTITUTE(Base_report!D742,"PHG",""),IF(ISNUMBER(FIND("PCS",Base_report!D742,1)),SUBSTITUTE(Base_report!D742,"PCS",""),IF(ISNUMBER(FIND("CMU",Base_report!D742,1)),SUBSTITUTE(Base_report!D742,"CMU",""),Base_report!D742)))))</f>
        <v>DISTRICT SANITAIRE LAKOTA</v>
      </c>
      <c r="E743" s="14" t="str">
        <f>SUBSTITUTE(Base_report!E742,"-","/")</f>
        <v>PNLP/MEDICAMENTS ET INTRANTS</v>
      </c>
      <c r="F743" s="14" t="s">
        <v>788</v>
      </c>
      <c r="G743" s="16">
        <f>DATE(YEAR(SUBSTITUTE(LEFT(Base_report!F742,10),"-","/")),MONTH(SUBSTITUTE(LEFT(Base_report!F742,10),"-","/")),DAY(SUBSTITUTE(LEFT(Base_report!F742,10),"-","/")))</f>
        <v>45301</v>
      </c>
      <c r="H743" s="16">
        <f>DATE(YEAR(SUBSTITUTE(LEFT(Base_report!G742,10),"-","/")),MONTH(SUBSTITUTE(LEFT(Base_report!G742,10),"-","/")),DAY(SUBSTITUTE(LEFT(Base_report!G742,10),"-","/")))</f>
        <v>45301</v>
      </c>
      <c r="I743" s="17" t="str">
        <f t="shared" si="1"/>
        <v>OUI</v>
      </c>
      <c r="J743" s="18">
        <f>IF(L743="DS",DATE(RIGHT(B743,4),VLOOKUP(LEFT(B743,LEN(B743)-5),Feuil1!$E$3:$F$19,2,FALSE)+1,10),DATE(RIGHT(B743,4),VLOOKUP(LEFT(B743,LEN(B743)-5),Feuil1!$E$3:$F$19,2,FALSE)+1,7))</f>
        <v>45301</v>
      </c>
      <c r="K743" s="19">
        <f t="shared" si="2"/>
        <v>1</v>
      </c>
      <c r="L743" s="6" t="str">
        <f t="shared" si="3"/>
        <v>DS</v>
      </c>
    </row>
    <row r="744" ht="14.25" customHeight="1">
      <c r="A744" s="14" t="str">
        <f>Base_report!A743</f>
        <v>ABIDJAN 2</v>
      </c>
      <c r="B744" s="14" t="str">
        <f>Base_report!B743</f>
        <v>DECEMBRE 2023</v>
      </c>
      <c r="C744" s="15" t="str">
        <f>Base_report!C743</f>
        <v>C1054</v>
      </c>
      <c r="D744" s="14" t="str">
        <f>TRIM(IF(ISNUMBER(FIND("PNSME",Base_report!D743,1)),SUBSTITUTE(Base_report!D743,"PNSME",""),IF(ISNUMBER(FIND("PHG",Base_report!D743,1)),SUBSTITUTE(Base_report!D743,"PHG",""),IF(ISNUMBER(FIND("PCS",Base_report!D743,1)),SUBSTITUTE(Base_report!D743,"PCS",""),IF(ISNUMBER(FIND("CMU",Base_report!D743,1)),SUBSTITUTE(Base_report!D743,"CMU",""),Base_report!D743)))))</f>
        <v>FSU ATTECOUBE CENTRE</v>
      </c>
      <c r="E744" s="14" t="str">
        <f>SUBSTITUTE(Base_report!E743,"-","/")</f>
        <v>PNSME/MEDICAMENTS ET INTRANTS</v>
      </c>
      <c r="F744" s="14" t="s">
        <v>788</v>
      </c>
      <c r="G744" s="16">
        <f>DATE(YEAR(SUBSTITUTE(LEFT(Base_report!F743,10),"-","/")),MONTH(SUBSTITUTE(LEFT(Base_report!F743,10),"-","/")),DAY(SUBSTITUTE(LEFT(Base_report!F743,10),"-","/")))</f>
        <v>45294</v>
      </c>
      <c r="H744" s="16">
        <f>DATE(YEAR(SUBSTITUTE(LEFT(Base_report!G743,10),"-","/")),MONTH(SUBSTITUTE(LEFT(Base_report!G743,10),"-","/")),DAY(SUBSTITUTE(LEFT(Base_report!G743,10),"-","/")))</f>
        <v>45294</v>
      </c>
      <c r="I744" s="17" t="str">
        <f t="shared" si="1"/>
        <v>OUI</v>
      </c>
      <c r="J744" s="18">
        <f>IF(L744="DS",DATE(RIGHT(B744,4),VLOOKUP(LEFT(B744,LEN(B744)-5),Feuil1!$E$3:$F$19,2,FALSE)+1,10),DATE(RIGHT(B744,4),VLOOKUP(LEFT(B744,LEN(B744)-5),Feuil1!$E$3:$F$19,2,FALSE)+1,7))</f>
        <v>45298</v>
      </c>
      <c r="K744" s="19">
        <f t="shared" si="2"/>
        <v>1</v>
      </c>
      <c r="L744" s="6" t="str">
        <f t="shared" si="3"/>
        <v>FS</v>
      </c>
    </row>
    <row r="745" ht="14.25" customHeight="1">
      <c r="A745" s="14" t="str">
        <f>Base_report!A744</f>
        <v>GOH</v>
      </c>
      <c r="B745" s="14" t="str">
        <f>Base_report!B744</f>
        <v>DECEMBRE 2023</v>
      </c>
      <c r="C745" s="15" t="str">
        <f>Base_report!C744</f>
        <v>C2053</v>
      </c>
      <c r="D745" s="14" t="str">
        <f>TRIM(IF(ISNUMBER(FIND("PNSME",Base_report!D744,1)),SUBSTITUTE(Base_report!D744,"PNSME",""),IF(ISNUMBER(FIND("PHG",Base_report!D744,1)),SUBSTITUTE(Base_report!D744,"PHG",""),IF(ISNUMBER(FIND("PCS",Base_report!D744,1)),SUBSTITUTE(Base_report!D744,"PCS",""),IF(ISNUMBER(FIND("CMU",Base_report!D744,1)),SUBSTITUTE(Base_report!D744,"CMU",""),Base_report!D744)))))</f>
        <v>HOPITAL GENERAL GAGNOA</v>
      </c>
      <c r="E745" s="14" t="str">
        <f>SUBSTITUTE(Base_report!E744,"-","/")</f>
        <v>PNLP/MEDICAMENTS ET INTRANTS</v>
      </c>
      <c r="F745" s="14" t="s">
        <v>788</v>
      </c>
      <c r="G745" s="16">
        <f>DATE(YEAR(SUBSTITUTE(LEFT(Base_report!F744,10),"-","/")),MONTH(SUBSTITUTE(LEFT(Base_report!F744,10),"-","/")),DAY(SUBSTITUTE(LEFT(Base_report!F744,10),"-","/")))</f>
        <v>45295</v>
      </c>
      <c r="H745" s="16">
        <f>DATE(YEAR(SUBSTITUTE(LEFT(Base_report!G744,10),"-","/")),MONTH(SUBSTITUTE(LEFT(Base_report!G744,10),"-","/")),DAY(SUBSTITUTE(LEFT(Base_report!G744,10),"-","/")))</f>
        <v>45295</v>
      </c>
      <c r="I745" s="17" t="str">
        <f t="shared" si="1"/>
        <v>OUI</v>
      </c>
      <c r="J745" s="18">
        <f>IF(L745="DS",DATE(RIGHT(B745,4),VLOOKUP(LEFT(B745,LEN(B745)-5),Feuil1!$E$3:$F$19,2,FALSE)+1,10),DATE(RIGHT(B745,4),VLOOKUP(LEFT(B745,LEN(B745)-5),Feuil1!$E$3:$F$19,2,FALSE)+1,7))</f>
        <v>45298</v>
      </c>
      <c r="K745" s="19">
        <f t="shared" si="2"/>
        <v>1</v>
      </c>
      <c r="L745" s="6" t="str">
        <f t="shared" si="3"/>
        <v>FS</v>
      </c>
    </row>
    <row r="746" ht="14.25" customHeight="1">
      <c r="A746" s="14" t="str">
        <f>Base_report!A745</f>
        <v>SUD-COMOE</v>
      </c>
      <c r="B746" s="14" t="str">
        <f>Base_report!B745</f>
        <v>DECEMBRE 2023</v>
      </c>
      <c r="C746" s="15" t="str">
        <f>Base_report!C745</f>
        <v>C1085</v>
      </c>
      <c r="D746" s="14" t="str">
        <f>TRIM(IF(ISNUMBER(FIND("PNSME",Base_report!D745,1)),SUBSTITUTE(Base_report!D745,"PNSME",""),IF(ISNUMBER(FIND("PHG",Base_report!D745,1)),SUBSTITUTE(Base_report!D745,"PHG",""),IF(ISNUMBER(FIND("PCS",Base_report!D745,1)),SUBSTITUTE(Base_report!D745,"PCS",""),IF(ISNUMBER(FIND("CMU",Base_report!D745,1)),SUBSTITUTE(Base_report!D745,"CMU",""),Base_report!D745)))))</f>
        <v>HOPITAL GENERAL AYAME</v>
      </c>
      <c r="E746" s="14" t="str">
        <f>SUBSTITUTE(Base_report!E745,"-","/")</f>
        <v>PNLS/TESTS RAPIDES ET CONSOMMABLES</v>
      </c>
      <c r="F746" s="14" t="s">
        <v>788</v>
      </c>
      <c r="G746" s="16">
        <f>DATE(YEAR(SUBSTITUTE(LEFT(Base_report!F745,10),"-","/")),MONTH(SUBSTITUTE(LEFT(Base_report!F745,10),"-","/")),DAY(SUBSTITUTE(LEFT(Base_report!F745,10),"-","/")))</f>
        <v>45295</v>
      </c>
      <c r="H746" s="16">
        <f>DATE(YEAR(SUBSTITUTE(LEFT(Base_report!G745,10),"-","/")),MONTH(SUBSTITUTE(LEFT(Base_report!G745,10),"-","/")),DAY(SUBSTITUTE(LEFT(Base_report!G745,10),"-","/")))</f>
        <v>45295</v>
      </c>
      <c r="I746" s="17" t="str">
        <f t="shared" si="1"/>
        <v>OUI</v>
      </c>
      <c r="J746" s="18">
        <f>IF(L746="DS",DATE(RIGHT(B746,4),VLOOKUP(LEFT(B746,LEN(B746)-5),Feuil1!$E$3:$F$19,2,FALSE)+1,10),DATE(RIGHT(B746,4),VLOOKUP(LEFT(B746,LEN(B746)-5),Feuil1!$E$3:$F$19,2,FALSE)+1,7))</f>
        <v>45298</v>
      </c>
      <c r="K746" s="19">
        <f t="shared" si="2"/>
        <v>1</v>
      </c>
      <c r="L746" s="6" t="str">
        <f t="shared" si="3"/>
        <v>FS</v>
      </c>
    </row>
    <row r="747" ht="14.25" customHeight="1">
      <c r="A747" s="14" t="str">
        <f>Base_report!A746</f>
        <v>MARAHOUE</v>
      </c>
      <c r="B747" s="14" t="str">
        <f>Base_report!B746</f>
        <v>DECEMBRE 2023</v>
      </c>
      <c r="C747" s="15" t="str">
        <f>Base_report!C746</f>
        <v>C2002</v>
      </c>
      <c r="D747" s="14" t="str">
        <f>TRIM(IF(ISNUMBER(FIND("PNSME",Base_report!D746,1)),SUBSTITUTE(Base_report!D746,"PNSME",""),IF(ISNUMBER(FIND("PHG",Base_report!D746,1)),SUBSTITUTE(Base_report!D746,"PHG",""),IF(ISNUMBER(FIND("PCS",Base_report!D746,1)),SUBSTITUTE(Base_report!D746,"PCS",""),IF(ISNUMBER(FIND("CMU",Base_report!D746,1)),SUBSTITUTE(Base_report!D746,"CMU",""),Base_report!D746)))))</f>
        <v>CHR BOUAFLE</v>
      </c>
      <c r="E747" s="14" t="str">
        <f>SUBSTITUTE(Base_report!E746,"-","/")</f>
        <v>PNSME/MEDICAMENTS ET INTRANTS</v>
      </c>
      <c r="F747" s="14" t="s">
        <v>788</v>
      </c>
      <c r="G747" s="16">
        <f>DATE(YEAR(SUBSTITUTE(LEFT(Base_report!F746,10),"-","/")),MONTH(SUBSTITUTE(LEFT(Base_report!F746,10),"-","/")),DAY(SUBSTITUTE(LEFT(Base_report!F746,10),"-","/")))</f>
        <v>45294</v>
      </c>
      <c r="H747" s="16">
        <f>DATE(YEAR(SUBSTITUTE(LEFT(Base_report!G746,10),"-","/")),MONTH(SUBSTITUTE(LEFT(Base_report!G746,10),"-","/")),DAY(SUBSTITUTE(LEFT(Base_report!G746,10),"-","/")))</f>
        <v>45297</v>
      </c>
      <c r="I747" s="17" t="str">
        <f t="shared" si="1"/>
        <v>OUI</v>
      </c>
      <c r="J747" s="18">
        <f>IF(L747="DS",DATE(RIGHT(B747,4),VLOOKUP(LEFT(B747,LEN(B747)-5),Feuil1!$E$3:$F$19,2,FALSE)+1,10),DATE(RIGHT(B747,4),VLOOKUP(LEFT(B747,LEN(B747)-5),Feuil1!$E$3:$F$19,2,FALSE)+1,7))</f>
        <v>45298</v>
      </c>
      <c r="K747" s="19">
        <f t="shared" si="2"/>
        <v>1</v>
      </c>
      <c r="L747" s="6" t="str">
        <f t="shared" si="3"/>
        <v>FS</v>
      </c>
    </row>
    <row r="748" ht="14.25" customHeight="1">
      <c r="A748" s="14" t="str">
        <f>Base_report!A747</f>
        <v>SUD-COMOE</v>
      </c>
      <c r="B748" s="14" t="str">
        <f>Base_report!B747</f>
        <v>DECEMBRE 2023</v>
      </c>
      <c r="C748" s="15" t="str">
        <f>Base_report!C747</f>
        <v>C1008</v>
      </c>
      <c r="D748" s="14" t="str">
        <f>TRIM(IF(ISNUMBER(FIND("PNSME",Base_report!D747,1)),SUBSTITUTE(Base_report!D747,"PNSME",""),IF(ISNUMBER(FIND("PHG",Base_report!D747,1)),SUBSTITUTE(Base_report!D747,"PHG",""),IF(ISNUMBER(FIND("PCS",Base_report!D747,1)),SUBSTITUTE(Base_report!D747,"PCS",""),IF(ISNUMBER(FIND("CMU",Base_report!D747,1)),SUBSTITUTE(Base_report!D747,"CMU",""),Base_report!D747)))))</f>
        <v>HOPITAL GENERAL MAFERE</v>
      </c>
      <c r="E748" s="14" t="str">
        <f>SUBSTITUTE(Base_report!E747,"-","/")</f>
        <v>PNLS/ANTIRETROVIRAUX ET IO</v>
      </c>
      <c r="F748" s="14" t="s">
        <v>788</v>
      </c>
      <c r="G748" s="16">
        <f>DATE(YEAR(SUBSTITUTE(LEFT(Base_report!F747,10),"-","/")),MONTH(SUBSTITUTE(LEFT(Base_report!F747,10),"-","/")),DAY(SUBSTITUTE(LEFT(Base_report!F747,10),"-","/")))</f>
        <v>45297</v>
      </c>
      <c r="H748" s="16">
        <f>DATE(YEAR(SUBSTITUTE(LEFT(Base_report!G747,10),"-","/")),MONTH(SUBSTITUTE(LEFT(Base_report!G747,10),"-","/")),DAY(SUBSTITUTE(LEFT(Base_report!G747,10),"-","/")))</f>
        <v>45297</v>
      </c>
      <c r="I748" s="17" t="str">
        <f t="shared" si="1"/>
        <v>OUI</v>
      </c>
      <c r="J748" s="18">
        <f>IF(L748="DS",DATE(RIGHT(B748,4),VLOOKUP(LEFT(B748,LEN(B748)-5),Feuil1!$E$3:$F$19,2,FALSE)+1,10),DATE(RIGHT(B748,4),VLOOKUP(LEFT(B748,LEN(B748)-5),Feuil1!$E$3:$F$19,2,FALSE)+1,7))</f>
        <v>45298</v>
      </c>
      <c r="K748" s="19">
        <f t="shared" si="2"/>
        <v>1</v>
      </c>
      <c r="L748" s="6" t="str">
        <f t="shared" si="3"/>
        <v>FS</v>
      </c>
    </row>
    <row r="749" ht="14.25" customHeight="1">
      <c r="A749" s="14" t="str">
        <f>Base_report!A748</f>
        <v>AGNEBY-TIASSA</v>
      </c>
      <c r="B749" s="14" t="str">
        <f>Base_report!B748</f>
        <v>DECEMBRE 2023</v>
      </c>
      <c r="C749" s="15" t="str">
        <f>Base_report!C748</f>
        <v>C1098</v>
      </c>
      <c r="D749" s="14" t="str">
        <f>TRIM(IF(ISNUMBER(FIND("PNSME",Base_report!D748,1)),SUBSTITUTE(Base_report!D748,"PNSME",""),IF(ISNUMBER(FIND("PHG",Base_report!D748,1)),SUBSTITUTE(Base_report!D748,"PHG",""),IF(ISNUMBER(FIND("PCS",Base_report!D748,1)),SUBSTITUTE(Base_report!D748,"PCS",""),IF(ISNUMBER(FIND("CMU",Base_report!D748,1)),SUBSTITUTE(Base_report!D748,"CMU",""),Base_report!D748)))))</f>
        <v>HOPITAL GENERAL SIKENSI</v>
      </c>
      <c r="E749" s="14" t="str">
        <f>SUBSTITUTE(Base_report!E748,"-","/")</f>
        <v>PNN/MEDICAMENTS ET INTRANTS</v>
      </c>
      <c r="F749" s="14" t="s">
        <v>788</v>
      </c>
      <c r="G749" s="16">
        <f>DATE(YEAR(SUBSTITUTE(LEFT(Base_report!F748,10),"-","/")),MONTH(SUBSTITUTE(LEFT(Base_report!F748,10),"-","/")),DAY(SUBSTITUTE(LEFT(Base_report!F748,10),"-","/")))</f>
        <v>45295</v>
      </c>
      <c r="H749" s="16">
        <f>DATE(YEAR(SUBSTITUTE(LEFT(Base_report!G748,10),"-","/")),MONTH(SUBSTITUTE(LEFT(Base_report!G748,10),"-","/")),DAY(SUBSTITUTE(LEFT(Base_report!G748,10),"-","/")))</f>
        <v>45295</v>
      </c>
      <c r="I749" s="17" t="str">
        <f t="shared" si="1"/>
        <v>OUI</v>
      </c>
      <c r="J749" s="18">
        <f>IF(L749="DS",DATE(RIGHT(B749,4),VLOOKUP(LEFT(B749,LEN(B749)-5),Feuil1!$E$3:$F$19,2,FALSE)+1,10),DATE(RIGHT(B749,4),VLOOKUP(LEFT(B749,LEN(B749)-5),Feuil1!$E$3:$F$19,2,FALSE)+1,7))</f>
        <v>45298</v>
      </c>
      <c r="K749" s="19">
        <f t="shared" si="2"/>
        <v>1</v>
      </c>
      <c r="L749" s="6" t="str">
        <f t="shared" si="3"/>
        <v>FS</v>
      </c>
    </row>
    <row r="750" ht="14.25" customHeight="1">
      <c r="A750" s="14" t="str">
        <f>Base_report!A749</f>
        <v>ABIDJAN 2</v>
      </c>
      <c r="B750" s="14" t="str">
        <f>Base_report!B749</f>
        <v>DECEMBRE 2023</v>
      </c>
      <c r="C750" s="15" t="str">
        <f>Base_report!C749</f>
        <v>C1413</v>
      </c>
      <c r="D750" s="14" t="str">
        <f>TRIM(IF(ISNUMBER(FIND("PNSME",Base_report!D749,1)),SUBSTITUTE(Base_report!D749,"PNSME",""),IF(ISNUMBER(FIND("PHG",Base_report!D749,1)),SUBSTITUTE(Base_report!D749,"PHG",""),IF(ISNUMBER(FIND("PCS",Base_report!D749,1)),SUBSTITUTE(Base_report!D749,"PCS",""),IF(ISNUMBER(FIND("CMU",Base_report!D749,1)),SUBSTITUTE(Base_report!D749,"CMU",""),Base_report!D749)))))</f>
        <v>FSU EDMOND BASQUE ( PLATEAU)</v>
      </c>
      <c r="E750" s="14" t="str">
        <f>SUBSTITUTE(Base_report!E749,"-","/")</f>
        <v>PNLP/MEDICAMENTS ET INTRANTS</v>
      </c>
      <c r="F750" s="14" t="s">
        <v>788</v>
      </c>
      <c r="G750" s="16">
        <f>DATE(YEAR(SUBSTITUTE(LEFT(Base_report!F749,10),"-","/")),MONTH(SUBSTITUTE(LEFT(Base_report!F749,10),"-","/")),DAY(SUBSTITUTE(LEFT(Base_report!F749,10),"-","/")))</f>
        <v>45295</v>
      </c>
      <c r="H750" s="16">
        <f>DATE(YEAR(SUBSTITUTE(LEFT(Base_report!G749,10),"-","/")),MONTH(SUBSTITUTE(LEFT(Base_report!G749,10),"-","/")),DAY(SUBSTITUTE(LEFT(Base_report!G749,10),"-","/")))</f>
        <v>45295</v>
      </c>
      <c r="I750" s="17" t="str">
        <f t="shared" si="1"/>
        <v>OUI</v>
      </c>
      <c r="J750" s="18">
        <f>IF(L750="DS",DATE(RIGHT(B750,4),VLOOKUP(LEFT(B750,LEN(B750)-5),Feuil1!$E$3:$F$19,2,FALSE)+1,10),DATE(RIGHT(B750,4),VLOOKUP(LEFT(B750,LEN(B750)-5),Feuil1!$E$3:$F$19,2,FALSE)+1,7))</f>
        <v>45298</v>
      </c>
      <c r="K750" s="19">
        <f t="shared" si="2"/>
        <v>1</v>
      </c>
      <c r="L750" s="6" t="str">
        <f t="shared" si="3"/>
        <v>FS</v>
      </c>
    </row>
    <row r="751" ht="14.25" customHeight="1">
      <c r="A751" s="14" t="str">
        <f>Base_report!A750</f>
        <v>ABIDJAN 2</v>
      </c>
      <c r="B751" s="14" t="str">
        <f>Base_report!B750</f>
        <v>DECEMBRE 2023</v>
      </c>
      <c r="C751" s="15" t="str">
        <f>Base_report!C750</f>
        <v>C1101</v>
      </c>
      <c r="D751" s="14" t="str">
        <f>TRIM(IF(ISNUMBER(FIND("PNSME",Base_report!D750,1)),SUBSTITUTE(Base_report!D750,"PNSME",""),IF(ISNUMBER(FIND("PHG",Base_report!D750,1)),SUBSTITUTE(Base_report!D750,"PHG",""),IF(ISNUMBER(FIND("PCS",Base_report!D750,1)),SUBSTITUTE(Base_report!D750,"PCS",""),IF(ISNUMBER(FIND("CMU",Base_report!D750,1)),SUBSTITUTE(Base_report!D750,"CMU",""),Base_report!D750)))))</f>
        <v>HOPITAL MUNICIPAL VRIDI CITE</v>
      </c>
      <c r="E751" s="14" t="str">
        <f>SUBSTITUTE(Base_report!E750,"-","/")</f>
        <v>PNSME_GRATUITE:MEDICAMENTS ET INTRANTS</v>
      </c>
      <c r="F751" s="14" t="s">
        <v>788</v>
      </c>
      <c r="G751" s="16">
        <f>DATE(YEAR(SUBSTITUTE(LEFT(Base_report!F750,10),"-","/")),MONTH(SUBSTITUTE(LEFT(Base_report!F750,10),"-","/")),DAY(SUBSTITUTE(LEFT(Base_report!F750,10),"-","/")))</f>
        <v>45294</v>
      </c>
      <c r="H751" s="16">
        <f>DATE(YEAR(SUBSTITUTE(LEFT(Base_report!G750,10),"-","/")),MONTH(SUBSTITUTE(LEFT(Base_report!G750,10),"-","/")),DAY(SUBSTITUTE(LEFT(Base_report!G750,10),"-","/")))</f>
        <v>45294</v>
      </c>
      <c r="I751" s="17" t="str">
        <f t="shared" si="1"/>
        <v>OUI</v>
      </c>
      <c r="J751" s="18">
        <f>IF(L751="DS",DATE(RIGHT(B751,4),VLOOKUP(LEFT(B751,LEN(B751)-5),Feuil1!$E$3:$F$19,2,FALSE)+1,10),DATE(RIGHT(B751,4),VLOOKUP(LEFT(B751,LEN(B751)-5),Feuil1!$E$3:$F$19,2,FALSE)+1,7))</f>
        <v>45298</v>
      </c>
      <c r="K751" s="19">
        <f t="shared" si="2"/>
        <v>1</v>
      </c>
      <c r="L751" s="6" t="str">
        <f t="shared" si="3"/>
        <v>FS</v>
      </c>
    </row>
    <row r="752" ht="14.25" customHeight="1">
      <c r="A752" s="14" t="str">
        <f>Base_report!A751</f>
        <v>ME</v>
      </c>
      <c r="B752" s="14" t="str">
        <f>Base_report!B751</f>
        <v>DECEMBRE 2023</v>
      </c>
      <c r="C752" s="15" t="str">
        <f>Base_report!C751</f>
        <v>C4038</v>
      </c>
      <c r="D752" s="14" t="str">
        <f>TRIM(IF(ISNUMBER(FIND("PNSME",Base_report!D751,1)),SUBSTITUTE(Base_report!D751,"PNSME",""),IF(ISNUMBER(FIND("PHG",Base_report!D751,1)),SUBSTITUTE(Base_report!D751,"PHG",""),IF(ISNUMBER(FIND("PCS",Base_report!D751,1)),SUBSTITUTE(Base_report!D751,"PCS",""),IF(ISNUMBER(FIND("CMU",Base_report!D751,1)),SUBSTITUTE(Base_report!D751,"CMU",""),Base_report!D751)))))</f>
        <v>HOPITAL GENERAL AFFERY</v>
      </c>
      <c r="E752" s="14" t="str">
        <f>SUBSTITUTE(Base_report!E751,"-","/")</f>
        <v>PNLP/MEDICAMENTS ET INTRANTS</v>
      </c>
      <c r="F752" s="14" t="s">
        <v>788</v>
      </c>
      <c r="G752" s="16">
        <f>DATE(YEAR(SUBSTITUTE(LEFT(Base_report!F751,10),"-","/")),MONTH(SUBSTITUTE(LEFT(Base_report!F751,10),"-","/")),DAY(SUBSTITUTE(LEFT(Base_report!F751,10),"-","/")))</f>
        <v>45294</v>
      </c>
      <c r="H752" s="16">
        <f>DATE(YEAR(SUBSTITUTE(LEFT(Base_report!G751,10),"-","/")),MONTH(SUBSTITUTE(LEFT(Base_report!G751,10),"-","/")),DAY(SUBSTITUTE(LEFT(Base_report!G751,10),"-","/")))</f>
        <v>45295</v>
      </c>
      <c r="I752" s="17" t="str">
        <f t="shared" si="1"/>
        <v>OUI</v>
      </c>
      <c r="J752" s="18">
        <f>IF(L752="DS",DATE(RIGHT(B752,4),VLOOKUP(LEFT(B752,LEN(B752)-5),Feuil1!$E$3:$F$19,2,FALSE)+1,10),DATE(RIGHT(B752,4),VLOOKUP(LEFT(B752,LEN(B752)-5),Feuil1!$E$3:$F$19,2,FALSE)+1,7))</f>
        <v>45298</v>
      </c>
      <c r="K752" s="19">
        <f t="shared" si="2"/>
        <v>1</v>
      </c>
      <c r="L752" s="6" t="str">
        <f t="shared" si="3"/>
        <v>FS</v>
      </c>
    </row>
    <row r="753" ht="14.25" customHeight="1">
      <c r="A753" s="14" t="str">
        <f>Base_report!A752</f>
        <v>N'ZI</v>
      </c>
      <c r="B753" s="14" t="str">
        <f>Base_report!B752</f>
        <v>DECEMBRE 2023</v>
      </c>
      <c r="C753" s="15" t="str">
        <f>Base_report!C752</f>
        <v>C2019</v>
      </c>
      <c r="D753" s="14" t="str">
        <f>TRIM(IF(ISNUMBER(FIND("PNSME",Base_report!D752,1)),SUBSTITUTE(Base_report!D752,"PNSME",""),IF(ISNUMBER(FIND("PHG",Base_report!D752,1)),SUBSTITUTE(Base_report!D752,"PHG",""),IF(ISNUMBER(FIND("PCS",Base_report!D752,1)),SUBSTITUTE(Base_report!D752,"PCS",""),IF(ISNUMBER(FIND("CMU",Base_report!D752,1)),SUBSTITUTE(Base_report!D752,"CMU",""),Base_report!D752)))))</f>
        <v>DISTRICT SANITAIRE BOCANDA</v>
      </c>
      <c r="E753" s="14" t="str">
        <f>SUBSTITUTE(Base_report!E752,"-","/")</f>
        <v>PNSME/MEDICAMENTS ET INTRANTS</v>
      </c>
      <c r="F753" s="14" t="s">
        <v>788</v>
      </c>
      <c r="G753" s="16">
        <f>DATE(YEAR(SUBSTITUTE(LEFT(Base_report!F752,10),"-","/")),MONTH(SUBSTITUTE(LEFT(Base_report!F752,10),"-","/")),DAY(SUBSTITUTE(LEFT(Base_report!F752,10),"-","/")))</f>
        <v>45294</v>
      </c>
      <c r="H753" s="16">
        <f>DATE(YEAR(SUBSTITUTE(LEFT(Base_report!G752,10),"-","/")),MONTH(SUBSTITUTE(LEFT(Base_report!G752,10),"-","/")),DAY(SUBSTITUTE(LEFT(Base_report!G752,10),"-","/")))</f>
        <v>45295</v>
      </c>
      <c r="I753" s="17" t="str">
        <f t="shared" si="1"/>
        <v>OUI</v>
      </c>
      <c r="J753" s="18">
        <f>IF(L753="DS",DATE(RIGHT(B753,4),VLOOKUP(LEFT(B753,LEN(B753)-5),Feuil1!$E$3:$F$19,2,FALSE)+1,10),DATE(RIGHT(B753,4),VLOOKUP(LEFT(B753,LEN(B753)-5),Feuil1!$E$3:$F$19,2,FALSE)+1,7))</f>
        <v>45301</v>
      </c>
      <c r="K753" s="19">
        <f t="shared" si="2"/>
        <v>1</v>
      </c>
      <c r="L753" s="6" t="str">
        <f t="shared" si="3"/>
        <v>DS</v>
      </c>
    </row>
    <row r="754" ht="14.25" customHeight="1">
      <c r="A754" s="14" t="str">
        <f>Base_report!A753</f>
        <v>AGNEBY-TIASSA</v>
      </c>
      <c r="B754" s="14" t="str">
        <f>Base_report!B753</f>
        <v>DECEMBRE 2023</v>
      </c>
      <c r="C754" s="15" t="str">
        <f>Base_report!C753</f>
        <v>C1701</v>
      </c>
      <c r="D754" s="14" t="str">
        <f>TRIM(IF(ISNUMBER(FIND("PNSME",Base_report!D753,1)),SUBSTITUTE(Base_report!D753,"PNSME",""),IF(ISNUMBER(FIND("PHG",Base_report!D753,1)),SUBSTITUTE(Base_report!D753,"PHG",""),IF(ISNUMBER(FIND("PCS",Base_report!D753,1)),SUBSTITUTE(Base_report!D753,"PCS",""),IF(ISNUMBER(FIND("CMU",Base_report!D753,1)),SUBSTITUTE(Base_report!D753,"CMU",""),Base_report!D753)))))</f>
        <v>HOPITAL SAINT JEAN- BAPTISTE</v>
      </c>
      <c r="E754" s="14" t="str">
        <f>SUBSTITUTE(Base_report!E753,"-","/")</f>
        <v>PNSME_GRATUITE:MEDICAMENTS ET INTRANTS</v>
      </c>
      <c r="F754" s="14" t="s">
        <v>788</v>
      </c>
      <c r="G754" s="16">
        <f>DATE(YEAR(SUBSTITUTE(LEFT(Base_report!F753,10),"-","/")),MONTH(SUBSTITUTE(LEFT(Base_report!F753,10),"-","/")),DAY(SUBSTITUTE(LEFT(Base_report!F753,10),"-","/")))</f>
        <v>45295</v>
      </c>
      <c r="H754" s="16">
        <f>DATE(YEAR(SUBSTITUTE(LEFT(Base_report!G753,10),"-","/")),MONTH(SUBSTITUTE(LEFT(Base_report!G753,10),"-","/")),DAY(SUBSTITUTE(LEFT(Base_report!G753,10),"-","/")))</f>
        <v>45296</v>
      </c>
      <c r="I754" s="17" t="str">
        <f t="shared" si="1"/>
        <v>OUI</v>
      </c>
      <c r="J754" s="18">
        <f>IF(L754="DS",DATE(RIGHT(B754,4),VLOOKUP(LEFT(B754,LEN(B754)-5),Feuil1!$E$3:$F$19,2,FALSE)+1,10),DATE(RIGHT(B754,4),VLOOKUP(LEFT(B754,LEN(B754)-5),Feuil1!$E$3:$F$19,2,FALSE)+1,7))</f>
        <v>45298</v>
      </c>
      <c r="K754" s="19">
        <f t="shared" si="2"/>
        <v>1</v>
      </c>
      <c r="L754" s="6" t="str">
        <f t="shared" si="3"/>
        <v>FS</v>
      </c>
    </row>
    <row r="755" ht="14.25" customHeight="1">
      <c r="A755" s="14" t="str">
        <f>Base_report!A754</f>
        <v>AGNEBY-TIASSA</v>
      </c>
      <c r="B755" s="14" t="str">
        <f>Base_report!B754</f>
        <v>DECEMBRE 2023</v>
      </c>
      <c r="C755" s="15" t="str">
        <f>Base_report!C754</f>
        <v>C1112</v>
      </c>
      <c r="D755" s="14" t="str">
        <f>TRIM(IF(ISNUMBER(FIND("PNSME",Base_report!D754,1)),SUBSTITUTE(Base_report!D754,"PNSME",""),IF(ISNUMBER(FIND("PHG",Base_report!D754,1)),SUBSTITUTE(Base_report!D754,"PHG",""),IF(ISNUMBER(FIND("PCS",Base_report!D754,1)),SUBSTITUTE(Base_report!D754,"PCS",""),IF(ISNUMBER(FIND("CMU",Base_report!D754,1)),SUBSTITUTE(Base_report!D754,"CMU",""),Base_report!D754)))))</f>
        <v>HOPITAL GENERAL TIASSALE</v>
      </c>
      <c r="E755" s="14" t="str">
        <f>SUBSTITUTE(Base_report!E754,"-","/")</f>
        <v>PNLP/MEDICAMENTS ET INTRANTS</v>
      </c>
      <c r="F755" s="14" t="s">
        <v>788</v>
      </c>
      <c r="G755" s="16">
        <f>DATE(YEAR(SUBSTITUTE(LEFT(Base_report!F754,10),"-","/")),MONTH(SUBSTITUTE(LEFT(Base_report!F754,10),"-","/")),DAY(SUBSTITUTE(LEFT(Base_report!F754,10),"-","/")))</f>
        <v>45296</v>
      </c>
      <c r="H755" s="16">
        <f>DATE(YEAR(SUBSTITUTE(LEFT(Base_report!G754,10),"-","/")),MONTH(SUBSTITUTE(LEFT(Base_report!G754,10),"-","/")),DAY(SUBSTITUTE(LEFT(Base_report!G754,10),"-","/")))</f>
        <v>45296</v>
      </c>
      <c r="I755" s="17" t="str">
        <f t="shared" si="1"/>
        <v>OUI</v>
      </c>
      <c r="J755" s="18">
        <f>IF(L755="DS",DATE(RIGHT(B755,4),VLOOKUP(LEFT(B755,LEN(B755)-5),Feuil1!$E$3:$F$19,2,FALSE)+1,10),DATE(RIGHT(B755,4),VLOOKUP(LEFT(B755,LEN(B755)-5),Feuil1!$E$3:$F$19,2,FALSE)+1,7))</f>
        <v>45298</v>
      </c>
      <c r="K755" s="19">
        <f t="shared" si="2"/>
        <v>1</v>
      </c>
      <c r="L755" s="6" t="str">
        <f t="shared" si="3"/>
        <v>FS</v>
      </c>
    </row>
    <row r="756" ht="14.25" customHeight="1">
      <c r="A756" s="14" t="str">
        <f>Base_report!A755</f>
        <v>GONTOUGO</v>
      </c>
      <c r="B756" s="14" t="str">
        <f>Base_report!B755</f>
        <v>DECEMBRE 2023</v>
      </c>
      <c r="C756" s="15" t="str">
        <f>Base_report!C755</f>
        <v>C4021</v>
      </c>
      <c r="D756" s="14" t="str">
        <f>TRIM(IF(ISNUMBER(FIND("PNSME",Base_report!D755,1)),SUBSTITUTE(Base_report!D755,"PNSME",""),IF(ISNUMBER(FIND("PHG",Base_report!D755,1)),SUBSTITUTE(Base_report!D755,"PHG",""),IF(ISNUMBER(FIND("PCS",Base_report!D755,1)),SUBSTITUTE(Base_report!D755,"PCS",""),IF(ISNUMBER(FIND("CMU",Base_report!D755,1)),SUBSTITUTE(Base_report!D755,"CMU",""),Base_report!D755)))))</f>
        <v>HOPITAL GENERAL KOUN FAO</v>
      </c>
      <c r="E756" s="14" t="str">
        <f>SUBSTITUTE(Base_report!E755,"-","/")</f>
        <v>PNLP/MEDICAMENTS ET INTRANTS</v>
      </c>
      <c r="F756" s="14" t="s">
        <v>788</v>
      </c>
      <c r="G756" s="16">
        <f>DATE(YEAR(SUBSTITUTE(LEFT(Base_report!F755,10),"-","/")),MONTH(SUBSTITUTE(LEFT(Base_report!F755,10),"-","/")),DAY(SUBSTITUTE(LEFT(Base_report!F755,10),"-","/")))</f>
        <v>45294</v>
      </c>
      <c r="H756" s="16">
        <f>DATE(YEAR(SUBSTITUTE(LEFT(Base_report!G755,10),"-","/")),MONTH(SUBSTITUTE(LEFT(Base_report!G755,10),"-","/")),DAY(SUBSTITUTE(LEFT(Base_report!G755,10),"-","/")))</f>
        <v>45294</v>
      </c>
      <c r="I756" s="17" t="str">
        <f t="shared" si="1"/>
        <v>OUI</v>
      </c>
      <c r="J756" s="18">
        <f>IF(L756="DS",DATE(RIGHT(B756,4),VLOOKUP(LEFT(B756,LEN(B756)-5),Feuil1!$E$3:$F$19,2,FALSE)+1,10),DATE(RIGHT(B756,4),VLOOKUP(LEFT(B756,LEN(B756)-5),Feuil1!$E$3:$F$19,2,FALSE)+1,7))</f>
        <v>45298</v>
      </c>
      <c r="K756" s="19">
        <f t="shared" si="2"/>
        <v>1</v>
      </c>
      <c r="L756" s="6" t="str">
        <f t="shared" si="3"/>
        <v>FS</v>
      </c>
    </row>
    <row r="757" ht="14.25" customHeight="1">
      <c r="A757" s="14" t="str">
        <f>Base_report!A756</f>
        <v>GOH</v>
      </c>
      <c r="B757" s="14" t="str">
        <f>Base_report!B756</f>
        <v>DECEMBRE 2023</v>
      </c>
      <c r="C757" s="15" t="str">
        <f>Base_report!C756</f>
        <v>C2053</v>
      </c>
      <c r="D757" s="14" t="str">
        <f>TRIM(IF(ISNUMBER(FIND("PNSME",Base_report!D756,1)),SUBSTITUTE(Base_report!D756,"PNSME",""),IF(ISNUMBER(FIND("PHG",Base_report!D756,1)),SUBSTITUTE(Base_report!D756,"PHG",""),IF(ISNUMBER(FIND("PCS",Base_report!D756,1)),SUBSTITUTE(Base_report!D756,"PCS",""),IF(ISNUMBER(FIND("CMU",Base_report!D756,1)),SUBSTITUTE(Base_report!D756,"CMU",""),Base_report!D756)))))</f>
        <v>HOPITAL GENERAL GAGNOA</v>
      </c>
      <c r="E757" s="14" t="str">
        <f>SUBSTITUTE(Base_report!E756,"-","/")</f>
        <v>PNLS/TESTS RAPIDES ET CONSOMMABLES</v>
      </c>
      <c r="F757" s="14" t="s">
        <v>788</v>
      </c>
      <c r="G757" s="16">
        <f>DATE(YEAR(SUBSTITUTE(LEFT(Base_report!F756,10),"-","/")),MONTH(SUBSTITUTE(LEFT(Base_report!F756,10),"-","/")),DAY(SUBSTITUTE(LEFT(Base_report!F756,10),"-","/")))</f>
        <v>45295</v>
      </c>
      <c r="H757" s="16">
        <f>DATE(YEAR(SUBSTITUTE(LEFT(Base_report!G756,10),"-","/")),MONTH(SUBSTITUTE(LEFT(Base_report!G756,10),"-","/")),DAY(SUBSTITUTE(LEFT(Base_report!G756,10),"-","/")))</f>
        <v>45295</v>
      </c>
      <c r="I757" s="17" t="str">
        <f t="shared" si="1"/>
        <v>OUI</v>
      </c>
      <c r="J757" s="18">
        <f>IF(L757="DS",DATE(RIGHT(B757,4),VLOOKUP(LEFT(B757,LEN(B757)-5),Feuil1!$E$3:$F$19,2,FALSE)+1,10),DATE(RIGHT(B757,4),VLOOKUP(LEFT(B757,LEN(B757)-5),Feuil1!$E$3:$F$19,2,FALSE)+1,7))</f>
        <v>45298</v>
      </c>
      <c r="K757" s="19">
        <f t="shared" si="2"/>
        <v>1</v>
      </c>
      <c r="L757" s="6" t="str">
        <f t="shared" si="3"/>
        <v>FS</v>
      </c>
    </row>
    <row r="758" ht="14.25" customHeight="1">
      <c r="A758" s="14" t="str">
        <f>Base_report!A757</f>
        <v>ME</v>
      </c>
      <c r="B758" s="14" t="str">
        <f>Base_report!B757</f>
        <v>DECEMBRE 2023</v>
      </c>
      <c r="C758" s="15" t="str">
        <f>Base_report!C757</f>
        <v>C4015</v>
      </c>
      <c r="D758" s="14" t="str">
        <f>TRIM(IF(ISNUMBER(FIND("PNSME",Base_report!D757,1)),SUBSTITUTE(Base_report!D757,"PNSME",""),IF(ISNUMBER(FIND("PHG",Base_report!D757,1)),SUBSTITUTE(Base_report!D757,"PHG",""),IF(ISNUMBER(FIND("PCS",Base_report!D757,1)),SUBSTITUTE(Base_report!D757,"PCS",""),IF(ISNUMBER(FIND("CMU",Base_report!D757,1)),SUBSTITUTE(Base_report!D757,"CMU",""),Base_report!D757)))))</f>
        <v>HOPITAL GENERAL AKOUPE</v>
      </c>
      <c r="E758" s="14" t="str">
        <f>SUBSTITUTE(Base_report!E757,"-","/")</f>
        <v>PNLS/CHARGES VIRALES</v>
      </c>
      <c r="F758" s="14" t="s">
        <v>788</v>
      </c>
      <c r="G758" s="16">
        <f>DATE(YEAR(SUBSTITUTE(LEFT(Base_report!F757,10),"-","/")),MONTH(SUBSTITUTE(LEFT(Base_report!F757,10),"-","/")),DAY(SUBSTITUTE(LEFT(Base_report!F757,10),"-","/")))</f>
        <v>45295</v>
      </c>
      <c r="H758" s="16">
        <f>DATE(YEAR(SUBSTITUTE(LEFT(Base_report!G757,10),"-","/")),MONTH(SUBSTITUTE(LEFT(Base_report!G757,10),"-","/")),DAY(SUBSTITUTE(LEFT(Base_report!G757,10),"-","/")))</f>
        <v>45295</v>
      </c>
      <c r="I758" s="17" t="str">
        <f t="shared" si="1"/>
        <v>OUI</v>
      </c>
      <c r="J758" s="18">
        <f>IF(L758="DS",DATE(RIGHT(B758,4),VLOOKUP(LEFT(B758,LEN(B758)-5),Feuil1!$E$3:$F$19,2,FALSE)+1,10),DATE(RIGHT(B758,4),VLOOKUP(LEFT(B758,LEN(B758)-5),Feuil1!$E$3:$F$19,2,FALSE)+1,7))</f>
        <v>45298</v>
      </c>
      <c r="K758" s="19">
        <f t="shared" si="2"/>
        <v>1</v>
      </c>
      <c r="L758" s="6" t="str">
        <f t="shared" si="3"/>
        <v>FS</v>
      </c>
    </row>
    <row r="759" ht="14.25" customHeight="1">
      <c r="A759" s="14" t="str">
        <f>Base_report!A758</f>
        <v>GONTOUGO</v>
      </c>
      <c r="B759" s="14" t="str">
        <f>Base_report!B758</f>
        <v>DECEMBRE 2023</v>
      </c>
      <c r="C759" s="15" t="str">
        <f>Base_report!C758</f>
        <v>C4002</v>
      </c>
      <c r="D759" s="14" t="str">
        <f>TRIM(IF(ISNUMBER(FIND("PNSME",Base_report!D758,1)),SUBSTITUTE(Base_report!D758,"PNSME",""),IF(ISNUMBER(FIND("PHG",Base_report!D758,1)),SUBSTITUTE(Base_report!D758,"PHG",""),IF(ISNUMBER(FIND("PCS",Base_report!D758,1)),SUBSTITUTE(Base_report!D758,"PCS",""),IF(ISNUMBER(FIND("CMU",Base_report!D758,1)),SUBSTITUTE(Base_report!D758,"CMU",""),Base_report!D758)))))</f>
        <v>CHR BONDOUKOU</v>
      </c>
      <c r="E759" s="14" t="str">
        <f>SUBSTITUTE(Base_report!E758,"-","/")</f>
        <v>PNLS/PRODUITS DE LABORATOIRE</v>
      </c>
      <c r="F759" s="14" t="s">
        <v>788</v>
      </c>
      <c r="G759" s="16">
        <f>DATE(YEAR(SUBSTITUTE(LEFT(Base_report!F758,10),"-","/")),MONTH(SUBSTITUTE(LEFT(Base_report!F758,10),"-","/")),DAY(SUBSTITUTE(LEFT(Base_report!F758,10),"-","/")))</f>
        <v>45295</v>
      </c>
      <c r="H759" s="16">
        <f>DATE(YEAR(SUBSTITUTE(LEFT(Base_report!G758,10),"-","/")),MONTH(SUBSTITUTE(LEFT(Base_report!G758,10),"-","/")),DAY(SUBSTITUTE(LEFT(Base_report!G758,10),"-","/")))</f>
        <v>45296</v>
      </c>
      <c r="I759" s="17" t="str">
        <f t="shared" si="1"/>
        <v>OUI</v>
      </c>
      <c r="J759" s="18">
        <f>IF(L759="DS",DATE(RIGHT(B759,4),VLOOKUP(LEFT(B759,LEN(B759)-5),Feuil1!$E$3:$F$19,2,FALSE)+1,10),DATE(RIGHT(B759,4),VLOOKUP(LEFT(B759,LEN(B759)-5),Feuil1!$E$3:$F$19,2,FALSE)+1,7))</f>
        <v>45298</v>
      </c>
      <c r="K759" s="19">
        <f t="shared" si="2"/>
        <v>1</v>
      </c>
      <c r="L759" s="6" t="str">
        <f t="shared" si="3"/>
        <v>FS</v>
      </c>
    </row>
    <row r="760" ht="14.25" customHeight="1">
      <c r="A760" s="14" t="str">
        <f>Base_report!A759</f>
        <v>ME</v>
      </c>
      <c r="B760" s="14" t="str">
        <f>Base_report!B759</f>
        <v>DECEMBRE 2023</v>
      </c>
      <c r="C760" s="15" t="str">
        <f>Base_report!C759</f>
        <v>C4015</v>
      </c>
      <c r="D760" s="14" t="str">
        <f>TRIM(IF(ISNUMBER(FIND("PNSME",Base_report!D759,1)),SUBSTITUTE(Base_report!D759,"PNSME",""),IF(ISNUMBER(FIND("PHG",Base_report!D759,1)),SUBSTITUTE(Base_report!D759,"PHG",""),IF(ISNUMBER(FIND("PCS",Base_report!D759,1)),SUBSTITUTE(Base_report!D759,"PCS",""),IF(ISNUMBER(FIND("CMU",Base_report!D759,1)),SUBSTITUTE(Base_report!D759,"CMU",""),Base_report!D759)))))</f>
        <v>HOPITAL GENERAL AKOUPE</v>
      </c>
      <c r="E760" s="14" t="str">
        <f>SUBSTITUTE(Base_report!E759,"-","/")</f>
        <v>PNLS/PRODUITS DE LABORATOIRE</v>
      </c>
      <c r="F760" s="14" t="s">
        <v>788</v>
      </c>
      <c r="G760" s="16">
        <f>DATE(YEAR(SUBSTITUTE(LEFT(Base_report!F759,10),"-","/")),MONTH(SUBSTITUTE(LEFT(Base_report!F759,10),"-","/")),DAY(SUBSTITUTE(LEFT(Base_report!F759,10),"-","/")))</f>
        <v>45295</v>
      </c>
      <c r="H760" s="16">
        <f>DATE(YEAR(SUBSTITUTE(LEFT(Base_report!G759,10),"-","/")),MONTH(SUBSTITUTE(LEFT(Base_report!G759,10),"-","/")),DAY(SUBSTITUTE(LEFT(Base_report!G759,10),"-","/")))</f>
        <v>45295</v>
      </c>
      <c r="I760" s="17" t="str">
        <f t="shared" si="1"/>
        <v>OUI</v>
      </c>
      <c r="J760" s="18">
        <f>IF(L760="DS",DATE(RIGHT(B760,4),VLOOKUP(LEFT(B760,LEN(B760)-5),Feuil1!$E$3:$F$19,2,FALSE)+1,10),DATE(RIGHT(B760,4),VLOOKUP(LEFT(B760,LEN(B760)-5),Feuil1!$E$3:$F$19,2,FALSE)+1,7))</f>
        <v>45298</v>
      </c>
      <c r="K760" s="19">
        <f t="shared" si="2"/>
        <v>1</v>
      </c>
      <c r="L760" s="6" t="str">
        <f t="shared" si="3"/>
        <v>FS</v>
      </c>
    </row>
    <row r="761" ht="14.25" customHeight="1">
      <c r="A761" s="14" t="str">
        <f>Base_report!A760</f>
        <v>GONTOUGO</v>
      </c>
      <c r="B761" s="14" t="str">
        <f>Base_report!B760</f>
        <v>DECEMBRE 2023</v>
      </c>
      <c r="C761" s="15" t="str">
        <f>Base_report!C760</f>
        <v>C4021</v>
      </c>
      <c r="D761" s="14" t="str">
        <f>TRIM(IF(ISNUMBER(FIND("PNSME",Base_report!D760,1)),SUBSTITUTE(Base_report!D760,"PNSME",""),IF(ISNUMBER(FIND("PHG",Base_report!D760,1)),SUBSTITUTE(Base_report!D760,"PHG",""),IF(ISNUMBER(FIND("PCS",Base_report!D760,1)),SUBSTITUTE(Base_report!D760,"PCS",""),IF(ISNUMBER(FIND("CMU",Base_report!D760,1)),SUBSTITUTE(Base_report!D760,"CMU",""),Base_report!D760)))))</f>
        <v>HOPITAL GENERAL KOUN FAO</v>
      </c>
      <c r="E761" s="14" t="str">
        <f>SUBSTITUTE(Base_report!E760,"-","/")</f>
        <v>PNSME/MEDICAMENTS ET INTRANTS</v>
      </c>
      <c r="F761" s="14" t="s">
        <v>788</v>
      </c>
      <c r="G761" s="16">
        <f>DATE(YEAR(SUBSTITUTE(LEFT(Base_report!F760,10),"-","/")),MONTH(SUBSTITUTE(LEFT(Base_report!F760,10),"-","/")),DAY(SUBSTITUTE(LEFT(Base_report!F760,10),"-","/")))</f>
        <v>45294</v>
      </c>
      <c r="H761" s="16">
        <f>DATE(YEAR(SUBSTITUTE(LEFT(Base_report!G760,10),"-","/")),MONTH(SUBSTITUTE(LEFT(Base_report!G760,10),"-","/")),DAY(SUBSTITUTE(LEFT(Base_report!G760,10),"-","/")))</f>
        <v>45294</v>
      </c>
      <c r="I761" s="17" t="str">
        <f t="shared" si="1"/>
        <v>OUI</v>
      </c>
      <c r="J761" s="18">
        <f>IF(L761="DS",DATE(RIGHT(B761,4),VLOOKUP(LEFT(B761,LEN(B761)-5),Feuil1!$E$3:$F$19,2,FALSE)+1,10),DATE(RIGHT(B761,4),VLOOKUP(LEFT(B761,LEN(B761)-5),Feuil1!$E$3:$F$19,2,FALSE)+1,7))</f>
        <v>45298</v>
      </c>
      <c r="K761" s="19">
        <f t="shared" si="2"/>
        <v>1</v>
      </c>
      <c r="L761" s="6" t="str">
        <f t="shared" si="3"/>
        <v>FS</v>
      </c>
    </row>
    <row r="762" ht="14.25" customHeight="1">
      <c r="A762" s="14" t="str">
        <f>Base_report!A761</f>
        <v>ME</v>
      </c>
      <c r="B762" s="14" t="str">
        <f>Base_report!B761</f>
        <v>DECEMBRE 2023</v>
      </c>
      <c r="C762" s="15" t="str">
        <f>Base_report!C761</f>
        <v>C4015</v>
      </c>
      <c r="D762" s="14" t="str">
        <f>TRIM(IF(ISNUMBER(FIND("PNSME",Base_report!D761,1)),SUBSTITUTE(Base_report!D761,"PNSME",""),IF(ISNUMBER(FIND("PHG",Base_report!D761,1)),SUBSTITUTE(Base_report!D761,"PHG",""),IF(ISNUMBER(FIND("PCS",Base_report!D761,1)),SUBSTITUTE(Base_report!D761,"PCS",""),IF(ISNUMBER(FIND("CMU",Base_report!D761,1)),SUBSTITUTE(Base_report!D761,"CMU",""),Base_report!D761)))))</f>
        <v>HOPITAL GENERAL AKOUPE</v>
      </c>
      <c r="E762" s="14" t="str">
        <f>SUBSTITUTE(Base_report!E761,"-","/")</f>
        <v>PNLS/TESTS RAPIDES ET CONSOMMABLES</v>
      </c>
      <c r="F762" s="14" t="s">
        <v>788</v>
      </c>
      <c r="G762" s="16">
        <f>DATE(YEAR(SUBSTITUTE(LEFT(Base_report!F761,10),"-","/")),MONTH(SUBSTITUTE(LEFT(Base_report!F761,10),"-","/")),DAY(SUBSTITUTE(LEFT(Base_report!F761,10),"-","/")))</f>
        <v>45295</v>
      </c>
      <c r="H762" s="16">
        <f>DATE(YEAR(SUBSTITUTE(LEFT(Base_report!G761,10),"-","/")),MONTH(SUBSTITUTE(LEFT(Base_report!G761,10),"-","/")),DAY(SUBSTITUTE(LEFT(Base_report!G761,10),"-","/")))</f>
        <v>45295</v>
      </c>
      <c r="I762" s="17" t="str">
        <f t="shared" si="1"/>
        <v>OUI</v>
      </c>
      <c r="J762" s="18">
        <f>IF(L762="DS",DATE(RIGHT(B762,4),VLOOKUP(LEFT(B762,LEN(B762)-5),Feuil1!$E$3:$F$19,2,FALSE)+1,10),DATE(RIGHT(B762,4),VLOOKUP(LEFT(B762,LEN(B762)-5),Feuil1!$E$3:$F$19,2,FALSE)+1,7))</f>
        <v>45298</v>
      </c>
      <c r="K762" s="19">
        <f t="shared" si="2"/>
        <v>1</v>
      </c>
      <c r="L762" s="6" t="str">
        <f t="shared" si="3"/>
        <v>FS</v>
      </c>
    </row>
    <row r="763" ht="14.25" customHeight="1">
      <c r="A763" s="14" t="str">
        <f>Base_report!A762</f>
        <v>GRANDS PONTS</v>
      </c>
      <c r="B763" s="14" t="str">
        <f>Base_report!B762</f>
        <v>DECEMBRE 2023</v>
      </c>
      <c r="C763" s="15" t="str">
        <f>Base_report!C762</f>
        <v>C1092</v>
      </c>
      <c r="D763" s="14" t="str">
        <f>TRIM(IF(ISNUMBER(FIND("PNSME",Base_report!D762,1)),SUBSTITUTE(Base_report!D762,"PNSME",""),IF(ISNUMBER(FIND("PHG",Base_report!D762,1)),SUBSTITUTE(Base_report!D762,"PHG",""),IF(ISNUMBER(FIND("PCS",Base_report!D762,1)),SUBSTITUTE(Base_report!D762,"PCS",""),IF(ISNUMBER(FIND("CMU",Base_report!D762,1)),SUBSTITUTE(Base_report!D762,"CMU",""),Base_report!D762)))))</f>
        <v>HOPITAL GENERAL JACQUEVILLE</v>
      </c>
      <c r="E763" s="14" t="str">
        <f>SUBSTITUTE(Base_report!E762,"-","/")</f>
        <v>PNN/MEDICAMENTS ET INTRANTS</v>
      </c>
      <c r="F763" s="14" t="s">
        <v>788</v>
      </c>
      <c r="G763" s="16">
        <f>DATE(YEAR(SUBSTITUTE(LEFT(Base_report!F762,10),"-","/")),MONTH(SUBSTITUTE(LEFT(Base_report!F762,10),"-","/")),DAY(SUBSTITUTE(LEFT(Base_report!F762,10),"-","/")))</f>
        <v>45294</v>
      </c>
      <c r="H763" s="16">
        <f>DATE(YEAR(SUBSTITUTE(LEFT(Base_report!G762,10),"-","/")),MONTH(SUBSTITUTE(LEFT(Base_report!G762,10),"-","/")),DAY(SUBSTITUTE(LEFT(Base_report!G762,10),"-","/")))</f>
        <v>45296</v>
      </c>
      <c r="I763" s="17" t="str">
        <f t="shared" si="1"/>
        <v>OUI</v>
      </c>
      <c r="J763" s="18">
        <f>IF(L763="DS",DATE(RIGHT(B763,4),VLOOKUP(LEFT(B763,LEN(B763)-5),Feuil1!$E$3:$F$19,2,FALSE)+1,10),DATE(RIGHT(B763,4),VLOOKUP(LEFT(B763,LEN(B763)-5),Feuil1!$E$3:$F$19,2,FALSE)+1,7))</f>
        <v>45298</v>
      </c>
      <c r="K763" s="19">
        <f t="shared" si="2"/>
        <v>1</v>
      </c>
      <c r="L763" s="6" t="str">
        <f t="shared" si="3"/>
        <v>FS</v>
      </c>
    </row>
    <row r="764" ht="14.25" customHeight="1">
      <c r="A764" s="14" t="str">
        <f>Base_report!A763</f>
        <v>HAUT-SASSANDRA</v>
      </c>
      <c r="B764" s="14" t="str">
        <f>Base_report!B763</f>
        <v>DECEMBRE 2023</v>
      </c>
      <c r="C764" s="15" t="str">
        <f>Base_report!C763</f>
        <v>C2061</v>
      </c>
      <c r="D764" s="14" t="str">
        <f>TRIM(IF(ISNUMBER(FIND("PNSME",Base_report!D763,1)),SUBSTITUTE(Base_report!D763,"PNSME",""),IF(ISNUMBER(FIND("PHG",Base_report!D763,1)),SUBSTITUTE(Base_report!D763,"PHG",""),IF(ISNUMBER(FIND("PCS",Base_report!D763,1)),SUBSTITUTE(Base_report!D763,"PCS",""),IF(ISNUMBER(FIND("CMU",Base_report!D763,1)),SUBSTITUTE(Base_report!D763,"CMU",""),Base_report!D763)))))</f>
        <v>HOPITAL GENERAL SAIOUA</v>
      </c>
      <c r="E764" s="14" t="str">
        <f>SUBSTITUTE(Base_report!E763,"-","/")</f>
        <v>PNLS/ANTIRETROVIRAUX ET IO</v>
      </c>
      <c r="F764" s="14" t="s">
        <v>788</v>
      </c>
      <c r="G764" s="16">
        <f>DATE(YEAR(SUBSTITUTE(LEFT(Base_report!F763,10),"-","/")),MONTH(SUBSTITUTE(LEFT(Base_report!F763,10),"-","/")),DAY(SUBSTITUTE(LEFT(Base_report!F763,10),"-","/")))</f>
        <v>45296</v>
      </c>
      <c r="H764" s="16">
        <f>DATE(YEAR(SUBSTITUTE(LEFT(Base_report!G763,10),"-","/")),MONTH(SUBSTITUTE(LEFT(Base_report!G763,10),"-","/")),DAY(SUBSTITUTE(LEFT(Base_report!G763,10),"-","/")))</f>
        <v>45296</v>
      </c>
      <c r="I764" s="17" t="str">
        <f t="shared" si="1"/>
        <v>OUI</v>
      </c>
      <c r="J764" s="18">
        <f>IF(L764="DS",DATE(RIGHT(B764,4),VLOOKUP(LEFT(B764,LEN(B764)-5),Feuil1!$E$3:$F$19,2,FALSE)+1,10),DATE(RIGHT(B764,4),VLOOKUP(LEFT(B764,LEN(B764)-5),Feuil1!$E$3:$F$19,2,FALSE)+1,7))</f>
        <v>45298</v>
      </c>
      <c r="K764" s="19">
        <f t="shared" si="2"/>
        <v>1</v>
      </c>
      <c r="L764" s="6" t="str">
        <f t="shared" si="3"/>
        <v>FS</v>
      </c>
    </row>
    <row r="765" ht="14.25" customHeight="1">
      <c r="A765" s="14" t="str">
        <f>Base_report!A764</f>
        <v>NAWA</v>
      </c>
      <c r="B765" s="14" t="str">
        <f>Base_report!B764</f>
        <v>DECEMBRE 2023</v>
      </c>
      <c r="C765" s="15" t="str">
        <f>Base_report!C764</f>
        <v>C2064</v>
      </c>
      <c r="D765" s="14" t="str">
        <f>TRIM(IF(ISNUMBER(FIND("PNSME",Base_report!D764,1)),SUBSTITUTE(Base_report!D764,"PNSME",""),IF(ISNUMBER(FIND("PHG",Base_report!D764,1)),SUBSTITUTE(Base_report!D764,"PHG",""),IF(ISNUMBER(FIND("PCS",Base_report!D764,1)),SUBSTITUTE(Base_report!D764,"PCS",""),IF(ISNUMBER(FIND("CMU",Base_report!D764,1)),SUBSTITUTE(Base_report!D764,"CMU",""),Base_report!D764)))))</f>
        <v>HOPITAL GENERAL SOUBRE</v>
      </c>
      <c r="E765" s="14" t="str">
        <f>SUBSTITUTE(Base_report!E764,"-","/")</f>
        <v>PNLP/MEDICAMENTS ET INTRANTS</v>
      </c>
      <c r="F765" s="14" t="s">
        <v>788</v>
      </c>
      <c r="G765" s="16">
        <f>DATE(YEAR(SUBSTITUTE(LEFT(Base_report!F764,10),"-","/")),MONTH(SUBSTITUTE(LEFT(Base_report!F764,10),"-","/")),DAY(SUBSTITUTE(LEFT(Base_report!F764,10),"-","/")))</f>
        <v>45294</v>
      </c>
      <c r="H765" s="16">
        <f>DATE(YEAR(SUBSTITUTE(LEFT(Base_report!G764,10),"-","/")),MONTH(SUBSTITUTE(LEFT(Base_report!G764,10),"-","/")),DAY(SUBSTITUTE(LEFT(Base_report!G764,10),"-","/")))</f>
        <v>45296</v>
      </c>
      <c r="I765" s="17" t="str">
        <f t="shared" si="1"/>
        <v>OUI</v>
      </c>
      <c r="J765" s="18">
        <f>IF(L765="DS",DATE(RIGHT(B765,4),VLOOKUP(LEFT(B765,LEN(B765)-5),Feuil1!$E$3:$F$19,2,FALSE)+1,10),DATE(RIGHT(B765,4),VLOOKUP(LEFT(B765,LEN(B765)-5),Feuil1!$E$3:$F$19,2,FALSE)+1,7))</f>
        <v>45298</v>
      </c>
      <c r="K765" s="19">
        <f t="shared" si="2"/>
        <v>1</v>
      </c>
      <c r="L765" s="6" t="str">
        <f t="shared" si="3"/>
        <v>FS</v>
      </c>
    </row>
    <row r="766" ht="14.25" customHeight="1">
      <c r="A766" s="14" t="str">
        <f>Base_report!A765</f>
        <v>GONTOUGO</v>
      </c>
      <c r="B766" s="14" t="str">
        <f>Base_report!B765</f>
        <v>DECEMBRE 2023</v>
      </c>
      <c r="C766" s="15" t="str">
        <f>Base_report!C765</f>
        <v>C4020</v>
      </c>
      <c r="D766" s="14" t="str">
        <f>TRIM(IF(ISNUMBER(FIND("PNSME",Base_report!D765,1)),SUBSTITUTE(Base_report!D765,"PNSME",""),IF(ISNUMBER(FIND("PHG",Base_report!D765,1)),SUBSTITUTE(Base_report!D765,"PHG",""),IF(ISNUMBER(FIND("PCS",Base_report!D765,1)),SUBSTITUTE(Base_report!D765,"PCS",""),IF(ISNUMBER(FIND("CMU",Base_report!D765,1)),SUBSTITUTE(Base_report!D765,"CMU",""),Base_report!D765)))))</f>
        <v>HOPITAL GENERAL KOUASSI-DATEKRO</v>
      </c>
      <c r="E766" s="14" t="str">
        <f>SUBSTITUTE(Base_report!E765,"-","/")</f>
        <v>PNLP/MEDICAMENTS ET INTRANTS</v>
      </c>
      <c r="F766" s="14" t="s">
        <v>788</v>
      </c>
      <c r="G766" s="16">
        <f>DATE(YEAR(SUBSTITUTE(LEFT(Base_report!F765,10),"-","/")),MONTH(SUBSTITUTE(LEFT(Base_report!F765,10),"-","/")),DAY(SUBSTITUTE(LEFT(Base_report!F765,10),"-","/")))</f>
        <v>45294</v>
      </c>
      <c r="H766" s="16">
        <f>DATE(YEAR(SUBSTITUTE(LEFT(Base_report!G765,10),"-","/")),MONTH(SUBSTITUTE(LEFT(Base_report!G765,10),"-","/")),DAY(SUBSTITUTE(LEFT(Base_report!G765,10),"-","/")))</f>
        <v>45297</v>
      </c>
      <c r="I766" s="17" t="str">
        <f t="shared" si="1"/>
        <v>OUI</v>
      </c>
      <c r="J766" s="18">
        <f>IF(L766="DS",DATE(RIGHT(B766,4),VLOOKUP(LEFT(B766,LEN(B766)-5),Feuil1!$E$3:$F$19,2,FALSE)+1,10),DATE(RIGHT(B766,4),VLOOKUP(LEFT(B766,LEN(B766)-5),Feuil1!$E$3:$F$19,2,FALSE)+1,7))</f>
        <v>45298</v>
      </c>
      <c r="K766" s="19">
        <f t="shared" si="2"/>
        <v>1</v>
      </c>
      <c r="L766" s="6" t="str">
        <f t="shared" si="3"/>
        <v>FS</v>
      </c>
    </row>
    <row r="767" ht="14.25" customHeight="1">
      <c r="A767" s="14" t="str">
        <f>Base_report!A766</f>
        <v>GONTOUGO</v>
      </c>
      <c r="B767" s="14" t="str">
        <f>Base_report!B766</f>
        <v>DECEMBRE 2023</v>
      </c>
      <c r="C767" s="15" t="str">
        <f>Base_report!C766</f>
        <v>C4021</v>
      </c>
      <c r="D767" s="14" t="str">
        <f>TRIM(IF(ISNUMBER(FIND("PNSME",Base_report!D766,1)),SUBSTITUTE(Base_report!D766,"PNSME",""),IF(ISNUMBER(FIND("PHG",Base_report!D766,1)),SUBSTITUTE(Base_report!D766,"PHG",""),IF(ISNUMBER(FIND("PCS",Base_report!D766,1)),SUBSTITUTE(Base_report!D766,"PCS",""),IF(ISNUMBER(FIND("CMU",Base_report!D766,1)),SUBSTITUTE(Base_report!D766,"CMU",""),Base_report!D766)))))</f>
        <v>HOPITAL GENERAL KOUN FAO</v>
      </c>
      <c r="E767" s="14" t="str">
        <f>SUBSTITUTE(Base_report!E766,"-","/")</f>
        <v>PNLS/CHARGES VIRALES</v>
      </c>
      <c r="F767" s="14" t="s">
        <v>788</v>
      </c>
      <c r="G767" s="16">
        <f>DATE(YEAR(SUBSTITUTE(LEFT(Base_report!F766,10),"-","/")),MONTH(SUBSTITUTE(LEFT(Base_report!F766,10),"-","/")),DAY(SUBSTITUTE(LEFT(Base_report!F766,10),"-","/")))</f>
        <v>45294</v>
      </c>
      <c r="H767" s="16">
        <f>DATE(YEAR(SUBSTITUTE(LEFT(Base_report!G766,10),"-","/")),MONTH(SUBSTITUTE(LEFT(Base_report!G766,10),"-","/")),DAY(SUBSTITUTE(LEFT(Base_report!G766,10),"-","/")))</f>
        <v>45294</v>
      </c>
      <c r="I767" s="17" t="str">
        <f t="shared" si="1"/>
        <v>OUI</v>
      </c>
      <c r="J767" s="18">
        <f>IF(L767="DS",DATE(RIGHT(B767,4),VLOOKUP(LEFT(B767,LEN(B767)-5),Feuil1!$E$3:$F$19,2,FALSE)+1,10),DATE(RIGHT(B767,4),VLOOKUP(LEFT(B767,LEN(B767)-5),Feuil1!$E$3:$F$19,2,FALSE)+1,7))</f>
        <v>45298</v>
      </c>
      <c r="K767" s="19">
        <f t="shared" si="2"/>
        <v>1</v>
      </c>
      <c r="L767" s="6" t="str">
        <f t="shared" si="3"/>
        <v>FS</v>
      </c>
    </row>
    <row r="768" ht="14.25" customHeight="1">
      <c r="A768" s="14" t="str">
        <f>Base_report!#REF!</f>
        <v>#ERROR!</v>
      </c>
      <c r="B768" s="14" t="str">
        <f>Base_report!#REF!</f>
        <v>#ERROR!</v>
      </c>
      <c r="C768" s="15" t="str">
        <f>Base_report!#REF!</f>
        <v>#ERROR!</v>
      </c>
      <c r="D768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768" s="14" t="str">
        <f>SUBSTITUTE(Base_report!#REF!,"-","/")</f>
        <v>#ERROR!</v>
      </c>
      <c r="F768" s="14" t="s">
        <v>788</v>
      </c>
      <c r="G768" s="16" t="str">
        <f>DATE(YEAR(SUBSTITUTE(LEFT(Base_report!#REF!,10),"-","/")),MONTH(SUBSTITUTE(LEFT(Base_report!#REF!,10),"-","/")),DAY(SUBSTITUTE(LEFT(Base_report!#REF!,10),"-","/")))</f>
        <v>#ERROR!</v>
      </c>
      <c r="H768" s="16" t="str">
        <f>DATE(YEAR(SUBSTITUTE(LEFT(Base_report!#REF!,10),"-","/")),MONTH(SUBSTITUTE(LEFT(Base_report!#REF!,10),"-","/")),DAY(SUBSTITUTE(LEFT(Base_report!#REF!,10),"-","/")))</f>
        <v>#ERROR!</v>
      </c>
      <c r="I768" s="17" t="str">
        <f t="shared" si="1"/>
        <v>OUI</v>
      </c>
      <c r="J768" s="18" t="str">
        <f>IF(L768="DS",DATE(RIGHT(B768,4),VLOOKUP(LEFT(B768,LEN(B768)-5),Feuil1!$E$3:$F$19,2,FALSE)+1,10),DATE(RIGHT(B768,4),VLOOKUP(LEFT(B768,LEN(B768)-5),Feuil1!$E$3:$F$19,2,FALSE)+1,7))</f>
        <v>#ERROR!</v>
      </c>
      <c r="K768" s="19" t="str">
        <f t="shared" si="2"/>
        <v>#ERROR!</v>
      </c>
      <c r="L768" s="6" t="str">
        <f t="shared" si="3"/>
        <v>FS</v>
      </c>
    </row>
    <row r="769" ht="14.25" customHeight="1">
      <c r="A769" s="14" t="str">
        <f>Base_report!A767</f>
        <v>GONTOUGO</v>
      </c>
      <c r="B769" s="14" t="str">
        <f>Base_report!B767</f>
        <v>DECEMBRE 2023</v>
      </c>
      <c r="C769" s="15" t="str">
        <f>Base_report!C767</f>
        <v>C4002</v>
      </c>
      <c r="D769" s="14" t="str">
        <f>TRIM(IF(ISNUMBER(FIND("PNSME",Base_report!D767,1)),SUBSTITUTE(Base_report!D767,"PNSME",""),IF(ISNUMBER(FIND("PHG",Base_report!D767,1)),SUBSTITUTE(Base_report!D767,"PHG",""),IF(ISNUMBER(FIND("PCS",Base_report!D767,1)),SUBSTITUTE(Base_report!D767,"PCS",""),IF(ISNUMBER(FIND("CMU",Base_report!D767,1)),SUBSTITUTE(Base_report!D767,"CMU",""),Base_report!D767)))))</f>
        <v>CHR BONDOUKOU</v>
      </c>
      <c r="E769" s="14" t="str">
        <f>SUBSTITUTE(Base_report!E767,"-","/")</f>
        <v>PNLS/CHARGES VIRALES</v>
      </c>
      <c r="F769" s="14" t="s">
        <v>788</v>
      </c>
      <c r="G769" s="16">
        <f>DATE(YEAR(SUBSTITUTE(LEFT(Base_report!F767,10),"-","/")),MONTH(SUBSTITUTE(LEFT(Base_report!F767,10),"-","/")),DAY(SUBSTITUTE(LEFT(Base_report!F767,10),"-","/")))</f>
        <v>45295</v>
      </c>
      <c r="H769" s="16">
        <f>DATE(YEAR(SUBSTITUTE(LEFT(Base_report!G767,10),"-","/")),MONTH(SUBSTITUTE(LEFT(Base_report!G767,10),"-","/")),DAY(SUBSTITUTE(LEFT(Base_report!G767,10),"-","/")))</f>
        <v>45296</v>
      </c>
      <c r="I769" s="17" t="str">
        <f t="shared" si="1"/>
        <v>OUI</v>
      </c>
      <c r="J769" s="18">
        <f>IF(L769="DS",DATE(RIGHT(B769,4),VLOOKUP(LEFT(B769,LEN(B769)-5),Feuil1!$E$3:$F$19,2,FALSE)+1,10),DATE(RIGHT(B769,4),VLOOKUP(LEFT(B769,LEN(B769)-5),Feuil1!$E$3:$F$19,2,FALSE)+1,7))</f>
        <v>45298</v>
      </c>
      <c r="K769" s="19">
        <f t="shared" si="2"/>
        <v>1</v>
      </c>
      <c r="L769" s="6" t="str">
        <f t="shared" si="3"/>
        <v>FS</v>
      </c>
    </row>
    <row r="770" ht="14.25" customHeight="1">
      <c r="A770" s="14" t="str">
        <f>Base_report!A768</f>
        <v>GONTOUGO</v>
      </c>
      <c r="B770" s="14" t="str">
        <f>Base_report!B768</f>
        <v>DECEMBRE 2023</v>
      </c>
      <c r="C770" s="15" t="str">
        <f>Base_report!C768</f>
        <v>C4021</v>
      </c>
      <c r="D770" s="14" t="str">
        <f>TRIM(IF(ISNUMBER(FIND("PNSME",Base_report!D768,1)),SUBSTITUTE(Base_report!D768,"PNSME",""),IF(ISNUMBER(FIND("PHG",Base_report!D768,1)),SUBSTITUTE(Base_report!D768,"PHG",""),IF(ISNUMBER(FIND("PCS",Base_report!D768,1)),SUBSTITUTE(Base_report!D768,"PCS",""),IF(ISNUMBER(FIND("CMU",Base_report!D768,1)),SUBSTITUTE(Base_report!D768,"CMU",""),Base_report!D768)))))</f>
        <v>HOPITAL GENERAL KOUN FAO</v>
      </c>
      <c r="E770" s="14" t="str">
        <f>SUBSTITUTE(Base_report!E768,"-","/")</f>
        <v>PNLS/PRODUITS DE LABORATOIRE</v>
      </c>
      <c r="F770" s="14" t="s">
        <v>788</v>
      </c>
      <c r="G770" s="16">
        <f>DATE(YEAR(SUBSTITUTE(LEFT(Base_report!F768,10),"-","/")),MONTH(SUBSTITUTE(LEFT(Base_report!F768,10),"-","/")),DAY(SUBSTITUTE(LEFT(Base_report!F768,10),"-","/")))</f>
        <v>45294</v>
      </c>
      <c r="H770" s="16">
        <f>DATE(YEAR(SUBSTITUTE(LEFT(Base_report!G768,10),"-","/")),MONTH(SUBSTITUTE(LEFT(Base_report!G768,10),"-","/")),DAY(SUBSTITUTE(LEFT(Base_report!G768,10),"-","/")))</f>
        <v>45294</v>
      </c>
      <c r="I770" s="17" t="str">
        <f t="shared" si="1"/>
        <v>OUI</v>
      </c>
      <c r="J770" s="18">
        <f>IF(L770="DS",DATE(RIGHT(B770,4),VLOOKUP(LEFT(B770,LEN(B770)-5),Feuil1!$E$3:$F$19,2,FALSE)+1,10),DATE(RIGHT(B770,4),VLOOKUP(LEFT(B770,LEN(B770)-5),Feuil1!$E$3:$F$19,2,FALSE)+1,7))</f>
        <v>45298</v>
      </c>
      <c r="K770" s="19">
        <f t="shared" si="2"/>
        <v>1</v>
      </c>
      <c r="L770" s="6" t="str">
        <f t="shared" si="3"/>
        <v>FS</v>
      </c>
    </row>
    <row r="771" ht="14.25" customHeight="1">
      <c r="A771" s="14" t="str">
        <f>Base_report!A769</f>
        <v>HAUT-SASSANDRA</v>
      </c>
      <c r="B771" s="14" t="str">
        <f>Base_report!B769</f>
        <v>DECEMBRE 2023</v>
      </c>
      <c r="C771" s="15" t="str">
        <f>Base_report!C769</f>
        <v>C2061</v>
      </c>
      <c r="D771" s="14" t="str">
        <f>TRIM(IF(ISNUMBER(FIND("PNSME",Base_report!D769,1)),SUBSTITUTE(Base_report!D769,"PNSME",""),IF(ISNUMBER(FIND("PHG",Base_report!D769,1)),SUBSTITUTE(Base_report!D769,"PHG",""),IF(ISNUMBER(FIND("PCS",Base_report!D769,1)),SUBSTITUTE(Base_report!D769,"PCS",""),IF(ISNUMBER(FIND("CMU",Base_report!D769,1)),SUBSTITUTE(Base_report!D769,"CMU",""),Base_report!D769)))))</f>
        <v>HOPITAL GENERAL SAIOUA</v>
      </c>
      <c r="E771" s="14" t="str">
        <f>SUBSTITUTE(Base_report!E769,"-","/")</f>
        <v>PNLS/PRODUITS DE LABORATOIRE</v>
      </c>
      <c r="F771" s="14" t="s">
        <v>788</v>
      </c>
      <c r="G771" s="16">
        <f>DATE(YEAR(SUBSTITUTE(LEFT(Base_report!F769,10),"-","/")),MONTH(SUBSTITUTE(LEFT(Base_report!F769,10),"-","/")),DAY(SUBSTITUTE(LEFT(Base_report!F769,10),"-","/")))</f>
        <v>45296</v>
      </c>
      <c r="H771" s="16">
        <f>DATE(YEAR(SUBSTITUTE(LEFT(Base_report!G769,10),"-","/")),MONTH(SUBSTITUTE(LEFT(Base_report!G769,10),"-","/")),DAY(SUBSTITUTE(LEFT(Base_report!G769,10),"-","/")))</f>
        <v>45296</v>
      </c>
      <c r="I771" s="17" t="str">
        <f t="shared" si="1"/>
        <v>OUI</v>
      </c>
      <c r="J771" s="18">
        <f>IF(L771="DS",DATE(RIGHT(B771,4),VLOOKUP(LEFT(B771,LEN(B771)-5),Feuil1!$E$3:$F$19,2,FALSE)+1,10),DATE(RIGHT(B771,4),VLOOKUP(LEFT(B771,LEN(B771)-5),Feuil1!$E$3:$F$19,2,FALSE)+1,7))</f>
        <v>45298</v>
      </c>
      <c r="K771" s="19">
        <f t="shared" si="2"/>
        <v>1</v>
      </c>
      <c r="L771" s="6" t="str">
        <f t="shared" si="3"/>
        <v>FS</v>
      </c>
    </row>
    <row r="772" ht="14.25" customHeight="1">
      <c r="A772" s="14" t="str">
        <f>Base_report!A770</f>
        <v>ME</v>
      </c>
      <c r="B772" s="14" t="str">
        <f>Base_report!B770</f>
        <v>DECEMBRE 2023</v>
      </c>
      <c r="C772" s="15" t="str">
        <f>Base_report!C770</f>
        <v>C4038</v>
      </c>
      <c r="D772" s="14" t="str">
        <f>TRIM(IF(ISNUMBER(FIND("PNSME",Base_report!D770,1)),SUBSTITUTE(Base_report!D770,"PNSME",""),IF(ISNUMBER(FIND("PHG",Base_report!D770,1)),SUBSTITUTE(Base_report!D770,"PHG",""),IF(ISNUMBER(FIND("PCS",Base_report!D770,1)),SUBSTITUTE(Base_report!D770,"PCS",""),IF(ISNUMBER(FIND("CMU",Base_report!D770,1)),SUBSTITUTE(Base_report!D770,"CMU",""),Base_report!D770)))))</f>
        <v>HOPITAL GENERAL AFFERY</v>
      </c>
      <c r="E772" s="14" t="str">
        <f>SUBSTITUTE(Base_report!E770,"-","/")</f>
        <v>PNLS/ANTIRETROVIRAUX ET IO</v>
      </c>
      <c r="F772" s="14" t="s">
        <v>788</v>
      </c>
      <c r="G772" s="16">
        <f>DATE(YEAR(SUBSTITUTE(LEFT(Base_report!F770,10),"-","/")),MONTH(SUBSTITUTE(LEFT(Base_report!F770,10),"-","/")),DAY(SUBSTITUTE(LEFT(Base_report!F770,10),"-","/")))</f>
        <v>45294</v>
      </c>
      <c r="H772" s="16">
        <f>DATE(YEAR(SUBSTITUTE(LEFT(Base_report!G770,10),"-","/")),MONTH(SUBSTITUTE(LEFT(Base_report!G770,10),"-","/")),DAY(SUBSTITUTE(LEFT(Base_report!G770,10),"-","/")))</f>
        <v>45295</v>
      </c>
      <c r="I772" s="17" t="str">
        <f t="shared" si="1"/>
        <v>OUI</v>
      </c>
      <c r="J772" s="18">
        <f>IF(L772="DS",DATE(RIGHT(B772,4),VLOOKUP(LEFT(B772,LEN(B772)-5),Feuil1!$E$3:$F$19,2,FALSE)+1,10),DATE(RIGHT(B772,4),VLOOKUP(LEFT(B772,LEN(B772)-5),Feuil1!$E$3:$F$19,2,FALSE)+1,7))</f>
        <v>45298</v>
      </c>
      <c r="K772" s="19">
        <f t="shared" si="2"/>
        <v>1</v>
      </c>
      <c r="L772" s="6" t="str">
        <f t="shared" si="3"/>
        <v>FS</v>
      </c>
    </row>
    <row r="773" ht="14.25" customHeight="1">
      <c r="A773" s="14" t="str">
        <f>Base_report!A771</f>
        <v>GONTOUGO</v>
      </c>
      <c r="B773" s="14" t="str">
        <f>Base_report!B771</f>
        <v>DECEMBRE 2023</v>
      </c>
      <c r="C773" s="15" t="str">
        <f>Base_report!C771</f>
        <v>C4021</v>
      </c>
      <c r="D773" s="14" t="str">
        <f>TRIM(IF(ISNUMBER(FIND("PNSME",Base_report!D771,1)),SUBSTITUTE(Base_report!D771,"PNSME",""),IF(ISNUMBER(FIND("PHG",Base_report!D771,1)),SUBSTITUTE(Base_report!D771,"PHG",""),IF(ISNUMBER(FIND("PCS",Base_report!D771,1)),SUBSTITUTE(Base_report!D771,"PCS",""),IF(ISNUMBER(FIND("CMU",Base_report!D771,1)),SUBSTITUTE(Base_report!D771,"CMU",""),Base_report!D771)))))</f>
        <v>HOPITAL GENERAL KOUN FAO</v>
      </c>
      <c r="E773" s="14" t="str">
        <f>SUBSTITUTE(Base_report!E771,"-","/")</f>
        <v>PNLS/TESTS RAPIDES ET CONSOMMABLES</v>
      </c>
      <c r="F773" s="14" t="s">
        <v>788</v>
      </c>
      <c r="G773" s="16">
        <f>DATE(YEAR(SUBSTITUTE(LEFT(Base_report!F771,10),"-","/")),MONTH(SUBSTITUTE(LEFT(Base_report!F771,10),"-","/")),DAY(SUBSTITUTE(LEFT(Base_report!F771,10),"-","/")))</f>
        <v>45294</v>
      </c>
      <c r="H773" s="16">
        <f>DATE(YEAR(SUBSTITUTE(LEFT(Base_report!G771,10),"-","/")),MONTH(SUBSTITUTE(LEFT(Base_report!G771,10),"-","/")),DAY(SUBSTITUTE(LEFT(Base_report!G771,10),"-","/")))</f>
        <v>45294</v>
      </c>
      <c r="I773" s="17" t="str">
        <f t="shared" si="1"/>
        <v>OUI</v>
      </c>
      <c r="J773" s="18">
        <f>IF(L773="DS",DATE(RIGHT(B773,4),VLOOKUP(LEFT(B773,LEN(B773)-5),Feuil1!$E$3:$F$19,2,FALSE)+1,10),DATE(RIGHT(B773,4),VLOOKUP(LEFT(B773,LEN(B773)-5),Feuil1!$E$3:$F$19,2,FALSE)+1,7))</f>
        <v>45298</v>
      </c>
      <c r="K773" s="19">
        <f t="shared" si="2"/>
        <v>1</v>
      </c>
      <c r="L773" s="6" t="str">
        <f t="shared" si="3"/>
        <v>FS</v>
      </c>
    </row>
    <row r="774" ht="14.25" customHeight="1">
      <c r="A774" s="14" t="str">
        <f>Base_report!A772</f>
        <v>ME</v>
      </c>
      <c r="B774" s="14" t="str">
        <f>Base_report!B772</f>
        <v>DECEMBRE 2023</v>
      </c>
      <c r="C774" s="15" t="str">
        <f>Base_report!C772</f>
        <v>C4015</v>
      </c>
      <c r="D774" s="14" t="str">
        <f>TRIM(IF(ISNUMBER(FIND("PNSME",Base_report!D772,1)),SUBSTITUTE(Base_report!D772,"PNSME",""),IF(ISNUMBER(FIND("PHG",Base_report!D772,1)),SUBSTITUTE(Base_report!D772,"PHG",""),IF(ISNUMBER(FIND("PCS",Base_report!D772,1)),SUBSTITUTE(Base_report!D772,"PCS",""),IF(ISNUMBER(FIND("CMU",Base_report!D772,1)),SUBSTITUTE(Base_report!D772,"CMU",""),Base_report!D772)))))</f>
        <v>HOPITAL GENERAL AKOUPE</v>
      </c>
      <c r="E774" s="14" t="str">
        <f>SUBSTITUTE(Base_report!E772,"-","/")</f>
        <v>PNSME/MEDICAMENTS ET INTRANTS</v>
      </c>
      <c r="F774" s="14" t="s">
        <v>788</v>
      </c>
      <c r="G774" s="16">
        <f>DATE(YEAR(SUBSTITUTE(LEFT(Base_report!F772,10),"-","/")),MONTH(SUBSTITUTE(LEFT(Base_report!F772,10),"-","/")),DAY(SUBSTITUTE(LEFT(Base_report!F772,10),"-","/")))</f>
        <v>45295</v>
      </c>
      <c r="H774" s="16">
        <f>DATE(YEAR(SUBSTITUTE(LEFT(Base_report!G772,10),"-","/")),MONTH(SUBSTITUTE(LEFT(Base_report!G772,10),"-","/")),DAY(SUBSTITUTE(LEFT(Base_report!G772,10),"-","/")))</f>
        <v>45295</v>
      </c>
      <c r="I774" s="17" t="str">
        <f t="shared" si="1"/>
        <v>OUI</v>
      </c>
      <c r="J774" s="18">
        <f>IF(L774="DS",DATE(RIGHT(B774,4),VLOOKUP(LEFT(B774,LEN(B774)-5),Feuil1!$E$3:$F$19,2,FALSE)+1,10),DATE(RIGHT(B774,4),VLOOKUP(LEFT(B774,LEN(B774)-5),Feuil1!$E$3:$F$19,2,FALSE)+1,7))</f>
        <v>45298</v>
      </c>
      <c r="K774" s="19">
        <f t="shared" si="2"/>
        <v>1</v>
      </c>
      <c r="L774" s="6" t="str">
        <f t="shared" si="3"/>
        <v>FS</v>
      </c>
    </row>
    <row r="775" ht="14.25" customHeight="1">
      <c r="A775" s="14" t="str">
        <f>Base_report!A773</f>
        <v>GONTOUGO</v>
      </c>
      <c r="B775" s="14" t="str">
        <f>Base_report!B773</f>
        <v>DECEMBRE 2023</v>
      </c>
      <c r="C775" s="15" t="str">
        <f>Base_report!C773</f>
        <v>C4021</v>
      </c>
      <c r="D775" s="14" t="str">
        <f>TRIM(IF(ISNUMBER(FIND("PNSME",Base_report!D773,1)),SUBSTITUTE(Base_report!D773,"PNSME",""),IF(ISNUMBER(FIND("PHG",Base_report!D773,1)),SUBSTITUTE(Base_report!D773,"PHG",""),IF(ISNUMBER(FIND("PCS",Base_report!D773,1)),SUBSTITUTE(Base_report!D773,"PCS",""),IF(ISNUMBER(FIND("CMU",Base_report!D773,1)),SUBSTITUTE(Base_report!D773,"CMU",""),Base_report!D773)))))</f>
        <v>HOPITAL GENERAL KOUN FAO</v>
      </c>
      <c r="E775" s="14" t="str">
        <f>SUBSTITUTE(Base_report!E773,"-","/")</f>
        <v>PNLS/ANTIRETROVIRAUX ET IO</v>
      </c>
      <c r="F775" s="14" t="s">
        <v>788</v>
      </c>
      <c r="G775" s="16">
        <f>DATE(YEAR(SUBSTITUTE(LEFT(Base_report!F773,10),"-","/")),MONTH(SUBSTITUTE(LEFT(Base_report!F773,10),"-","/")),DAY(SUBSTITUTE(LEFT(Base_report!F773,10),"-","/")))</f>
        <v>45294</v>
      </c>
      <c r="H775" s="16">
        <f>DATE(YEAR(SUBSTITUTE(LEFT(Base_report!G773,10),"-","/")),MONTH(SUBSTITUTE(LEFT(Base_report!G773,10),"-","/")),DAY(SUBSTITUTE(LEFT(Base_report!G773,10),"-","/")))</f>
        <v>45294</v>
      </c>
      <c r="I775" s="17" t="str">
        <f t="shared" si="1"/>
        <v>OUI</v>
      </c>
      <c r="J775" s="18">
        <f>IF(L775="DS",DATE(RIGHT(B775,4),VLOOKUP(LEFT(B775,LEN(B775)-5),Feuil1!$E$3:$F$19,2,FALSE)+1,10),DATE(RIGHT(B775,4),VLOOKUP(LEFT(B775,LEN(B775)-5),Feuil1!$E$3:$F$19,2,FALSE)+1,7))</f>
        <v>45298</v>
      </c>
      <c r="K775" s="19">
        <f t="shared" si="2"/>
        <v>1</v>
      </c>
      <c r="L775" s="6" t="str">
        <f t="shared" si="3"/>
        <v>FS</v>
      </c>
    </row>
    <row r="776" ht="14.25" customHeight="1">
      <c r="A776" s="14" t="str">
        <f>Base_report!A774</f>
        <v>SUD-COMOE</v>
      </c>
      <c r="B776" s="14" t="str">
        <f>Base_report!B774</f>
        <v>DECEMBRE 2023</v>
      </c>
      <c r="C776" s="15" t="str">
        <f>Base_report!C774</f>
        <v>C1082</v>
      </c>
      <c r="D776" s="14" t="str">
        <f>TRIM(IF(ISNUMBER(FIND("PNSME",Base_report!D774,1)),SUBSTITUTE(Base_report!D774,"PNSME",""),IF(ISNUMBER(FIND("PHG",Base_report!D774,1)),SUBSTITUTE(Base_report!D774,"PHG",""),IF(ISNUMBER(FIND("PCS",Base_report!D774,1)),SUBSTITUTE(Base_report!D774,"PCS",""),IF(ISNUMBER(FIND("CMU",Base_report!D774,1)),SUBSTITUTE(Base_report!D774,"CMU",""),Base_report!D774)))))</f>
        <v>HOPITAL GENERAL ADIAKE</v>
      </c>
      <c r="E776" s="14" t="str">
        <f>SUBSTITUTE(Base_report!E774,"-","/")</f>
        <v>PNSME/MEDICAMENTS ET INTRANTS</v>
      </c>
      <c r="F776" s="14" t="s">
        <v>788</v>
      </c>
      <c r="G776" s="16">
        <f>DATE(YEAR(SUBSTITUTE(LEFT(Base_report!F774,10),"-","/")),MONTH(SUBSTITUTE(LEFT(Base_report!F774,10),"-","/")),DAY(SUBSTITUTE(LEFT(Base_report!F774,10),"-","/")))</f>
        <v>45294</v>
      </c>
      <c r="H776" s="16">
        <f>DATE(YEAR(SUBSTITUTE(LEFT(Base_report!G774,10),"-","/")),MONTH(SUBSTITUTE(LEFT(Base_report!G774,10),"-","/")),DAY(SUBSTITUTE(LEFT(Base_report!G774,10),"-","/")))</f>
        <v>45297</v>
      </c>
      <c r="I776" s="17" t="str">
        <f t="shared" si="1"/>
        <v>OUI</v>
      </c>
      <c r="J776" s="18">
        <f>IF(L776="DS",DATE(RIGHT(B776,4),VLOOKUP(LEFT(B776,LEN(B776)-5),Feuil1!$E$3:$F$19,2,FALSE)+1,10),DATE(RIGHT(B776,4),VLOOKUP(LEFT(B776,LEN(B776)-5),Feuil1!$E$3:$F$19,2,FALSE)+1,7))</f>
        <v>45298</v>
      </c>
      <c r="K776" s="19">
        <f t="shared" si="2"/>
        <v>1</v>
      </c>
      <c r="L776" s="6" t="str">
        <f t="shared" si="3"/>
        <v>FS</v>
      </c>
    </row>
    <row r="777" ht="14.25" customHeight="1">
      <c r="A777" s="14" t="str">
        <f>Base_report!A775</f>
        <v>ME</v>
      </c>
      <c r="B777" s="14" t="str">
        <f>Base_report!B775</f>
        <v>DECEMBRE 2023</v>
      </c>
      <c r="C777" s="15" t="str">
        <f>Base_report!C775</f>
        <v>C4038</v>
      </c>
      <c r="D777" s="14" t="str">
        <f>TRIM(IF(ISNUMBER(FIND("PNSME",Base_report!D775,1)),SUBSTITUTE(Base_report!D775,"PNSME",""),IF(ISNUMBER(FIND("PHG",Base_report!D775,1)),SUBSTITUTE(Base_report!D775,"PHG",""),IF(ISNUMBER(FIND("PCS",Base_report!D775,1)),SUBSTITUTE(Base_report!D775,"PCS",""),IF(ISNUMBER(FIND("CMU",Base_report!D775,1)),SUBSTITUTE(Base_report!D775,"CMU",""),Base_report!D775)))))</f>
        <v>HOPITAL GENERAL AFFERY</v>
      </c>
      <c r="E777" s="14" t="str">
        <f>SUBSTITUTE(Base_report!E775,"-","/")</f>
        <v>PNLS/PRODUITS DE LABORATOIRE</v>
      </c>
      <c r="F777" s="14" t="s">
        <v>788</v>
      </c>
      <c r="G777" s="16">
        <f>DATE(YEAR(SUBSTITUTE(LEFT(Base_report!F775,10),"-","/")),MONTH(SUBSTITUTE(LEFT(Base_report!F775,10),"-","/")),DAY(SUBSTITUTE(LEFT(Base_report!F775,10),"-","/")))</f>
        <v>45294</v>
      </c>
      <c r="H777" s="16">
        <f>DATE(YEAR(SUBSTITUTE(LEFT(Base_report!G775,10),"-","/")),MONTH(SUBSTITUTE(LEFT(Base_report!G775,10),"-","/")),DAY(SUBSTITUTE(LEFT(Base_report!G775,10),"-","/")))</f>
        <v>45295</v>
      </c>
      <c r="I777" s="17" t="str">
        <f t="shared" si="1"/>
        <v>OUI</v>
      </c>
      <c r="J777" s="18">
        <f>IF(L777="DS",DATE(RIGHT(B777,4),VLOOKUP(LEFT(B777,LEN(B777)-5),Feuil1!$E$3:$F$19,2,FALSE)+1,10),DATE(RIGHT(B777,4),VLOOKUP(LEFT(B777,LEN(B777)-5),Feuil1!$E$3:$F$19,2,FALSE)+1,7))</f>
        <v>45298</v>
      </c>
      <c r="K777" s="19">
        <f t="shared" si="2"/>
        <v>1</v>
      </c>
      <c r="L777" s="6" t="str">
        <f t="shared" si="3"/>
        <v>FS</v>
      </c>
    </row>
    <row r="778" ht="14.25" customHeight="1">
      <c r="A778" s="14" t="str">
        <f>Base_report!A776</f>
        <v>NAWA</v>
      </c>
      <c r="B778" s="14" t="str">
        <f>Base_report!B776</f>
        <v>DECEMBRE 2023</v>
      </c>
      <c r="C778" s="15" t="str">
        <f>Base_report!C776</f>
        <v>C2064</v>
      </c>
      <c r="D778" s="14" t="str">
        <f>TRIM(IF(ISNUMBER(FIND("PNSME",Base_report!D776,1)),SUBSTITUTE(Base_report!D776,"PNSME",""),IF(ISNUMBER(FIND("PHG",Base_report!D776,1)),SUBSTITUTE(Base_report!D776,"PHG",""),IF(ISNUMBER(FIND("PCS",Base_report!D776,1)),SUBSTITUTE(Base_report!D776,"PCS",""),IF(ISNUMBER(FIND("CMU",Base_report!D776,1)),SUBSTITUTE(Base_report!D776,"CMU",""),Base_report!D776)))))</f>
        <v>HOPITAL GENERAL SOUBRE</v>
      </c>
      <c r="E778" s="14" t="str">
        <f>SUBSTITUTE(Base_report!E776,"-","/")</f>
        <v>PNN/MEDICAMENTS ET INTRANTS</v>
      </c>
      <c r="F778" s="14" t="s">
        <v>788</v>
      </c>
      <c r="G778" s="16">
        <f>DATE(YEAR(SUBSTITUTE(LEFT(Base_report!F776,10),"-","/")),MONTH(SUBSTITUTE(LEFT(Base_report!F776,10),"-","/")),DAY(SUBSTITUTE(LEFT(Base_report!F776,10),"-","/")))</f>
        <v>45294</v>
      </c>
      <c r="H778" s="16">
        <f>DATE(YEAR(SUBSTITUTE(LEFT(Base_report!G776,10),"-","/")),MONTH(SUBSTITUTE(LEFT(Base_report!G776,10),"-","/")),DAY(SUBSTITUTE(LEFT(Base_report!G776,10),"-","/")))</f>
        <v>45296</v>
      </c>
      <c r="I778" s="17" t="str">
        <f t="shared" si="1"/>
        <v>OUI</v>
      </c>
      <c r="J778" s="18">
        <f>IF(L778="DS",DATE(RIGHT(B778,4),VLOOKUP(LEFT(B778,LEN(B778)-5),Feuil1!$E$3:$F$19,2,FALSE)+1,10),DATE(RIGHT(B778,4),VLOOKUP(LEFT(B778,LEN(B778)-5),Feuil1!$E$3:$F$19,2,FALSE)+1,7))</f>
        <v>45298</v>
      </c>
      <c r="K778" s="19">
        <f t="shared" si="2"/>
        <v>1</v>
      </c>
      <c r="L778" s="6" t="str">
        <f t="shared" si="3"/>
        <v>FS</v>
      </c>
    </row>
    <row r="779" ht="14.25" customHeight="1">
      <c r="A779" s="14" t="str">
        <f>Base_report!A777</f>
        <v>ME</v>
      </c>
      <c r="B779" s="14" t="str">
        <f>Base_report!B777</f>
        <v>DECEMBRE 2023</v>
      </c>
      <c r="C779" s="15" t="str">
        <f>Base_report!C777</f>
        <v>C4038</v>
      </c>
      <c r="D779" s="14" t="str">
        <f>TRIM(IF(ISNUMBER(FIND("PNSME",Base_report!D777,1)),SUBSTITUTE(Base_report!D777,"PNSME",""),IF(ISNUMBER(FIND("PHG",Base_report!D777,1)),SUBSTITUTE(Base_report!D777,"PHG",""),IF(ISNUMBER(FIND("PCS",Base_report!D777,1)),SUBSTITUTE(Base_report!D777,"PCS",""),IF(ISNUMBER(FIND("CMU",Base_report!D777,1)),SUBSTITUTE(Base_report!D777,"CMU",""),Base_report!D777)))))</f>
        <v>HOPITAL GENERAL AFFERY</v>
      </c>
      <c r="E779" s="14" t="str">
        <f>SUBSTITUTE(Base_report!E777,"-","/")</f>
        <v>PNLS/TESTS RAPIDES ET CONSOMMABLES</v>
      </c>
      <c r="F779" s="14" t="s">
        <v>788</v>
      </c>
      <c r="G779" s="16">
        <f>DATE(YEAR(SUBSTITUTE(LEFT(Base_report!F777,10),"-","/")),MONTH(SUBSTITUTE(LEFT(Base_report!F777,10),"-","/")),DAY(SUBSTITUTE(LEFT(Base_report!F777,10),"-","/")))</f>
        <v>45294</v>
      </c>
      <c r="H779" s="16">
        <f>DATE(YEAR(SUBSTITUTE(LEFT(Base_report!G777,10),"-","/")),MONTH(SUBSTITUTE(LEFT(Base_report!G777,10),"-","/")),DAY(SUBSTITUTE(LEFT(Base_report!G777,10),"-","/")))</f>
        <v>45295</v>
      </c>
      <c r="I779" s="17" t="str">
        <f t="shared" si="1"/>
        <v>OUI</v>
      </c>
      <c r="J779" s="18">
        <f>IF(L779="DS",DATE(RIGHT(B779,4),VLOOKUP(LEFT(B779,LEN(B779)-5),Feuil1!$E$3:$F$19,2,FALSE)+1,10),DATE(RIGHT(B779,4),VLOOKUP(LEFT(B779,LEN(B779)-5),Feuil1!$E$3:$F$19,2,FALSE)+1,7))</f>
        <v>45298</v>
      </c>
      <c r="K779" s="19">
        <f t="shared" si="2"/>
        <v>1</v>
      </c>
      <c r="L779" s="6" t="str">
        <f t="shared" si="3"/>
        <v>FS</v>
      </c>
    </row>
    <row r="780" ht="14.25" customHeight="1">
      <c r="A780" s="14" t="str">
        <f>Base_report!A778</f>
        <v>GRANDS PONTS</v>
      </c>
      <c r="B780" s="14" t="str">
        <f>Base_report!B778</f>
        <v>DECEMBRE 2023</v>
      </c>
      <c r="C780" s="15" t="str">
        <f>Base_report!C778</f>
        <v>C1092</v>
      </c>
      <c r="D780" s="14" t="str">
        <f>TRIM(IF(ISNUMBER(FIND("PNSME",Base_report!D778,1)),SUBSTITUTE(Base_report!D778,"PNSME",""),IF(ISNUMBER(FIND("PHG",Base_report!D778,1)),SUBSTITUTE(Base_report!D778,"PHG",""),IF(ISNUMBER(FIND("PCS",Base_report!D778,1)),SUBSTITUTE(Base_report!D778,"PCS",""),IF(ISNUMBER(FIND("CMU",Base_report!D778,1)),SUBSTITUTE(Base_report!D778,"CMU",""),Base_report!D778)))))</f>
        <v>HOPITAL GENERAL JACQUEVILLE</v>
      </c>
      <c r="E780" s="14" t="str">
        <f>SUBSTITUTE(Base_report!E778,"-","/")</f>
        <v>PNLS/CHARGES VIRALES</v>
      </c>
      <c r="F780" s="14" t="s">
        <v>788</v>
      </c>
      <c r="G780" s="16">
        <f>DATE(YEAR(SUBSTITUTE(LEFT(Base_report!F778,10),"-","/")),MONTH(SUBSTITUTE(LEFT(Base_report!F778,10),"-","/")),DAY(SUBSTITUTE(LEFT(Base_report!F778,10),"-","/")))</f>
        <v>45295</v>
      </c>
      <c r="H780" s="16">
        <f>DATE(YEAR(SUBSTITUTE(LEFT(Base_report!G778,10),"-","/")),MONTH(SUBSTITUTE(LEFT(Base_report!G778,10),"-","/")),DAY(SUBSTITUTE(LEFT(Base_report!G778,10),"-","/")))</f>
        <v>45296</v>
      </c>
      <c r="I780" s="17" t="str">
        <f t="shared" si="1"/>
        <v>OUI</v>
      </c>
      <c r="J780" s="18">
        <f>IF(L780="DS",DATE(RIGHT(B780,4),VLOOKUP(LEFT(B780,LEN(B780)-5),Feuil1!$E$3:$F$19,2,FALSE)+1,10),DATE(RIGHT(B780,4),VLOOKUP(LEFT(B780,LEN(B780)-5),Feuil1!$E$3:$F$19,2,FALSE)+1,7))</f>
        <v>45298</v>
      </c>
      <c r="K780" s="19">
        <f t="shared" si="2"/>
        <v>1</v>
      </c>
      <c r="L780" s="6" t="str">
        <f t="shared" si="3"/>
        <v>FS</v>
      </c>
    </row>
    <row r="781" ht="14.25" customHeight="1">
      <c r="A781" s="14" t="str">
        <f>Base_report!A779</f>
        <v>BELIER</v>
      </c>
      <c r="B781" s="14" t="str">
        <f>Base_report!B779</f>
        <v>DECEMBRE 2023</v>
      </c>
      <c r="C781" s="15" t="str">
        <f>Base_report!C779</f>
        <v>C2057</v>
      </c>
      <c r="D781" s="14" t="str">
        <f>TRIM(IF(ISNUMBER(FIND("PNSME",Base_report!D779,1)),SUBSTITUTE(Base_report!D779,"PNSME",""),IF(ISNUMBER(FIND("PHG",Base_report!D779,1)),SUBSTITUTE(Base_report!D779,"PHG",""),IF(ISNUMBER(FIND("PCS",Base_report!D779,1)),SUBSTITUTE(Base_report!D779,"PCS",""),IF(ISNUMBER(FIND("CMU",Base_report!D779,1)),SUBSTITUTE(Base_report!D779,"CMU",""),Base_report!D779)))))</f>
        <v>HOPITAL GENERAL KOCOUMBO</v>
      </c>
      <c r="E781" s="14" t="str">
        <f>SUBSTITUTE(Base_report!E779,"-","/")</f>
        <v>PNSME_GRATUITE:MEDICAMENTS ET INTRANTS</v>
      </c>
      <c r="F781" s="14" t="s">
        <v>788</v>
      </c>
      <c r="G781" s="16">
        <f>DATE(YEAR(SUBSTITUTE(LEFT(Base_report!F779,10),"-","/")),MONTH(SUBSTITUTE(LEFT(Base_report!F779,10),"-","/")),DAY(SUBSTITUTE(LEFT(Base_report!F779,10),"-","/")))</f>
        <v>45294</v>
      </c>
      <c r="H781" s="16">
        <f>DATE(YEAR(SUBSTITUTE(LEFT(Base_report!G779,10),"-","/")),MONTH(SUBSTITUTE(LEFT(Base_report!G779,10),"-","/")),DAY(SUBSTITUTE(LEFT(Base_report!G779,10),"-","/")))</f>
        <v>45301</v>
      </c>
      <c r="I781" s="17" t="str">
        <f t="shared" si="1"/>
        <v>OUI</v>
      </c>
      <c r="J781" s="18">
        <f>IF(L781="DS",DATE(RIGHT(B781,4),VLOOKUP(LEFT(B781,LEN(B781)-5),Feuil1!$E$3:$F$19,2,FALSE)+1,10),DATE(RIGHT(B781,4),VLOOKUP(LEFT(B781,LEN(B781)-5),Feuil1!$E$3:$F$19,2,FALSE)+1,7))</f>
        <v>45298</v>
      </c>
      <c r="K781" s="19">
        <f t="shared" si="2"/>
        <v>0</v>
      </c>
      <c r="L781" s="6" t="str">
        <f t="shared" si="3"/>
        <v>FS</v>
      </c>
    </row>
    <row r="782" ht="14.25" customHeight="1">
      <c r="A782" s="14" t="str">
        <f>Base_report!A780</f>
        <v>ME</v>
      </c>
      <c r="B782" s="14" t="str">
        <f>Base_report!B780</f>
        <v>DECEMBRE 2023</v>
      </c>
      <c r="C782" s="15" t="str">
        <f>Base_report!C780</f>
        <v>C4038</v>
      </c>
      <c r="D782" s="14" t="str">
        <f>TRIM(IF(ISNUMBER(FIND("PNSME",Base_report!D780,1)),SUBSTITUTE(Base_report!D780,"PNSME",""),IF(ISNUMBER(FIND("PHG",Base_report!D780,1)),SUBSTITUTE(Base_report!D780,"PHG",""),IF(ISNUMBER(FIND("PCS",Base_report!D780,1)),SUBSTITUTE(Base_report!D780,"PCS",""),IF(ISNUMBER(FIND("CMU",Base_report!D780,1)),SUBSTITUTE(Base_report!D780,"CMU",""),Base_report!D780)))))</f>
        <v>HOPITAL GENERAL AFFERY</v>
      </c>
      <c r="E782" s="14" t="str">
        <f>SUBSTITUTE(Base_report!E780,"-","/")</f>
        <v>PNSME/MEDICAMENTS ET INTRANTS</v>
      </c>
      <c r="F782" s="14" t="s">
        <v>788</v>
      </c>
      <c r="G782" s="16">
        <f>DATE(YEAR(SUBSTITUTE(LEFT(Base_report!F780,10),"-","/")),MONTH(SUBSTITUTE(LEFT(Base_report!F780,10),"-","/")),DAY(SUBSTITUTE(LEFT(Base_report!F780,10),"-","/")))</f>
        <v>45294</v>
      </c>
      <c r="H782" s="16">
        <f>DATE(YEAR(SUBSTITUTE(LEFT(Base_report!G780,10),"-","/")),MONTH(SUBSTITUTE(LEFT(Base_report!G780,10),"-","/")),DAY(SUBSTITUTE(LEFT(Base_report!G780,10),"-","/")))</f>
        <v>45295</v>
      </c>
      <c r="I782" s="17" t="str">
        <f t="shared" si="1"/>
        <v>OUI</v>
      </c>
      <c r="J782" s="18">
        <f>IF(L782="DS",DATE(RIGHT(B782,4),VLOOKUP(LEFT(B782,LEN(B782)-5),Feuil1!$E$3:$F$19,2,FALSE)+1,10),DATE(RIGHT(B782,4),VLOOKUP(LEFT(B782,LEN(B782)-5),Feuil1!$E$3:$F$19,2,FALSE)+1,7))</f>
        <v>45298</v>
      </c>
      <c r="K782" s="19">
        <f t="shared" si="2"/>
        <v>1</v>
      </c>
      <c r="L782" s="6" t="str">
        <f t="shared" si="3"/>
        <v>FS</v>
      </c>
    </row>
    <row r="783" ht="14.25" customHeight="1">
      <c r="A783" s="14" t="str">
        <f>Base_report!A781</f>
        <v>BELIER</v>
      </c>
      <c r="B783" s="14" t="str">
        <f>Base_report!B781</f>
        <v>DECEMBRE 2023</v>
      </c>
      <c r="C783" s="15" t="str">
        <f>Base_report!C781</f>
        <v>C2057</v>
      </c>
      <c r="D783" s="14" t="str">
        <f>TRIM(IF(ISNUMBER(FIND("PNSME",Base_report!D781,1)),SUBSTITUTE(Base_report!D781,"PNSME",""),IF(ISNUMBER(FIND("PHG",Base_report!D781,1)),SUBSTITUTE(Base_report!D781,"PHG",""),IF(ISNUMBER(FIND("PCS",Base_report!D781,1)),SUBSTITUTE(Base_report!D781,"PCS",""),IF(ISNUMBER(FIND("CMU",Base_report!D781,1)),SUBSTITUTE(Base_report!D781,"CMU",""),Base_report!D781)))))</f>
        <v>HOPITAL GENERAL KOCOUMBO</v>
      </c>
      <c r="E783" s="14" t="str">
        <f>SUBSTITUTE(Base_report!E781,"-","/")</f>
        <v>PNLP/MEDICAMENTS ET INTRANTS</v>
      </c>
      <c r="F783" s="14" t="s">
        <v>788</v>
      </c>
      <c r="G783" s="16">
        <f>DATE(YEAR(SUBSTITUTE(LEFT(Base_report!F781,10),"-","/")),MONTH(SUBSTITUTE(LEFT(Base_report!F781,10),"-","/")),DAY(SUBSTITUTE(LEFT(Base_report!F781,10),"-","/")))</f>
        <v>45294</v>
      </c>
      <c r="H783" s="16">
        <f>DATE(YEAR(SUBSTITUTE(LEFT(Base_report!G781,10),"-","/")),MONTH(SUBSTITUTE(LEFT(Base_report!G781,10),"-","/")),DAY(SUBSTITUTE(LEFT(Base_report!G781,10),"-","/")))</f>
        <v>45295</v>
      </c>
      <c r="I783" s="17" t="str">
        <f t="shared" si="1"/>
        <v>OUI</v>
      </c>
      <c r="J783" s="18">
        <f>IF(L783="DS",DATE(RIGHT(B783,4),VLOOKUP(LEFT(B783,LEN(B783)-5),Feuil1!$E$3:$F$19,2,FALSE)+1,10),DATE(RIGHT(B783,4),VLOOKUP(LEFT(B783,LEN(B783)-5),Feuil1!$E$3:$F$19,2,FALSE)+1,7))</f>
        <v>45298</v>
      </c>
      <c r="K783" s="19">
        <f t="shared" si="2"/>
        <v>1</v>
      </c>
      <c r="L783" s="6" t="str">
        <f t="shared" si="3"/>
        <v>FS</v>
      </c>
    </row>
    <row r="784" ht="14.25" customHeight="1">
      <c r="A784" s="14" t="str">
        <f>Base_report!A782</f>
        <v>ABIDJAN 1</v>
      </c>
      <c r="B784" s="14" t="str">
        <f>Base_report!B782</f>
        <v>DECEMBRE 2023</v>
      </c>
      <c r="C784" s="15" t="str">
        <f>Base_report!C782</f>
        <v>C1007</v>
      </c>
      <c r="D784" s="14" t="str">
        <f>TRIM(IF(ISNUMBER(FIND("PNSME",Base_report!D782,1)),SUBSTITUTE(Base_report!D782,"PNSME",""),IF(ISNUMBER(FIND("PHG",Base_report!D782,1)),SUBSTITUTE(Base_report!D782,"PHG",""),IF(ISNUMBER(FIND("PCS",Base_report!D782,1)),SUBSTITUTE(Base_report!D782,"PCS",""),IF(ISNUMBER(FIND("CMU",Base_report!D782,1)),SUBSTITUTE(Base_report!D782,"CMU",""),Base_report!D782)))))</f>
        <v>CHU YOPOUGON</v>
      </c>
      <c r="E784" s="14" t="str">
        <f>SUBSTITUTE(Base_report!E782,"-","/")</f>
        <v>PNLS/ANTIRETROVIRAUX ET IO</v>
      </c>
      <c r="F784" s="14" t="s">
        <v>788</v>
      </c>
      <c r="G784" s="16">
        <f>DATE(YEAR(SUBSTITUTE(LEFT(Base_report!F782,10),"-","/")),MONTH(SUBSTITUTE(LEFT(Base_report!F782,10),"-","/")),DAY(SUBSTITUTE(LEFT(Base_report!F782,10),"-","/")))</f>
        <v>45300</v>
      </c>
      <c r="H784" s="16">
        <f>DATE(YEAR(SUBSTITUTE(LEFT(Base_report!G782,10),"-","/")),MONTH(SUBSTITUTE(LEFT(Base_report!G782,10),"-","/")),DAY(SUBSTITUTE(LEFT(Base_report!G782,10),"-","/")))</f>
        <v>45301</v>
      </c>
      <c r="I784" s="17" t="str">
        <f t="shared" si="1"/>
        <v>OUI</v>
      </c>
      <c r="J784" s="18">
        <f>IF(L784="DS",DATE(RIGHT(B784,4),VLOOKUP(LEFT(B784,LEN(B784)-5),Feuil1!$E$3:$F$19,2,FALSE)+1,10),DATE(RIGHT(B784,4),VLOOKUP(LEFT(B784,LEN(B784)-5),Feuil1!$E$3:$F$19,2,FALSE)+1,7))</f>
        <v>45298</v>
      </c>
      <c r="K784" s="19">
        <f t="shared" si="2"/>
        <v>0</v>
      </c>
      <c r="L784" s="6" t="str">
        <f t="shared" si="3"/>
        <v>FS</v>
      </c>
    </row>
    <row r="785" ht="14.25" customHeight="1">
      <c r="A785" s="14" t="str">
        <f>Base_report!A783</f>
        <v>ME</v>
      </c>
      <c r="B785" s="14" t="str">
        <f>Base_report!B783</f>
        <v>DECEMBRE 2023</v>
      </c>
      <c r="C785" s="15" t="str">
        <f>Base_report!C783</f>
        <v>C4061</v>
      </c>
      <c r="D785" s="14" t="str">
        <f>TRIM(IF(ISNUMBER(FIND("PNSME",Base_report!D783,1)),SUBSTITUTE(Base_report!D783,"PNSME",""),IF(ISNUMBER(FIND("PHG",Base_report!D783,1)),SUBSTITUTE(Base_report!D783,"PHG",""),IF(ISNUMBER(FIND("PCS",Base_report!D783,1)),SUBSTITUTE(Base_report!D783,"PCS",""),IF(ISNUMBER(FIND("CMU",Base_report!D783,1)),SUBSTITUTE(Base_report!D783,"CMU",""),Base_report!D783)))))</f>
        <v>HOPITAL GENERAL YAKASSE ATTOBROU</v>
      </c>
      <c r="E785" s="14" t="str">
        <f>SUBSTITUTE(Base_report!E783,"-","/")</f>
        <v>PNLS/TESTS RAPIDES ET CONSOMMABLES</v>
      </c>
      <c r="F785" s="14" t="s">
        <v>788</v>
      </c>
      <c r="G785" s="16">
        <f>DATE(YEAR(SUBSTITUTE(LEFT(Base_report!F783,10),"-","/")),MONTH(SUBSTITUTE(LEFT(Base_report!F783,10),"-","/")),DAY(SUBSTITUTE(LEFT(Base_report!F783,10),"-","/")))</f>
        <v>45296</v>
      </c>
      <c r="H785" s="16">
        <f>DATE(YEAR(SUBSTITUTE(LEFT(Base_report!G783,10),"-","/")),MONTH(SUBSTITUTE(LEFT(Base_report!G783,10),"-","/")),DAY(SUBSTITUTE(LEFT(Base_report!G783,10),"-","/")))</f>
        <v>45296</v>
      </c>
      <c r="I785" s="17" t="str">
        <f t="shared" si="1"/>
        <v>OUI</v>
      </c>
      <c r="J785" s="18">
        <f>IF(L785="DS",DATE(RIGHT(B785,4),VLOOKUP(LEFT(B785,LEN(B785)-5),Feuil1!$E$3:$F$19,2,FALSE)+1,10),DATE(RIGHT(B785,4),VLOOKUP(LEFT(B785,LEN(B785)-5),Feuil1!$E$3:$F$19,2,FALSE)+1,7))</f>
        <v>45298</v>
      </c>
      <c r="K785" s="19">
        <f t="shared" si="2"/>
        <v>1</v>
      </c>
      <c r="L785" s="6" t="str">
        <f t="shared" si="3"/>
        <v>FS</v>
      </c>
    </row>
    <row r="786" ht="14.25" customHeight="1">
      <c r="A786" s="14" t="str">
        <f>Base_report!A784</f>
        <v>ME</v>
      </c>
      <c r="B786" s="14" t="str">
        <f>Base_report!B784</f>
        <v>DECEMBRE 2023</v>
      </c>
      <c r="C786" s="15" t="str">
        <f>Base_report!C784</f>
        <v>C4061</v>
      </c>
      <c r="D786" s="14" t="str">
        <f>TRIM(IF(ISNUMBER(FIND("PNSME",Base_report!D784,1)),SUBSTITUTE(Base_report!D784,"PNSME",""),IF(ISNUMBER(FIND("PHG",Base_report!D784,1)),SUBSTITUTE(Base_report!D784,"PHG",""),IF(ISNUMBER(FIND("PCS",Base_report!D784,1)),SUBSTITUTE(Base_report!D784,"PCS",""),IF(ISNUMBER(FIND("CMU",Base_report!D784,1)),SUBSTITUTE(Base_report!D784,"CMU",""),Base_report!D784)))))</f>
        <v>HOPITAL GENERAL YAKASSE ATTOBROU</v>
      </c>
      <c r="E786" s="14" t="str">
        <f>SUBSTITUTE(Base_report!E784,"-","/")</f>
        <v>PNLS/ANTIRETROVIRAUX ET IO</v>
      </c>
      <c r="F786" s="14" t="s">
        <v>788</v>
      </c>
      <c r="G786" s="16">
        <f>DATE(YEAR(SUBSTITUTE(LEFT(Base_report!F784,10),"-","/")),MONTH(SUBSTITUTE(LEFT(Base_report!F784,10),"-","/")),DAY(SUBSTITUTE(LEFT(Base_report!F784,10),"-","/")))</f>
        <v>45296</v>
      </c>
      <c r="H786" s="16">
        <f>DATE(YEAR(SUBSTITUTE(LEFT(Base_report!G784,10),"-","/")),MONTH(SUBSTITUTE(LEFT(Base_report!G784,10),"-","/")),DAY(SUBSTITUTE(LEFT(Base_report!G784,10),"-","/")))</f>
        <v>45296</v>
      </c>
      <c r="I786" s="17" t="str">
        <f t="shared" si="1"/>
        <v>OUI</v>
      </c>
      <c r="J786" s="18">
        <f>IF(L786="DS",DATE(RIGHT(B786,4),VLOOKUP(LEFT(B786,LEN(B786)-5),Feuil1!$E$3:$F$19,2,FALSE)+1,10),DATE(RIGHT(B786,4),VLOOKUP(LEFT(B786,LEN(B786)-5),Feuil1!$E$3:$F$19,2,FALSE)+1,7))</f>
        <v>45298</v>
      </c>
      <c r="K786" s="19">
        <f t="shared" si="2"/>
        <v>1</v>
      </c>
      <c r="L786" s="6" t="str">
        <f t="shared" si="3"/>
        <v>FS</v>
      </c>
    </row>
    <row r="787" ht="14.25" customHeight="1">
      <c r="A787" s="14" t="str">
        <f>Base_report!A785</f>
        <v>BAGOUE</v>
      </c>
      <c r="B787" s="14" t="str">
        <f>Base_report!B785</f>
        <v>DECEMBRE 2023</v>
      </c>
      <c r="C787" s="15" t="str">
        <f>Base_report!C785</f>
        <v>C3002</v>
      </c>
      <c r="D787" s="14" t="str">
        <f>TRIM(IF(ISNUMBER(FIND("PNSME",Base_report!D785,1)),SUBSTITUTE(Base_report!D785,"PNSME",""),IF(ISNUMBER(FIND("PHG",Base_report!D785,1)),SUBSTITUTE(Base_report!D785,"PHG",""),IF(ISNUMBER(FIND("PCS",Base_report!D785,1)),SUBSTITUTE(Base_report!D785,"PCS",""),IF(ISNUMBER(FIND("CMU",Base_report!D785,1)),SUBSTITUTE(Base_report!D785,"CMU",""),Base_report!D785)))))</f>
        <v>DISTRICT SANITAIRE BOUNDIALI</v>
      </c>
      <c r="E787" s="14" t="str">
        <f>SUBSTITUTE(Base_report!E785,"-","/")</f>
        <v>PNLP/MEDICAMENTS ET INTRANTS</v>
      </c>
      <c r="F787" s="14" t="s">
        <v>788</v>
      </c>
      <c r="G787" s="16">
        <f>DATE(YEAR(SUBSTITUTE(LEFT(Base_report!F785,10),"-","/")),MONTH(SUBSTITUTE(LEFT(Base_report!F785,10),"-","/")),DAY(SUBSTITUTE(LEFT(Base_report!F785,10),"-","/")))</f>
        <v>45301</v>
      </c>
      <c r="H787" s="16">
        <f>DATE(YEAR(SUBSTITUTE(LEFT(Base_report!G785,10),"-","/")),MONTH(SUBSTITUTE(LEFT(Base_report!G785,10),"-","/")),DAY(SUBSTITUTE(LEFT(Base_report!G785,10),"-","/")))</f>
        <v>45301</v>
      </c>
      <c r="I787" s="17" t="str">
        <f t="shared" si="1"/>
        <v>OUI</v>
      </c>
      <c r="J787" s="18">
        <f>IF(L787="DS",DATE(RIGHT(B787,4),VLOOKUP(LEFT(B787,LEN(B787)-5),Feuil1!$E$3:$F$19,2,FALSE)+1,10),DATE(RIGHT(B787,4),VLOOKUP(LEFT(B787,LEN(B787)-5),Feuil1!$E$3:$F$19,2,FALSE)+1,7))</f>
        <v>45301</v>
      </c>
      <c r="K787" s="19">
        <f t="shared" si="2"/>
        <v>1</v>
      </c>
      <c r="L787" s="6" t="str">
        <f t="shared" si="3"/>
        <v>DS</v>
      </c>
    </row>
    <row r="788" ht="14.25" customHeight="1">
      <c r="A788" s="14" t="str">
        <f>Base_report!A786</f>
        <v>BAGOUE</v>
      </c>
      <c r="B788" s="14" t="str">
        <f>Base_report!B786</f>
        <v>DECEMBRE 2023</v>
      </c>
      <c r="C788" s="15" t="str">
        <f>Base_report!C786</f>
        <v>C3002</v>
      </c>
      <c r="D788" s="14" t="str">
        <f>TRIM(IF(ISNUMBER(FIND("PNSME",Base_report!D786,1)),SUBSTITUTE(Base_report!D786,"PNSME",""),IF(ISNUMBER(FIND("PHG",Base_report!D786,1)),SUBSTITUTE(Base_report!D786,"PHG",""),IF(ISNUMBER(FIND("PCS",Base_report!D786,1)),SUBSTITUTE(Base_report!D786,"PCS",""),IF(ISNUMBER(FIND("CMU",Base_report!D786,1)),SUBSTITUTE(Base_report!D786,"CMU",""),Base_report!D786)))))</f>
        <v>DISTRICT SANITAIRE BOUNDIALI</v>
      </c>
      <c r="E788" s="14" t="str">
        <f>SUBSTITUTE(Base_report!E786,"-","/")</f>
        <v>PNLS/ANTIRETROVIRAUX ET IO</v>
      </c>
      <c r="F788" s="14" t="s">
        <v>788</v>
      </c>
      <c r="G788" s="16">
        <f>DATE(YEAR(SUBSTITUTE(LEFT(Base_report!F786,10),"-","/")),MONTH(SUBSTITUTE(LEFT(Base_report!F786,10),"-","/")),DAY(SUBSTITUTE(LEFT(Base_report!F786,10),"-","/")))</f>
        <v>45301</v>
      </c>
      <c r="H788" s="16">
        <f>DATE(YEAR(SUBSTITUTE(LEFT(Base_report!G786,10),"-","/")),MONTH(SUBSTITUTE(LEFT(Base_report!G786,10),"-","/")),DAY(SUBSTITUTE(LEFT(Base_report!G786,10),"-","/")))</f>
        <v>45301</v>
      </c>
      <c r="I788" s="17" t="str">
        <f t="shared" si="1"/>
        <v>OUI</v>
      </c>
      <c r="J788" s="18">
        <f>IF(L788="DS",DATE(RIGHT(B788,4),VLOOKUP(LEFT(B788,LEN(B788)-5),Feuil1!$E$3:$F$19,2,FALSE)+1,10),DATE(RIGHT(B788,4),VLOOKUP(LEFT(B788,LEN(B788)-5),Feuil1!$E$3:$F$19,2,FALSE)+1,7))</f>
        <v>45301</v>
      </c>
      <c r="K788" s="19">
        <f t="shared" si="2"/>
        <v>1</v>
      </c>
      <c r="L788" s="6" t="str">
        <f t="shared" si="3"/>
        <v>DS</v>
      </c>
    </row>
    <row r="789" ht="14.25" customHeight="1">
      <c r="A789" s="14" t="str">
        <f>Base_report!A787</f>
        <v>BAGOUE</v>
      </c>
      <c r="B789" s="14" t="str">
        <f>Base_report!B787</f>
        <v>DECEMBRE 2023</v>
      </c>
      <c r="C789" s="15" t="str">
        <f>Base_report!C787</f>
        <v>C3002</v>
      </c>
      <c r="D789" s="14" t="str">
        <f>TRIM(IF(ISNUMBER(FIND("PNSME",Base_report!D787,1)),SUBSTITUTE(Base_report!D787,"PNSME",""),IF(ISNUMBER(FIND("PHG",Base_report!D787,1)),SUBSTITUTE(Base_report!D787,"PHG",""),IF(ISNUMBER(FIND("PCS",Base_report!D787,1)),SUBSTITUTE(Base_report!D787,"PCS",""),IF(ISNUMBER(FIND("CMU",Base_report!D787,1)),SUBSTITUTE(Base_report!D787,"CMU",""),Base_report!D787)))))</f>
        <v>DISTRICT SANITAIRE BOUNDIALI</v>
      </c>
      <c r="E789" s="14" t="str">
        <f>SUBSTITUTE(Base_report!E787,"-","/")</f>
        <v>PNLS/TESTS RAPIDES ET CONSOMMABLES</v>
      </c>
      <c r="F789" s="14" t="s">
        <v>788</v>
      </c>
      <c r="G789" s="16">
        <f>DATE(YEAR(SUBSTITUTE(LEFT(Base_report!F787,10),"-","/")),MONTH(SUBSTITUTE(LEFT(Base_report!F787,10),"-","/")),DAY(SUBSTITUTE(LEFT(Base_report!F787,10),"-","/")))</f>
        <v>45301</v>
      </c>
      <c r="H789" s="16">
        <f>DATE(YEAR(SUBSTITUTE(LEFT(Base_report!G787,10),"-","/")),MONTH(SUBSTITUTE(LEFT(Base_report!G787,10),"-","/")),DAY(SUBSTITUTE(LEFT(Base_report!G787,10),"-","/")))</f>
        <v>45301</v>
      </c>
      <c r="I789" s="17" t="str">
        <f t="shared" si="1"/>
        <v>OUI</v>
      </c>
      <c r="J789" s="18">
        <f>IF(L789="DS",DATE(RIGHT(B789,4),VLOOKUP(LEFT(B789,LEN(B789)-5),Feuil1!$E$3:$F$19,2,FALSE)+1,10),DATE(RIGHT(B789,4),VLOOKUP(LEFT(B789,LEN(B789)-5),Feuil1!$E$3:$F$19,2,FALSE)+1,7))</f>
        <v>45301</v>
      </c>
      <c r="K789" s="19">
        <f t="shared" si="2"/>
        <v>1</v>
      </c>
      <c r="L789" s="6" t="str">
        <f t="shared" si="3"/>
        <v>DS</v>
      </c>
    </row>
    <row r="790" ht="14.25" customHeight="1">
      <c r="A790" s="14" t="str">
        <f>Base_report!A788</f>
        <v>BAGOUE</v>
      </c>
      <c r="B790" s="14" t="str">
        <f>Base_report!B788</f>
        <v>DECEMBRE 2023</v>
      </c>
      <c r="C790" s="15" t="str">
        <f>Base_report!C788</f>
        <v>C3002</v>
      </c>
      <c r="D790" s="14" t="str">
        <f>TRIM(IF(ISNUMBER(FIND("PNSME",Base_report!D788,1)),SUBSTITUTE(Base_report!D788,"PNSME",""),IF(ISNUMBER(FIND("PHG",Base_report!D788,1)),SUBSTITUTE(Base_report!D788,"PHG",""),IF(ISNUMBER(FIND("PCS",Base_report!D788,1)),SUBSTITUTE(Base_report!D788,"PCS",""),IF(ISNUMBER(FIND("CMU",Base_report!D788,1)),SUBSTITUTE(Base_report!D788,"CMU",""),Base_report!D788)))))</f>
        <v>DISTRICT SANITAIRE BOUNDIALI</v>
      </c>
      <c r="E790" s="14" t="str">
        <f>SUBSTITUTE(Base_report!E788,"-","/")</f>
        <v>PNN/MEDICAMENTS ET INTRANTS</v>
      </c>
      <c r="F790" s="14" t="s">
        <v>788</v>
      </c>
      <c r="G790" s="16">
        <f>DATE(YEAR(SUBSTITUTE(LEFT(Base_report!F788,10),"-","/")),MONTH(SUBSTITUTE(LEFT(Base_report!F788,10),"-","/")),DAY(SUBSTITUTE(LEFT(Base_report!F788,10),"-","/")))</f>
        <v>45299</v>
      </c>
      <c r="H790" s="16">
        <f>DATE(YEAR(SUBSTITUTE(LEFT(Base_report!G788,10),"-","/")),MONTH(SUBSTITUTE(LEFT(Base_report!G788,10),"-","/")),DAY(SUBSTITUTE(LEFT(Base_report!G788,10),"-","/")))</f>
        <v>45301</v>
      </c>
      <c r="I790" s="17" t="str">
        <f t="shared" si="1"/>
        <v>OUI</v>
      </c>
      <c r="J790" s="18">
        <f>IF(L790="DS",DATE(RIGHT(B790,4),VLOOKUP(LEFT(B790,LEN(B790)-5),Feuil1!$E$3:$F$19,2,FALSE)+1,10),DATE(RIGHT(B790,4),VLOOKUP(LEFT(B790,LEN(B790)-5),Feuil1!$E$3:$F$19,2,FALSE)+1,7))</f>
        <v>45301</v>
      </c>
      <c r="K790" s="19">
        <f t="shared" si="2"/>
        <v>1</v>
      </c>
      <c r="L790" s="6" t="str">
        <f t="shared" si="3"/>
        <v>DS</v>
      </c>
    </row>
    <row r="791" ht="14.25" customHeight="1">
      <c r="A791" s="14" t="str">
        <f>Base_report!A789</f>
        <v>BAGOUE</v>
      </c>
      <c r="B791" s="14" t="str">
        <f>Base_report!B789</f>
        <v>DECEMBRE 2023</v>
      </c>
      <c r="C791" s="15" t="str">
        <f>Base_report!C789</f>
        <v>C3002</v>
      </c>
      <c r="D791" s="14" t="str">
        <f>TRIM(IF(ISNUMBER(FIND("PNSME",Base_report!D789,1)),SUBSTITUTE(Base_report!D789,"PNSME",""),IF(ISNUMBER(FIND("PHG",Base_report!D789,1)),SUBSTITUTE(Base_report!D789,"PHG",""),IF(ISNUMBER(FIND("PCS",Base_report!D789,1)),SUBSTITUTE(Base_report!D789,"PCS",""),IF(ISNUMBER(FIND("CMU",Base_report!D789,1)),SUBSTITUTE(Base_report!D789,"CMU",""),Base_report!D789)))))</f>
        <v>DISTRICT SANITAIRE BOUNDIALI</v>
      </c>
      <c r="E791" s="14" t="str">
        <f>SUBSTITUTE(Base_report!E789,"-","/")</f>
        <v>PNSME/MEDICAMENTS ET INTRANTS</v>
      </c>
      <c r="F791" s="14" t="s">
        <v>788</v>
      </c>
      <c r="G791" s="16">
        <f>DATE(YEAR(SUBSTITUTE(LEFT(Base_report!F789,10),"-","/")),MONTH(SUBSTITUTE(LEFT(Base_report!F789,10),"-","/")),DAY(SUBSTITUTE(LEFT(Base_report!F789,10),"-","/")))</f>
        <v>45299</v>
      </c>
      <c r="H791" s="16">
        <f>DATE(YEAR(SUBSTITUTE(LEFT(Base_report!G789,10),"-","/")),MONTH(SUBSTITUTE(LEFT(Base_report!G789,10),"-","/")),DAY(SUBSTITUTE(LEFT(Base_report!G789,10),"-","/")))</f>
        <v>45301</v>
      </c>
      <c r="I791" s="17" t="str">
        <f t="shared" si="1"/>
        <v>OUI</v>
      </c>
      <c r="J791" s="18">
        <f>IF(L791="DS",DATE(RIGHT(B791,4),VLOOKUP(LEFT(B791,LEN(B791)-5),Feuil1!$E$3:$F$19,2,FALSE)+1,10),DATE(RIGHT(B791,4),VLOOKUP(LEFT(B791,LEN(B791)-5),Feuil1!$E$3:$F$19,2,FALSE)+1,7))</f>
        <v>45301</v>
      </c>
      <c r="K791" s="19">
        <f t="shared" si="2"/>
        <v>1</v>
      </c>
      <c r="L791" s="6" t="str">
        <f t="shared" si="3"/>
        <v>DS</v>
      </c>
    </row>
    <row r="792" ht="14.25" customHeight="1">
      <c r="A792" s="14" t="str">
        <f>Base_report!A790</f>
        <v>N'ZI</v>
      </c>
      <c r="B792" s="14" t="str">
        <f>Base_report!B790</f>
        <v>DECEMBRE 2023</v>
      </c>
      <c r="C792" s="15" t="str">
        <f>Base_report!C790</f>
        <v>C4087</v>
      </c>
      <c r="D792" s="14" t="str">
        <f>TRIM(IF(ISNUMBER(FIND("PNSME",Base_report!D790,1)),SUBSTITUTE(Base_report!D790,"PNSME",""),IF(ISNUMBER(FIND("PHG",Base_report!D790,1)),SUBSTITUTE(Base_report!D790,"PHG",""),IF(ISNUMBER(FIND("PCS",Base_report!D790,1)),SUBSTITUTE(Base_report!D790,"PCS",""),IF(ISNUMBER(FIND("CMU",Base_report!D790,1)),SUBSTITUTE(Base_report!D790,"CMU",""),Base_report!D790)))))</f>
        <v>HOPITAL GENERAL KOUASSI-KOUASSIKRO</v>
      </c>
      <c r="E792" s="14" t="str">
        <f>SUBSTITUTE(Base_report!E790,"-","/")</f>
        <v>PNSME/MEDICAMENTS ET INTRANTS</v>
      </c>
      <c r="F792" s="14" t="s">
        <v>788</v>
      </c>
      <c r="G792" s="16">
        <f>DATE(YEAR(SUBSTITUTE(LEFT(Base_report!F790,10),"-","/")),MONTH(SUBSTITUTE(LEFT(Base_report!F790,10),"-","/")),DAY(SUBSTITUTE(LEFT(Base_report!F790,10),"-","/")))</f>
        <v>45296</v>
      </c>
      <c r="H792" s="16">
        <f>DATE(YEAR(SUBSTITUTE(LEFT(Base_report!G790,10),"-","/")),MONTH(SUBSTITUTE(LEFT(Base_report!G790,10),"-","/")),DAY(SUBSTITUTE(LEFT(Base_report!G790,10),"-","/")))</f>
        <v>45297</v>
      </c>
      <c r="I792" s="17" t="str">
        <f t="shared" si="1"/>
        <v>OUI</v>
      </c>
      <c r="J792" s="18">
        <f>IF(L792="DS",DATE(RIGHT(B792,4),VLOOKUP(LEFT(B792,LEN(B792)-5),Feuil1!$E$3:$F$19,2,FALSE)+1,10),DATE(RIGHT(B792,4),VLOOKUP(LEFT(B792,LEN(B792)-5),Feuil1!$E$3:$F$19,2,FALSE)+1,7))</f>
        <v>45298</v>
      </c>
      <c r="K792" s="19">
        <f t="shared" si="2"/>
        <v>1</v>
      </c>
      <c r="L792" s="6" t="str">
        <f t="shared" si="3"/>
        <v>FS</v>
      </c>
    </row>
    <row r="793" ht="14.25" customHeight="1">
      <c r="A793" s="14" t="str">
        <f>Base_report!A791</f>
        <v>AGNEBY-TIASSA</v>
      </c>
      <c r="B793" s="14" t="str">
        <f>Base_report!B791</f>
        <v>DECEMBRE 2023</v>
      </c>
      <c r="C793" s="15" t="str">
        <f>Base_report!C791</f>
        <v>C1701</v>
      </c>
      <c r="D793" s="14" t="str">
        <f>TRIM(IF(ISNUMBER(FIND("PNSME",Base_report!D791,1)),SUBSTITUTE(Base_report!D791,"PNSME",""),IF(ISNUMBER(FIND("PHG",Base_report!D791,1)),SUBSTITUTE(Base_report!D791,"PHG",""),IF(ISNUMBER(FIND("PCS",Base_report!D791,1)),SUBSTITUTE(Base_report!D791,"PCS",""),IF(ISNUMBER(FIND("CMU",Base_report!D791,1)),SUBSTITUTE(Base_report!D791,"CMU",""),Base_report!D791)))))</f>
        <v>HOPITAL SAINT JEAN- BAPTISTE</v>
      </c>
      <c r="E793" s="14" t="str">
        <f>SUBSTITUTE(Base_report!E791,"-","/")</f>
        <v>PNLS/ANTIRETROVIRAUX ET IO</v>
      </c>
      <c r="F793" s="14" t="s">
        <v>788</v>
      </c>
      <c r="G793" s="16">
        <f>DATE(YEAR(SUBSTITUTE(LEFT(Base_report!F791,10),"-","/")),MONTH(SUBSTITUTE(LEFT(Base_report!F791,10),"-","/")),DAY(SUBSTITUTE(LEFT(Base_report!F791,10),"-","/")))</f>
        <v>45295</v>
      </c>
      <c r="H793" s="16">
        <f>DATE(YEAR(SUBSTITUTE(LEFT(Base_report!G791,10),"-","/")),MONTH(SUBSTITUTE(LEFT(Base_report!G791,10),"-","/")),DAY(SUBSTITUTE(LEFT(Base_report!G791,10),"-","/")))</f>
        <v>45296</v>
      </c>
      <c r="I793" s="17" t="str">
        <f t="shared" si="1"/>
        <v>OUI</v>
      </c>
      <c r="J793" s="18">
        <f>IF(L793="DS",DATE(RIGHT(B793,4),VLOOKUP(LEFT(B793,LEN(B793)-5),Feuil1!$E$3:$F$19,2,FALSE)+1,10),DATE(RIGHT(B793,4),VLOOKUP(LEFT(B793,LEN(B793)-5),Feuil1!$E$3:$F$19,2,FALSE)+1,7))</f>
        <v>45298</v>
      </c>
      <c r="K793" s="19">
        <f t="shared" si="2"/>
        <v>1</v>
      </c>
      <c r="L793" s="6" t="str">
        <f t="shared" si="3"/>
        <v>FS</v>
      </c>
    </row>
    <row r="794" ht="14.25" customHeight="1">
      <c r="A794" s="14" t="str">
        <f>Base_report!A792</f>
        <v>GRANDS PONTS</v>
      </c>
      <c r="B794" s="14" t="str">
        <f>Base_report!B792</f>
        <v>DECEMBRE 2023</v>
      </c>
      <c r="C794" s="15" t="str">
        <f>Base_report!C792</f>
        <v>C1092</v>
      </c>
      <c r="D794" s="14" t="str">
        <f>TRIM(IF(ISNUMBER(FIND("PNSME",Base_report!D792,1)),SUBSTITUTE(Base_report!D792,"PNSME",""),IF(ISNUMBER(FIND("PHG",Base_report!D792,1)),SUBSTITUTE(Base_report!D792,"PHG",""),IF(ISNUMBER(FIND("PCS",Base_report!D792,1)),SUBSTITUTE(Base_report!D792,"PCS",""),IF(ISNUMBER(FIND("CMU",Base_report!D792,1)),SUBSTITUTE(Base_report!D792,"CMU",""),Base_report!D792)))))</f>
        <v>HOPITAL GENERAL JACQUEVILLE</v>
      </c>
      <c r="E794" s="14" t="str">
        <f>SUBSTITUTE(Base_report!E792,"-","/")</f>
        <v>PNLS/PRODUITS DE LABORATOIRE</v>
      </c>
      <c r="F794" s="14" t="s">
        <v>788</v>
      </c>
      <c r="G794" s="16">
        <f>DATE(YEAR(SUBSTITUTE(LEFT(Base_report!F792,10),"-","/")),MONTH(SUBSTITUTE(LEFT(Base_report!F792,10),"-","/")),DAY(SUBSTITUTE(LEFT(Base_report!F792,10),"-","/")))</f>
        <v>45295</v>
      </c>
      <c r="H794" s="16">
        <f>DATE(YEAR(SUBSTITUTE(LEFT(Base_report!G792,10),"-","/")),MONTH(SUBSTITUTE(LEFT(Base_report!G792,10),"-","/")),DAY(SUBSTITUTE(LEFT(Base_report!G792,10),"-","/")))</f>
        <v>45296</v>
      </c>
      <c r="I794" s="17" t="str">
        <f t="shared" si="1"/>
        <v>OUI</v>
      </c>
      <c r="J794" s="18">
        <f>IF(L794="DS",DATE(RIGHT(B794,4),VLOOKUP(LEFT(B794,LEN(B794)-5),Feuil1!$E$3:$F$19,2,FALSE)+1,10),DATE(RIGHT(B794,4),VLOOKUP(LEFT(B794,LEN(B794)-5),Feuil1!$E$3:$F$19,2,FALSE)+1,7))</f>
        <v>45298</v>
      </c>
      <c r="K794" s="19">
        <f t="shared" si="2"/>
        <v>1</v>
      </c>
      <c r="L794" s="6" t="str">
        <f t="shared" si="3"/>
        <v>FS</v>
      </c>
    </row>
    <row r="795" ht="14.25" customHeight="1">
      <c r="A795" s="14" t="str">
        <f>Base_report!A793</f>
        <v>GRANDS PONTS</v>
      </c>
      <c r="B795" s="14" t="str">
        <f>Base_report!B793</f>
        <v>DECEMBRE 2023</v>
      </c>
      <c r="C795" s="15" t="str">
        <f>Base_report!C793</f>
        <v>C1092</v>
      </c>
      <c r="D795" s="14" t="str">
        <f>TRIM(IF(ISNUMBER(FIND("PNSME",Base_report!D793,1)),SUBSTITUTE(Base_report!D793,"PNSME",""),IF(ISNUMBER(FIND("PHG",Base_report!D793,1)),SUBSTITUTE(Base_report!D793,"PHG",""),IF(ISNUMBER(FIND("PCS",Base_report!D793,1)),SUBSTITUTE(Base_report!D793,"PCS",""),IF(ISNUMBER(FIND("CMU",Base_report!D793,1)),SUBSTITUTE(Base_report!D793,"CMU",""),Base_report!D793)))))</f>
        <v>HOPITAL GENERAL JACQUEVILLE</v>
      </c>
      <c r="E795" s="14" t="str">
        <f>SUBSTITUTE(Base_report!E793,"-","/")</f>
        <v>PNLS/TESTS RAPIDES ET CONSOMMABLES</v>
      </c>
      <c r="F795" s="14" t="s">
        <v>788</v>
      </c>
      <c r="G795" s="16">
        <f>DATE(YEAR(SUBSTITUTE(LEFT(Base_report!F793,10),"-","/")),MONTH(SUBSTITUTE(LEFT(Base_report!F793,10),"-","/")),DAY(SUBSTITUTE(LEFT(Base_report!F793,10),"-","/")))</f>
        <v>45295</v>
      </c>
      <c r="H795" s="16">
        <f>DATE(YEAR(SUBSTITUTE(LEFT(Base_report!G793,10),"-","/")),MONTH(SUBSTITUTE(LEFT(Base_report!G793,10),"-","/")),DAY(SUBSTITUTE(LEFT(Base_report!G793,10),"-","/")))</f>
        <v>45296</v>
      </c>
      <c r="I795" s="17" t="str">
        <f t="shared" si="1"/>
        <v>OUI</v>
      </c>
      <c r="J795" s="18">
        <f>IF(L795="DS",DATE(RIGHT(B795,4),VLOOKUP(LEFT(B795,LEN(B795)-5),Feuil1!$E$3:$F$19,2,FALSE)+1,10),DATE(RIGHT(B795,4),VLOOKUP(LEFT(B795,LEN(B795)-5),Feuil1!$E$3:$F$19,2,FALSE)+1,7))</f>
        <v>45298</v>
      </c>
      <c r="K795" s="19">
        <f t="shared" si="2"/>
        <v>1</v>
      </c>
      <c r="L795" s="6" t="str">
        <f t="shared" si="3"/>
        <v>FS</v>
      </c>
    </row>
    <row r="796" ht="14.25" customHeight="1">
      <c r="A796" s="14" t="str">
        <f>Base_report!A794</f>
        <v>N'ZI</v>
      </c>
      <c r="B796" s="14" t="str">
        <f>Base_report!B794</f>
        <v>DECEMBRE 2023</v>
      </c>
      <c r="C796" s="15" t="str">
        <f>Base_report!C794</f>
        <v>C4087</v>
      </c>
      <c r="D796" s="14" t="str">
        <f>TRIM(IF(ISNUMBER(FIND("PNSME",Base_report!D794,1)),SUBSTITUTE(Base_report!D794,"PNSME",""),IF(ISNUMBER(FIND("PHG",Base_report!D794,1)),SUBSTITUTE(Base_report!D794,"PHG",""),IF(ISNUMBER(FIND("PCS",Base_report!D794,1)),SUBSTITUTE(Base_report!D794,"PCS",""),IF(ISNUMBER(FIND("CMU",Base_report!D794,1)),SUBSTITUTE(Base_report!D794,"CMU",""),Base_report!D794)))))</f>
        <v>HOPITAL GENERAL KOUASSI-KOUASSIKRO</v>
      </c>
      <c r="E796" s="14" t="str">
        <f>SUBSTITUTE(Base_report!E794,"-","/")</f>
        <v>PNLS/PRODUITS DE LABORATOIRE</v>
      </c>
      <c r="F796" s="14" t="s">
        <v>788</v>
      </c>
      <c r="G796" s="16">
        <f>DATE(YEAR(SUBSTITUTE(LEFT(Base_report!F794,10),"-","/")),MONTH(SUBSTITUTE(LEFT(Base_report!F794,10),"-","/")),DAY(SUBSTITUTE(LEFT(Base_report!F794,10),"-","/")))</f>
        <v>45296</v>
      </c>
      <c r="H796" s="16">
        <f>DATE(YEAR(SUBSTITUTE(LEFT(Base_report!G794,10),"-","/")),MONTH(SUBSTITUTE(LEFT(Base_report!G794,10),"-","/")),DAY(SUBSTITUTE(LEFT(Base_report!G794,10),"-","/")))</f>
        <v>45297</v>
      </c>
      <c r="I796" s="17" t="str">
        <f t="shared" si="1"/>
        <v>OUI</v>
      </c>
      <c r="J796" s="18">
        <f>IF(L796="DS",DATE(RIGHT(B796,4),VLOOKUP(LEFT(B796,LEN(B796)-5),Feuil1!$E$3:$F$19,2,FALSE)+1,10),DATE(RIGHT(B796,4),VLOOKUP(LEFT(B796,LEN(B796)-5),Feuil1!$E$3:$F$19,2,FALSE)+1,7))</f>
        <v>45298</v>
      </c>
      <c r="K796" s="19">
        <f t="shared" si="2"/>
        <v>1</v>
      </c>
      <c r="L796" s="6" t="str">
        <f t="shared" si="3"/>
        <v>FS</v>
      </c>
    </row>
    <row r="797" ht="14.25" customHeight="1">
      <c r="A797" s="14" t="str">
        <f>Base_report!A795</f>
        <v>N'ZI</v>
      </c>
      <c r="B797" s="14" t="str">
        <f>Base_report!B795</f>
        <v>DECEMBRE 2023</v>
      </c>
      <c r="C797" s="15" t="str">
        <f>Base_report!C795</f>
        <v>C4087</v>
      </c>
      <c r="D797" s="14" t="str">
        <f>TRIM(IF(ISNUMBER(FIND("PNSME",Base_report!D795,1)),SUBSTITUTE(Base_report!D795,"PNSME",""),IF(ISNUMBER(FIND("PHG",Base_report!D795,1)),SUBSTITUTE(Base_report!D795,"PHG",""),IF(ISNUMBER(FIND("PCS",Base_report!D795,1)),SUBSTITUTE(Base_report!D795,"PCS",""),IF(ISNUMBER(FIND("CMU",Base_report!D795,1)),SUBSTITUTE(Base_report!D795,"CMU",""),Base_report!D795)))))</f>
        <v>HOPITAL GENERAL KOUASSI-KOUASSIKRO</v>
      </c>
      <c r="E797" s="14" t="str">
        <f>SUBSTITUTE(Base_report!E795,"-","/")</f>
        <v>PNLS/ANTIRETROVIRAUX ET IO</v>
      </c>
      <c r="F797" s="14" t="s">
        <v>788</v>
      </c>
      <c r="G797" s="16">
        <f>DATE(YEAR(SUBSTITUTE(LEFT(Base_report!F795,10),"-","/")),MONTH(SUBSTITUTE(LEFT(Base_report!F795,10),"-","/")),DAY(SUBSTITUTE(LEFT(Base_report!F795,10),"-","/")))</f>
        <v>45297</v>
      </c>
      <c r="H797" s="16">
        <f>DATE(YEAR(SUBSTITUTE(LEFT(Base_report!G795,10),"-","/")),MONTH(SUBSTITUTE(LEFT(Base_report!G795,10),"-","/")),DAY(SUBSTITUTE(LEFT(Base_report!G795,10),"-","/")))</f>
        <v>45297</v>
      </c>
      <c r="I797" s="17" t="str">
        <f t="shared" si="1"/>
        <v>OUI</v>
      </c>
      <c r="J797" s="18">
        <f>IF(L797="DS",DATE(RIGHT(B797,4),VLOOKUP(LEFT(B797,LEN(B797)-5),Feuil1!$E$3:$F$19,2,FALSE)+1,10),DATE(RIGHT(B797,4),VLOOKUP(LEFT(B797,LEN(B797)-5),Feuil1!$E$3:$F$19,2,FALSE)+1,7))</f>
        <v>45298</v>
      </c>
      <c r="K797" s="19">
        <f t="shared" si="2"/>
        <v>1</v>
      </c>
      <c r="L797" s="6" t="str">
        <f t="shared" si="3"/>
        <v>FS</v>
      </c>
    </row>
    <row r="798" ht="14.25" customHeight="1">
      <c r="A798" s="14" t="str">
        <f>Base_report!A796</f>
        <v>GRANDS PONTS</v>
      </c>
      <c r="B798" s="14" t="str">
        <f>Base_report!B796</f>
        <v>DECEMBRE 2023</v>
      </c>
      <c r="C798" s="15" t="str">
        <f>Base_report!C796</f>
        <v>C1092</v>
      </c>
      <c r="D798" s="14" t="str">
        <f>TRIM(IF(ISNUMBER(FIND("PNSME",Base_report!D796,1)),SUBSTITUTE(Base_report!D796,"PNSME",""),IF(ISNUMBER(FIND("PHG",Base_report!D796,1)),SUBSTITUTE(Base_report!D796,"PHG",""),IF(ISNUMBER(FIND("PCS",Base_report!D796,1)),SUBSTITUTE(Base_report!D796,"PCS",""),IF(ISNUMBER(FIND("CMU",Base_report!D796,1)),SUBSTITUTE(Base_report!D796,"CMU",""),Base_report!D796)))))</f>
        <v>HOPITAL GENERAL JACQUEVILLE</v>
      </c>
      <c r="E798" s="14" t="str">
        <f>SUBSTITUTE(Base_report!E796,"-","/")</f>
        <v>PNLS/ANTIRETROVIRAUX ET IO</v>
      </c>
      <c r="F798" s="14" t="s">
        <v>788</v>
      </c>
      <c r="G798" s="16">
        <f>DATE(YEAR(SUBSTITUTE(LEFT(Base_report!F796,10),"-","/")),MONTH(SUBSTITUTE(LEFT(Base_report!F796,10),"-","/")),DAY(SUBSTITUTE(LEFT(Base_report!F796,10),"-","/")))</f>
        <v>45295</v>
      </c>
      <c r="H798" s="16">
        <f>DATE(YEAR(SUBSTITUTE(LEFT(Base_report!G796,10),"-","/")),MONTH(SUBSTITUTE(LEFT(Base_report!G796,10),"-","/")),DAY(SUBSTITUTE(LEFT(Base_report!G796,10),"-","/")))</f>
        <v>45296</v>
      </c>
      <c r="I798" s="17" t="str">
        <f t="shared" si="1"/>
        <v>OUI</v>
      </c>
      <c r="J798" s="18">
        <f>IF(L798="DS",DATE(RIGHT(B798,4),VLOOKUP(LEFT(B798,LEN(B798)-5),Feuil1!$E$3:$F$19,2,FALSE)+1,10),DATE(RIGHT(B798,4),VLOOKUP(LEFT(B798,LEN(B798)-5),Feuil1!$E$3:$F$19,2,FALSE)+1,7))</f>
        <v>45298</v>
      </c>
      <c r="K798" s="19">
        <f t="shared" si="2"/>
        <v>1</v>
      </c>
      <c r="L798" s="6" t="str">
        <f t="shared" si="3"/>
        <v>FS</v>
      </c>
    </row>
    <row r="799" ht="14.25" customHeight="1">
      <c r="A799" s="14" t="str">
        <f>Base_report!A797</f>
        <v>AGNEBY-TIASSA</v>
      </c>
      <c r="B799" s="14" t="str">
        <f>Base_report!B797</f>
        <v>DECEMBRE 2023</v>
      </c>
      <c r="C799" s="15" t="str">
        <f>Base_report!C797</f>
        <v>C1701</v>
      </c>
      <c r="D799" s="14" t="str">
        <f>TRIM(IF(ISNUMBER(FIND("PNSME",Base_report!D797,1)),SUBSTITUTE(Base_report!D797,"PNSME",""),IF(ISNUMBER(FIND("PHG",Base_report!D797,1)),SUBSTITUTE(Base_report!D797,"PHG",""),IF(ISNUMBER(FIND("PCS",Base_report!D797,1)),SUBSTITUTE(Base_report!D797,"PCS",""),IF(ISNUMBER(FIND("CMU",Base_report!D797,1)),SUBSTITUTE(Base_report!D797,"CMU",""),Base_report!D797)))))</f>
        <v>HOPITAL SAINT JEAN- BAPTISTE</v>
      </c>
      <c r="E799" s="14" t="str">
        <f>SUBSTITUTE(Base_report!E797,"-","/")</f>
        <v>PNLS/PRODUITS DE LABORATOIRE</v>
      </c>
      <c r="F799" s="14" t="s">
        <v>788</v>
      </c>
      <c r="G799" s="16">
        <f>DATE(YEAR(SUBSTITUTE(LEFT(Base_report!F797,10),"-","/")),MONTH(SUBSTITUTE(LEFT(Base_report!F797,10),"-","/")),DAY(SUBSTITUTE(LEFT(Base_report!F797,10),"-","/")))</f>
        <v>45295</v>
      </c>
      <c r="H799" s="16">
        <f>DATE(YEAR(SUBSTITUTE(LEFT(Base_report!G797,10),"-","/")),MONTH(SUBSTITUTE(LEFT(Base_report!G797,10),"-","/")),DAY(SUBSTITUTE(LEFT(Base_report!G797,10),"-","/")))</f>
        <v>45296</v>
      </c>
      <c r="I799" s="17" t="str">
        <f t="shared" si="1"/>
        <v>OUI</v>
      </c>
      <c r="J799" s="18">
        <f>IF(L799="DS",DATE(RIGHT(B799,4),VLOOKUP(LEFT(B799,LEN(B799)-5),Feuil1!$E$3:$F$19,2,FALSE)+1,10),DATE(RIGHT(B799,4),VLOOKUP(LEFT(B799,LEN(B799)-5),Feuil1!$E$3:$F$19,2,FALSE)+1,7))</f>
        <v>45298</v>
      </c>
      <c r="K799" s="19">
        <f t="shared" si="2"/>
        <v>1</v>
      </c>
      <c r="L799" s="6" t="str">
        <f t="shared" si="3"/>
        <v>FS</v>
      </c>
    </row>
    <row r="800" ht="14.25" customHeight="1">
      <c r="A800" s="14" t="str">
        <f>Base_report!A798</f>
        <v>GONTOUGO</v>
      </c>
      <c r="B800" s="14" t="str">
        <f>Base_report!B798</f>
        <v>DECEMBRE 2023</v>
      </c>
      <c r="C800" s="15" t="str">
        <f>Base_report!C798</f>
        <v>C2168</v>
      </c>
      <c r="D800" s="14" t="str">
        <f>TRIM(IF(ISNUMBER(FIND("PNSME",Base_report!D798,1)),SUBSTITUTE(Base_report!D798,"PNSME",""),IF(ISNUMBER(FIND("PHG",Base_report!D798,1)),SUBSTITUTE(Base_report!D798,"PHG",""),IF(ISNUMBER(FIND("PCS",Base_report!D798,1)),SUBSTITUTE(Base_report!D798,"PCS",""),IF(ISNUMBER(FIND("CMU",Base_report!D798,1)),SUBSTITUTE(Base_report!D798,"CMU",""),Base_report!D798)))))</f>
        <v>HOPITAL GENERAL TRANSUA</v>
      </c>
      <c r="E800" s="14" t="str">
        <f>SUBSTITUTE(Base_report!E798,"-","/")</f>
        <v>PNLP/MEDICAMENTS ET INTRANTS</v>
      </c>
      <c r="F800" s="14" t="s">
        <v>788</v>
      </c>
      <c r="G800" s="16">
        <f>DATE(YEAR(SUBSTITUTE(LEFT(Base_report!F798,10),"-","/")),MONTH(SUBSTITUTE(LEFT(Base_report!F798,10),"-","/")),DAY(SUBSTITUTE(LEFT(Base_report!F798,10),"-","/")))</f>
        <v>45295</v>
      </c>
      <c r="H800" s="16">
        <f>DATE(YEAR(SUBSTITUTE(LEFT(Base_report!G798,10),"-","/")),MONTH(SUBSTITUTE(LEFT(Base_report!G798,10),"-","/")),DAY(SUBSTITUTE(LEFT(Base_report!G798,10),"-","/")))</f>
        <v>45298</v>
      </c>
      <c r="I800" s="17" t="str">
        <f t="shared" si="1"/>
        <v>OUI</v>
      </c>
      <c r="J800" s="18">
        <f>IF(L800="DS",DATE(RIGHT(B800,4),VLOOKUP(LEFT(B800,LEN(B800)-5),Feuil1!$E$3:$F$19,2,FALSE)+1,10),DATE(RIGHT(B800,4),VLOOKUP(LEFT(B800,LEN(B800)-5),Feuil1!$E$3:$F$19,2,FALSE)+1,7))</f>
        <v>45298</v>
      </c>
      <c r="K800" s="19">
        <f t="shared" si="2"/>
        <v>1</v>
      </c>
      <c r="L800" s="6" t="str">
        <f t="shared" si="3"/>
        <v>FS</v>
      </c>
    </row>
    <row r="801" ht="14.25" customHeight="1">
      <c r="A801" s="14" t="str">
        <f>Base_report!A799</f>
        <v>GOH</v>
      </c>
      <c r="B801" s="14" t="str">
        <f>Base_report!B799</f>
        <v>DECEMBRE 2023</v>
      </c>
      <c r="C801" s="15" t="str">
        <f>Base_report!C799</f>
        <v>C2053</v>
      </c>
      <c r="D801" s="14" t="str">
        <f>TRIM(IF(ISNUMBER(FIND("PNSME",Base_report!D799,1)),SUBSTITUTE(Base_report!D799,"PNSME",""),IF(ISNUMBER(FIND("PHG",Base_report!D799,1)),SUBSTITUTE(Base_report!D799,"PHG",""),IF(ISNUMBER(FIND("PCS",Base_report!D799,1)),SUBSTITUTE(Base_report!D799,"PCS",""),IF(ISNUMBER(FIND("CMU",Base_report!D799,1)),SUBSTITUTE(Base_report!D799,"CMU",""),Base_report!D799)))))</f>
        <v>HOPITAL GENERAL GAGNOA</v>
      </c>
      <c r="E801" s="14" t="str">
        <f>SUBSTITUTE(Base_report!E799,"-","/")</f>
        <v>PNLS/PRODUITS DE LABORATOIRE</v>
      </c>
      <c r="F801" s="14" t="s">
        <v>788</v>
      </c>
      <c r="G801" s="16">
        <f>DATE(YEAR(SUBSTITUTE(LEFT(Base_report!F799,10),"-","/")),MONTH(SUBSTITUTE(LEFT(Base_report!F799,10),"-","/")),DAY(SUBSTITUTE(LEFT(Base_report!F799,10),"-","/")))</f>
        <v>45295</v>
      </c>
      <c r="H801" s="16">
        <f>DATE(YEAR(SUBSTITUTE(LEFT(Base_report!G799,10),"-","/")),MONTH(SUBSTITUTE(LEFT(Base_report!G799,10),"-","/")),DAY(SUBSTITUTE(LEFT(Base_report!G799,10),"-","/")))</f>
        <v>45295</v>
      </c>
      <c r="I801" s="17" t="str">
        <f t="shared" si="1"/>
        <v>OUI</v>
      </c>
      <c r="J801" s="18">
        <f>IF(L801="DS",DATE(RIGHT(B801,4),VLOOKUP(LEFT(B801,LEN(B801)-5),Feuil1!$E$3:$F$19,2,FALSE)+1,10),DATE(RIGHT(B801,4),VLOOKUP(LEFT(B801,LEN(B801)-5),Feuil1!$E$3:$F$19,2,FALSE)+1,7))</f>
        <v>45298</v>
      </c>
      <c r="K801" s="19">
        <f t="shared" si="2"/>
        <v>1</v>
      </c>
      <c r="L801" s="6" t="str">
        <f t="shared" si="3"/>
        <v>FS</v>
      </c>
    </row>
    <row r="802" ht="14.25" customHeight="1">
      <c r="A802" s="14" t="str">
        <f>Base_report!A800</f>
        <v>GONTOUGO</v>
      </c>
      <c r="B802" s="14" t="str">
        <f>Base_report!B800</f>
        <v>DECEMBRE 2023</v>
      </c>
      <c r="C802" s="15" t="str">
        <f>Base_report!C800</f>
        <v>C2168</v>
      </c>
      <c r="D802" s="14" t="str">
        <f>TRIM(IF(ISNUMBER(FIND("PNSME",Base_report!D800,1)),SUBSTITUTE(Base_report!D800,"PNSME",""),IF(ISNUMBER(FIND("PHG",Base_report!D800,1)),SUBSTITUTE(Base_report!D800,"PHG",""),IF(ISNUMBER(FIND("PCS",Base_report!D800,1)),SUBSTITUTE(Base_report!D800,"PCS",""),IF(ISNUMBER(FIND("CMU",Base_report!D800,1)),SUBSTITUTE(Base_report!D800,"CMU",""),Base_report!D800)))))</f>
        <v>HOPITAL GENERAL TRANSUA</v>
      </c>
      <c r="E802" s="14" t="str">
        <f>SUBSTITUTE(Base_report!E800,"-","/")</f>
        <v>PNLS/ANTIRETROVIRAUX ET IO</v>
      </c>
      <c r="F802" s="14" t="s">
        <v>788</v>
      </c>
      <c r="G802" s="16">
        <f>DATE(YEAR(SUBSTITUTE(LEFT(Base_report!F800,10),"-","/")),MONTH(SUBSTITUTE(LEFT(Base_report!F800,10),"-","/")),DAY(SUBSTITUTE(LEFT(Base_report!F800,10),"-","/")))</f>
        <v>45297</v>
      </c>
      <c r="H802" s="16">
        <f>DATE(YEAR(SUBSTITUTE(LEFT(Base_report!G800,10),"-","/")),MONTH(SUBSTITUTE(LEFT(Base_report!G800,10),"-","/")),DAY(SUBSTITUTE(LEFT(Base_report!G800,10),"-","/")))</f>
        <v>45298</v>
      </c>
      <c r="I802" s="17" t="str">
        <f t="shared" si="1"/>
        <v>OUI</v>
      </c>
      <c r="J802" s="18">
        <f>IF(L802="DS",DATE(RIGHT(B802,4),VLOOKUP(LEFT(B802,LEN(B802)-5),Feuil1!$E$3:$F$19,2,FALSE)+1,10),DATE(RIGHT(B802,4),VLOOKUP(LEFT(B802,LEN(B802)-5),Feuil1!$E$3:$F$19,2,FALSE)+1,7))</f>
        <v>45298</v>
      </c>
      <c r="K802" s="19">
        <f t="shared" si="2"/>
        <v>1</v>
      </c>
      <c r="L802" s="6" t="str">
        <f t="shared" si="3"/>
        <v>FS</v>
      </c>
    </row>
    <row r="803" ht="14.25" customHeight="1">
      <c r="A803" s="14" t="str">
        <f>Base_report!A801</f>
        <v>ABIDJAN 2</v>
      </c>
      <c r="B803" s="14" t="str">
        <f>Base_report!B801</f>
        <v>DECEMBRE 2023</v>
      </c>
      <c r="C803" s="15" t="str">
        <f>Base_report!C801</f>
        <v>C1414</v>
      </c>
      <c r="D803" s="14" t="str">
        <f>TRIM(IF(ISNUMBER(FIND("PNSME",Base_report!D801,1)),SUBSTITUTE(Base_report!D801,"PNSME",""),IF(ISNUMBER(FIND("PHG",Base_report!D801,1)),SUBSTITUTE(Base_report!D801,"PHG",""),IF(ISNUMBER(FIND("PCS",Base_report!D801,1)),SUBSTITUTE(Base_report!D801,"PCS",""),IF(ISNUMBER(FIND("CMU",Base_report!D801,1)),SUBSTITUTE(Base_report!D801,"CMU",""),Base_report!D801)))))</f>
        <v>DISTRICT SANITAIRE ADJAME PLATEAU ATTECOUBE</v>
      </c>
      <c r="E803" s="14" t="str">
        <f>SUBSTITUTE(Base_report!E801,"-","/")</f>
        <v>PNLP/MEDICAMENTS ET INTRANTS</v>
      </c>
      <c r="F803" s="14" t="s">
        <v>788</v>
      </c>
      <c r="G803" s="16">
        <f>DATE(YEAR(SUBSTITUTE(LEFT(Base_report!F801,10),"-","/")),MONTH(SUBSTITUTE(LEFT(Base_report!F801,10),"-","/")),DAY(SUBSTITUTE(LEFT(Base_report!F801,10),"-","/")))</f>
        <v>45295</v>
      </c>
      <c r="H803" s="16">
        <f>DATE(YEAR(SUBSTITUTE(LEFT(Base_report!G801,10),"-","/")),MONTH(SUBSTITUTE(LEFT(Base_report!G801,10),"-","/")),DAY(SUBSTITUTE(LEFT(Base_report!G801,10),"-","/")))</f>
        <v>45301</v>
      </c>
      <c r="I803" s="17" t="str">
        <f t="shared" si="1"/>
        <v>OUI</v>
      </c>
      <c r="J803" s="18">
        <f>IF(L803="DS",DATE(RIGHT(B803,4),VLOOKUP(LEFT(B803,LEN(B803)-5),Feuil1!$E$3:$F$19,2,FALSE)+1,10),DATE(RIGHT(B803,4),VLOOKUP(LEFT(B803,LEN(B803)-5),Feuil1!$E$3:$F$19,2,FALSE)+1,7))</f>
        <v>45301</v>
      </c>
      <c r="K803" s="19">
        <f t="shared" si="2"/>
        <v>1</v>
      </c>
      <c r="L803" s="6" t="str">
        <f t="shared" si="3"/>
        <v>DS</v>
      </c>
    </row>
    <row r="804" ht="14.25" customHeight="1">
      <c r="A804" s="14" t="str">
        <f>Base_report!A802</f>
        <v>AGNEBY-TIASSA</v>
      </c>
      <c r="B804" s="14" t="str">
        <f>Base_report!B802</f>
        <v>DECEMBRE 2023</v>
      </c>
      <c r="C804" s="15" t="str">
        <f>Base_report!C802</f>
        <v>C1701</v>
      </c>
      <c r="D804" s="14" t="str">
        <f>TRIM(IF(ISNUMBER(FIND("PNSME",Base_report!D802,1)),SUBSTITUTE(Base_report!D802,"PNSME",""),IF(ISNUMBER(FIND("PHG",Base_report!D802,1)),SUBSTITUTE(Base_report!D802,"PHG",""),IF(ISNUMBER(FIND("PCS",Base_report!D802,1)),SUBSTITUTE(Base_report!D802,"PCS",""),IF(ISNUMBER(FIND("CMU",Base_report!D802,1)),SUBSTITUTE(Base_report!D802,"CMU",""),Base_report!D802)))))</f>
        <v>HOPITAL SAINT JEAN- BAPTISTE</v>
      </c>
      <c r="E804" s="14" t="str">
        <f>SUBSTITUTE(Base_report!E802,"-","/")</f>
        <v>PNLS/TESTS RAPIDES ET CONSOMMABLES</v>
      </c>
      <c r="F804" s="14" t="s">
        <v>788</v>
      </c>
      <c r="G804" s="16">
        <f>DATE(YEAR(SUBSTITUTE(LEFT(Base_report!F802,10),"-","/")),MONTH(SUBSTITUTE(LEFT(Base_report!F802,10),"-","/")),DAY(SUBSTITUTE(LEFT(Base_report!F802,10),"-","/")))</f>
        <v>45295</v>
      </c>
      <c r="H804" s="16">
        <f>DATE(YEAR(SUBSTITUTE(LEFT(Base_report!G802,10),"-","/")),MONTH(SUBSTITUTE(LEFT(Base_report!G802,10),"-","/")),DAY(SUBSTITUTE(LEFT(Base_report!G802,10),"-","/")))</f>
        <v>45296</v>
      </c>
      <c r="I804" s="17" t="str">
        <f t="shared" si="1"/>
        <v>OUI</v>
      </c>
      <c r="J804" s="18">
        <f>IF(L804="DS",DATE(RIGHT(B804,4),VLOOKUP(LEFT(B804,LEN(B804)-5),Feuil1!$E$3:$F$19,2,FALSE)+1,10),DATE(RIGHT(B804,4),VLOOKUP(LEFT(B804,LEN(B804)-5),Feuil1!$E$3:$F$19,2,FALSE)+1,7))</f>
        <v>45298</v>
      </c>
      <c r="K804" s="19">
        <f t="shared" si="2"/>
        <v>1</v>
      </c>
      <c r="L804" s="6" t="str">
        <f t="shared" si="3"/>
        <v>FS</v>
      </c>
    </row>
    <row r="805" ht="14.25" customHeight="1">
      <c r="A805" s="14" t="str">
        <f>Base_report!A803</f>
        <v>N'ZI</v>
      </c>
      <c r="B805" s="14" t="str">
        <f>Base_report!B803</f>
        <v>DECEMBRE 2023</v>
      </c>
      <c r="C805" s="15" t="str">
        <f>Base_report!C803</f>
        <v>C4087</v>
      </c>
      <c r="D805" s="14" t="str">
        <f>TRIM(IF(ISNUMBER(FIND("PNSME",Base_report!D803,1)),SUBSTITUTE(Base_report!D803,"PNSME",""),IF(ISNUMBER(FIND("PHG",Base_report!D803,1)),SUBSTITUTE(Base_report!D803,"PHG",""),IF(ISNUMBER(FIND("PCS",Base_report!D803,1)),SUBSTITUTE(Base_report!D803,"PCS",""),IF(ISNUMBER(FIND("CMU",Base_report!D803,1)),SUBSTITUTE(Base_report!D803,"CMU",""),Base_report!D803)))))</f>
        <v>HOPITAL GENERAL KOUASSI-KOUASSIKRO</v>
      </c>
      <c r="E805" s="14" t="str">
        <f>SUBSTITUTE(Base_report!E803,"-","/")</f>
        <v>PNLP/MEDICAMENTS ET INTRANTS</v>
      </c>
      <c r="F805" s="14" t="s">
        <v>788</v>
      </c>
      <c r="G805" s="16">
        <f>DATE(YEAR(SUBSTITUTE(LEFT(Base_report!F803,10),"-","/")),MONTH(SUBSTITUTE(LEFT(Base_report!F803,10),"-","/")),DAY(SUBSTITUTE(LEFT(Base_report!F803,10),"-","/")))</f>
        <v>45296</v>
      </c>
      <c r="H805" s="16">
        <f>DATE(YEAR(SUBSTITUTE(LEFT(Base_report!G803,10),"-","/")),MONTH(SUBSTITUTE(LEFT(Base_report!G803,10),"-","/")),DAY(SUBSTITUTE(LEFT(Base_report!G803,10),"-","/")))</f>
        <v>45297</v>
      </c>
      <c r="I805" s="17" t="str">
        <f t="shared" si="1"/>
        <v>OUI</v>
      </c>
      <c r="J805" s="18">
        <f>IF(L805="DS",DATE(RIGHT(B805,4),VLOOKUP(LEFT(B805,LEN(B805)-5),Feuil1!$E$3:$F$19,2,FALSE)+1,10),DATE(RIGHT(B805,4),VLOOKUP(LEFT(B805,LEN(B805)-5),Feuil1!$E$3:$F$19,2,FALSE)+1,7))</f>
        <v>45298</v>
      </c>
      <c r="K805" s="19">
        <f t="shared" si="2"/>
        <v>1</v>
      </c>
      <c r="L805" s="6" t="str">
        <f t="shared" si="3"/>
        <v>FS</v>
      </c>
    </row>
    <row r="806" ht="14.25" customHeight="1">
      <c r="A806" s="14" t="str">
        <f>Base_report!A804</f>
        <v>ABIDJAN 2</v>
      </c>
      <c r="B806" s="14" t="str">
        <f>Base_report!B804</f>
        <v>DECEMBRE 2023</v>
      </c>
      <c r="C806" s="15" t="str">
        <f>Base_report!C804</f>
        <v>C1422</v>
      </c>
      <c r="D806" s="14" t="str">
        <f>TRIM(IF(ISNUMBER(FIND("PNSME",Base_report!D804,1)),SUBSTITUTE(Base_report!D804,"PNSME",""),IF(ISNUMBER(FIND("PHG",Base_report!D804,1)),SUBSTITUTE(Base_report!D804,"PHG",""),IF(ISNUMBER(FIND("PCS",Base_report!D804,1)),SUBSTITUTE(Base_report!D804,"PCS",""),IF(ISNUMBER(FIND("CMU",Base_report!D804,1)),SUBSTITUTE(Base_report!D804,"CMU",""),Base_report!D804)))))</f>
        <v>DISTRICT SANITAIRE PORT BOUET VRIDI</v>
      </c>
      <c r="E806" s="14" t="str">
        <f>SUBSTITUTE(Base_report!E804,"-","/")</f>
        <v>PNLS/ANTIRETROVIRAUX ET IO</v>
      </c>
      <c r="F806" s="14" t="s">
        <v>788</v>
      </c>
      <c r="G806" s="16">
        <f>DATE(YEAR(SUBSTITUTE(LEFT(Base_report!F804,10),"-","/")),MONTH(SUBSTITUTE(LEFT(Base_report!F804,10),"-","/")),DAY(SUBSTITUTE(LEFT(Base_report!F804,10),"-","/")))</f>
        <v>45300</v>
      </c>
      <c r="H806" s="16">
        <f>DATE(YEAR(SUBSTITUTE(LEFT(Base_report!G804,10),"-","/")),MONTH(SUBSTITUTE(LEFT(Base_report!G804,10),"-","/")),DAY(SUBSTITUTE(LEFT(Base_report!G804,10),"-","/")))</f>
        <v>45301</v>
      </c>
      <c r="I806" s="17" t="str">
        <f t="shared" si="1"/>
        <v>OUI</v>
      </c>
      <c r="J806" s="18">
        <f>IF(L806="DS",DATE(RIGHT(B806,4),VLOOKUP(LEFT(B806,LEN(B806)-5),Feuil1!$E$3:$F$19,2,FALSE)+1,10),DATE(RIGHT(B806,4),VLOOKUP(LEFT(B806,LEN(B806)-5),Feuil1!$E$3:$F$19,2,FALSE)+1,7))</f>
        <v>45301</v>
      </c>
      <c r="K806" s="19">
        <f t="shared" si="2"/>
        <v>1</v>
      </c>
      <c r="L806" s="6" t="str">
        <f t="shared" si="3"/>
        <v>DS</v>
      </c>
    </row>
    <row r="807" ht="14.25" customHeight="1">
      <c r="A807" s="14" t="str">
        <f>Base_report!A805</f>
        <v>GOH</v>
      </c>
      <c r="B807" s="14" t="str">
        <f>Base_report!B805</f>
        <v>DECEMBRE 2023</v>
      </c>
      <c r="C807" s="15" t="str">
        <f>Base_report!C805</f>
        <v>C2053</v>
      </c>
      <c r="D807" s="14" t="str">
        <f>TRIM(IF(ISNUMBER(FIND("PNSME",Base_report!D805,1)),SUBSTITUTE(Base_report!D805,"PNSME",""),IF(ISNUMBER(FIND("PHG",Base_report!D805,1)),SUBSTITUTE(Base_report!D805,"PHG",""),IF(ISNUMBER(FIND("PCS",Base_report!D805,1)),SUBSTITUTE(Base_report!D805,"PCS",""),IF(ISNUMBER(FIND("CMU",Base_report!D805,1)),SUBSTITUTE(Base_report!D805,"CMU",""),Base_report!D805)))))</f>
        <v>HOPITAL GENERAL GAGNOA</v>
      </c>
      <c r="E807" s="14" t="str">
        <f>SUBSTITUTE(Base_report!E805,"-","/")</f>
        <v>PNSME/MEDICAMENTS ET INTRANTS</v>
      </c>
      <c r="F807" s="14" t="s">
        <v>788</v>
      </c>
      <c r="G807" s="16">
        <f>DATE(YEAR(SUBSTITUTE(LEFT(Base_report!F805,10),"-","/")),MONTH(SUBSTITUTE(LEFT(Base_report!F805,10),"-","/")),DAY(SUBSTITUTE(LEFT(Base_report!F805,10),"-","/")))</f>
        <v>45295</v>
      </c>
      <c r="H807" s="16">
        <f>DATE(YEAR(SUBSTITUTE(LEFT(Base_report!G805,10),"-","/")),MONTH(SUBSTITUTE(LEFT(Base_report!G805,10),"-","/")),DAY(SUBSTITUTE(LEFT(Base_report!G805,10),"-","/")))</f>
        <v>45295</v>
      </c>
      <c r="I807" s="17" t="str">
        <f t="shared" si="1"/>
        <v>OUI</v>
      </c>
      <c r="J807" s="18">
        <f>IF(L807="DS",DATE(RIGHT(B807,4),VLOOKUP(LEFT(B807,LEN(B807)-5),Feuil1!$E$3:$F$19,2,FALSE)+1,10),DATE(RIGHT(B807,4),VLOOKUP(LEFT(B807,LEN(B807)-5),Feuil1!$E$3:$F$19,2,FALSE)+1,7))</f>
        <v>45298</v>
      </c>
      <c r="K807" s="19">
        <f t="shared" si="2"/>
        <v>1</v>
      </c>
      <c r="L807" s="6" t="str">
        <f t="shared" si="3"/>
        <v>FS</v>
      </c>
    </row>
    <row r="808" ht="14.25" customHeight="1">
      <c r="A808" s="14" t="str">
        <f>Base_report!A806</f>
        <v>ABIDJAN 2</v>
      </c>
      <c r="B808" s="14" t="str">
        <f>Base_report!B806</f>
        <v>DECEMBRE 2023</v>
      </c>
      <c r="C808" s="15" t="str">
        <f>Base_report!C806</f>
        <v>C1422</v>
      </c>
      <c r="D808" s="14" t="str">
        <f>TRIM(IF(ISNUMBER(FIND("PNSME",Base_report!D806,1)),SUBSTITUTE(Base_report!D806,"PNSME",""),IF(ISNUMBER(FIND("PHG",Base_report!D806,1)),SUBSTITUTE(Base_report!D806,"PHG",""),IF(ISNUMBER(FIND("PCS",Base_report!D806,1)),SUBSTITUTE(Base_report!D806,"PCS",""),IF(ISNUMBER(FIND("CMU",Base_report!D806,1)),SUBSTITUTE(Base_report!D806,"CMU",""),Base_report!D806)))))</f>
        <v>DISTRICT SANITAIRE PORT BOUET VRIDI</v>
      </c>
      <c r="E808" s="14" t="str">
        <f>SUBSTITUTE(Base_report!E806,"-","/")</f>
        <v>PNLS/TESTS RAPIDES ET CONSOMMABLES</v>
      </c>
      <c r="F808" s="14" t="s">
        <v>788</v>
      </c>
      <c r="G808" s="16">
        <f>DATE(YEAR(SUBSTITUTE(LEFT(Base_report!F806,10),"-","/")),MONTH(SUBSTITUTE(LEFT(Base_report!F806,10),"-","/")),DAY(SUBSTITUTE(LEFT(Base_report!F806,10),"-","/")))</f>
        <v>45300</v>
      </c>
      <c r="H808" s="16">
        <f>DATE(YEAR(SUBSTITUTE(LEFT(Base_report!G806,10),"-","/")),MONTH(SUBSTITUTE(LEFT(Base_report!G806,10),"-","/")),DAY(SUBSTITUTE(LEFT(Base_report!G806,10),"-","/")))</f>
        <v>45301</v>
      </c>
      <c r="I808" s="17" t="str">
        <f t="shared" si="1"/>
        <v>OUI</v>
      </c>
      <c r="J808" s="18">
        <f>IF(L808="DS",DATE(RIGHT(B808,4),VLOOKUP(LEFT(B808,LEN(B808)-5),Feuil1!$E$3:$F$19,2,FALSE)+1,10),DATE(RIGHT(B808,4),VLOOKUP(LEFT(B808,LEN(B808)-5),Feuil1!$E$3:$F$19,2,FALSE)+1,7))</f>
        <v>45301</v>
      </c>
      <c r="K808" s="19">
        <f t="shared" si="2"/>
        <v>1</v>
      </c>
      <c r="L808" s="6" t="str">
        <f t="shared" si="3"/>
        <v>DS</v>
      </c>
    </row>
    <row r="809" ht="14.25" customHeight="1">
      <c r="A809" s="14" t="str">
        <f>Base_report!A807</f>
        <v>IFFOU</v>
      </c>
      <c r="B809" s="14" t="str">
        <f>Base_report!B807</f>
        <v>DECEMBRE 2023</v>
      </c>
      <c r="C809" s="15" t="str">
        <f>Base_report!C807</f>
        <v>C4025</v>
      </c>
      <c r="D809" s="14" t="str">
        <f>TRIM(IF(ISNUMBER(FIND("PNSME",Base_report!D807,1)),SUBSTITUTE(Base_report!D807,"PNSME",""),IF(ISNUMBER(FIND("PHG",Base_report!D807,1)),SUBSTITUTE(Base_report!D807,"PHG",""),IF(ISNUMBER(FIND("PCS",Base_report!D807,1)),SUBSTITUTE(Base_report!D807,"PCS",""),IF(ISNUMBER(FIND("CMU",Base_report!D807,1)),SUBSTITUTE(Base_report!D807,"CMU",""),Base_report!D807)))))</f>
        <v>HOPITAL GENERAL PRIKRO</v>
      </c>
      <c r="E809" s="14" t="str">
        <f>SUBSTITUTE(Base_report!E807,"-","/")</f>
        <v>PNN/MEDICAMENTS ET INTRANTS</v>
      </c>
      <c r="F809" s="14" t="s">
        <v>788</v>
      </c>
      <c r="G809" s="16">
        <f>DATE(YEAR(SUBSTITUTE(LEFT(Base_report!F807,10),"-","/")),MONTH(SUBSTITUTE(LEFT(Base_report!F807,10),"-","/")),DAY(SUBSTITUTE(LEFT(Base_report!F807,10),"-","/")))</f>
        <v>45295</v>
      </c>
      <c r="H809" s="16">
        <f>DATE(YEAR(SUBSTITUTE(LEFT(Base_report!G807,10),"-","/")),MONTH(SUBSTITUTE(LEFT(Base_report!G807,10),"-","/")),DAY(SUBSTITUTE(LEFT(Base_report!G807,10),"-","/")))</f>
        <v>45295</v>
      </c>
      <c r="I809" s="17" t="str">
        <f t="shared" si="1"/>
        <v>OUI</v>
      </c>
      <c r="J809" s="18">
        <f>IF(L809="DS",DATE(RIGHT(B809,4),VLOOKUP(LEFT(B809,LEN(B809)-5),Feuil1!$E$3:$F$19,2,FALSE)+1,10),DATE(RIGHT(B809,4),VLOOKUP(LEFT(B809,LEN(B809)-5),Feuil1!$E$3:$F$19,2,FALSE)+1,7))</f>
        <v>45298</v>
      </c>
      <c r="K809" s="19">
        <f t="shared" si="2"/>
        <v>1</v>
      </c>
      <c r="L809" s="6" t="str">
        <f t="shared" si="3"/>
        <v>FS</v>
      </c>
    </row>
    <row r="810" ht="14.25" customHeight="1">
      <c r="A810" s="14" t="str">
        <f>Base_report!A808</f>
        <v>ABIDJAN 2</v>
      </c>
      <c r="B810" s="14" t="str">
        <f>Base_report!B808</f>
        <v>DECEMBRE 2023</v>
      </c>
      <c r="C810" s="15" t="str">
        <f>Base_report!C808</f>
        <v>C1014</v>
      </c>
      <c r="D810" s="14" t="str">
        <f>TRIM(IF(ISNUMBER(FIND("PNSME",Base_report!D808,1)),SUBSTITUTE(Base_report!D808,"PNSME",""),IF(ISNUMBER(FIND("PHG",Base_report!D808,1)),SUBSTITUTE(Base_report!D808,"PHG",""),IF(ISNUMBER(FIND("PCS",Base_report!D808,1)),SUBSTITUTE(Base_report!D808,"PCS",""),IF(ISNUMBER(FIND("CMU",Base_report!D808,1)),SUBSTITUTE(Base_report!D808,"CMU",""),Base_report!D808)))))</f>
        <v>CSU COM AGBAN VILLAGE</v>
      </c>
      <c r="E810" s="14" t="str">
        <f>SUBSTITUTE(Base_report!E808,"-","/")</f>
        <v>PNLP/MEDICAMENTS ET INTRANTS</v>
      </c>
      <c r="F810" s="14" t="s">
        <v>788</v>
      </c>
      <c r="G810" s="16">
        <f>DATE(YEAR(SUBSTITUTE(LEFT(Base_report!F808,10),"-","/")),MONTH(SUBSTITUTE(LEFT(Base_report!F808,10),"-","/")),DAY(SUBSTITUTE(LEFT(Base_report!F808,10),"-","/")))</f>
        <v>45295</v>
      </c>
      <c r="H810" s="16">
        <f>DATE(YEAR(SUBSTITUTE(LEFT(Base_report!G808,10),"-","/")),MONTH(SUBSTITUTE(LEFT(Base_report!G808,10),"-","/")),DAY(SUBSTITUTE(LEFT(Base_report!G808,10),"-","/")))</f>
        <v>45296</v>
      </c>
      <c r="I810" s="17" t="str">
        <f t="shared" si="1"/>
        <v>OUI</v>
      </c>
      <c r="J810" s="18">
        <f>IF(L810="DS",DATE(RIGHT(B810,4),VLOOKUP(LEFT(B810,LEN(B810)-5),Feuil1!$E$3:$F$19,2,FALSE)+1,10),DATE(RIGHT(B810,4),VLOOKUP(LEFT(B810,LEN(B810)-5),Feuil1!$E$3:$F$19,2,FALSE)+1,7))</f>
        <v>45298</v>
      </c>
      <c r="K810" s="19">
        <f t="shared" si="2"/>
        <v>1</v>
      </c>
      <c r="L810" s="6" t="str">
        <f t="shared" si="3"/>
        <v>FS</v>
      </c>
    </row>
    <row r="811" ht="14.25" customHeight="1">
      <c r="A811" s="14" t="str">
        <f>Base_report!A809</f>
        <v>HAUT-SASSANDRA</v>
      </c>
      <c r="B811" s="14" t="str">
        <f>Base_report!B809</f>
        <v>DECEMBRE 2023</v>
      </c>
      <c r="C811" s="15" t="str">
        <f>Base_report!C809</f>
        <v>C5060</v>
      </c>
      <c r="D811" s="14" t="str">
        <f>TRIM(IF(ISNUMBER(FIND("PNSME",Base_report!D809,1)),SUBSTITUTE(Base_report!D809,"PNSME",""),IF(ISNUMBER(FIND("PHG",Base_report!D809,1)),SUBSTITUTE(Base_report!D809,"PHG",""),IF(ISNUMBER(FIND("PCS",Base_report!D809,1)),SUBSTITUTE(Base_report!D809,"PCS",""),IF(ISNUMBER(FIND("CMU",Base_report!D809,1)),SUBSTITUTE(Base_report!D809,"CMU",""),Base_report!D809)))))</f>
        <v>HOPITAL GENERAL ZOUKOUGBEU</v>
      </c>
      <c r="E811" s="14" t="str">
        <f>SUBSTITUTE(Base_report!E809,"-","/")</f>
        <v>PNN/MEDICAMENTS ET INTRANTS</v>
      </c>
      <c r="F811" s="14" t="s">
        <v>788</v>
      </c>
      <c r="G811" s="16">
        <f>DATE(YEAR(SUBSTITUTE(LEFT(Base_report!F809,10),"-","/")),MONTH(SUBSTITUTE(LEFT(Base_report!F809,10),"-","/")),DAY(SUBSTITUTE(LEFT(Base_report!F809,10),"-","/")))</f>
        <v>45296</v>
      </c>
      <c r="H811" s="16">
        <f>DATE(YEAR(SUBSTITUTE(LEFT(Base_report!G809,10),"-","/")),MONTH(SUBSTITUTE(LEFT(Base_report!G809,10),"-","/")),DAY(SUBSTITUTE(LEFT(Base_report!G809,10),"-","/")))</f>
        <v>45296</v>
      </c>
      <c r="I811" s="17" t="str">
        <f t="shared" si="1"/>
        <v>OUI</v>
      </c>
      <c r="J811" s="18">
        <f>IF(L811="DS",DATE(RIGHT(B811,4),VLOOKUP(LEFT(B811,LEN(B811)-5),Feuil1!$E$3:$F$19,2,FALSE)+1,10),DATE(RIGHT(B811,4),VLOOKUP(LEFT(B811,LEN(B811)-5),Feuil1!$E$3:$F$19,2,FALSE)+1,7))</f>
        <v>45298</v>
      </c>
      <c r="K811" s="19">
        <f t="shared" si="2"/>
        <v>1</v>
      </c>
      <c r="L811" s="6" t="str">
        <f t="shared" si="3"/>
        <v>FS</v>
      </c>
    </row>
    <row r="812" ht="14.25" customHeight="1">
      <c r="A812" s="14" t="str">
        <f>Base_report!A810</f>
        <v>ABIDJAN 1</v>
      </c>
      <c r="B812" s="14" t="str">
        <f>Base_report!B810</f>
        <v>DECEMBRE 2023</v>
      </c>
      <c r="C812" s="15" t="str">
        <f>Base_report!C810</f>
        <v>C1404</v>
      </c>
      <c r="D812" s="14" t="str">
        <f>TRIM(IF(ISNUMBER(FIND("PNSME",Base_report!D810,1)),SUBSTITUTE(Base_report!D810,"PNSME",""),IF(ISNUMBER(FIND("PHG",Base_report!D810,1)),SUBSTITUTE(Base_report!D810,"PHG",""),IF(ISNUMBER(FIND("PCS",Base_report!D810,1)),SUBSTITUTE(Base_report!D810,"PCS",""),IF(ISNUMBER(FIND("CMU",Base_report!D810,1)),SUBSTITUTE(Base_report!D810,"CMU",""),Base_report!D810)))))</f>
        <v>CEPREF</v>
      </c>
      <c r="E812" s="14" t="str">
        <f>SUBSTITUTE(Base_report!E810,"-","/")</f>
        <v>PNLS/TESTS RAPIDES ET CONSOMMABLES</v>
      </c>
      <c r="F812" s="14" t="s">
        <v>788</v>
      </c>
      <c r="G812" s="16">
        <f>DATE(YEAR(SUBSTITUTE(LEFT(Base_report!F810,10),"-","/")),MONTH(SUBSTITUTE(LEFT(Base_report!F810,10),"-","/")),DAY(SUBSTITUTE(LEFT(Base_report!F810,10),"-","/")))</f>
        <v>45295</v>
      </c>
      <c r="H812" s="16">
        <f>DATE(YEAR(SUBSTITUTE(LEFT(Base_report!G810,10),"-","/")),MONTH(SUBSTITUTE(LEFT(Base_report!G810,10),"-","/")),DAY(SUBSTITUTE(LEFT(Base_report!G810,10),"-","/")))</f>
        <v>45295</v>
      </c>
      <c r="I812" s="17" t="str">
        <f t="shared" si="1"/>
        <v>OUI</v>
      </c>
      <c r="J812" s="18">
        <f>IF(L812="DS",DATE(RIGHT(B812,4),VLOOKUP(LEFT(B812,LEN(B812)-5),Feuil1!$E$3:$F$19,2,FALSE)+1,10),DATE(RIGHT(B812,4),VLOOKUP(LEFT(B812,LEN(B812)-5),Feuil1!$E$3:$F$19,2,FALSE)+1,7))</f>
        <v>45298</v>
      </c>
      <c r="K812" s="19">
        <f t="shared" si="2"/>
        <v>1</v>
      </c>
      <c r="L812" s="6" t="str">
        <f t="shared" si="3"/>
        <v>FS</v>
      </c>
    </row>
    <row r="813" ht="14.25" customHeight="1">
      <c r="A813" s="14" t="str">
        <f>Base_report!A811</f>
        <v>N'ZI</v>
      </c>
      <c r="B813" s="14" t="str">
        <f>Base_report!B811</f>
        <v>DECEMBRE 2023</v>
      </c>
      <c r="C813" s="15" t="str">
        <f>Base_report!C811</f>
        <v>C2004</v>
      </c>
      <c r="D813" s="14" t="str">
        <f>TRIM(IF(ISNUMBER(FIND("PNSME",Base_report!D811,1)),SUBSTITUTE(Base_report!D811,"PNSME",""),IF(ISNUMBER(FIND("PHG",Base_report!D811,1)),SUBSTITUTE(Base_report!D811,"PHG",""),IF(ISNUMBER(FIND("PCS",Base_report!D811,1)),SUBSTITUTE(Base_report!D811,"PCS",""),IF(ISNUMBER(FIND("CMU",Base_report!D811,1)),SUBSTITUTE(Base_report!D811,"CMU",""),Base_report!D811)))))</f>
        <v>CHR DIMBOKRO</v>
      </c>
      <c r="E813" s="14" t="str">
        <f>SUBSTITUTE(Base_report!E811,"-","/")</f>
        <v>PNSME/MEDICAMENTS ET INTRANTS</v>
      </c>
      <c r="F813" s="14" t="s">
        <v>788</v>
      </c>
      <c r="G813" s="16">
        <f>DATE(YEAR(SUBSTITUTE(LEFT(Base_report!F811,10),"-","/")),MONTH(SUBSTITUTE(LEFT(Base_report!F811,10),"-","/")),DAY(SUBSTITUTE(LEFT(Base_report!F811,10),"-","/")))</f>
        <v>45295</v>
      </c>
      <c r="H813" s="16">
        <f>DATE(YEAR(SUBSTITUTE(LEFT(Base_report!G811,10),"-","/")),MONTH(SUBSTITUTE(LEFT(Base_report!G811,10),"-","/")),DAY(SUBSTITUTE(LEFT(Base_report!G811,10),"-","/")))</f>
        <v>45295</v>
      </c>
      <c r="I813" s="17" t="str">
        <f t="shared" si="1"/>
        <v>OUI</v>
      </c>
      <c r="J813" s="18">
        <f>IF(L813="DS",DATE(RIGHT(B813,4),VLOOKUP(LEFT(B813,LEN(B813)-5),Feuil1!$E$3:$F$19,2,FALSE)+1,10),DATE(RIGHT(B813,4),VLOOKUP(LEFT(B813,LEN(B813)-5),Feuil1!$E$3:$F$19,2,FALSE)+1,7))</f>
        <v>45298</v>
      </c>
      <c r="K813" s="19">
        <f t="shared" si="2"/>
        <v>1</v>
      </c>
      <c r="L813" s="6" t="str">
        <f t="shared" si="3"/>
        <v>FS</v>
      </c>
    </row>
    <row r="814" ht="14.25" customHeight="1">
      <c r="A814" s="14" t="str">
        <f>Base_report!A812</f>
        <v>NAWA</v>
      </c>
      <c r="B814" s="14" t="str">
        <f>Base_report!B812</f>
        <v>DECEMBRE 2023</v>
      </c>
      <c r="C814" s="15" t="str">
        <f>Base_report!C812</f>
        <v>C2131</v>
      </c>
      <c r="D814" s="14" t="str">
        <f>TRIM(IF(ISNUMBER(FIND("PNSME",Base_report!D812,1)),SUBSTITUTE(Base_report!D812,"PNSME",""),IF(ISNUMBER(FIND("PHG",Base_report!D812,1)),SUBSTITUTE(Base_report!D812,"PHG",""),IF(ISNUMBER(FIND("PCS",Base_report!D812,1)),SUBSTITUTE(Base_report!D812,"PCS",""),IF(ISNUMBER(FIND("CMU",Base_report!D812,1)),SUBSTITUTE(Base_report!D812,"CMU",""),Base_report!D812)))))</f>
        <v>HOPITAL GENERAL GUEYO</v>
      </c>
      <c r="E814" s="14" t="str">
        <f>SUBSTITUTE(Base_report!E812,"-","/")</f>
        <v>PNN/MEDICAMENTS ET INTRANTS</v>
      </c>
      <c r="F814" s="14" t="s">
        <v>788</v>
      </c>
      <c r="G814" s="16">
        <f>DATE(YEAR(SUBSTITUTE(LEFT(Base_report!F812,10),"-","/")),MONTH(SUBSTITUTE(LEFT(Base_report!F812,10),"-","/")),DAY(SUBSTITUTE(LEFT(Base_report!F812,10),"-","/")))</f>
        <v>45295</v>
      </c>
      <c r="H814" s="16">
        <f>DATE(YEAR(SUBSTITUTE(LEFT(Base_report!G812,10),"-","/")),MONTH(SUBSTITUTE(LEFT(Base_report!G812,10),"-","/")),DAY(SUBSTITUTE(LEFT(Base_report!G812,10),"-","/")))</f>
        <v>45295</v>
      </c>
      <c r="I814" s="17" t="str">
        <f t="shared" si="1"/>
        <v>OUI</v>
      </c>
      <c r="J814" s="18">
        <f>IF(L814="DS",DATE(RIGHT(B814,4),VLOOKUP(LEFT(B814,LEN(B814)-5),Feuil1!$E$3:$F$19,2,FALSE)+1,10),DATE(RIGHT(B814,4),VLOOKUP(LEFT(B814,LEN(B814)-5),Feuil1!$E$3:$F$19,2,FALSE)+1,7))</f>
        <v>45298</v>
      </c>
      <c r="K814" s="19">
        <f t="shared" si="2"/>
        <v>1</v>
      </c>
      <c r="L814" s="6" t="str">
        <f t="shared" si="3"/>
        <v>FS</v>
      </c>
    </row>
    <row r="815" ht="14.25" customHeight="1">
      <c r="A815" s="14" t="str">
        <f>Base_report!A813</f>
        <v>AGNEBY-TIASSA</v>
      </c>
      <c r="B815" s="14" t="str">
        <f>Base_report!B813</f>
        <v>DECEMBRE 2023</v>
      </c>
      <c r="C815" s="15" t="str">
        <f>Base_report!C813</f>
        <v>C1098</v>
      </c>
      <c r="D815" s="14" t="str">
        <f>TRIM(IF(ISNUMBER(FIND("PNSME",Base_report!D813,1)),SUBSTITUTE(Base_report!D813,"PNSME",""),IF(ISNUMBER(FIND("PHG",Base_report!D813,1)),SUBSTITUTE(Base_report!D813,"PHG",""),IF(ISNUMBER(FIND("PCS",Base_report!D813,1)),SUBSTITUTE(Base_report!D813,"PCS",""),IF(ISNUMBER(FIND("CMU",Base_report!D813,1)),SUBSTITUTE(Base_report!D813,"CMU",""),Base_report!D813)))))</f>
        <v>HOPITAL GENERAL SIKENSI</v>
      </c>
      <c r="E815" s="14" t="str">
        <f>SUBSTITUTE(Base_report!E813,"-","/")</f>
        <v>PNLS/TESTS RAPIDES ET CONSOMMABLES</v>
      </c>
      <c r="F815" s="14" t="s">
        <v>788</v>
      </c>
      <c r="G815" s="16">
        <f>DATE(YEAR(SUBSTITUTE(LEFT(Base_report!F813,10),"-","/")),MONTH(SUBSTITUTE(LEFT(Base_report!F813,10),"-","/")),DAY(SUBSTITUTE(LEFT(Base_report!F813,10),"-","/")))</f>
        <v>45295</v>
      </c>
      <c r="H815" s="16">
        <f>DATE(YEAR(SUBSTITUTE(LEFT(Base_report!G813,10),"-","/")),MONTH(SUBSTITUTE(LEFT(Base_report!G813,10),"-","/")),DAY(SUBSTITUTE(LEFT(Base_report!G813,10),"-","/")))</f>
        <v>45295</v>
      </c>
      <c r="I815" s="17" t="str">
        <f t="shared" si="1"/>
        <v>OUI</v>
      </c>
      <c r="J815" s="18">
        <f>IF(L815="DS",DATE(RIGHT(B815,4),VLOOKUP(LEFT(B815,LEN(B815)-5),Feuil1!$E$3:$F$19,2,FALSE)+1,10),DATE(RIGHT(B815,4),VLOOKUP(LEFT(B815,LEN(B815)-5),Feuil1!$E$3:$F$19,2,FALSE)+1,7))</f>
        <v>45298</v>
      </c>
      <c r="K815" s="19">
        <f t="shared" si="2"/>
        <v>1</v>
      </c>
      <c r="L815" s="6" t="str">
        <f t="shared" si="3"/>
        <v>FS</v>
      </c>
    </row>
    <row r="816" ht="14.25" customHeight="1">
      <c r="A816" s="14" t="str">
        <f>Base_report!A814</f>
        <v>IFFOU</v>
      </c>
      <c r="B816" s="14" t="str">
        <f>Base_report!B814</f>
        <v>DECEMBRE 2023</v>
      </c>
      <c r="C816" s="15" t="str">
        <f>Base_report!C814</f>
        <v>C4025</v>
      </c>
      <c r="D816" s="14" t="str">
        <f>TRIM(IF(ISNUMBER(FIND("PNSME",Base_report!D814,1)),SUBSTITUTE(Base_report!D814,"PNSME",""),IF(ISNUMBER(FIND("PHG",Base_report!D814,1)),SUBSTITUTE(Base_report!D814,"PHG",""),IF(ISNUMBER(FIND("PCS",Base_report!D814,1)),SUBSTITUTE(Base_report!D814,"PCS",""),IF(ISNUMBER(FIND("CMU",Base_report!D814,1)),SUBSTITUTE(Base_report!D814,"CMU",""),Base_report!D814)))))</f>
        <v>HOPITAL GENERAL PRIKRO</v>
      </c>
      <c r="E816" s="14" t="str">
        <f>SUBSTITUTE(Base_report!E814,"-","/")</f>
        <v>PNLP/MEDICAMENTS ET INTRANTS</v>
      </c>
      <c r="F816" s="14" t="s">
        <v>788</v>
      </c>
      <c r="G816" s="16">
        <f>DATE(YEAR(SUBSTITUTE(LEFT(Base_report!F814,10),"-","/")),MONTH(SUBSTITUTE(LEFT(Base_report!F814,10),"-","/")),DAY(SUBSTITUTE(LEFT(Base_report!F814,10),"-","/")))</f>
        <v>45296</v>
      </c>
      <c r="H816" s="16">
        <f>DATE(YEAR(SUBSTITUTE(LEFT(Base_report!G814,10),"-","/")),MONTH(SUBSTITUTE(LEFT(Base_report!G814,10),"-","/")),DAY(SUBSTITUTE(LEFT(Base_report!G814,10),"-","/")))</f>
        <v>45296</v>
      </c>
      <c r="I816" s="17" t="str">
        <f t="shared" si="1"/>
        <v>OUI</v>
      </c>
      <c r="J816" s="18">
        <f>IF(L816="DS",DATE(RIGHT(B816,4),VLOOKUP(LEFT(B816,LEN(B816)-5),Feuil1!$E$3:$F$19,2,FALSE)+1,10),DATE(RIGHT(B816,4),VLOOKUP(LEFT(B816,LEN(B816)-5),Feuil1!$E$3:$F$19,2,FALSE)+1,7))</f>
        <v>45298</v>
      </c>
      <c r="K816" s="19">
        <f t="shared" si="2"/>
        <v>1</v>
      </c>
      <c r="L816" s="6" t="str">
        <f t="shared" si="3"/>
        <v>FS</v>
      </c>
    </row>
    <row r="817" ht="14.25" customHeight="1">
      <c r="A817" s="14" t="str">
        <f>Base_report!A815</f>
        <v>IFFOU</v>
      </c>
      <c r="B817" s="14" t="str">
        <f>Base_report!B815</f>
        <v>DECEMBRE 2023</v>
      </c>
      <c r="C817" s="15" t="str">
        <f>Base_report!C815</f>
        <v>C4025</v>
      </c>
      <c r="D817" s="14" t="str">
        <f>TRIM(IF(ISNUMBER(FIND("PNSME",Base_report!D815,1)),SUBSTITUTE(Base_report!D815,"PNSME",""),IF(ISNUMBER(FIND("PHG",Base_report!D815,1)),SUBSTITUTE(Base_report!D815,"PHG",""),IF(ISNUMBER(FIND("PCS",Base_report!D815,1)),SUBSTITUTE(Base_report!D815,"PCS",""),IF(ISNUMBER(FIND("CMU",Base_report!D815,1)),SUBSTITUTE(Base_report!D815,"CMU",""),Base_report!D815)))))</f>
        <v>HOPITAL GENERAL PRIKRO</v>
      </c>
      <c r="E817" s="14" t="str">
        <f>SUBSTITUTE(Base_report!E815,"-","/")</f>
        <v>PNLS/ANTIRETROVIRAUX ET IO</v>
      </c>
      <c r="F817" s="14" t="s">
        <v>788</v>
      </c>
      <c r="G817" s="16">
        <f>DATE(YEAR(SUBSTITUTE(LEFT(Base_report!F815,10),"-","/")),MONTH(SUBSTITUTE(LEFT(Base_report!F815,10),"-","/")),DAY(SUBSTITUTE(LEFT(Base_report!F815,10),"-","/")))</f>
        <v>45295</v>
      </c>
      <c r="H817" s="16">
        <f>DATE(YEAR(SUBSTITUTE(LEFT(Base_report!G815,10),"-","/")),MONTH(SUBSTITUTE(LEFT(Base_report!G815,10),"-","/")),DAY(SUBSTITUTE(LEFT(Base_report!G815,10),"-","/")))</f>
        <v>45295</v>
      </c>
      <c r="I817" s="17" t="str">
        <f t="shared" si="1"/>
        <v>OUI</v>
      </c>
      <c r="J817" s="18">
        <f>IF(L817="DS",DATE(RIGHT(B817,4),VLOOKUP(LEFT(B817,LEN(B817)-5),Feuil1!$E$3:$F$19,2,FALSE)+1,10),DATE(RIGHT(B817,4),VLOOKUP(LEFT(B817,LEN(B817)-5),Feuil1!$E$3:$F$19,2,FALSE)+1,7))</f>
        <v>45298</v>
      </c>
      <c r="K817" s="19">
        <f t="shared" si="2"/>
        <v>1</v>
      </c>
      <c r="L817" s="6" t="str">
        <f t="shared" si="3"/>
        <v>FS</v>
      </c>
    </row>
    <row r="818" ht="14.25" customHeight="1">
      <c r="A818" s="14" t="str">
        <f>Base_report!A816</f>
        <v>ABIDJAN 1</v>
      </c>
      <c r="B818" s="14" t="str">
        <f>Base_report!B816</f>
        <v>DECEMBRE 2023</v>
      </c>
      <c r="C818" s="15" t="str">
        <f>Base_report!C816</f>
        <v>C1080</v>
      </c>
      <c r="D818" s="14" t="str">
        <f>TRIM(IF(ISNUMBER(FIND("PNSME",Base_report!D816,1)),SUBSTITUTE(Base_report!D816,"PNSME",""),IF(ISNUMBER(FIND("PHG",Base_report!D816,1)),SUBSTITUTE(Base_report!D816,"PHG",""),IF(ISNUMBER(FIND("PCS",Base_report!D816,1)),SUBSTITUTE(Base_report!D816,"PCS",""),IF(ISNUMBER(FIND("CMU",Base_report!D816,1)),SUBSTITUTE(Base_report!D816,"CMU",""),Base_report!D816)))))</f>
        <v>CHR ABOBO</v>
      </c>
      <c r="E818" s="14" t="str">
        <f>SUBSTITUTE(Base_report!E816,"-","/")</f>
        <v>PNLP/MEDICAMENTS ET INTRANTS</v>
      </c>
      <c r="F818" s="14" t="s">
        <v>788</v>
      </c>
      <c r="G818" s="16">
        <f>DATE(YEAR(SUBSTITUTE(LEFT(Base_report!F816,10),"-","/")),MONTH(SUBSTITUTE(LEFT(Base_report!F816,10),"-","/")),DAY(SUBSTITUTE(LEFT(Base_report!F816,10),"-","/")))</f>
        <v>45295</v>
      </c>
      <c r="H818" s="16">
        <f>DATE(YEAR(SUBSTITUTE(LEFT(Base_report!G816,10),"-","/")),MONTH(SUBSTITUTE(LEFT(Base_report!G816,10),"-","/")),DAY(SUBSTITUTE(LEFT(Base_report!G816,10),"-","/")))</f>
        <v>45295</v>
      </c>
      <c r="I818" s="17" t="str">
        <f t="shared" si="1"/>
        <v>OUI</v>
      </c>
      <c r="J818" s="18">
        <f>IF(L818="DS",DATE(RIGHT(B818,4),VLOOKUP(LEFT(B818,LEN(B818)-5),Feuil1!$E$3:$F$19,2,FALSE)+1,10),DATE(RIGHT(B818,4),VLOOKUP(LEFT(B818,LEN(B818)-5),Feuil1!$E$3:$F$19,2,FALSE)+1,7))</f>
        <v>45298</v>
      </c>
      <c r="K818" s="19">
        <f t="shared" si="2"/>
        <v>1</v>
      </c>
      <c r="L818" s="6" t="str">
        <f t="shared" si="3"/>
        <v>FS</v>
      </c>
    </row>
    <row r="819" ht="14.25" customHeight="1">
      <c r="A819" s="14" t="str">
        <f>Base_report!A817</f>
        <v>ABIDJAN 2</v>
      </c>
      <c r="B819" s="14" t="str">
        <f>Base_report!B817</f>
        <v>DECEMBRE 2023</v>
      </c>
      <c r="C819" s="15" t="str">
        <f>Base_report!C817</f>
        <v>C1094</v>
      </c>
      <c r="D819" s="14" t="str">
        <f>TRIM(IF(ISNUMBER(FIND("PNSME",Base_report!D817,1)),SUBSTITUTE(Base_report!D817,"PNSME",""),IF(ISNUMBER(FIND("PHG",Base_report!D817,1)),SUBSTITUTE(Base_report!D817,"PHG",""),IF(ISNUMBER(FIND("PCS",Base_report!D817,1)),SUBSTITUTE(Base_report!D817,"PCS",""),IF(ISNUMBER(FIND("CMU",Base_report!D817,1)),SUBSTITUTE(Base_report!D817,"CMU",""),Base_report!D817)))))</f>
        <v>HOPITAL GENERAL PORT-BOUET</v>
      </c>
      <c r="E819" s="14" t="str">
        <f>SUBSTITUTE(Base_report!E817,"-","/")</f>
        <v>PNSME/MEDICAMENTS ET INTRANTS</v>
      </c>
      <c r="F819" s="14" t="s">
        <v>788</v>
      </c>
      <c r="G819" s="16">
        <f>DATE(YEAR(SUBSTITUTE(LEFT(Base_report!F817,10),"-","/")),MONTH(SUBSTITUTE(LEFT(Base_report!F817,10),"-","/")),DAY(SUBSTITUTE(LEFT(Base_report!F817,10),"-","/")))</f>
        <v>45295</v>
      </c>
      <c r="H819" s="16">
        <f>DATE(YEAR(SUBSTITUTE(LEFT(Base_report!G817,10),"-","/")),MONTH(SUBSTITUTE(LEFT(Base_report!G817,10),"-","/")),DAY(SUBSTITUTE(LEFT(Base_report!G817,10),"-","/")))</f>
        <v>45295</v>
      </c>
      <c r="I819" s="17" t="str">
        <f t="shared" si="1"/>
        <v>OUI</v>
      </c>
      <c r="J819" s="18">
        <f>IF(L819="DS",DATE(RIGHT(B819,4),VLOOKUP(LEFT(B819,LEN(B819)-5),Feuil1!$E$3:$F$19,2,FALSE)+1,10),DATE(RIGHT(B819,4),VLOOKUP(LEFT(B819,LEN(B819)-5),Feuil1!$E$3:$F$19,2,FALSE)+1,7))</f>
        <v>45298</v>
      </c>
      <c r="K819" s="19">
        <f t="shared" si="2"/>
        <v>1</v>
      </c>
      <c r="L819" s="6" t="str">
        <f t="shared" si="3"/>
        <v>FS</v>
      </c>
    </row>
    <row r="820" ht="14.25" customHeight="1">
      <c r="A820" s="14" t="str">
        <f>Base_report!A818</f>
        <v>ABIDJAN 2</v>
      </c>
      <c r="B820" s="14" t="str">
        <f>Base_report!B818</f>
        <v>DECEMBRE 2023</v>
      </c>
      <c r="C820" s="15" t="str">
        <f>Base_report!C818</f>
        <v>C1030</v>
      </c>
      <c r="D820" s="14" t="str">
        <f>TRIM(IF(ISNUMBER(FIND("PNSME",Base_report!D818,1)),SUBSTITUTE(Base_report!D818,"PNSME",""),IF(ISNUMBER(FIND("PHG",Base_report!D818,1)),SUBSTITUTE(Base_report!D818,"PHG",""),IF(ISNUMBER(FIND("PCS",Base_report!D818,1)),SUBSTITUTE(Base_report!D818,"PCS",""),IF(ISNUMBER(FIND("CMU",Base_report!D818,1)),SUBSTITUTE(Base_report!D818,"CMU",""),Base_report!D818)))))</f>
        <v>CSU COM PANGOLIN</v>
      </c>
      <c r="E820" s="14" t="str">
        <f>SUBSTITUTE(Base_report!E818,"-","/")</f>
        <v>PNLS/ANTIRETROVIRAUX ET IO</v>
      </c>
      <c r="F820" s="14" t="s">
        <v>788</v>
      </c>
      <c r="G820" s="16">
        <f>DATE(YEAR(SUBSTITUTE(LEFT(Base_report!F818,10),"-","/")),MONTH(SUBSTITUTE(LEFT(Base_report!F818,10),"-","/")),DAY(SUBSTITUTE(LEFT(Base_report!F818,10),"-","/")))</f>
        <v>45295</v>
      </c>
      <c r="H820" s="16">
        <f>DATE(YEAR(SUBSTITUTE(LEFT(Base_report!G818,10),"-","/")),MONTH(SUBSTITUTE(LEFT(Base_report!G818,10),"-","/")),DAY(SUBSTITUTE(LEFT(Base_report!G818,10),"-","/")))</f>
        <v>45298</v>
      </c>
      <c r="I820" s="17" t="str">
        <f t="shared" si="1"/>
        <v>OUI</v>
      </c>
      <c r="J820" s="18">
        <f>IF(L820="DS",DATE(RIGHT(B820,4),VLOOKUP(LEFT(B820,LEN(B820)-5),Feuil1!$E$3:$F$19,2,FALSE)+1,10),DATE(RIGHT(B820,4),VLOOKUP(LEFT(B820,LEN(B820)-5),Feuil1!$E$3:$F$19,2,FALSE)+1,7))</f>
        <v>45298</v>
      </c>
      <c r="K820" s="19">
        <f t="shared" si="2"/>
        <v>1</v>
      </c>
      <c r="L820" s="6" t="str">
        <f t="shared" si="3"/>
        <v>FS</v>
      </c>
    </row>
    <row r="821" ht="14.25" customHeight="1">
      <c r="A821" s="14" t="str">
        <f>Base_report!A819</f>
        <v>GONTOUGO</v>
      </c>
      <c r="B821" s="14" t="str">
        <f>Base_report!B819</f>
        <v>DECEMBRE 2023</v>
      </c>
      <c r="C821" s="15" t="str">
        <f>Base_report!C819</f>
        <v>C4002</v>
      </c>
      <c r="D821" s="14" t="str">
        <f>TRIM(IF(ISNUMBER(FIND("PNSME",Base_report!D819,1)),SUBSTITUTE(Base_report!D819,"PNSME",""),IF(ISNUMBER(FIND("PHG",Base_report!D819,1)),SUBSTITUTE(Base_report!D819,"PHG",""),IF(ISNUMBER(FIND("PCS",Base_report!D819,1)),SUBSTITUTE(Base_report!D819,"PCS",""),IF(ISNUMBER(FIND("CMU",Base_report!D819,1)),SUBSTITUTE(Base_report!D819,"CMU",""),Base_report!D819)))))</f>
        <v>CHR BONDOUKOU</v>
      </c>
      <c r="E821" s="14" t="str">
        <f>SUBSTITUTE(Base_report!E819,"-","/")</f>
        <v>PNLS/TESTS RAPIDES ET CONSOMMABLES</v>
      </c>
      <c r="F821" s="14" t="s">
        <v>788</v>
      </c>
      <c r="G821" s="16">
        <f>DATE(YEAR(SUBSTITUTE(LEFT(Base_report!F819,10),"-","/")),MONTH(SUBSTITUTE(LEFT(Base_report!F819,10),"-","/")),DAY(SUBSTITUTE(LEFT(Base_report!F819,10),"-","/")))</f>
        <v>45295</v>
      </c>
      <c r="H821" s="16">
        <f>DATE(YEAR(SUBSTITUTE(LEFT(Base_report!G819,10),"-","/")),MONTH(SUBSTITUTE(LEFT(Base_report!G819,10),"-","/")),DAY(SUBSTITUTE(LEFT(Base_report!G819,10),"-","/")))</f>
        <v>45296</v>
      </c>
      <c r="I821" s="17" t="str">
        <f t="shared" si="1"/>
        <v>OUI</v>
      </c>
      <c r="J821" s="18">
        <f>IF(L821="DS",DATE(RIGHT(B821,4),VLOOKUP(LEFT(B821,LEN(B821)-5),Feuil1!$E$3:$F$19,2,FALSE)+1,10),DATE(RIGHT(B821,4),VLOOKUP(LEFT(B821,LEN(B821)-5),Feuil1!$E$3:$F$19,2,FALSE)+1,7))</f>
        <v>45298</v>
      </c>
      <c r="K821" s="19">
        <f t="shared" si="2"/>
        <v>1</v>
      </c>
      <c r="L821" s="6" t="str">
        <f t="shared" si="3"/>
        <v>FS</v>
      </c>
    </row>
    <row r="822" ht="14.25" customHeight="1">
      <c r="A822" s="14" t="str">
        <f>Base_report!A820</f>
        <v>ABIDJAN 1</v>
      </c>
      <c r="B822" s="14" t="str">
        <f>Base_report!B820</f>
        <v>DECEMBRE 2023</v>
      </c>
      <c r="C822" s="15" t="str">
        <f>Base_report!C820</f>
        <v>C1075</v>
      </c>
      <c r="D822" s="14" t="str">
        <f>TRIM(IF(ISNUMBER(FIND("PNSME",Base_report!D820,1)),SUBSTITUTE(Base_report!D820,"PNSME",""),IF(ISNUMBER(FIND("PHG",Base_report!D820,1)),SUBSTITUTE(Base_report!D820,"PHG",""),IF(ISNUMBER(FIND("PCS",Base_report!D820,1)),SUBSTITUTE(Base_report!D820,"PCS",""),IF(ISNUMBER(FIND("CMU",Base_report!D820,1)),SUBSTITUTE(Base_report!D820,"CMU",""),Base_report!D820)))))</f>
        <v>FSU COM YOPOUGON KOUTE</v>
      </c>
      <c r="E822" s="14" t="str">
        <f>SUBSTITUTE(Base_report!E820,"-","/")</f>
        <v>PNLP/MEDICAMENTS ET INTRANTS</v>
      </c>
      <c r="F822" s="14" t="s">
        <v>788</v>
      </c>
      <c r="G822" s="16">
        <f>DATE(YEAR(SUBSTITUTE(LEFT(Base_report!F820,10),"-","/")),MONTH(SUBSTITUTE(LEFT(Base_report!F820,10),"-","/")),DAY(SUBSTITUTE(LEFT(Base_report!F820,10),"-","/")))</f>
        <v>45299</v>
      </c>
      <c r="H822" s="16">
        <f>DATE(YEAR(SUBSTITUTE(LEFT(Base_report!G820,10),"-","/")),MONTH(SUBSTITUTE(LEFT(Base_report!G820,10),"-","/")),DAY(SUBSTITUTE(LEFT(Base_report!G820,10),"-","/")))</f>
        <v>45299</v>
      </c>
      <c r="I822" s="17" t="str">
        <f t="shared" si="1"/>
        <v>OUI</v>
      </c>
      <c r="J822" s="18">
        <f>IF(L822="DS",DATE(RIGHT(B822,4),VLOOKUP(LEFT(B822,LEN(B822)-5),Feuil1!$E$3:$F$19,2,FALSE)+1,10),DATE(RIGHT(B822,4),VLOOKUP(LEFT(B822,LEN(B822)-5),Feuil1!$E$3:$F$19,2,FALSE)+1,7))</f>
        <v>45298</v>
      </c>
      <c r="K822" s="19">
        <f t="shared" si="2"/>
        <v>0</v>
      </c>
      <c r="L822" s="6" t="str">
        <f t="shared" si="3"/>
        <v>FS</v>
      </c>
    </row>
    <row r="823" ht="14.25" customHeight="1">
      <c r="A823" s="14" t="str">
        <f>Base_report!A821</f>
        <v>ABIDJAN 2</v>
      </c>
      <c r="B823" s="14" t="str">
        <f>Base_report!B821</f>
        <v>DECEMBRE 2023</v>
      </c>
      <c r="C823" s="15" t="str">
        <f>Base_report!C821</f>
        <v>C1014</v>
      </c>
      <c r="D823" s="14" t="str">
        <f>TRIM(IF(ISNUMBER(FIND("PNSME",Base_report!D821,1)),SUBSTITUTE(Base_report!D821,"PNSME",""),IF(ISNUMBER(FIND("PHG",Base_report!D821,1)),SUBSTITUTE(Base_report!D821,"PHG",""),IF(ISNUMBER(FIND("PCS",Base_report!D821,1)),SUBSTITUTE(Base_report!D821,"PCS",""),IF(ISNUMBER(FIND("CMU",Base_report!D821,1)),SUBSTITUTE(Base_report!D821,"CMU",""),Base_report!D821)))))</f>
        <v>CSU COM AGBAN VILLAGE</v>
      </c>
      <c r="E823" s="14" t="str">
        <f>SUBSTITUTE(Base_report!E821,"-","/")</f>
        <v>PNSME/MEDICAMENTS ET INTRANTS</v>
      </c>
      <c r="F823" s="14" t="s">
        <v>788</v>
      </c>
      <c r="G823" s="16">
        <f>DATE(YEAR(SUBSTITUTE(LEFT(Base_report!F821,10),"-","/")),MONTH(SUBSTITUTE(LEFT(Base_report!F821,10),"-","/")),DAY(SUBSTITUTE(LEFT(Base_report!F821,10),"-","/")))</f>
        <v>45295</v>
      </c>
      <c r="H823" s="16">
        <f>DATE(YEAR(SUBSTITUTE(LEFT(Base_report!G821,10),"-","/")),MONTH(SUBSTITUTE(LEFT(Base_report!G821,10),"-","/")),DAY(SUBSTITUTE(LEFT(Base_report!G821,10),"-","/")))</f>
        <v>45296</v>
      </c>
      <c r="I823" s="17" t="str">
        <f t="shared" si="1"/>
        <v>OUI</v>
      </c>
      <c r="J823" s="18">
        <f>IF(L823="DS",DATE(RIGHT(B823,4),VLOOKUP(LEFT(B823,LEN(B823)-5),Feuil1!$E$3:$F$19,2,FALSE)+1,10),DATE(RIGHT(B823,4),VLOOKUP(LEFT(B823,LEN(B823)-5),Feuil1!$E$3:$F$19,2,FALSE)+1,7))</f>
        <v>45298</v>
      </c>
      <c r="K823" s="19">
        <f t="shared" si="2"/>
        <v>1</v>
      </c>
      <c r="L823" s="6" t="str">
        <f t="shared" si="3"/>
        <v>FS</v>
      </c>
    </row>
    <row r="824" ht="14.25" customHeight="1">
      <c r="A824" s="14" t="str">
        <f>Base_report!A822</f>
        <v>ABIDJAN 1</v>
      </c>
      <c r="B824" s="14" t="str">
        <f>Base_report!B822</f>
        <v>DECEMBRE 2023</v>
      </c>
      <c r="C824" s="15" t="str">
        <f>Base_report!C822</f>
        <v>C1080</v>
      </c>
      <c r="D824" s="14" t="str">
        <f>TRIM(IF(ISNUMBER(FIND("PNSME",Base_report!D822,1)),SUBSTITUTE(Base_report!D822,"PNSME",""),IF(ISNUMBER(FIND("PHG",Base_report!D822,1)),SUBSTITUTE(Base_report!D822,"PHG",""),IF(ISNUMBER(FIND("PCS",Base_report!D822,1)),SUBSTITUTE(Base_report!D822,"PCS",""),IF(ISNUMBER(FIND("CMU",Base_report!D822,1)),SUBSTITUTE(Base_report!D822,"CMU",""),Base_report!D822)))))</f>
        <v>CHR ABOBO</v>
      </c>
      <c r="E824" s="14" t="str">
        <f>SUBSTITUTE(Base_report!E822,"-","/")</f>
        <v>PNLS/ANTIRETROVIRAUX ET IO</v>
      </c>
      <c r="F824" s="14" t="s">
        <v>788</v>
      </c>
      <c r="G824" s="16">
        <f>DATE(YEAR(SUBSTITUTE(LEFT(Base_report!F822,10),"-","/")),MONTH(SUBSTITUTE(LEFT(Base_report!F822,10),"-","/")),DAY(SUBSTITUTE(LEFT(Base_report!F822,10),"-","/")))</f>
        <v>45295</v>
      </c>
      <c r="H824" s="16">
        <f>DATE(YEAR(SUBSTITUTE(LEFT(Base_report!G822,10),"-","/")),MONTH(SUBSTITUTE(LEFT(Base_report!G822,10),"-","/")),DAY(SUBSTITUTE(LEFT(Base_report!G822,10),"-","/")))</f>
        <v>45295</v>
      </c>
      <c r="I824" s="17" t="str">
        <f t="shared" si="1"/>
        <v>OUI</v>
      </c>
      <c r="J824" s="18">
        <f>IF(L824="DS",DATE(RIGHT(B824,4),VLOOKUP(LEFT(B824,LEN(B824)-5),Feuil1!$E$3:$F$19,2,FALSE)+1,10),DATE(RIGHT(B824,4),VLOOKUP(LEFT(B824,LEN(B824)-5),Feuil1!$E$3:$F$19,2,FALSE)+1,7))</f>
        <v>45298</v>
      </c>
      <c r="K824" s="19">
        <f t="shared" si="2"/>
        <v>1</v>
      </c>
      <c r="L824" s="6" t="str">
        <f t="shared" si="3"/>
        <v>FS</v>
      </c>
    </row>
    <row r="825" ht="14.25" customHeight="1">
      <c r="A825" s="14" t="str">
        <f>Base_report!A823</f>
        <v>BAGOUE</v>
      </c>
      <c r="B825" s="14" t="str">
        <f>Base_report!B823</f>
        <v>DECEMBRE 2023</v>
      </c>
      <c r="C825" s="15" t="str">
        <f>Base_report!C823</f>
        <v>C3010</v>
      </c>
      <c r="D825" s="14" t="str">
        <f>TRIM(IF(ISNUMBER(FIND("PNSME",Base_report!D823,1)),SUBSTITUTE(Base_report!D823,"PNSME",""),IF(ISNUMBER(FIND("PHG",Base_report!D823,1)),SUBSTITUTE(Base_report!D823,"PHG",""),IF(ISNUMBER(FIND("PCS",Base_report!D823,1)),SUBSTITUTE(Base_report!D823,"PCS",""),IF(ISNUMBER(FIND("CMU",Base_report!D823,1)),SUBSTITUTE(Base_report!D823,"CMU",""),Base_report!D823)))))</f>
        <v>HOPITAL GENERAL BOUNDIALI</v>
      </c>
      <c r="E825" s="14" t="str">
        <f>SUBSTITUTE(Base_report!E823,"-","/")</f>
        <v>PNLP/MEDICAMENTS ET INTRANTS</v>
      </c>
      <c r="F825" s="14" t="s">
        <v>788</v>
      </c>
      <c r="G825" s="16">
        <f>DATE(YEAR(SUBSTITUTE(LEFT(Base_report!F823,10),"-","/")),MONTH(SUBSTITUTE(LEFT(Base_report!F823,10),"-","/")),DAY(SUBSTITUTE(LEFT(Base_report!F823,10),"-","/")))</f>
        <v>45295</v>
      </c>
      <c r="H825" s="16">
        <f>DATE(YEAR(SUBSTITUTE(LEFT(Base_report!G823,10),"-","/")),MONTH(SUBSTITUTE(LEFT(Base_report!G823,10),"-","/")),DAY(SUBSTITUTE(LEFT(Base_report!G823,10),"-","/")))</f>
        <v>45296</v>
      </c>
      <c r="I825" s="17" t="str">
        <f t="shared" si="1"/>
        <v>OUI</v>
      </c>
      <c r="J825" s="18">
        <f>IF(L825="DS",DATE(RIGHT(B825,4),VLOOKUP(LEFT(B825,LEN(B825)-5),Feuil1!$E$3:$F$19,2,FALSE)+1,10),DATE(RIGHT(B825,4),VLOOKUP(LEFT(B825,LEN(B825)-5),Feuil1!$E$3:$F$19,2,FALSE)+1,7))</f>
        <v>45298</v>
      </c>
      <c r="K825" s="19">
        <f t="shared" si="2"/>
        <v>1</v>
      </c>
      <c r="L825" s="6" t="str">
        <f t="shared" si="3"/>
        <v>FS</v>
      </c>
    </row>
    <row r="826" ht="14.25" customHeight="1">
      <c r="A826" s="14" t="str">
        <f>Base_report!A824</f>
        <v>ABIDJAN 1</v>
      </c>
      <c r="B826" s="14" t="str">
        <f>Base_report!B824</f>
        <v>DECEMBRE 2023</v>
      </c>
      <c r="C826" s="15" t="str">
        <f>Base_report!C824</f>
        <v>C1078</v>
      </c>
      <c r="D826" s="14" t="str">
        <f>TRIM(IF(ISNUMBER(FIND("PNSME",Base_report!D824,1)),SUBSTITUTE(Base_report!D824,"PNSME",""),IF(ISNUMBER(FIND("PHG",Base_report!D824,1)),SUBSTITUTE(Base_report!D824,"PHG",""),IF(ISNUMBER(FIND("PCS",Base_report!D824,1)),SUBSTITUTE(Base_report!D824,"PCS",""),IF(ISNUMBER(FIND("CMU",Base_report!D824,1)),SUBSTITUTE(Base_report!D824,"CMU",""),Base_report!D824)))))</f>
        <v>FSU COM YOPOUGON TOIT ROUGE</v>
      </c>
      <c r="E826" s="14" t="str">
        <f>SUBSTITUTE(Base_report!E824,"-","/")</f>
        <v>PNLS/TESTS RAPIDES ET CONSOMMABLES</v>
      </c>
      <c r="F826" s="14" t="s">
        <v>788</v>
      </c>
      <c r="G826" s="16">
        <f>DATE(YEAR(SUBSTITUTE(LEFT(Base_report!F824,10),"-","/")),MONTH(SUBSTITUTE(LEFT(Base_report!F824,10),"-","/")),DAY(SUBSTITUTE(LEFT(Base_report!F824,10),"-","/")))</f>
        <v>45295</v>
      </c>
      <c r="H826" s="16">
        <f>DATE(YEAR(SUBSTITUTE(LEFT(Base_report!G824,10),"-","/")),MONTH(SUBSTITUTE(LEFT(Base_report!G824,10),"-","/")),DAY(SUBSTITUTE(LEFT(Base_report!G824,10),"-","/")))</f>
        <v>45296</v>
      </c>
      <c r="I826" s="17" t="str">
        <f t="shared" si="1"/>
        <v>OUI</v>
      </c>
      <c r="J826" s="18">
        <f>IF(L826="DS",DATE(RIGHT(B826,4),VLOOKUP(LEFT(B826,LEN(B826)-5),Feuil1!$E$3:$F$19,2,FALSE)+1,10),DATE(RIGHT(B826,4),VLOOKUP(LEFT(B826,LEN(B826)-5),Feuil1!$E$3:$F$19,2,FALSE)+1,7))</f>
        <v>45298</v>
      </c>
      <c r="K826" s="19">
        <f t="shared" si="2"/>
        <v>1</v>
      </c>
      <c r="L826" s="6" t="str">
        <f t="shared" si="3"/>
        <v>FS</v>
      </c>
    </row>
    <row r="827" ht="14.25" customHeight="1">
      <c r="A827" s="14" t="str">
        <f>Base_report!A825</f>
        <v>GRANDS PONTS</v>
      </c>
      <c r="B827" s="14" t="str">
        <f>Base_report!B825</f>
        <v>DECEMBRE 2023</v>
      </c>
      <c r="C827" s="15" t="str">
        <f>Base_report!C825</f>
        <v>C1091</v>
      </c>
      <c r="D827" s="14" t="str">
        <f>TRIM(IF(ISNUMBER(FIND("PNSME",Base_report!D825,1)),SUBSTITUTE(Base_report!D825,"PNSME",""),IF(ISNUMBER(FIND("PHG",Base_report!D825,1)),SUBSTITUTE(Base_report!D825,"PHG",""),IF(ISNUMBER(FIND("PCS",Base_report!D825,1)),SUBSTITUTE(Base_report!D825,"PCS",""),IF(ISNUMBER(FIND("CMU",Base_report!D825,1)),SUBSTITUTE(Base_report!D825,"CMU",""),Base_report!D825)))))</f>
        <v>HOPITAL GENERAL GRAND-LAHOU</v>
      </c>
      <c r="E827" s="14" t="str">
        <f>SUBSTITUTE(Base_report!E825,"-","/")</f>
        <v>PNN/MEDICAMENTS ET INTRANTS</v>
      </c>
      <c r="F827" s="14" t="s">
        <v>788</v>
      </c>
      <c r="G827" s="16">
        <f>DATE(YEAR(SUBSTITUTE(LEFT(Base_report!F825,10),"-","/")),MONTH(SUBSTITUTE(LEFT(Base_report!F825,10),"-","/")),DAY(SUBSTITUTE(LEFT(Base_report!F825,10),"-","/")))</f>
        <v>45295</v>
      </c>
      <c r="H827" s="16">
        <f>DATE(YEAR(SUBSTITUTE(LEFT(Base_report!G825,10),"-","/")),MONTH(SUBSTITUTE(LEFT(Base_report!G825,10),"-","/")),DAY(SUBSTITUTE(LEFT(Base_report!G825,10),"-","/")))</f>
        <v>45295</v>
      </c>
      <c r="I827" s="17" t="str">
        <f t="shared" si="1"/>
        <v>OUI</v>
      </c>
      <c r="J827" s="18">
        <f>IF(L827="DS",DATE(RIGHT(B827,4),VLOOKUP(LEFT(B827,LEN(B827)-5),Feuil1!$E$3:$F$19,2,FALSE)+1,10),DATE(RIGHT(B827,4),VLOOKUP(LEFT(B827,LEN(B827)-5),Feuil1!$E$3:$F$19,2,FALSE)+1,7))</f>
        <v>45298</v>
      </c>
      <c r="K827" s="19">
        <f t="shared" si="2"/>
        <v>1</v>
      </c>
      <c r="L827" s="6" t="str">
        <f t="shared" si="3"/>
        <v>FS</v>
      </c>
    </row>
    <row r="828" ht="14.25" customHeight="1">
      <c r="A828" s="14" t="str">
        <f>Base_report!A826</f>
        <v>ABIDJAN 2</v>
      </c>
      <c r="B828" s="14" t="str">
        <f>Base_report!B826</f>
        <v>DECEMBRE 2023</v>
      </c>
      <c r="C828" s="15" t="str">
        <f>Base_report!C826</f>
        <v>C1414</v>
      </c>
      <c r="D828" s="14" t="str">
        <f>TRIM(IF(ISNUMBER(FIND("PNSME",Base_report!D826,1)),SUBSTITUTE(Base_report!D826,"PNSME",""),IF(ISNUMBER(FIND("PHG",Base_report!D826,1)),SUBSTITUTE(Base_report!D826,"PHG",""),IF(ISNUMBER(FIND("PCS",Base_report!D826,1)),SUBSTITUTE(Base_report!D826,"PCS",""),IF(ISNUMBER(FIND("CMU",Base_report!D826,1)),SUBSTITUTE(Base_report!D826,"CMU",""),Base_report!D826)))))</f>
        <v>DISTRICT SANITAIRE ADJAME PLATEAU ATTECOUBE</v>
      </c>
      <c r="E828" s="14" t="str">
        <f>SUBSTITUTE(Base_report!E826,"-","/")</f>
        <v>PNLS/PRODUITS DE LABORATOIRE</v>
      </c>
      <c r="F828" s="14" t="s">
        <v>788</v>
      </c>
      <c r="G828" s="16">
        <f>DATE(YEAR(SUBSTITUTE(LEFT(Base_report!F826,10),"-","/")),MONTH(SUBSTITUTE(LEFT(Base_report!F826,10),"-","/")),DAY(SUBSTITUTE(LEFT(Base_report!F826,10),"-","/")))</f>
        <v>45300</v>
      </c>
      <c r="H828" s="16">
        <f>DATE(YEAR(SUBSTITUTE(LEFT(Base_report!G826,10),"-","/")),MONTH(SUBSTITUTE(LEFT(Base_report!G826,10),"-","/")),DAY(SUBSTITUTE(LEFT(Base_report!G826,10),"-","/")))</f>
        <v>45301</v>
      </c>
      <c r="I828" s="17" t="str">
        <f t="shared" si="1"/>
        <v>OUI</v>
      </c>
      <c r="J828" s="18">
        <f>IF(L828="DS",DATE(RIGHT(B828,4),VLOOKUP(LEFT(B828,LEN(B828)-5),Feuil1!$E$3:$F$19,2,FALSE)+1,10),DATE(RIGHT(B828,4),VLOOKUP(LEFT(B828,LEN(B828)-5),Feuil1!$E$3:$F$19,2,FALSE)+1,7))</f>
        <v>45301</v>
      </c>
      <c r="K828" s="19">
        <f t="shared" si="2"/>
        <v>1</v>
      </c>
      <c r="L828" s="6" t="str">
        <f t="shared" si="3"/>
        <v>DS</v>
      </c>
    </row>
    <row r="829" ht="14.25" customHeight="1">
      <c r="A829" s="14" t="str">
        <f>Base_report!A827</f>
        <v>CAVALLY</v>
      </c>
      <c r="B829" s="14" t="str">
        <f>Base_report!B827</f>
        <v>DECEMBRE 2023</v>
      </c>
      <c r="C829" s="15" t="str">
        <f>Base_report!C827</f>
        <v>C5017</v>
      </c>
      <c r="D829" s="14" t="str">
        <f>TRIM(IF(ISNUMBER(FIND("PNSME",Base_report!D827,1)),SUBSTITUTE(Base_report!D827,"PNSME",""),IF(ISNUMBER(FIND("PHG",Base_report!D827,1)),SUBSTITUTE(Base_report!D827,"PHG",""),IF(ISNUMBER(FIND("PCS",Base_report!D827,1)),SUBSTITUTE(Base_report!D827,"PCS",""),IF(ISNUMBER(FIND("CMU",Base_report!D827,1)),SUBSTITUTE(Base_report!D827,"CMU",""),Base_report!D827)))))</f>
        <v>HOPITAL GENERAL BLOLEQUIN</v>
      </c>
      <c r="E829" s="14" t="str">
        <f>SUBSTITUTE(Base_report!E827,"-","/")</f>
        <v>PNSME/MEDICAMENTS ET INTRANTS</v>
      </c>
      <c r="F829" s="14" t="s">
        <v>788</v>
      </c>
      <c r="G829" s="16">
        <f>DATE(YEAR(SUBSTITUTE(LEFT(Base_report!F827,10),"-","/")),MONTH(SUBSTITUTE(LEFT(Base_report!F827,10),"-","/")),DAY(SUBSTITUTE(LEFT(Base_report!F827,10),"-","/")))</f>
        <v>45295</v>
      </c>
      <c r="H829" s="16">
        <f>DATE(YEAR(SUBSTITUTE(LEFT(Base_report!G827,10),"-","/")),MONTH(SUBSTITUTE(LEFT(Base_report!G827,10),"-","/")),DAY(SUBSTITUTE(LEFT(Base_report!G827,10),"-","/")))</f>
        <v>45296</v>
      </c>
      <c r="I829" s="17" t="str">
        <f t="shared" si="1"/>
        <v>OUI</v>
      </c>
      <c r="J829" s="18">
        <f>IF(L829="DS",DATE(RIGHT(B829,4),VLOOKUP(LEFT(B829,LEN(B829)-5),Feuil1!$E$3:$F$19,2,FALSE)+1,10),DATE(RIGHT(B829,4),VLOOKUP(LEFT(B829,LEN(B829)-5),Feuil1!$E$3:$F$19,2,FALSE)+1,7))</f>
        <v>45298</v>
      </c>
      <c r="K829" s="19">
        <f t="shared" si="2"/>
        <v>1</v>
      </c>
      <c r="L829" s="6" t="str">
        <f t="shared" si="3"/>
        <v>FS</v>
      </c>
    </row>
    <row r="830" ht="14.25" customHeight="1">
      <c r="A830" s="14" t="str">
        <f>Base_report!A828</f>
        <v>ABIDJAN 2</v>
      </c>
      <c r="B830" s="14" t="str">
        <f>Base_report!B828</f>
        <v>DECEMBRE 2023</v>
      </c>
      <c r="C830" s="15" t="str">
        <f>Base_report!C828</f>
        <v>C1054</v>
      </c>
      <c r="D830" s="14" t="str">
        <f>TRIM(IF(ISNUMBER(FIND("PNSME",Base_report!D828,1)),SUBSTITUTE(Base_report!D828,"PNSME",""),IF(ISNUMBER(FIND("PHG",Base_report!D828,1)),SUBSTITUTE(Base_report!D828,"PHG",""),IF(ISNUMBER(FIND("PCS",Base_report!D828,1)),SUBSTITUTE(Base_report!D828,"PCS",""),IF(ISNUMBER(FIND("CMU",Base_report!D828,1)),SUBSTITUTE(Base_report!D828,"CMU",""),Base_report!D828)))))</f>
        <v>FSU ATTECOUBE CENTRE</v>
      </c>
      <c r="E830" s="14" t="str">
        <f>SUBSTITUTE(Base_report!E828,"-","/")</f>
        <v>PNLP/MEDICAMENTS ET INTRANTS</v>
      </c>
      <c r="F830" s="14" t="s">
        <v>788</v>
      </c>
      <c r="G830" s="16">
        <f>DATE(YEAR(SUBSTITUTE(LEFT(Base_report!F828,10),"-","/")),MONTH(SUBSTITUTE(LEFT(Base_report!F828,10),"-","/")),DAY(SUBSTITUTE(LEFT(Base_report!F828,10),"-","/")))</f>
        <v>45295</v>
      </c>
      <c r="H830" s="16">
        <f>DATE(YEAR(SUBSTITUTE(LEFT(Base_report!G828,10),"-","/")),MONTH(SUBSTITUTE(LEFT(Base_report!G828,10),"-","/")),DAY(SUBSTITUTE(LEFT(Base_report!G828,10),"-","/")))</f>
        <v>45295</v>
      </c>
      <c r="I830" s="17" t="str">
        <f t="shared" si="1"/>
        <v>OUI</v>
      </c>
      <c r="J830" s="18">
        <f>IF(L830="DS",DATE(RIGHT(B830,4),VLOOKUP(LEFT(B830,LEN(B830)-5),Feuil1!$E$3:$F$19,2,FALSE)+1,10),DATE(RIGHT(B830,4),VLOOKUP(LEFT(B830,LEN(B830)-5),Feuil1!$E$3:$F$19,2,FALSE)+1,7))</f>
        <v>45298</v>
      </c>
      <c r="K830" s="19">
        <f t="shared" si="2"/>
        <v>1</v>
      </c>
      <c r="L830" s="6" t="str">
        <f t="shared" si="3"/>
        <v>FS</v>
      </c>
    </row>
    <row r="831" ht="14.25" customHeight="1">
      <c r="A831" s="14" t="str">
        <f>Base_report!A829</f>
        <v>GONTOUGO</v>
      </c>
      <c r="B831" s="14" t="str">
        <f>Base_report!B829</f>
        <v>DECEMBRE 2023</v>
      </c>
      <c r="C831" s="15" t="str">
        <f>Base_report!C829</f>
        <v>C4068</v>
      </c>
      <c r="D831" s="14" t="str">
        <f>TRIM(IF(ISNUMBER(FIND("PNSME",Base_report!D829,1)),SUBSTITUTE(Base_report!D829,"PNSME",""),IF(ISNUMBER(FIND("PHG",Base_report!D829,1)),SUBSTITUTE(Base_report!D829,"PHG",""),IF(ISNUMBER(FIND("PCS",Base_report!D829,1)),SUBSTITUTE(Base_report!D829,"PCS",""),IF(ISNUMBER(FIND("CMU",Base_report!D829,1)),SUBSTITUTE(Base_report!D829,"CMU",""),Base_report!D829)))))</f>
        <v>DISTRICT SANITAIRE SANDEGUE</v>
      </c>
      <c r="E831" s="14" t="str">
        <f>SUBSTITUTE(Base_report!E829,"-","/")</f>
        <v>PNLS/TESTS RAPIDES ET CONSOMMABLES</v>
      </c>
      <c r="F831" s="14" t="s">
        <v>788</v>
      </c>
      <c r="G831" s="16">
        <f>DATE(YEAR(SUBSTITUTE(LEFT(Base_report!F829,10),"-","/")),MONTH(SUBSTITUTE(LEFT(Base_report!F829,10),"-","/")),DAY(SUBSTITUTE(LEFT(Base_report!F829,10),"-","/")))</f>
        <v>45298</v>
      </c>
      <c r="H831" s="16">
        <f>DATE(YEAR(SUBSTITUTE(LEFT(Base_report!G829,10),"-","/")),MONTH(SUBSTITUTE(LEFT(Base_report!G829,10),"-","/")),DAY(SUBSTITUTE(LEFT(Base_report!G829,10),"-","/")))</f>
        <v>45298</v>
      </c>
      <c r="I831" s="17" t="str">
        <f t="shared" si="1"/>
        <v>OUI</v>
      </c>
      <c r="J831" s="18">
        <f>IF(L831="DS",DATE(RIGHT(B831,4),VLOOKUP(LEFT(B831,LEN(B831)-5),Feuil1!$E$3:$F$19,2,FALSE)+1,10),DATE(RIGHT(B831,4),VLOOKUP(LEFT(B831,LEN(B831)-5),Feuil1!$E$3:$F$19,2,FALSE)+1,7))</f>
        <v>45301</v>
      </c>
      <c r="K831" s="19">
        <f t="shared" si="2"/>
        <v>1</v>
      </c>
      <c r="L831" s="6" t="str">
        <f t="shared" si="3"/>
        <v>DS</v>
      </c>
    </row>
    <row r="832" ht="14.25" customHeight="1">
      <c r="A832" s="14" t="str">
        <f>Base_report!A830</f>
        <v>ABIDJAN 2</v>
      </c>
      <c r="B832" s="14" t="str">
        <f>Base_report!B830</f>
        <v>DECEMBRE 2023</v>
      </c>
      <c r="C832" s="15" t="str">
        <f>Base_report!C830</f>
        <v>C1094</v>
      </c>
      <c r="D832" s="14" t="str">
        <f>TRIM(IF(ISNUMBER(FIND("PNSME",Base_report!D830,1)),SUBSTITUTE(Base_report!D830,"PNSME",""),IF(ISNUMBER(FIND("PHG",Base_report!D830,1)),SUBSTITUTE(Base_report!D830,"PHG",""),IF(ISNUMBER(FIND("PCS",Base_report!D830,1)),SUBSTITUTE(Base_report!D830,"PCS",""),IF(ISNUMBER(FIND("CMU",Base_report!D830,1)),SUBSTITUTE(Base_report!D830,"CMU",""),Base_report!D830)))))</f>
        <v>HOPITAL GENERAL PORT-BOUET</v>
      </c>
      <c r="E832" s="14" t="str">
        <f>SUBSTITUTE(Base_report!E830,"-","/")</f>
        <v>PNSME_GRATUITE:MEDICAMENTS ET INTRANTS</v>
      </c>
      <c r="F832" s="14" t="s">
        <v>788</v>
      </c>
      <c r="G832" s="16">
        <f>DATE(YEAR(SUBSTITUTE(LEFT(Base_report!F830,10),"-","/")),MONTH(SUBSTITUTE(LEFT(Base_report!F830,10),"-","/")),DAY(SUBSTITUTE(LEFT(Base_report!F830,10),"-","/")))</f>
        <v>45295</v>
      </c>
      <c r="H832" s="16">
        <f>DATE(YEAR(SUBSTITUTE(LEFT(Base_report!G830,10),"-","/")),MONTH(SUBSTITUTE(LEFT(Base_report!G830,10),"-","/")),DAY(SUBSTITUTE(LEFT(Base_report!G830,10),"-","/")))</f>
        <v>45295</v>
      </c>
      <c r="I832" s="17" t="str">
        <f t="shared" si="1"/>
        <v>OUI</v>
      </c>
      <c r="J832" s="18">
        <f>IF(L832="DS",DATE(RIGHT(B832,4),VLOOKUP(LEFT(B832,LEN(B832)-5),Feuil1!$E$3:$F$19,2,FALSE)+1,10),DATE(RIGHT(B832,4),VLOOKUP(LEFT(B832,LEN(B832)-5),Feuil1!$E$3:$F$19,2,FALSE)+1,7))</f>
        <v>45298</v>
      </c>
      <c r="K832" s="19">
        <f t="shared" si="2"/>
        <v>1</v>
      </c>
      <c r="L832" s="6" t="str">
        <f t="shared" si="3"/>
        <v>FS</v>
      </c>
    </row>
    <row r="833" ht="14.25" customHeight="1">
      <c r="A833" s="14" t="str">
        <f>Base_report!A831</f>
        <v>GONTOUGO</v>
      </c>
      <c r="B833" s="14" t="str">
        <f>Base_report!B831</f>
        <v>DECEMBRE 2023</v>
      </c>
      <c r="C833" s="15" t="str">
        <f>Base_report!C831</f>
        <v>C4002</v>
      </c>
      <c r="D833" s="14" t="str">
        <f>TRIM(IF(ISNUMBER(FIND("PNSME",Base_report!D831,1)),SUBSTITUTE(Base_report!D831,"PNSME",""),IF(ISNUMBER(FIND("PHG",Base_report!D831,1)),SUBSTITUTE(Base_report!D831,"PHG",""),IF(ISNUMBER(FIND("PCS",Base_report!D831,1)),SUBSTITUTE(Base_report!D831,"PCS",""),IF(ISNUMBER(FIND("CMU",Base_report!D831,1)),SUBSTITUTE(Base_report!D831,"CMU",""),Base_report!D831)))))</f>
        <v>CHR BONDOUKOU</v>
      </c>
      <c r="E833" s="14" t="str">
        <f>SUBSTITUTE(Base_report!E831,"-","/")</f>
        <v>PNLP/MEDICAMENTS ET INTRANTS</v>
      </c>
      <c r="F833" s="14" t="s">
        <v>788</v>
      </c>
      <c r="G833" s="16">
        <f>DATE(YEAR(SUBSTITUTE(LEFT(Base_report!F831,10),"-","/")),MONTH(SUBSTITUTE(LEFT(Base_report!F831,10),"-","/")),DAY(SUBSTITUTE(LEFT(Base_report!F831,10),"-","/")))</f>
        <v>45295</v>
      </c>
      <c r="H833" s="16">
        <f>DATE(YEAR(SUBSTITUTE(LEFT(Base_report!G831,10),"-","/")),MONTH(SUBSTITUTE(LEFT(Base_report!G831,10),"-","/")),DAY(SUBSTITUTE(LEFT(Base_report!G831,10),"-","/")))</f>
        <v>45296</v>
      </c>
      <c r="I833" s="17" t="str">
        <f t="shared" si="1"/>
        <v>OUI</v>
      </c>
      <c r="J833" s="18">
        <f>IF(L833="DS",DATE(RIGHT(B833,4),VLOOKUP(LEFT(B833,LEN(B833)-5),Feuil1!$E$3:$F$19,2,FALSE)+1,10),DATE(RIGHT(B833,4),VLOOKUP(LEFT(B833,LEN(B833)-5),Feuil1!$E$3:$F$19,2,FALSE)+1,7))</f>
        <v>45298</v>
      </c>
      <c r="K833" s="19">
        <f t="shared" si="2"/>
        <v>1</v>
      </c>
      <c r="L833" s="6" t="str">
        <f t="shared" si="3"/>
        <v>FS</v>
      </c>
    </row>
    <row r="834" ht="14.25" customHeight="1">
      <c r="A834" s="14" t="str">
        <f>Base_report!A832</f>
        <v>ABIDJAN 2</v>
      </c>
      <c r="B834" s="14" t="str">
        <f>Base_report!B832</f>
        <v>DECEMBRE 2023</v>
      </c>
      <c r="C834" s="15" t="str">
        <f>Base_report!C832</f>
        <v>C1058</v>
      </c>
      <c r="D834" s="14" t="str">
        <f>TRIM(IF(ISNUMBER(FIND("PNSME",Base_report!D832,1)),SUBSTITUTE(Base_report!D832,"PNSME",""),IF(ISNUMBER(FIND("PHG",Base_report!D832,1)),SUBSTITUTE(Base_report!D832,"PHG",""),IF(ISNUMBER(FIND("PCS",Base_report!D832,1)),SUBSTITUTE(Base_report!D832,"PCS",""),IF(ISNUMBER(FIND("CMU",Base_report!D832,1)),SUBSTITUTE(Base_report!D832,"CMU",""),Base_report!D832)))))</f>
        <v>HOPITAL GENERAL KOUMASSI</v>
      </c>
      <c r="E834" s="14" t="str">
        <f>SUBSTITUTE(Base_report!E832,"-","/")</f>
        <v>PNLP/MEDICAMENTS ET INTRANTS</v>
      </c>
      <c r="F834" s="14" t="s">
        <v>788</v>
      </c>
      <c r="G834" s="16">
        <f>DATE(YEAR(SUBSTITUTE(LEFT(Base_report!F832,10),"-","/")),MONTH(SUBSTITUTE(LEFT(Base_report!F832,10),"-","/")),DAY(SUBSTITUTE(LEFT(Base_report!F832,10),"-","/")))</f>
        <v>45295</v>
      </c>
      <c r="H834" s="16">
        <f>DATE(YEAR(SUBSTITUTE(LEFT(Base_report!G832,10),"-","/")),MONTH(SUBSTITUTE(LEFT(Base_report!G832,10),"-","/")),DAY(SUBSTITUTE(LEFT(Base_report!G832,10),"-","/")))</f>
        <v>45296</v>
      </c>
      <c r="I834" s="17" t="str">
        <f t="shared" si="1"/>
        <v>OUI</v>
      </c>
      <c r="J834" s="18">
        <f>IF(L834="DS",DATE(RIGHT(B834,4),VLOOKUP(LEFT(B834,LEN(B834)-5),Feuil1!$E$3:$F$19,2,FALSE)+1,10),DATE(RIGHT(B834,4),VLOOKUP(LEFT(B834,LEN(B834)-5),Feuil1!$E$3:$F$19,2,FALSE)+1,7))</f>
        <v>45298</v>
      </c>
      <c r="K834" s="19">
        <f t="shared" si="2"/>
        <v>1</v>
      </c>
      <c r="L834" s="6" t="str">
        <f t="shared" si="3"/>
        <v>FS</v>
      </c>
    </row>
    <row r="835" ht="14.25" customHeight="1">
      <c r="A835" s="14" t="str">
        <f>Base_report!A833</f>
        <v>HAUT-SASSANDRA</v>
      </c>
      <c r="B835" s="14" t="str">
        <f>Base_report!B833</f>
        <v>DECEMBRE 2023</v>
      </c>
      <c r="C835" s="15" t="str">
        <f>Base_report!C833</f>
        <v>C5060</v>
      </c>
      <c r="D835" s="14" t="str">
        <f>TRIM(IF(ISNUMBER(FIND("PNSME",Base_report!D833,1)),SUBSTITUTE(Base_report!D833,"PNSME",""),IF(ISNUMBER(FIND("PHG",Base_report!D833,1)),SUBSTITUTE(Base_report!D833,"PHG",""),IF(ISNUMBER(FIND("PCS",Base_report!D833,1)),SUBSTITUTE(Base_report!D833,"PCS",""),IF(ISNUMBER(FIND("CMU",Base_report!D833,1)),SUBSTITUTE(Base_report!D833,"CMU",""),Base_report!D833)))))</f>
        <v>HOPITAL GENERAL ZOUKOUGBEU</v>
      </c>
      <c r="E835" s="14" t="str">
        <f>SUBSTITUTE(Base_report!E833,"-","/")</f>
        <v>PNSME/MEDICAMENTS ET INTRANTS</v>
      </c>
      <c r="F835" s="14" t="s">
        <v>788</v>
      </c>
      <c r="G835" s="16">
        <f>DATE(YEAR(SUBSTITUTE(LEFT(Base_report!F833,10),"-","/")),MONTH(SUBSTITUTE(LEFT(Base_report!F833,10),"-","/")),DAY(SUBSTITUTE(LEFT(Base_report!F833,10),"-","/")))</f>
        <v>45295</v>
      </c>
      <c r="H835" s="16">
        <f>DATE(YEAR(SUBSTITUTE(LEFT(Base_report!G833,10),"-","/")),MONTH(SUBSTITUTE(LEFT(Base_report!G833,10),"-","/")),DAY(SUBSTITUTE(LEFT(Base_report!G833,10),"-","/")))</f>
        <v>45296</v>
      </c>
      <c r="I835" s="17" t="str">
        <f t="shared" si="1"/>
        <v>OUI</v>
      </c>
      <c r="J835" s="18">
        <f>IF(L835="DS",DATE(RIGHT(B835,4),VLOOKUP(LEFT(B835,LEN(B835)-5),Feuil1!$E$3:$F$19,2,FALSE)+1,10),DATE(RIGHT(B835,4),VLOOKUP(LEFT(B835,LEN(B835)-5),Feuil1!$E$3:$F$19,2,FALSE)+1,7))</f>
        <v>45298</v>
      </c>
      <c r="K835" s="19">
        <f t="shared" si="2"/>
        <v>1</v>
      </c>
      <c r="L835" s="6" t="str">
        <f t="shared" si="3"/>
        <v>FS</v>
      </c>
    </row>
    <row r="836" ht="14.25" customHeight="1">
      <c r="A836" s="14" t="str">
        <f>Base_report!A834</f>
        <v>ABIDJAN 1</v>
      </c>
      <c r="B836" s="14" t="str">
        <f>Base_report!B834</f>
        <v>DECEMBRE 2023</v>
      </c>
      <c r="C836" s="15" t="str">
        <f>Base_report!C834</f>
        <v>C1080</v>
      </c>
      <c r="D836" s="14" t="str">
        <f>TRIM(IF(ISNUMBER(FIND("PNSME",Base_report!D834,1)),SUBSTITUTE(Base_report!D834,"PNSME",""),IF(ISNUMBER(FIND("PHG",Base_report!D834,1)),SUBSTITUTE(Base_report!D834,"PHG",""),IF(ISNUMBER(FIND("PCS",Base_report!D834,1)),SUBSTITUTE(Base_report!D834,"PCS",""),IF(ISNUMBER(FIND("CMU",Base_report!D834,1)),SUBSTITUTE(Base_report!D834,"CMU",""),Base_report!D834)))))</f>
        <v>CHR ABOBO</v>
      </c>
      <c r="E836" s="14" t="str">
        <f>SUBSTITUTE(Base_report!E834,"-","/")</f>
        <v>PNLS/PRODUITS DE LABORATOIRE</v>
      </c>
      <c r="F836" s="14" t="s">
        <v>788</v>
      </c>
      <c r="G836" s="16">
        <f>DATE(YEAR(SUBSTITUTE(LEFT(Base_report!F834,10),"-","/")),MONTH(SUBSTITUTE(LEFT(Base_report!F834,10),"-","/")),DAY(SUBSTITUTE(LEFT(Base_report!F834,10),"-","/")))</f>
        <v>45295</v>
      </c>
      <c r="H836" s="16">
        <f>DATE(YEAR(SUBSTITUTE(LEFT(Base_report!G834,10),"-","/")),MONTH(SUBSTITUTE(LEFT(Base_report!G834,10),"-","/")),DAY(SUBSTITUTE(LEFT(Base_report!G834,10),"-","/")))</f>
        <v>45295</v>
      </c>
      <c r="I836" s="17" t="str">
        <f t="shared" si="1"/>
        <v>OUI</v>
      </c>
      <c r="J836" s="18">
        <f>IF(L836="DS",DATE(RIGHT(B836,4),VLOOKUP(LEFT(B836,LEN(B836)-5),Feuil1!$E$3:$F$19,2,FALSE)+1,10),DATE(RIGHT(B836,4),VLOOKUP(LEFT(B836,LEN(B836)-5),Feuil1!$E$3:$F$19,2,FALSE)+1,7))</f>
        <v>45298</v>
      </c>
      <c r="K836" s="19">
        <f t="shared" si="2"/>
        <v>1</v>
      </c>
      <c r="L836" s="6" t="str">
        <f t="shared" si="3"/>
        <v>FS</v>
      </c>
    </row>
    <row r="837" ht="14.25" customHeight="1">
      <c r="A837" s="14" t="str">
        <f>Base_report!A835</f>
        <v>GONTOUGO</v>
      </c>
      <c r="B837" s="14" t="str">
        <f>Base_report!B835</f>
        <v>DECEMBRE 2023</v>
      </c>
      <c r="C837" s="15" t="str">
        <f>Base_report!C835</f>
        <v>C4068</v>
      </c>
      <c r="D837" s="14" t="str">
        <f>TRIM(IF(ISNUMBER(FIND("PNSME",Base_report!D835,1)),SUBSTITUTE(Base_report!D835,"PNSME",""),IF(ISNUMBER(FIND("PHG",Base_report!D835,1)),SUBSTITUTE(Base_report!D835,"PHG",""),IF(ISNUMBER(FIND("PCS",Base_report!D835,1)),SUBSTITUTE(Base_report!D835,"PCS",""),IF(ISNUMBER(FIND("CMU",Base_report!D835,1)),SUBSTITUTE(Base_report!D835,"CMU",""),Base_report!D835)))))</f>
        <v>DISTRICT SANITAIRE SANDEGUE</v>
      </c>
      <c r="E837" s="14" t="str">
        <f>SUBSTITUTE(Base_report!E835,"-","/")</f>
        <v>PNLS/ANTIRETROVIRAUX ET IO</v>
      </c>
      <c r="F837" s="14" t="s">
        <v>788</v>
      </c>
      <c r="G837" s="16">
        <f>DATE(YEAR(SUBSTITUTE(LEFT(Base_report!F835,10),"-","/")),MONTH(SUBSTITUTE(LEFT(Base_report!F835,10),"-","/")),DAY(SUBSTITUTE(LEFT(Base_report!F835,10),"-","/")))</f>
        <v>45298</v>
      </c>
      <c r="H837" s="16">
        <f>DATE(YEAR(SUBSTITUTE(LEFT(Base_report!G835,10),"-","/")),MONTH(SUBSTITUTE(LEFT(Base_report!G835,10),"-","/")),DAY(SUBSTITUTE(LEFT(Base_report!G835,10),"-","/")))</f>
        <v>45298</v>
      </c>
      <c r="I837" s="17" t="str">
        <f t="shared" si="1"/>
        <v>OUI</v>
      </c>
      <c r="J837" s="18">
        <f>IF(L837="DS",DATE(RIGHT(B837,4),VLOOKUP(LEFT(B837,LEN(B837)-5),Feuil1!$E$3:$F$19,2,FALSE)+1,10),DATE(RIGHT(B837,4),VLOOKUP(LEFT(B837,LEN(B837)-5),Feuil1!$E$3:$F$19,2,FALSE)+1,7))</f>
        <v>45301</v>
      </c>
      <c r="K837" s="19">
        <f t="shared" si="2"/>
        <v>1</v>
      </c>
      <c r="L837" s="6" t="str">
        <f t="shared" si="3"/>
        <v>DS</v>
      </c>
    </row>
    <row r="838" ht="14.25" customHeight="1">
      <c r="A838" s="14" t="str">
        <f>Base_report!A836</f>
        <v>ABIDJAN 2</v>
      </c>
      <c r="B838" s="14" t="str">
        <f>Base_report!B836</f>
        <v>DECEMBRE 2023</v>
      </c>
      <c r="C838" s="15" t="str">
        <f>Base_report!C836</f>
        <v>C1029</v>
      </c>
      <c r="D838" s="14" t="str">
        <f>TRIM(IF(ISNUMBER(FIND("PNSME",Base_report!D836,1)),SUBSTITUTE(Base_report!D836,"PNSME",""),IF(ISNUMBER(FIND("PHG",Base_report!D836,1)),SUBSTITUTE(Base_report!D836,"PHG",""),IF(ISNUMBER(FIND("PCS",Base_report!D836,1)),SUBSTITUTE(Base_report!D836,"PCS",""),IF(ISNUMBER(FIND("CMU",Base_report!D836,1)),SUBSTITUTE(Base_report!D836,"CMU",""),Base_report!D836)))))</f>
        <v>CSU COM PALMERAIE</v>
      </c>
      <c r="E838" s="14" t="str">
        <f>SUBSTITUTE(Base_report!E836,"-","/")</f>
        <v>PNLP/MEDICAMENTS ET INTRANTS</v>
      </c>
      <c r="F838" s="14" t="s">
        <v>788</v>
      </c>
      <c r="G838" s="16">
        <f>DATE(YEAR(SUBSTITUTE(LEFT(Base_report!F836,10),"-","/")),MONTH(SUBSTITUTE(LEFT(Base_report!F836,10),"-","/")),DAY(SUBSTITUTE(LEFT(Base_report!F836,10),"-","/")))</f>
        <v>45296</v>
      </c>
      <c r="H838" s="16">
        <f>DATE(YEAR(SUBSTITUTE(LEFT(Base_report!G836,10),"-","/")),MONTH(SUBSTITUTE(LEFT(Base_report!G836,10),"-","/")),DAY(SUBSTITUTE(LEFT(Base_report!G836,10),"-","/")))</f>
        <v>45296</v>
      </c>
      <c r="I838" s="17" t="str">
        <f t="shared" si="1"/>
        <v>OUI</v>
      </c>
      <c r="J838" s="18">
        <f>IF(L838="DS",DATE(RIGHT(B838,4),VLOOKUP(LEFT(B838,LEN(B838)-5),Feuil1!$E$3:$F$19,2,FALSE)+1,10),DATE(RIGHT(B838,4),VLOOKUP(LEFT(B838,LEN(B838)-5),Feuil1!$E$3:$F$19,2,FALSE)+1,7))</f>
        <v>45298</v>
      </c>
      <c r="K838" s="19">
        <f t="shared" si="2"/>
        <v>1</v>
      </c>
      <c r="L838" s="6" t="str">
        <f t="shared" si="3"/>
        <v>FS</v>
      </c>
    </row>
    <row r="839" ht="14.25" customHeight="1">
      <c r="A839" s="14" t="str">
        <f>Base_report!A837</f>
        <v>HAUT-SASSANDRA</v>
      </c>
      <c r="B839" s="14" t="str">
        <f>Base_report!B837</f>
        <v>DECEMBRE 2023</v>
      </c>
      <c r="C839" s="15" t="str">
        <f>Base_report!C837</f>
        <v>C5060</v>
      </c>
      <c r="D839" s="14" t="str">
        <f>TRIM(IF(ISNUMBER(FIND("PNSME",Base_report!D837,1)),SUBSTITUTE(Base_report!D837,"PNSME",""),IF(ISNUMBER(FIND("PHG",Base_report!D837,1)),SUBSTITUTE(Base_report!D837,"PHG",""),IF(ISNUMBER(FIND("PCS",Base_report!D837,1)),SUBSTITUTE(Base_report!D837,"PCS",""),IF(ISNUMBER(FIND("CMU",Base_report!D837,1)),SUBSTITUTE(Base_report!D837,"CMU",""),Base_report!D837)))))</f>
        <v>HOPITAL GENERAL ZOUKOUGBEU</v>
      </c>
      <c r="E839" s="14" t="str">
        <f>SUBSTITUTE(Base_report!E837,"-","/")</f>
        <v>PNLP/MEDICAMENTS ET INTRANTS</v>
      </c>
      <c r="F839" s="14" t="s">
        <v>788</v>
      </c>
      <c r="G839" s="16">
        <f>DATE(YEAR(SUBSTITUTE(LEFT(Base_report!F837,10),"-","/")),MONTH(SUBSTITUTE(LEFT(Base_report!F837,10),"-","/")),DAY(SUBSTITUTE(LEFT(Base_report!F837,10),"-","/")))</f>
        <v>45295</v>
      </c>
      <c r="H839" s="16">
        <f>DATE(YEAR(SUBSTITUTE(LEFT(Base_report!G837,10),"-","/")),MONTH(SUBSTITUTE(LEFT(Base_report!G837,10),"-","/")),DAY(SUBSTITUTE(LEFT(Base_report!G837,10),"-","/")))</f>
        <v>45296</v>
      </c>
      <c r="I839" s="17" t="str">
        <f t="shared" si="1"/>
        <v>OUI</v>
      </c>
      <c r="J839" s="18">
        <f>IF(L839="DS",DATE(RIGHT(B839,4),VLOOKUP(LEFT(B839,LEN(B839)-5),Feuil1!$E$3:$F$19,2,FALSE)+1,10),DATE(RIGHT(B839,4),VLOOKUP(LEFT(B839,LEN(B839)-5),Feuil1!$E$3:$F$19,2,FALSE)+1,7))</f>
        <v>45298</v>
      </c>
      <c r="K839" s="19">
        <f t="shared" si="2"/>
        <v>1</v>
      </c>
      <c r="L839" s="6" t="str">
        <f t="shared" si="3"/>
        <v>FS</v>
      </c>
    </row>
    <row r="840" ht="14.25" customHeight="1">
      <c r="A840" s="14" t="str">
        <f>Base_report!A838</f>
        <v>AGNEBY-TIASSA</v>
      </c>
      <c r="B840" s="14" t="str">
        <f>Base_report!B838</f>
        <v>DECEMBRE 2023</v>
      </c>
      <c r="C840" s="15" t="str">
        <f>Base_report!C838</f>
        <v>C1009</v>
      </c>
      <c r="D840" s="14" t="str">
        <f>TRIM(IF(ISNUMBER(FIND("PNSME",Base_report!D838,1)),SUBSTITUTE(Base_report!D838,"PNSME",""),IF(ISNUMBER(FIND("PHG",Base_report!D838,1)),SUBSTITUTE(Base_report!D838,"PHG",""),IF(ISNUMBER(FIND("PCS",Base_report!D838,1)),SUBSTITUTE(Base_report!D838,"PCS",""),IF(ISNUMBER(FIND("CMU",Base_report!D838,1)),SUBSTITUTE(Base_report!D838,"CMU",""),Base_report!D838)))))</f>
        <v>CSU N'DOUCI</v>
      </c>
      <c r="E840" s="14" t="str">
        <f>SUBSTITUTE(Base_report!E838,"-","/")</f>
        <v>PNLP/MEDICAMENTS ET INTRANTS</v>
      </c>
      <c r="F840" s="14" t="s">
        <v>788</v>
      </c>
      <c r="G840" s="16">
        <f>DATE(YEAR(SUBSTITUTE(LEFT(Base_report!F838,10),"-","/")),MONTH(SUBSTITUTE(LEFT(Base_report!F838,10),"-","/")),DAY(SUBSTITUTE(LEFT(Base_report!F838,10),"-","/")))</f>
        <v>45296</v>
      </c>
      <c r="H840" s="16">
        <f>DATE(YEAR(SUBSTITUTE(LEFT(Base_report!G838,10),"-","/")),MONTH(SUBSTITUTE(LEFT(Base_report!G838,10),"-","/")),DAY(SUBSTITUTE(LEFT(Base_report!G838,10),"-","/")))</f>
        <v>45297</v>
      </c>
      <c r="I840" s="17" t="str">
        <f t="shared" si="1"/>
        <v>OUI</v>
      </c>
      <c r="J840" s="18">
        <f>IF(L840="DS",DATE(RIGHT(B840,4),VLOOKUP(LEFT(B840,LEN(B840)-5),Feuil1!$E$3:$F$19,2,FALSE)+1,10),DATE(RIGHT(B840,4),VLOOKUP(LEFT(B840,LEN(B840)-5),Feuil1!$E$3:$F$19,2,FALSE)+1,7))</f>
        <v>45298</v>
      </c>
      <c r="K840" s="19">
        <f t="shared" si="2"/>
        <v>1</v>
      </c>
      <c r="L840" s="6" t="str">
        <f t="shared" si="3"/>
        <v>FS</v>
      </c>
    </row>
    <row r="841" ht="14.25" customHeight="1">
      <c r="A841" s="14" t="str">
        <f>Base_report!A839</f>
        <v>GONTOUGO</v>
      </c>
      <c r="B841" s="14" t="str">
        <f>Base_report!B839</f>
        <v>DECEMBRE 2023</v>
      </c>
      <c r="C841" s="15" t="str">
        <f>Base_report!C839</f>
        <v>C4068</v>
      </c>
      <c r="D841" s="14" t="str">
        <f>TRIM(IF(ISNUMBER(FIND("PNSME",Base_report!D839,1)),SUBSTITUTE(Base_report!D839,"PNSME",""),IF(ISNUMBER(FIND("PHG",Base_report!D839,1)),SUBSTITUTE(Base_report!D839,"PHG",""),IF(ISNUMBER(FIND("PCS",Base_report!D839,1)),SUBSTITUTE(Base_report!D839,"PCS",""),IF(ISNUMBER(FIND("CMU",Base_report!D839,1)),SUBSTITUTE(Base_report!D839,"CMU",""),Base_report!D839)))))</f>
        <v>DISTRICT SANITAIRE SANDEGUE</v>
      </c>
      <c r="E841" s="14" t="str">
        <f>SUBSTITUTE(Base_report!E839,"-","/")</f>
        <v>PNLP/MEDICAMENTS ET INTRANTS</v>
      </c>
      <c r="F841" s="14" t="s">
        <v>788</v>
      </c>
      <c r="G841" s="16">
        <f>DATE(YEAR(SUBSTITUTE(LEFT(Base_report!F839,10),"-","/")),MONTH(SUBSTITUTE(LEFT(Base_report!F839,10),"-","/")),DAY(SUBSTITUTE(LEFT(Base_report!F839,10),"-","/")))</f>
        <v>45298</v>
      </c>
      <c r="H841" s="16">
        <f>DATE(YEAR(SUBSTITUTE(LEFT(Base_report!G839,10),"-","/")),MONTH(SUBSTITUTE(LEFT(Base_report!G839,10),"-","/")),DAY(SUBSTITUTE(LEFT(Base_report!G839,10),"-","/")))</f>
        <v>45298</v>
      </c>
      <c r="I841" s="17" t="str">
        <f t="shared" si="1"/>
        <v>OUI</v>
      </c>
      <c r="J841" s="18">
        <f>IF(L841="DS",DATE(RIGHT(B841,4),VLOOKUP(LEFT(B841,LEN(B841)-5),Feuil1!$E$3:$F$19,2,FALSE)+1,10),DATE(RIGHT(B841,4),VLOOKUP(LEFT(B841,LEN(B841)-5),Feuil1!$E$3:$F$19,2,FALSE)+1,7))</f>
        <v>45301</v>
      </c>
      <c r="K841" s="19">
        <f t="shared" si="2"/>
        <v>1</v>
      </c>
      <c r="L841" s="6" t="str">
        <f t="shared" si="3"/>
        <v>DS</v>
      </c>
    </row>
    <row r="842" ht="14.25" customHeight="1">
      <c r="A842" s="14" t="str">
        <f>Base_report!A840</f>
        <v>IFFOU</v>
      </c>
      <c r="B842" s="14" t="str">
        <f>Base_report!B840</f>
        <v>DECEMBRE 2023</v>
      </c>
      <c r="C842" s="15" t="str">
        <f>Base_report!C840</f>
        <v>C4025</v>
      </c>
      <c r="D842" s="14" t="str">
        <f>TRIM(IF(ISNUMBER(FIND("PNSME",Base_report!D840,1)),SUBSTITUTE(Base_report!D840,"PNSME",""),IF(ISNUMBER(FIND("PHG",Base_report!D840,1)),SUBSTITUTE(Base_report!D840,"PHG",""),IF(ISNUMBER(FIND("PCS",Base_report!D840,1)),SUBSTITUTE(Base_report!D840,"PCS",""),IF(ISNUMBER(FIND("CMU",Base_report!D840,1)),SUBSTITUTE(Base_report!D840,"CMU",""),Base_report!D840)))))</f>
        <v>HOPITAL GENERAL PRIKRO</v>
      </c>
      <c r="E842" s="14" t="str">
        <f>SUBSTITUTE(Base_report!E840,"-","/")</f>
        <v>PNLS/TESTS RAPIDES ET CONSOMMABLES</v>
      </c>
      <c r="F842" s="14" t="s">
        <v>788</v>
      </c>
      <c r="G842" s="16">
        <f>DATE(YEAR(SUBSTITUTE(LEFT(Base_report!F840,10),"-","/")),MONTH(SUBSTITUTE(LEFT(Base_report!F840,10),"-","/")),DAY(SUBSTITUTE(LEFT(Base_report!F840,10),"-","/")))</f>
        <v>45295</v>
      </c>
      <c r="H842" s="16">
        <f>DATE(YEAR(SUBSTITUTE(LEFT(Base_report!G840,10),"-","/")),MONTH(SUBSTITUTE(LEFT(Base_report!G840,10),"-","/")),DAY(SUBSTITUTE(LEFT(Base_report!G840,10),"-","/")))</f>
        <v>45295</v>
      </c>
      <c r="I842" s="17" t="str">
        <f t="shared" si="1"/>
        <v>OUI</v>
      </c>
      <c r="J842" s="18">
        <f>IF(L842="DS",DATE(RIGHT(B842,4),VLOOKUP(LEFT(B842,LEN(B842)-5),Feuil1!$E$3:$F$19,2,FALSE)+1,10),DATE(RIGHT(B842,4),VLOOKUP(LEFT(B842,LEN(B842)-5),Feuil1!$E$3:$F$19,2,FALSE)+1,7))</f>
        <v>45298</v>
      </c>
      <c r="K842" s="19">
        <f t="shared" si="2"/>
        <v>1</v>
      </c>
      <c r="L842" s="6" t="str">
        <f t="shared" si="3"/>
        <v>FS</v>
      </c>
    </row>
    <row r="843" ht="14.25" customHeight="1">
      <c r="A843" s="14" t="str">
        <f>Base_report!A841</f>
        <v>KABADOUGOU</v>
      </c>
      <c r="B843" s="14" t="str">
        <f>Base_report!B841</f>
        <v>DECEMBRE 2023</v>
      </c>
      <c r="C843" s="15" t="str">
        <f>Base_report!C841</f>
        <v>C5075</v>
      </c>
      <c r="D843" s="14" t="str">
        <f>TRIM(IF(ISNUMBER(FIND("PNSME",Base_report!D841,1)),SUBSTITUTE(Base_report!D841,"PNSME",""),IF(ISNUMBER(FIND("PHG",Base_report!D841,1)),SUBSTITUTE(Base_report!D841,"PHG",""),IF(ISNUMBER(FIND("PCS",Base_report!D841,1)),SUBSTITUTE(Base_report!D841,"PCS",""),IF(ISNUMBER(FIND("CMU",Base_report!D841,1)),SUBSTITUTE(Base_report!D841,"CMU",""),Base_report!D841)))))</f>
        <v>HOPITAL GENERAL SAMATIGUILA</v>
      </c>
      <c r="E843" s="14" t="str">
        <f>SUBSTITUTE(Base_report!E841,"-","/")</f>
        <v>PNLP/MEDICAMENTS ET INTRANTS</v>
      </c>
      <c r="F843" s="14" t="s">
        <v>788</v>
      </c>
      <c r="G843" s="16">
        <f>DATE(YEAR(SUBSTITUTE(LEFT(Base_report!F841,10),"-","/")),MONTH(SUBSTITUTE(LEFT(Base_report!F841,10),"-","/")),DAY(SUBSTITUTE(LEFT(Base_report!F841,10),"-","/")))</f>
        <v>45295</v>
      </c>
      <c r="H843" s="16">
        <f>DATE(YEAR(SUBSTITUTE(LEFT(Base_report!G841,10),"-","/")),MONTH(SUBSTITUTE(LEFT(Base_report!G841,10),"-","/")),DAY(SUBSTITUTE(LEFT(Base_report!G841,10),"-","/")))</f>
        <v>45295</v>
      </c>
      <c r="I843" s="17" t="str">
        <f t="shared" si="1"/>
        <v>OUI</v>
      </c>
      <c r="J843" s="18">
        <f>IF(L843="DS",DATE(RIGHT(B843,4),VLOOKUP(LEFT(B843,LEN(B843)-5),Feuil1!$E$3:$F$19,2,FALSE)+1,10),DATE(RIGHT(B843,4),VLOOKUP(LEFT(B843,LEN(B843)-5),Feuil1!$E$3:$F$19,2,FALSE)+1,7))</f>
        <v>45298</v>
      </c>
      <c r="K843" s="19">
        <f t="shared" si="2"/>
        <v>1</v>
      </c>
      <c r="L843" s="6" t="str">
        <f t="shared" si="3"/>
        <v>FS</v>
      </c>
    </row>
    <row r="844" ht="14.25" customHeight="1">
      <c r="A844" s="14" t="str">
        <f>Base_report!A842</f>
        <v>HAUT-SASSANDRA</v>
      </c>
      <c r="B844" s="14" t="str">
        <f>Base_report!B842</f>
        <v>DECEMBRE 2023</v>
      </c>
      <c r="C844" s="15" t="str">
        <f>Base_report!C842</f>
        <v>C2056</v>
      </c>
      <c r="D844" s="14" t="str">
        <f>TRIM(IF(ISNUMBER(FIND("PNSME",Base_report!D842,1)),SUBSTITUTE(Base_report!D842,"PNSME",""),IF(ISNUMBER(FIND("PHG",Base_report!D842,1)),SUBSTITUTE(Base_report!D842,"PHG",""),IF(ISNUMBER(FIND("PCS",Base_report!D842,1)),SUBSTITUTE(Base_report!D842,"PCS",""),IF(ISNUMBER(FIND("CMU",Base_report!D842,1)),SUBSTITUTE(Base_report!D842,"CMU",""),Base_report!D842)))))</f>
        <v>HOPITAL GENERAL ISSIA</v>
      </c>
      <c r="E844" s="14" t="str">
        <f>SUBSTITUTE(Base_report!E842,"-","/")</f>
        <v>PNSME/MEDICAMENTS ET INTRANTS</v>
      </c>
      <c r="F844" s="14" t="s">
        <v>788</v>
      </c>
      <c r="G844" s="16">
        <f>DATE(YEAR(SUBSTITUTE(LEFT(Base_report!F842,10),"-","/")),MONTH(SUBSTITUTE(LEFT(Base_report!F842,10),"-","/")),DAY(SUBSTITUTE(LEFT(Base_report!F842,10),"-","/")))</f>
        <v>45296</v>
      </c>
      <c r="H844" s="16">
        <f>DATE(YEAR(SUBSTITUTE(LEFT(Base_report!G842,10),"-","/")),MONTH(SUBSTITUTE(LEFT(Base_report!G842,10),"-","/")),DAY(SUBSTITUTE(LEFT(Base_report!G842,10),"-","/")))</f>
        <v>45296</v>
      </c>
      <c r="I844" s="17" t="str">
        <f t="shared" si="1"/>
        <v>OUI</v>
      </c>
      <c r="J844" s="18">
        <f>IF(L844="DS",DATE(RIGHT(B844,4),VLOOKUP(LEFT(B844,LEN(B844)-5),Feuil1!$E$3:$F$19,2,FALSE)+1,10),DATE(RIGHT(B844,4),VLOOKUP(LEFT(B844,LEN(B844)-5),Feuil1!$E$3:$F$19,2,FALSE)+1,7))</f>
        <v>45298</v>
      </c>
      <c r="K844" s="19">
        <f t="shared" si="2"/>
        <v>1</v>
      </c>
      <c r="L844" s="6" t="str">
        <f t="shared" si="3"/>
        <v>FS</v>
      </c>
    </row>
    <row r="845" ht="14.25" customHeight="1">
      <c r="A845" s="14" t="str">
        <f>Base_report!A843</f>
        <v>NAWA</v>
      </c>
      <c r="B845" s="14" t="str">
        <f>Base_report!B843</f>
        <v>DECEMBRE 2023</v>
      </c>
      <c r="C845" s="15" t="str">
        <f>Base_report!C843</f>
        <v>C2064</v>
      </c>
      <c r="D845" s="14" t="str">
        <f>TRIM(IF(ISNUMBER(FIND("PNSME",Base_report!D843,1)),SUBSTITUTE(Base_report!D843,"PNSME",""),IF(ISNUMBER(FIND("PHG",Base_report!D843,1)),SUBSTITUTE(Base_report!D843,"PHG",""),IF(ISNUMBER(FIND("PCS",Base_report!D843,1)),SUBSTITUTE(Base_report!D843,"PCS",""),IF(ISNUMBER(FIND("CMU",Base_report!D843,1)),SUBSTITUTE(Base_report!D843,"CMU",""),Base_report!D843)))))</f>
        <v>HOPITAL GENERAL SOUBRE</v>
      </c>
      <c r="E845" s="14" t="str">
        <f>SUBSTITUTE(Base_report!E843,"-","/")</f>
        <v>PNLS/ANTIRETROVIRAUX ET IO</v>
      </c>
      <c r="F845" s="14" t="s">
        <v>788</v>
      </c>
      <c r="G845" s="16">
        <f>DATE(YEAR(SUBSTITUTE(LEFT(Base_report!F843,10),"-","/")),MONTH(SUBSTITUTE(LEFT(Base_report!F843,10),"-","/")),DAY(SUBSTITUTE(LEFT(Base_report!F843,10),"-","/")))</f>
        <v>45295</v>
      </c>
      <c r="H845" s="16">
        <f>DATE(YEAR(SUBSTITUTE(LEFT(Base_report!G843,10),"-","/")),MONTH(SUBSTITUTE(LEFT(Base_report!G843,10),"-","/")),DAY(SUBSTITUTE(LEFT(Base_report!G843,10),"-","/")))</f>
        <v>45296</v>
      </c>
      <c r="I845" s="17" t="str">
        <f t="shared" si="1"/>
        <v>OUI</v>
      </c>
      <c r="J845" s="18">
        <f>IF(L845="DS",DATE(RIGHT(B845,4),VLOOKUP(LEFT(B845,LEN(B845)-5),Feuil1!$E$3:$F$19,2,FALSE)+1,10),DATE(RIGHT(B845,4),VLOOKUP(LEFT(B845,LEN(B845)-5),Feuil1!$E$3:$F$19,2,FALSE)+1,7))</f>
        <v>45298</v>
      </c>
      <c r="K845" s="19">
        <f t="shared" si="2"/>
        <v>1</v>
      </c>
      <c r="L845" s="6" t="str">
        <f t="shared" si="3"/>
        <v>FS</v>
      </c>
    </row>
    <row r="846" ht="14.25" customHeight="1">
      <c r="A846" s="14" t="str">
        <f>Base_report!A844</f>
        <v>ABIDJAN 1</v>
      </c>
      <c r="B846" s="14" t="str">
        <f>Base_report!B844</f>
        <v>DECEMBRE 2023</v>
      </c>
      <c r="C846" s="15" t="str">
        <f>Base_report!C844</f>
        <v>C1020</v>
      </c>
      <c r="D846" s="14" t="str">
        <f>TRIM(IF(ISNUMBER(FIND("PNSME",Base_report!D844,1)),SUBSTITUTE(Base_report!D844,"PNSME",""),IF(ISNUMBER(FIND("PHG",Base_report!D844,1)),SUBSTITUTE(Base_report!D844,"PHG",""),IF(ISNUMBER(FIND("PCS",Base_report!D844,1)),SUBSTITUTE(Base_report!D844,"PCS",""),IF(ISNUMBER(FIND("CMU",Base_report!D844,1)),SUBSTITUTE(Base_report!D844,"CMU",""),Base_report!D844)))))</f>
        <v>CSU COM AZITO</v>
      </c>
      <c r="E846" s="14" t="str">
        <f>SUBSTITUTE(Base_report!E844,"-","/")</f>
        <v>PNLP/MEDICAMENTS ET INTRANTS</v>
      </c>
      <c r="F846" s="14" t="s">
        <v>788</v>
      </c>
      <c r="G846" s="16">
        <f>DATE(YEAR(SUBSTITUTE(LEFT(Base_report!F844,10),"-","/")),MONTH(SUBSTITUTE(LEFT(Base_report!F844,10),"-","/")),DAY(SUBSTITUTE(LEFT(Base_report!F844,10),"-","/")))</f>
        <v>45296</v>
      </c>
      <c r="H846" s="16">
        <f>DATE(YEAR(SUBSTITUTE(LEFT(Base_report!G844,10),"-","/")),MONTH(SUBSTITUTE(LEFT(Base_report!G844,10),"-","/")),DAY(SUBSTITUTE(LEFT(Base_report!G844,10),"-","/")))</f>
        <v>45296</v>
      </c>
      <c r="I846" s="17" t="str">
        <f t="shared" si="1"/>
        <v>OUI</v>
      </c>
      <c r="J846" s="18">
        <f>IF(L846="DS",DATE(RIGHT(B846,4),VLOOKUP(LEFT(B846,LEN(B846)-5),Feuil1!$E$3:$F$19,2,FALSE)+1,10),DATE(RIGHT(B846,4),VLOOKUP(LEFT(B846,LEN(B846)-5),Feuil1!$E$3:$F$19,2,FALSE)+1,7))</f>
        <v>45298</v>
      </c>
      <c r="K846" s="19">
        <f t="shared" si="2"/>
        <v>1</v>
      </c>
      <c r="L846" s="6" t="str">
        <f t="shared" si="3"/>
        <v>FS</v>
      </c>
    </row>
    <row r="847" ht="14.25" customHeight="1">
      <c r="A847" s="14" t="str">
        <f>Base_report!A845</f>
        <v>ABIDJAN 1</v>
      </c>
      <c r="B847" s="14" t="str">
        <f>Base_report!B845</f>
        <v>DECEMBRE 2023</v>
      </c>
      <c r="C847" s="15" t="str">
        <f>Base_report!C845</f>
        <v>C1011</v>
      </c>
      <c r="D847" s="14" t="str">
        <f>TRIM(IF(ISNUMBER(FIND("PNSME",Base_report!D845,1)),SUBSTITUTE(Base_report!D845,"PNSME",""),IF(ISNUMBER(FIND("PHG",Base_report!D845,1)),SUBSTITUTE(Base_report!D845,"PHG",""),IF(ISNUMBER(FIND("PCS",Base_report!D845,1)),SUBSTITUTE(Base_report!D845,"PCS",""),IF(ISNUMBER(FIND("CMU",Base_report!D845,1)),SUBSTITUTE(Base_report!D845,"CMU",""),Base_report!D845)))))</f>
        <v>CSU COM ABOBO BC</v>
      </c>
      <c r="E847" s="14" t="str">
        <f>SUBSTITUTE(Base_report!E845,"-","/")</f>
        <v>PNLP/MEDICAMENTS ET INTRANTS</v>
      </c>
      <c r="F847" s="14" t="s">
        <v>788</v>
      </c>
      <c r="G847" s="16">
        <f>DATE(YEAR(SUBSTITUTE(LEFT(Base_report!F845,10),"-","/")),MONTH(SUBSTITUTE(LEFT(Base_report!F845,10),"-","/")),DAY(SUBSTITUTE(LEFT(Base_report!F845,10),"-","/")))</f>
        <v>45296</v>
      </c>
      <c r="H847" s="16">
        <f>DATE(YEAR(SUBSTITUTE(LEFT(Base_report!G845,10),"-","/")),MONTH(SUBSTITUTE(LEFT(Base_report!G845,10),"-","/")),DAY(SUBSTITUTE(LEFT(Base_report!G845,10),"-","/")))</f>
        <v>45296</v>
      </c>
      <c r="I847" s="17" t="str">
        <f t="shared" si="1"/>
        <v>OUI</v>
      </c>
      <c r="J847" s="18">
        <f>IF(L847="DS",DATE(RIGHT(B847,4),VLOOKUP(LEFT(B847,LEN(B847)-5),Feuil1!$E$3:$F$19,2,FALSE)+1,10),DATE(RIGHT(B847,4),VLOOKUP(LEFT(B847,LEN(B847)-5),Feuil1!$E$3:$F$19,2,FALSE)+1,7))</f>
        <v>45298</v>
      </c>
      <c r="K847" s="19">
        <f t="shared" si="2"/>
        <v>1</v>
      </c>
      <c r="L847" s="6" t="str">
        <f t="shared" si="3"/>
        <v>FS</v>
      </c>
    </row>
    <row r="848" ht="14.25" customHeight="1">
      <c r="A848" s="14" t="str">
        <f>Base_report!A846</f>
        <v>GUEMON</v>
      </c>
      <c r="B848" s="14" t="str">
        <f>Base_report!B846</f>
        <v>DECEMBRE 2023</v>
      </c>
      <c r="C848" s="15" t="str">
        <f>Base_report!C846</f>
        <v>C5010</v>
      </c>
      <c r="D848" s="14" t="str">
        <f>TRIM(IF(ISNUMBER(FIND("PNSME",Base_report!D846,1)),SUBSTITUTE(Base_report!D846,"PNSME",""),IF(ISNUMBER(FIND("PHG",Base_report!D846,1)),SUBSTITUTE(Base_report!D846,"PHG",""),IF(ISNUMBER(FIND("PCS",Base_report!D846,1)),SUBSTITUTE(Base_report!D846,"PCS",""),IF(ISNUMBER(FIND("CMU",Base_report!D846,1)),SUBSTITUTE(Base_report!D846,"CMU",""),Base_report!D846)))))</f>
        <v>DISTRICT SANITAIRE DUEKOUE</v>
      </c>
      <c r="E848" s="14" t="str">
        <f>SUBSTITUTE(Base_report!E846,"-","/")</f>
        <v>PNLS/ANTIRETROVIRAUX ET IO</v>
      </c>
      <c r="F848" s="14" t="s">
        <v>788</v>
      </c>
      <c r="G848" s="16">
        <f>DATE(YEAR(SUBSTITUTE(LEFT(Base_report!F846,10),"-","/")),MONTH(SUBSTITUTE(LEFT(Base_report!F846,10),"-","/")),DAY(SUBSTITUTE(LEFT(Base_report!F846,10),"-","/")))</f>
        <v>45302</v>
      </c>
      <c r="H848" s="16">
        <f>DATE(YEAR(SUBSTITUTE(LEFT(Base_report!G846,10),"-","/")),MONTH(SUBSTITUTE(LEFT(Base_report!G846,10),"-","/")),DAY(SUBSTITUTE(LEFT(Base_report!G846,10),"-","/")))</f>
        <v>45302</v>
      </c>
      <c r="I848" s="17" t="str">
        <f t="shared" si="1"/>
        <v>OUI</v>
      </c>
      <c r="J848" s="18">
        <f>IF(L848="DS",DATE(RIGHT(B848,4),VLOOKUP(LEFT(B848,LEN(B848)-5),Feuil1!$E$3:$F$19,2,FALSE)+1,10),DATE(RIGHT(B848,4),VLOOKUP(LEFT(B848,LEN(B848)-5),Feuil1!$E$3:$F$19,2,FALSE)+1,7))</f>
        <v>45301</v>
      </c>
      <c r="K848" s="19">
        <f t="shared" si="2"/>
        <v>0</v>
      </c>
      <c r="L848" s="6" t="str">
        <f t="shared" si="3"/>
        <v>DS</v>
      </c>
    </row>
    <row r="849" ht="14.25" customHeight="1">
      <c r="A849" s="14" t="str">
        <f>Base_report!A847</f>
        <v>ABIDJAN 1</v>
      </c>
      <c r="B849" s="14" t="str">
        <f>Base_report!B847</f>
        <v>DECEMBRE 2023</v>
      </c>
      <c r="C849" s="15" t="str">
        <f>Base_report!C847</f>
        <v>C1404</v>
      </c>
      <c r="D849" s="14" t="str">
        <f>TRIM(IF(ISNUMBER(FIND("PNSME",Base_report!D847,1)),SUBSTITUTE(Base_report!D847,"PNSME",""),IF(ISNUMBER(FIND("PHG",Base_report!D847,1)),SUBSTITUTE(Base_report!D847,"PHG",""),IF(ISNUMBER(FIND("PCS",Base_report!D847,1)),SUBSTITUTE(Base_report!D847,"PCS",""),IF(ISNUMBER(FIND("CMU",Base_report!D847,1)),SUBSTITUTE(Base_report!D847,"CMU",""),Base_report!D847)))))</f>
        <v>CEPREF</v>
      </c>
      <c r="E849" s="14" t="str">
        <f>SUBSTITUTE(Base_report!E847,"-","/")</f>
        <v>PNLS/PRODUITS DE LABORATOIRE</v>
      </c>
      <c r="F849" s="14" t="s">
        <v>788</v>
      </c>
      <c r="G849" s="16">
        <f>DATE(YEAR(SUBSTITUTE(LEFT(Base_report!F847,10),"-","/")),MONTH(SUBSTITUTE(LEFT(Base_report!F847,10),"-","/")),DAY(SUBSTITUTE(LEFT(Base_report!F847,10),"-","/")))</f>
        <v>45295</v>
      </c>
      <c r="H849" s="16">
        <f>DATE(YEAR(SUBSTITUTE(LEFT(Base_report!G847,10),"-","/")),MONTH(SUBSTITUTE(LEFT(Base_report!G847,10),"-","/")),DAY(SUBSTITUTE(LEFT(Base_report!G847,10),"-","/")))</f>
        <v>45295</v>
      </c>
      <c r="I849" s="17" t="str">
        <f t="shared" si="1"/>
        <v>OUI</v>
      </c>
      <c r="J849" s="18">
        <f>IF(L849="DS",DATE(RIGHT(B849,4),VLOOKUP(LEFT(B849,LEN(B849)-5),Feuil1!$E$3:$F$19,2,FALSE)+1,10),DATE(RIGHT(B849,4),VLOOKUP(LEFT(B849,LEN(B849)-5),Feuil1!$E$3:$F$19,2,FALSE)+1,7))</f>
        <v>45298</v>
      </c>
      <c r="K849" s="19">
        <f t="shared" si="2"/>
        <v>1</v>
      </c>
      <c r="L849" s="6" t="str">
        <f t="shared" si="3"/>
        <v>FS</v>
      </c>
    </row>
    <row r="850" ht="14.25" customHeight="1">
      <c r="A850" s="14" t="str">
        <f>Base_report!A848</f>
        <v>SUD-COMOE</v>
      </c>
      <c r="B850" s="14" t="str">
        <f>Base_report!B848</f>
        <v>DECEMBRE 2023</v>
      </c>
      <c r="C850" s="15" t="str">
        <f>Base_report!C848</f>
        <v>C1085</v>
      </c>
      <c r="D850" s="14" t="str">
        <f>TRIM(IF(ISNUMBER(FIND("PNSME",Base_report!D848,1)),SUBSTITUTE(Base_report!D848,"PNSME",""),IF(ISNUMBER(FIND("PHG",Base_report!D848,1)),SUBSTITUTE(Base_report!D848,"PHG",""),IF(ISNUMBER(FIND("PCS",Base_report!D848,1)),SUBSTITUTE(Base_report!D848,"PCS",""),IF(ISNUMBER(FIND("CMU",Base_report!D848,1)),SUBSTITUTE(Base_report!D848,"CMU",""),Base_report!D848)))))</f>
        <v>HOPITAL GENERAL AYAME</v>
      </c>
      <c r="E850" s="14" t="str">
        <f>SUBSTITUTE(Base_report!E848,"-","/")</f>
        <v>PNLS/ANTIRETROVIRAUX ET IO</v>
      </c>
      <c r="F850" s="14" t="s">
        <v>788</v>
      </c>
      <c r="G850" s="16">
        <f>DATE(YEAR(SUBSTITUTE(LEFT(Base_report!F848,10),"-","/")),MONTH(SUBSTITUTE(LEFT(Base_report!F848,10),"-","/")),DAY(SUBSTITUTE(LEFT(Base_report!F848,10),"-","/")))</f>
        <v>45295</v>
      </c>
      <c r="H850" s="16">
        <f>DATE(YEAR(SUBSTITUTE(LEFT(Base_report!G848,10),"-","/")),MONTH(SUBSTITUTE(LEFT(Base_report!G848,10),"-","/")),DAY(SUBSTITUTE(LEFT(Base_report!G848,10),"-","/")))</f>
        <v>45295</v>
      </c>
      <c r="I850" s="17" t="str">
        <f t="shared" si="1"/>
        <v>OUI</v>
      </c>
      <c r="J850" s="18">
        <f>IF(L850="DS",DATE(RIGHT(B850,4),VLOOKUP(LEFT(B850,LEN(B850)-5),Feuil1!$E$3:$F$19,2,FALSE)+1,10),DATE(RIGHT(B850,4),VLOOKUP(LEFT(B850,LEN(B850)-5),Feuil1!$E$3:$F$19,2,FALSE)+1,7))</f>
        <v>45298</v>
      </c>
      <c r="K850" s="19">
        <f t="shared" si="2"/>
        <v>1</v>
      </c>
      <c r="L850" s="6" t="str">
        <f t="shared" si="3"/>
        <v>FS</v>
      </c>
    </row>
    <row r="851" ht="14.25" customHeight="1">
      <c r="A851" s="14" t="str">
        <f>Base_report!A849</f>
        <v>ABIDJAN 1</v>
      </c>
      <c r="B851" s="14" t="str">
        <f>Base_report!B849</f>
        <v>DECEMBRE 2023</v>
      </c>
      <c r="C851" s="15" t="str">
        <f>Base_report!C849</f>
        <v>C1423</v>
      </c>
      <c r="D851" s="14" t="str">
        <f>TRIM(IF(ISNUMBER(FIND("PNSME",Base_report!D849,1)),SUBSTITUTE(Base_report!D849,"PNSME",""),IF(ISNUMBER(FIND("PHG",Base_report!D849,1)),SUBSTITUTE(Base_report!D849,"PHG",""),IF(ISNUMBER(FIND("PCS",Base_report!D849,1)),SUBSTITUTE(Base_report!D849,"PCS",""),IF(ISNUMBER(FIND("CMU",Base_report!D849,1)),SUBSTITUTE(Base_report!D849,"CMU",""),Base_report!D849)))))</f>
        <v>CENTRE MEDICO-SOCIAL SAINT COEUR ABOBOTE</v>
      </c>
      <c r="E851" s="14" t="str">
        <f>SUBSTITUTE(Base_report!E849,"-","/")</f>
        <v>PNLS/PRODUITS DE LABORATOIRE</v>
      </c>
      <c r="F851" s="14" t="s">
        <v>788</v>
      </c>
      <c r="G851" s="16">
        <f>DATE(YEAR(SUBSTITUTE(LEFT(Base_report!F849,10),"-","/")),MONTH(SUBSTITUTE(LEFT(Base_report!F849,10),"-","/")),DAY(SUBSTITUTE(LEFT(Base_report!F849,10),"-","/")))</f>
        <v>45295</v>
      </c>
      <c r="H851" s="16">
        <f>DATE(YEAR(SUBSTITUTE(LEFT(Base_report!G849,10),"-","/")),MONTH(SUBSTITUTE(LEFT(Base_report!G849,10),"-","/")),DAY(SUBSTITUTE(LEFT(Base_report!G849,10),"-","/")))</f>
        <v>45296</v>
      </c>
      <c r="I851" s="17" t="str">
        <f t="shared" si="1"/>
        <v>OUI</v>
      </c>
      <c r="J851" s="18">
        <f>IF(L851="DS",DATE(RIGHT(B851,4),VLOOKUP(LEFT(B851,LEN(B851)-5),Feuil1!$E$3:$F$19,2,FALSE)+1,10),DATE(RIGHT(B851,4),VLOOKUP(LEFT(B851,LEN(B851)-5),Feuil1!$E$3:$F$19,2,FALSE)+1,7))</f>
        <v>45298</v>
      </c>
      <c r="K851" s="19">
        <f t="shared" si="2"/>
        <v>1</v>
      </c>
      <c r="L851" s="6" t="str">
        <f t="shared" si="3"/>
        <v>FS</v>
      </c>
    </row>
    <row r="852" ht="14.25" customHeight="1">
      <c r="A852" s="14" t="str">
        <f>Base_report!A850</f>
        <v>BAGOUE</v>
      </c>
      <c r="B852" s="14" t="str">
        <f>Base_report!B850</f>
        <v>DECEMBRE 2023</v>
      </c>
      <c r="C852" s="15" t="str">
        <f>Base_report!C850</f>
        <v>C3010</v>
      </c>
      <c r="D852" s="14" t="str">
        <f>TRIM(IF(ISNUMBER(FIND("PNSME",Base_report!D850,1)),SUBSTITUTE(Base_report!D850,"PNSME",""),IF(ISNUMBER(FIND("PHG",Base_report!D850,1)),SUBSTITUTE(Base_report!D850,"PHG",""),IF(ISNUMBER(FIND("PCS",Base_report!D850,1)),SUBSTITUTE(Base_report!D850,"PCS",""),IF(ISNUMBER(FIND("CMU",Base_report!D850,1)),SUBSTITUTE(Base_report!D850,"CMU",""),Base_report!D850)))))</f>
        <v>HOPITAL GENERAL BOUNDIALI</v>
      </c>
      <c r="E852" s="14" t="str">
        <f>SUBSTITUTE(Base_report!E850,"-","/")</f>
        <v>PNLS/PRODUITS DE LABORATOIRE</v>
      </c>
      <c r="F852" s="14" t="s">
        <v>788</v>
      </c>
      <c r="G852" s="16">
        <f>DATE(YEAR(SUBSTITUTE(LEFT(Base_report!F850,10),"-","/")),MONTH(SUBSTITUTE(LEFT(Base_report!F850,10),"-","/")),DAY(SUBSTITUTE(LEFT(Base_report!F850,10),"-","/")))</f>
        <v>45296</v>
      </c>
      <c r="H852" s="16">
        <f>DATE(YEAR(SUBSTITUTE(LEFT(Base_report!G850,10),"-","/")),MONTH(SUBSTITUTE(LEFT(Base_report!G850,10),"-","/")),DAY(SUBSTITUTE(LEFT(Base_report!G850,10),"-","/")))</f>
        <v>45296</v>
      </c>
      <c r="I852" s="17" t="str">
        <f t="shared" si="1"/>
        <v>OUI</v>
      </c>
      <c r="J852" s="18">
        <f>IF(L852="DS",DATE(RIGHT(B852,4),VLOOKUP(LEFT(B852,LEN(B852)-5),Feuil1!$E$3:$F$19,2,FALSE)+1,10),DATE(RIGHT(B852,4),VLOOKUP(LEFT(B852,LEN(B852)-5),Feuil1!$E$3:$F$19,2,FALSE)+1,7))</f>
        <v>45298</v>
      </c>
      <c r="K852" s="19">
        <f t="shared" si="2"/>
        <v>1</v>
      </c>
      <c r="L852" s="6" t="str">
        <f t="shared" si="3"/>
        <v>FS</v>
      </c>
    </row>
    <row r="853" ht="14.25" customHeight="1">
      <c r="A853" s="14" t="str">
        <f>Base_report!A851</f>
        <v>SUD-COMOE</v>
      </c>
      <c r="B853" s="14" t="str">
        <f>Base_report!B851</f>
        <v>DECEMBRE 2023</v>
      </c>
      <c r="C853" s="15" t="str">
        <f>Base_report!C851</f>
        <v>C1003</v>
      </c>
      <c r="D853" s="14" t="str">
        <f>TRIM(IF(ISNUMBER(FIND("PNSME",Base_report!D851,1)),SUBSTITUTE(Base_report!D851,"PNSME",""),IF(ISNUMBER(FIND("PHG",Base_report!D851,1)),SUBSTITUTE(Base_report!D851,"PHG",""),IF(ISNUMBER(FIND("PCS",Base_report!D851,1)),SUBSTITUTE(Base_report!D851,"PCS",""),IF(ISNUMBER(FIND("CMU",Base_report!D851,1)),SUBSTITUTE(Base_report!D851,"CMU",""),Base_report!D851)))))</f>
        <v>CHR ABOISSO</v>
      </c>
      <c r="E853" s="14" t="str">
        <f>SUBSTITUTE(Base_report!E851,"-","/")</f>
        <v>PNN/MEDICAMENTS ET INTRANTS</v>
      </c>
      <c r="F853" s="14" t="s">
        <v>788</v>
      </c>
      <c r="G853" s="16">
        <f>DATE(YEAR(SUBSTITUTE(LEFT(Base_report!F851,10),"-","/")),MONTH(SUBSTITUTE(LEFT(Base_report!F851,10),"-","/")),DAY(SUBSTITUTE(LEFT(Base_report!F851,10),"-","/")))</f>
        <v>45296</v>
      </c>
      <c r="H853" s="16">
        <f>DATE(YEAR(SUBSTITUTE(LEFT(Base_report!G851,10),"-","/")),MONTH(SUBSTITUTE(LEFT(Base_report!G851,10),"-","/")),DAY(SUBSTITUTE(LEFT(Base_report!G851,10),"-","/")))</f>
        <v>45296</v>
      </c>
      <c r="I853" s="17" t="str">
        <f t="shared" si="1"/>
        <v>OUI</v>
      </c>
      <c r="J853" s="18">
        <f>IF(L853="DS",DATE(RIGHT(B853,4),VLOOKUP(LEFT(B853,LEN(B853)-5),Feuil1!$E$3:$F$19,2,FALSE)+1,10),DATE(RIGHT(B853,4),VLOOKUP(LEFT(B853,LEN(B853)-5),Feuil1!$E$3:$F$19,2,FALSE)+1,7))</f>
        <v>45298</v>
      </c>
      <c r="K853" s="19">
        <f t="shared" si="2"/>
        <v>1</v>
      </c>
      <c r="L853" s="6" t="str">
        <f t="shared" si="3"/>
        <v>FS</v>
      </c>
    </row>
    <row r="854" ht="14.25" customHeight="1">
      <c r="A854" s="14" t="str">
        <f>Base_report!A852</f>
        <v>BAGOUE</v>
      </c>
      <c r="B854" s="14" t="str">
        <f>Base_report!B852</f>
        <v>DECEMBRE 2023</v>
      </c>
      <c r="C854" s="15" t="str">
        <f>Base_report!C852</f>
        <v>C3010</v>
      </c>
      <c r="D854" s="14" t="str">
        <f>TRIM(IF(ISNUMBER(FIND("PNSME",Base_report!D852,1)),SUBSTITUTE(Base_report!D852,"PNSME",""),IF(ISNUMBER(FIND("PHG",Base_report!D852,1)),SUBSTITUTE(Base_report!D852,"PHG",""),IF(ISNUMBER(FIND("PCS",Base_report!D852,1)),SUBSTITUTE(Base_report!D852,"PCS",""),IF(ISNUMBER(FIND("CMU",Base_report!D852,1)),SUBSTITUTE(Base_report!D852,"CMU",""),Base_report!D852)))))</f>
        <v>HOPITAL GENERAL BOUNDIALI</v>
      </c>
      <c r="E854" s="14" t="str">
        <f>SUBSTITUTE(Base_report!E852,"-","/")</f>
        <v>PNN/MEDICAMENTS ET INTRANTS</v>
      </c>
      <c r="F854" s="14" t="s">
        <v>788</v>
      </c>
      <c r="G854" s="16">
        <f>DATE(YEAR(SUBSTITUTE(LEFT(Base_report!F852,10),"-","/")),MONTH(SUBSTITUTE(LEFT(Base_report!F852,10),"-","/")),DAY(SUBSTITUTE(LEFT(Base_report!F852,10),"-","/")))</f>
        <v>45295</v>
      </c>
      <c r="H854" s="16">
        <f>DATE(YEAR(SUBSTITUTE(LEFT(Base_report!G852,10),"-","/")),MONTH(SUBSTITUTE(LEFT(Base_report!G852,10),"-","/")),DAY(SUBSTITUTE(LEFT(Base_report!G852,10),"-","/")))</f>
        <v>45296</v>
      </c>
      <c r="I854" s="17" t="str">
        <f t="shared" si="1"/>
        <v>OUI</v>
      </c>
      <c r="J854" s="18">
        <f>IF(L854="DS",DATE(RIGHT(B854,4),VLOOKUP(LEFT(B854,LEN(B854)-5),Feuil1!$E$3:$F$19,2,FALSE)+1,10),DATE(RIGHT(B854,4),VLOOKUP(LEFT(B854,LEN(B854)-5),Feuil1!$E$3:$F$19,2,FALSE)+1,7))</f>
        <v>45298</v>
      </c>
      <c r="K854" s="19">
        <f t="shared" si="2"/>
        <v>1</v>
      </c>
      <c r="L854" s="6" t="str">
        <f t="shared" si="3"/>
        <v>FS</v>
      </c>
    </row>
    <row r="855" ht="14.25" customHeight="1">
      <c r="A855" s="14" t="str">
        <f>Base_report!A853</f>
        <v>ABIDJAN 1</v>
      </c>
      <c r="B855" s="14" t="str">
        <f>Base_report!B853</f>
        <v>DECEMBRE 2023</v>
      </c>
      <c r="C855" s="15" t="str">
        <f>Base_report!C853</f>
        <v>C1080</v>
      </c>
      <c r="D855" s="14" t="str">
        <f>TRIM(IF(ISNUMBER(FIND("PNSME",Base_report!D853,1)),SUBSTITUTE(Base_report!D853,"PNSME",""),IF(ISNUMBER(FIND("PHG",Base_report!D853,1)),SUBSTITUTE(Base_report!D853,"PHG",""),IF(ISNUMBER(FIND("PCS",Base_report!D853,1)),SUBSTITUTE(Base_report!D853,"PCS",""),IF(ISNUMBER(FIND("CMU",Base_report!D853,1)),SUBSTITUTE(Base_report!D853,"CMU",""),Base_report!D853)))))</f>
        <v>CHR ABOBO</v>
      </c>
      <c r="E855" s="14" t="str">
        <f>SUBSTITUTE(Base_report!E853,"-","/")</f>
        <v>PNLS/TESTS RAPIDES ET CONSOMMABLES</v>
      </c>
      <c r="F855" s="14" t="s">
        <v>788</v>
      </c>
      <c r="G855" s="16">
        <f>DATE(YEAR(SUBSTITUTE(LEFT(Base_report!F853,10),"-","/")),MONTH(SUBSTITUTE(LEFT(Base_report!F853,10),"-","/")),DAY(SUBSTITUTE(LEFT(Base_report!F853,10),"-","/")))</f>
        <v>45295</v>
      </c>
      <c r="H855" s="16">
        <f>DATE(YEAR(SUBSTITUTE(LEFT(Base_report!G853,10),"-","/")),MONTH(SUBSTITUTE(LEFT(Base_report!G853,10),"-","/")),DAY(SUBSTITUTE(LEFT(Base_report!G853,10),"-","/")))</f>
        <v>45295</v>
      </c>
      <c r="I855" s="17" t="str">
        <f t="shared" si="1"/>
        <v>OUI</v>
      </c>
      <c r="J855" s="18">
        <f>IF(L855="DS",DATE(RIGHT(B855,4),VLOOKUP(LEFT(B855,LEN(B855)-5),Feuil1!$E$3:$F$19,2,FALSE)+1,10),DATE(RIGHT(B855,4),VLOOKUP(LEFT(B855,LEN(B855)-5),Feuil1!$E$3:$F$19,2,FALSE)+1,7))</f>
        <v>45298</v>
      </c>
      <c r="K855" s="19">
        <f t="shared" si="2"/>
        <v>1</v>
      </c>
      <c r="L855" s="6" t="str">
        <f t="shared" si="3"/>
        <v>FS</v>
      </c>
    </row>
    <row r="856" ht="14.25" customHeight="1">
      <c r="A856" s="14" t="str">
        <f>Base_report!A854</f>
        <v>ABIDJAN 2</v>
      </c>
      <c r="B856" s="14" t="str">
        <f>Base_report!B854</f>
        <v>DECEMBRE 2023</v>
      </c>
      <c r="C856" s="15" t="str">
        <f>Base_report!C854</f>
        <v>C1391</v>
      </c>
      <c r="D856" s="14" t="str">
        <f>TRIM(IF(ISNUMBER(FIND("PNSME",Base_report!D854,1)),SUBSTITUTE(Base_report!D854,"PNSME",""),IF(ISNUMBER(FIND("PHG",Base_report!D854,1)),SUBSTITUTE(Base_report!D854,"PHG",""),IF(ISNUMBER(FIND("PCS",Base_report!D854,1)),SUBSTITUTE(Base_report!D854,"PCS",""),IF(ISNUMBER(FIND("CMU",Base_report!D854,1)),SUBSTITUTE(Base_report!D854,"CMU",""),Base_report!D854)))))</f>
        <v>SOEURS MISSION. STE THERESE ENFANT JESUS</v>
      </c>
      <c r="E856" s="14" t="str">
        <f>SUBSTITUTE(Base_report!E854,"-","/")</f>
        <v>PNLS/ANTIRETROVIRAUX ET IO</v>
      </c>
      <c r="F856" s="14" t="s">
        <v>788</v>
      </c>
      <c r="G856" s="16">
        <f>DATE(YEAR(SUBSTITUTE(LEFT(Base_report!F854,10),"-","/")),MONTH(SUBSTITUTE(LEFT(Base_report!F854,10),"-","/")),DAY(SUBSTITUTE(LEFT(Base_report!F854,10),"-","/")))</f>
        <v>45295</v>
      </c>
      <c r="H856" s="16">
        <f>DATE(YEAR(SUBSTITUTE(LEFT(Base_report!G854,10),"-","/")),MONTH(SUBSTITUTE(LEFT(Base_report!G854,10),"-","/")),DAY(SUBSTITUTE(LEFT(Base_report!G854,10),"-","/")))</f>
        <v>45295</v>
      </c>
      <c r="I856" s="17" t="str">
        <f t="shared" si="1"/>
        <v>OUI</v>
      </c>
      <c r="J856" s="18">
        <f>IF(L856="DS",DATE(RIGHT(B856,4),VLOOKUP(LEFT(B856,LEN(B856)-5),Feuil1!$E$3:$F$19,2,FALSE)+1,10),DATE(RIGHT(B856,4),VLOOKUP(LEFT(B856,LEN(B856)-5),Feuil1!$E$3:$F$19,2,FALSE)+1,7))</f>
        <v>45298</v>
      </c>
      <c r="K856" s="19">
        <f t="shared" si="2"/>
        <v>1</v>
      </c>
      <c r="L856" s="6" t="str">
        <f t="shared" si="3"/>
        <v>FS</v>
      </c>
    </row>
    <row r="857" ht="14.25" customHeight="1">
      <c r="A857" s="14" t="str">
        <f>Base_report!A855</f>
        <v>ABIDJAN 1</v>
      </c>
      <c r="B857" s="14" t="str">
        <f>Base_report!B855</f>
        <v>DECEMBRE 2023</v>
      </c>
      <c r="C857" s="15" t="str">
        <f>Base_report!C855</f>
        <v>C1905</v>
      </c>
      <c r="D857" s="14" t="str">
        <f>TRIM(IF(ISNUMBER(FIND("PNSME",Base_report!D855,1)),SUBSTITUTE(Base_report!D855,"PNSME",""),IF(ISNUMBER(FIND("PHG",Base_report!D855,1)),SUBSTITUTE(Base_report!D855,"PHG",""),IF(ISNUMBER(FIND("PCS",Base_report!D855,1)),SUBSTITUTE(Base_report!D855,"PCS",""),IF(ISNUMBER(FIND("CMU",Base_report!D855,1)),SUBSTITUTE(Base_report!D855,"CMU",""),Base_report!D855)))))</f>
        <v>CSU SONGON KASSEMBLE</v>
      </c>
      <c r="E857" s="14" t="str">
        <f>SUBSTITUTE(Base_report!E855,"-","/")</f>
        <v>PNSME_GRATUITE:MEDICAMENTS ET INTRANTS</v>
      </c>
      <c r="F857" s="14" t="s">
        <v>788</v>
      </c>
      <c r="G857" s="16">
        <f>DATE(YEAR(SUBSTITUTE(LEFT(Base_report!F855,10),"-","/")),MONTH(SUBSTITUTE(LEFT(Base_report!F855,10),"-","/")),DAY(SUBSTITUTE(LEFT(Base_report!F855,10),"-","/")))</f>
        <v>45298</v>
      </c>
      <c r="H857" s="16">
        <f>DATE(YEAR(SUBSTITUTE(LEFT(Base_report!G855,10),"-","/")),MONTH(SUBSTITUTE(LEFT(Base_report!G855,10),"-","/")),DAY(SUBSTITUTE(LEFT(Base_report!G855,10),"-","/")))</f>
        <v>45298</v>
      </c>
      <c r="I857" s="17" t="str">
        <f t="shared" si="1"/>
        <v>OUI</v>
      </c>
      <c r="J857" s="18">
        <f>IF(L857="DS",DATE(RIGHT(B857,4),VLOOKUP(LEFT(B857,LEN(B857)-5),Feuil1!$E$3:$F$19,2,FALSE)+1,10),DATE(RIGHT(B857,4),VLOOKUP(LEFT(B857,LEN(B857)-5),Feuil1!$E$3:$F$19,2,FALSE)+1,7))</f>
        <v>45298</v>
      </c>
      <c r="K857" s="19">
        <f t="shared" si="2"/>
        <v>1</v>
      </c>
      <c r="L857" s="6" t="str">
        <f t="shared" si="3"/>
        <v>FS</v>
      </c>
    </row>
    <row r="858" ht="14.25" customHeight="1">
      <c r="A858" s="14" t="str">
        <f>Base_report!A856</f>
        <v>TONKPI</v>
      </c>
      <c r="B858" s="14" t="str">
        <f>Base_report!B856</f>
        <v>DECEMBRE 2023</v>
      </c>
      <c r="C858" s="15" t="str">
        <f>Base_report!C856</f>
        <v>C5001</v>
      </c>
      <c r="D858" s="14" t="str">
        <f>TRIM(IF(ISNUMBER(FIND("PNSME",Base_report!D856,1)),SUBSTITUTE(Base_report!D856,"PNSME",""),IF(ISNUMBER(FIND("PHG",Base_report!D856,1)),SUBSTITUTE(Base_report!D856,"PHG",""),IF(ISNUMBER(FIND("PCS",Base_report!D856,1)),SUBSTITUTE(Base_report!D856,"PCS",""),IF(ISNUMBER(FIND("CMU",Base_report!D856,1)),SUBSTITUTE(Base_report!D856,"CMU",""),Base_report!D856)))))</f>
        <v>CHR MAN</v>
      </c>
      <c r="E858" s="14" t="str">
        <f>SUBSTITUTE(Base_report!E856,"-","/")</f>
        <v>PNLS/TESTS RAPIDES ET CONSOMMABLES</v>
      </c>
      <c r="F858" s="14" t="s">
        <v>788</v>
      </c>
      <c r="G858" s="16">
        <f>DATE(YEAR(SUBSTITUTE(LEFT(Base_report!F856,10),"-","/")),MONTH(SUBSTITUTE(LEFT(Base_report!F856,10),"-","/")),DAY(SUBSTITUTE(LEFT(Base_report!F856,10),"-","/")))</f>
        <v>45295</v>
      </c>
      <c r="H858" s="16">
        <f>DATE(YEAR(SUBSTITUTE(LEFT(Base_report!G856,10),"-","/")),MONTH(SUBSTITUTE(LEFT(Base_report!G856,10),"-","/")),DAY(SUBSTITUTE(LEFT(Base_report!G856,10),"-","/")))</f>
        <v>45295</v>
      </c>
      <c r="I858" s="17" t="str">
        <f t="shared" si="1"/>
        <v>OUI</v>
      </c>
      <c r="J858" s="18">
        <f>IF(L858="DS",DATE(RIGHT(B858,4),VLOOKUP(LEFT(B858,LEN(B858)-5),Feuil1!$E$3:$F$19,2,FALSE)+1,10),DATE(RIGHT(B858,4),VLOOKUP(LEFT(B858,LEN(B858)-5),Feuil1!$E$3:$F$19,2,FALSE)+1,7))</f>
        <v>45298</v>
      </c>
      <c r="K858" s="19">
        <f t="shared" si="2"/>
        <v>1</v>
      </c>
      <c r="L858" s="6" t="str">
        <f t="shared" si="3"/>
        <v>FS</v>
      </c>
    </row>
    <row r="859" ht="14.25" customHeight="1">
      <c r="A859" s="14" t="str">
        <f>Base_report!A857</f>
        <v>ABIDJAN 1</v>
      </c>
      <c r="B859" s="14" t="str">
        <f>Base_report!B857</f>
        <v>DECEMBRE 2023</v>
      </c>
      <c r="C859" s="15" t="str">
        <f>Base_report!C857</f>
        <v>C1404</v>
      </c>
      <c r="D859" s="14" t="str">
        <f>TRIM(IF(ISNUMBER(FIND("PNSME",Base_report!D857,1)),SUBSTITUTE(Base_report!D857,"PNSME",""),IF(ISNUMBER(FIND("PHG",Base_report!D857,1)),SUBSTITUTE(Base_report!D857,"PHG",""),IF(ISNUMBER(FIND("PCS",Base_report!D857,1)),SUBSTITUTE(Base_report!D857,"PCS",""),IF(ISNUMBER(FIND("CMU",Base_report!D857,1)),SUBSTITUTE(Base_report!D857,"CMU",""),Base_report!D857)))))</f>
        <v>CEPREF</v>
      </c>
      <c r="E859" s="14" t="str">
        <f>SUBSTITUTE(Base_report!E857,"-","/")</f>
        <v>PNLS/CHARGES VIRALES</v>
      </c>
      <c r="F859" s="14" t="s">
        <v>788</v>
      </c>
      <c r="G859" s="16">
        <f>DATE(YEAR(SUBSTITUTE(LEFT(Base_report!F857,10),"-","/")),MONTH(SUBSTITUTE(LEFT(Base_report!F857,10),"-","/")),DAY(SUBSTITUTE(LEFT(Base_report!F857,10),"-","/")))</f>
        <v>45295</v>
      </c>
      <c r="H859" s="16">
        <f>DATE(YEAR(SUBSTITUTE(LEFT(Base_report!G857,10),"-","/")),MONTH(SUBSTITUTE(LEFT(Base_report!G857,10),"-","/")),DAY(SUBSTITUTE(LEFT(Base_report!G857,10),"-","/")))</f>
        <v>45295</v>
      </c>
      <c r="I859" s="17" t="str">
        <f t="shared" si="1"/>
        <v>OUI</v>
      </c>
      <c r="J859" s="18">
        <f>IF(L859="DS",DATE(RIGHT(B859,4),VLOOKUP(LEFT(B859,LEN(B859)-5),Feuil1!$E$3:$F$19,2,FALSE)+1,10),DATE(RIGHT(B859,4),VLOOKUP(LEFT(B859,LEN(B859)-5),Feuil1!$E$3:$F$19,2,FALSE)+1,7))</f>
        <v>45298</v>
      </c>
      <c r="K859" s="19">
        <f t="shared" si="2"/>
        <v>1</v>
      </c>
      <c r="L859" s="6" t="str">
        <f t="shared" si="3"/>
        <v>FS</v>
      </c>
    </row>
    <row r="860" ht="14.25" customHeight="1">
      <c r="A860" s="14" t="str">
        <f>Base_report!A858</f>
        <v>BAGOUE</v>
      </c>
      <c r="B860" s="14" t="str">
        <f>Base_report!B858</f>
        <v>DECEMBRE 2023</v>
      </c>
      <c r="C860" s="15" t="str">
        <f>Base_report!C858</f>
        <v>C3010</v>
      </c>
      <c r="D860" s="14" t="str">
        <f>TRIM(IF(ISNUMBER(FIND("PNSME",Base_report!D858,1)),SUBSTITUTE(Base_report!D858,"PNSME",""),IF(ISNUMBER(FIND("PHG",Base_report!D858,1)),SUBSTITUTE(Base_report!D858,"PHG",""),IF(ISNUMBER(FIND("PCS",Base_report!D858,1)),SUBSTITUTE(Base_report!D858,"PCS",""),IF(ISNUMBER(FIND("CMU",Base_report!D858,1)),SUBSTITUTE(Base_report!D858,"CMU",""),Base_report!D858)))))</f>
        <v>HOPITAL GENERAL BOUNDIALI</v>
      </c>
      <c r="E860" s="14" t="str">
        <f>SUBSTITUTE(Base_report!E858,"-","/")</f>
        <v>PNSME/MEDICAMENTS ET INTRANTS</v>
      </c>
      <c r="F860" s="14" t="s">
        <v>788</v>
      </c>
      <c r="G860" s="16">
        <f>DATE(YEAR(SUBSTITUTE(LEFT(Base_report!F858,10),"-","/")),MONTH(SUBSTITUTE(LEFT(Base_report!F858,10),"-","/")),DAY(SUBSTITUTE(LEFT(Base_report!F858,10),"-","/")))</f>
        <v>45295</v>
      </c>
      <c r="H860" s="16">
        <f>DATE(YEAR(SUBSTITUTE(LEFT(Base_report!G858,10),"-","/")),MONTH(SUBSTITUTE(LEFT(Base_report!G858,10),"-","/")),DAY(SUBSTITUTE(LEFT(Base_report!G858,10),"-","/")))</f>
        <v>45296</v>
      </c>
      <c r="I860" s="17" t="str">
        <f t="shared" si="1"/>
        <v>OUI</v>
      </c>
      <c r="J860" s="18">
        <f>IF(L860="DS",DATE(RIGHT(B860,4),VLOOKUP(LEFT(B860,LEN(B860)-5),Feuil1!$E$3:$F$19,2,FALSE)+1,10),DATE(RIGHT(B860,4),VLOOKUP(LEFT(B860,LEN(B860)-5),Feuil1!$E$3:$F$19,2,FALSE)+1,7))</f>
        <v>45298</v>
      </c>
      <c r="K860" s="19">
        <f t="shared" si="2"/>
        <v>1</v>
      </c>
      <c r="L860" s="6" t="str">
        <f t="shared" si="3"/>
        <v>FS</v>
      </c>
    </row>
    <row r="861" ht="14.25" customHeight="1">
      <c r="A861" s="14" t="str">
        <f>Base_report!A859</f>
        <v>AGNEBY-TIASSA</v>
      </c>
      <c r="B861" s="14" t="str">
        <f>Base_report!B859</f>
        <v>DECEMBRE 2023</v>
      </c>
      <c r="C861" s="15" t="str">
        <f>Base_report!C859</f>
        <v>C1009</v>
      </c>
      <c r="D861" s="14" t="str">
        <f>TRIM(IF(ISNUMBER(FIND("PNSME",Base_report!D859,1)),SUBSTITUTE(Base_report!D859,"PNSME",""),IF(ISNUMBER(FIND("PHG",Base_report!D859,1)),SUBSTITUTE(Base_report!D859,"PHG",""),IF(ISNUMBER(FIND("PCS",Base_report!D859,1)),SUBSTITUTE(Base_report!D859,"PCS",""),IF(ISNUMBER(FIND("CMU",Base_report!D859,1)),SUBSTITUTE(Base_report!D859,"CMU",""),Base_report!D859)))))</f>
        <v>CSU N'DOUCI</v>
      </c>
      <c r="E861" s="14" t="str">
        <f>SUBSTITUTE(Base_report!E859,"-","/")</f>
        <v>PNLS/ANTIRETROVIRAUX ET IO</v>
      </c>
      <c r="F861" s="14" t="s">
        <v>788</v>
      </c>
      <c r="G861" s="16">
        <f>DATE(YEAR(SUBSTITUTE(LEFT(Base_report!F859,10),"-","/")),MONTH(SUBSTITUTE(LEFT(Base_report!F859,10),"-","/")),DAY(SUBSTITUTE(LEFT(Base_report!F859,10),"-","/")))</f>
        <v>45296</v>
      </c>
      <c r="H861" s="16">
        <f>DATE(YEAR(SUBSTITUTE(LEFT(Base_report!G859,10),"-","/")),MONTH(SUBSTITUTE(LEFT(Base_report!G859,10),"-","/")),DAY(SUBSTITUTE(LEFT(Base_report!G859,10),"-","/")))</f>
        <v>45297</v>
      </c>
      <c r="I861" s="17" t="str">
        <f t="shared" si="1"/>
        <v>OUI</v>
      </c>
      <c r="J861" s="18">
        <f>IF(L861="DS",DATE(RIGHT(B861,4),VLOOKUP(LEFT(B861,LEN(B861)-5),Feuil1!$E$3:$F$19,2,FALSE)+1,10),DATE(RIGHT(B861,4),VLOOKUP(LEFT(B861,LEN(B861)-5),Feuil1!$E$3:$F$19,2,FALSE)+1,7))</f>
        <v>45298</v>
      </c>
      <c r="K861" s="19">
        <f t="shared" si="2"/>
        <v>1</v>
      </c>
      <c r="L861" s="6" t="str">
        <f t="shared" si="3"/>
        <v>FS</v>
      </c>
    </row>
    <row r="862" ht="14.25" customHeight="1">
      <c r="A862" s="14" t="str">
        <f>Base_report!A860</f>
        <v>ABIDJAN 1</v>
      </c>
      <c r="B862" s="14" t="str">
        <f>Base_report!B860</f>
        <v>DECEMBRE 2023</v>
      </c>
      <c r="C862" s="15" t="str">
        <f>Base_report!C860</f>
        <v>C1031</v>
      </c>
      <c r="D862" s="14" t="str">
        <f>TRIM(IF(ISNUMBER(FIND("PNSME",Base_report!D860,1)),SUBSTITUTE(Base_report!D860,"PNSME",""),IF(ISNUMBER(FIND("PHG",Base_report!D860,1)),SUBSTITUTE(Base_report!D860,"PHG",""),IF(ISNUMBER(FIND("PCS",Base_report!D860,1)),SUBSTITUTE(Base_report!D860,"PCS",""),IF(ISNUMBER(FIND("CMU",Base_report!D860,1)),SUBSTITUTE(Base_report!D860,"CMU",""),Base_report!D860)))))</f>
        <v>CSU COM ASSOMIN</v>
      </c>
      <c r="E862" s="14" t="str">
        <f>SUBSTITUTE(Base_report!E860,"-","/")</f>
        <v>PNSME/MEDICAMENTS ET INTRANTS</v>
      </c>
      <c r="F862" s="14" t="s">
        <v>788</v>
      </c>
      <c r="G862" s="16">
        <f>DATE(YEAR(SUBSTITUTE(LEFT(Base_report!F860,10),"-","/")),MONTH(SUBSTITUTE(LEFT(Base_report!F860,10),"-","/")),DAY(SUBSTITUTE(LEFT(Base_report!F860,10),"-","/")))</f>
        <v>45295</v>
      </c>
      <c r="H862" s="16">
        <f>DATE(YEAR(SUBSTITUTE(LEFT(Base_report!G860,10),"-","/")),MONTH(SUBSTITUTE(LEFT(Base_report!G860,10),"-","/")),DAY(SUBSTITUTE(LEFT(Base_report!G860,10),"-","/")))</f>
        <v>45295</v>
      </c>
      <c r="I862" s="17" t="str">
        <f t="shared" si="1"/>
        <v>OUI</v>
      </c>
      <c r="J862" s="18">
        <f>IF(L862="DS",DATE(RIGHT(B862,4),VLOOKUP(LEFT(B862,LEN(B862)-5),Feuil1!$E$3:$F$19,2,FALSE)+1,10),DATE(RIGHT(B862,4),VLOOKUP(LEFT(B862,LEN(B862)-5),Feuil1!$E$3:$F$19,2,FALSE)+1,7))</f>
        <v>45298</v>
      </c>
      <c r="K862" s="19">
        <f t="shared" si="2"/>
        <v>1</v>
      </c>
      <c r="L862" s="6" t="str">
        <f t="shared" si="3"/>
        <v>FS</v>
      </c>
    </row>
    <row r="863" ht="14.25" customHeight="1">
      <c r="A863" s="14" t="str">
        <f>Base_report!A861</f>
        <v>ABIDJAN 1</v>
      </c>
      <c r="B863" s="14" t="str">
        <f>Base_report!B861</f>
        <v>DECEMBRE 2023</v>
      </c>
      <c r="C863" s="15" t="str">
        <f>Base_report!C861</f>
        <v>C1078</v>
      </c>
      <c r="D863" s="14" t="str">
        <f>TRIM(IF(ISNUMBER(FIND("PNSME",Base_report!D861,1)),SUBSTITUTE(Base_report!D861,"PNSME",""),IF(ISNUMBER(FIND("PHG",Base_report!D861,1)),SUBSTITUTE(Base_report!D861,"PHG",""),IF(ISNUMBER(FIND("PCS",Base_report!D861,1)),SUBSTITUTE(Base_report!D861,"PCS",""),IF(ISNUMBER(FIND("CMU",Base_report!D861,1)),SUBSTITUTE(Base_report!D861,"CMU",""),Base_report!D861)))))</f>
        <v>FSU COM YOPOUGON TOIT ROUGE</v>
      </c>
      <c r="E863" s="14" t="str">
        <f>SUBSTITUTE(Base_report!E861,"-","/")</f>
        <v>PNLS/CHARGES VIRALES</v>
      </c>
      <c r="F863" s="14" t="s">
        <v>788</v>
      </c>
      <c r="G863" s="16">
        <f>DATE(YEAR(SUBSTITUTE(LEFT(Base_report!F861,10),"-","/")),MONTH(SUBSTITUTE(LEFT(Base_report!F861,10),"-","/")),DAY(SUBSTITUTE(LEFT(Base_report!F861,10),"-","/")))</f>
        <v>45295</v>
      </c>
      <c r="H863" s="16">
        <f>DATE(YEAR(SUBSTITUTE(LEFT(Base_report!G861,10),"-","/")),MONTH(SUBSTITUTE(LEFT(Base_report!G861,10),"-","/")),DAY(SUBSTITUTE(LEFT(Base_report!G861,10),"-","/")))</f>
        <v>45296</v>
      </c>
      <c r="I863" s="17" t="str">
        <f t="shared" si="1"/>
        <v>OUI</v>
      </c>
      <c r="J863" s="18">
        <f>IF(L863="DS",DATE(RIGHT(B863,4),VLOOKUP(LEFT(B863,LEN(B863)-5),Feuil1!$E$3:$F$19,2,FALSE)+1,10),DATE(RIGHT(B863,4),VLOOKUP(LEFT(B863,LEN(B863)-5),Feuil1!$E$3:$F$19,2,FALSE)+1,7))</f>
        <v>45298</v>
      </c>
      <c r="K863" s="19">
        <f t="shared" si="2"/>
        <v>1</v>
      </c>
      <c r="L863" s="6" t="str">
        <f t="shared" si="3"/>
        <v>FS</v>
      </c>
    </row>
    <row r="864" ht="14.25" customHeight="1">
      <c r="A864" s="14" t="str">
        <f>Base_report!A862</f>
        <v>ME</v>
      </c>
      <c r="B864" s="14" t="str">
        <f>Base_report!B862</f>
        <v>DECEMBRE 2023</v>
      </c>
      <c r="C864" s="15" t="str">
        <f>Base_report!C862</f>
        <v>C1083</v>
      </c>
      <c r="D864" s="14" t="str">
        <f>TRIM(IF(ISNUMBER(FIND("PNSME",Base_report!D862,1)),SUBSTITUTE(Base_report!D862,"PNSME",""),IF(ISNUMBER(FIND("PHG",Base_report!D862,1)),SUBSTITUTE(Base_report!D862,"PHG",""),IF(ISNUMBER(FIND("PCS",Base_report!D862,1)),SUBSTITUTE(Base_report!D862,"PCS",""),IF(ISNUMBER(FIND("CMU",Base_report!D862,1)),SUBSTITUTE(Base_report!D862,"CMU",""),Base_report!D862)))))</f>
        <v>HOPITAL GENERAL ALEPE</v>
      </c>
      <c r="E864" s="14" t="str">
        <f>SUBSTITUTE(Base_report!E862,"-","/")</f>
        <v>PNLS/ANTIRETROVIRAUX ET IO</v>
      </c>
      <c r="F864" s="14" t="s">
        <v>788</v>
      </c>
      <c r="G864" s="16">
        <f>DATE(YEAR(SUBSTITUTE(LEFT(Base_report!F862,10),"-","/")),MONTH(SUBSTITUTE(LEFT(Base_report!F862,10),"-","/")),DAY(SUBSTITUTE(LEFT(Base_report!F862,10),"-","/")))</f>
        <v>45296</v>
      </c>
      <c r="H864" s="16">
        <f>DATE(YEAR(SUBSTITUTE(LEFT(Base_report!G862,10),"-","/")),MONTH(SUBSTITUTE(LEFT(Base_report!G862,10),"-","/")),DAY(SUBSTITUTE(LEFT(Base_report!G862,10),"-","/")))</f>
        <v>45296</v>
      </c>
      <c r="I864" s="17" t="str">
        <f t="shared" si="1"/>
        <v>OUI</v>
      </c>
      <c r="J864" s="18">
        <f>IF(L864="DS",DATE(RIGHT(B864,4),VLOOKUP(LEFT(B864,LEN(B864)-5),Feuil1!$E$3:$F$19,2,FALSE)+1,10),DATE(RIGHT(B864,4),VLOOKUP(LEFT(B864,LEN(B864)-5),Feuil1!$E$3:$F$19,2,FALSE)+1,7))</f>
        <v>45298</v>
      </c>
      <c r="K864" s="19">
        <f t="shared" si="2"/>
        <v>1</v>
      </c>
      <c r="L864" s="6" t="str">
        <f t="shared" si="3"/>
        <v>FS</v>
      </c>
    </row>
    <row r="865" ht="14.25" customHeight="1">
      <c r="A865" s="14" t="str">
        <f>Base_report!A863</f>
        <v>ABIDJAN 1</v>
      </c>
      <c r="B865" s="14" t="str">
        <f>Base_report!B863</f>
        <v>DECEMBRE 2023</v>
      </c>
      <c r="C865" s="15" t="str">
        <f>Base_report!C863</f>
        <v>C1011</v>
      </c>
      <c r="D865" s="14" t="str">
        <f>TRIM(IF(ISNUMBER(FIND("PNSME",Base_report!D863,1)),SUBSTITUTE(Base_report!D863,"PNSME",""),IF(ISNUMBER(FIND("PHG",Base_report!D863,1)),SUBSTITUTE(Base_report!D863,"PHG",""),IF(ISNUMBER(FIND("PCS",Base_report!D863,1)),SUBSTITUTE(Base_report!D863,"PCS",""),IF(ISNUMBER(FIND("CMU",Base_report!D863,1)),SUBSTITUTE(Base_report!D863,"CMU",""),Base_report!D863)))))</f>
        <v>CSU COM ABOBO BC</v>
      </c>
      <c r="E865" s="14" t="str">
        <f>SUBSTITUTE(Base_report!E863,"-","/")</f>
        <v>PNSME/MEDICAMENTS ET INTRANTS</v>
      </c>
      <c r="F865" s="14" t="s">
        <v>788</v>
      </c>
      <c r="G865" s="16">
        <f>DATE(YEAR(SUBSTITUTE(LEFT(Base_report!F863,10),"-","/")),MONTH(SUBSTITUTE(LEFT(Base_report!F863,10),"-","/")),DAY(SUBSTITUTE(LEFT(Base_report!F863,10),"-","/")))</f>
        <v>45296</v>
      </c>
      <c r="H865" s="16">
        <f>DATE(YEAR(SUBSTITUTE(LEFT(Base_report!G863,10),"-","/")),MONTH(SUBSTITUTE(LEFT(Base_report!G863,10),"-","/")),DAY(SUBSTITUTE(LEFT(Base_report!G863,10),"-","/")))</f>
        <v>45296</v>
      </c>
      <c r="I865" s="17" t="str">
        <f t="shared" si="1"/>
        <v>OUI</v>
      </c>
      <c r="J865" s="18">
        <f>IF(L865="DS",DATE(RIGHT(B865,4),VLOOKUP(LEFT(B865,LEN(B865)-5),Feuil1!$E$3:$F$19,2,FALSE)+1,10),DATE(RIGHT(B865,4),VLOOKUP(LEFT(B865,LEN(B865)-5),Feuil1!$E$3:$F$19,2,FALSE)+1,7))</f>
        <v>45298</v>
      </c>
      <c r="K865" s="19">
        <f t="shared" si="2"/>
        <v>1</v>
      </c>
      <c r="L865" s="6" t="str">
        <f t="shared" si="3"/>
        <v>FS</v>
      </c>
    </row>
    <row r="866" ht="14.25" customHeight="1">
      <c r="A866" s="14" t="str">
        <f>Base_report!A864</f>
        <v>ABIDJAN 2</v>
      </c>
      <c r="B866" s="14" t="str">
        <f>Base_report!B864</f>
        <v>DECEMBRE 2023</v>
      </c>
      <c r="C866" s="15" t="str">
        <f>Base_report!C864</f>
        <v>C1060</v>
      </c>
      <c r="D866" s="14" t="str">
        <f>TRIM(IF(ISNUMBER(FIND("PNSME",Base_report!D864,1)),SUBSTITUTE(Base_report!D864,"PNSME",""),IF(ISNUMBER(FIND("PHG",Base_report!D864,1)),SUBSTITUTE(Base_report!D864,"PHG",""),IF(ISNUMBER(FIND("PCS",Base_report!D864,1)),SUBSTITUTE(Base_report!D864,"PCS",""),IF(ISNUMBER(FIND("CMU",Base_report!D864,1)),SUBSTITUTE(Base_report!D864,"CMU",""),Base_report!D864)))))</f>
        <v>HOPITAL GENERAL MARCORY</v>
      </c>
      <c r="E866" s="14" t="str">
        <f>SUBSTITUTE(Base_report!E864,"-","/")</f>
        <v>PNLS/ANTIRETROVIRAUX ET IO</v>
      </c>
      <c r="F866" s="14" t="s">
        <v>788</v>
      </c>
      <c r="G866" s="16">
        <f>DATE(YEAR(SUBSTITUTE(LEFT(Base_report!F864,10),"-","/")),MONTH(SUBSTITUTE(LEFT(Base_report!F864,10),"-","/")),DAY(SUBSTITUTE(LEFT(Base_report!F864,10),"-","/")))</f>
        <v>45295</v>
      </c>
      <c r="H866" s="16">
        <f>DATE(YEAR(SUBSTITUTE(LEFT(Base_report!G864,10),"-","/")),MONTH(SUBSTITUTE(LEFT(Base_report!G864,10),"-","/")),DAY(SUBSTITUTE(LEFT(Base_report!G864,10),"-","/")))</f>
        <v>45295</v>
      </c>
      <c r="I866" s="17" t="str">
        <f t="shared" si="1"/>
        <v>OUI</v>
      </c>
      <c r="J866" s="18">
        <f>IF(L866="DS",DATE(RIGHT(B866,4),VLOOKUP(LEFT(B866,LEN(B866)-5),Feuil1!$E$3:$F$19,2,FALSE)+1,10),DATE(RIGHT(B866,4),VLOOKUP(LEFT(B866,LEN(B866)-5),Feuil1!$E$3:$F$19,2,FALSE)+1,7))</f>
        <v>45298</v>
      </c>
      <c r="K866" s="19">
        <f t="shared" si="2"/>
        <v>1</v>
      </c>
      <c r="L866" s="6" t="str">
        <f t="shared" si="3"/>
        <v>FS</v>
      </c>
    </row>
    <row r="867" ht="14.25" customHeight="1">
      <c r="A867" s="14" t="str">
        <f>Base_report!A865</f>
        <v>TCHOLOGO</v>
      </c>
      <c r="B867" s="14" t="str">
        <f>Base_report!B865</f>
        <v>DECEMBRE 2023</v>
      </c>
      <c r="C867" s="15" t="str">
        <f>Base_report!C865</f>
        <v>C2225</v>
      </c>
      <c r="D867" s="14" t="str">
        <f>TRIM(IF(ISNUMBER(FIND("PNSME",Base_report!D865,1)),SUBSTITUTE(Base_report!D865,"PNSME",""),IF(ISNUMBER(FIND("PHG",Base_report!D865,1)),SUBSTITUTE(Base_report!D865,"PHG",""),IF(ISNUMBER(FIND("PCS",Base_report!D865,1)),SUBSTITUTE(Base_report!D865,"PCS",""),IF(ISNUMBER(FIND("CMU",Base_report!D865,1)),SUBSTITUTE(Base_report!D865,"CMU",""),Base_report!D865)))))</f>
        <v>HOPITAL GENERAL KONG</v>
      </c>
      <c r="E867" s="14" t="str">
        <f>SUBSTITUTE(Base_report!E865,"-","/")</f>
        <v>PNSME/MEDICAMENTS ET INTRANTS</v>
      </c>
      <c r="F867" s="14" t="s">
        <v>788</v>
      </c>
      <c r="G867" s="16">
        <f>DATE(YEAR(SUBSTITUTE(LEFT(Base_report!F865,10),"-","/")),MONTH(SUBSTITUTE(LEFT(Base_report!F865,10),"-","/")),DAY(SUBSTITUTE(LEFT(Base_report!F865,10),"-","/")))</f>
        <v>45295</v>
      </c>
      <c r="H867" s="16">
        <f>DATE(YEAR(SUBSTITUTE(LEFT(Base_report!G865,10),"-","/")),MONTH(SUBSTITUTE(LEFT(Base_report!G865,10),"-","/")),DAY(SUBSTITUTE(LEFT(Base_report!G865,10),"-","/")))</f>
        <v>45298</v>
      </c>
      <c r="I867" s="17" t="str">
        <f t="shared" si="1"/>
        <v>OUI</v>
      </c>
      <c r="J867" s="18">
        <f>IF(L867="DS",DATE(RIGHT(B867,4),VLOOKUP(LEFT(B867,LEN(B867)-5),Feuil1!$E$3:$F$19,2,FALSE)+1,10),DATE(RIGHT(B867,4),VLOOKUP(LEFT(B867,LEN(B867)-5),Feuil1!$E$3:$F$19,2,FALSE)+1,7))</f>
        <v>45298</v>
      </c>
      <c r="K867" s="19">
        <f t="shared" si="2"/>
        <v>1</v>
      </c>
      <c r="L867" s="6" t="str">
        <f t="shared" si="3"/>
        <v>FS</v>
      </c>
    </row>
    <row r="868" ht="14.25" customHeight="1">
      <c r="A868" s="14" t="str">
        <f>Base_report!A866</f>
        <v>ABIDJAN 1</v>
      </c>
      <c r="B868" s="14" t="str">
        <f>Base_report!B866</f>
        <v>DECEMBRE 2023</v>
      </c>
      <c r="C868" s="15" t="str">
        <f>Base_report!C866</f>
        <v>C1905</v>
      </c>
      <c r="D868" s="14" t="str">
        <f>TRIM(IF(ISNUMBER(FIND("PNSME",Base_report!D866,1)),SUBSTITUTE(Base_report!D866,"PNSME",""),IF(ISNUMBER(FIND("PHG",Base_report!D866,1)),SUBSTITUTE(Base_report!D866,"PHG",""),IF(ISNUMBER(FIND("PCS",Base_report!D866,1)),SUBSTITUTE(Base_report!D866,"PCS",""),IF(ISNUMBER(FIND("CMU",Base_report!D866,1)),SUBSTITUTE(Base_report!D866,"CMU",""),Base_report!D866)))))</f>
        <v>CSU SONGON KASSEMBLE</v>
      </c>
      <c r="E868" s="14" t="str">
        <f>SUBSTITUTE(Base_report!E866,"-","/")</f>
        <v>PNLS/TESTS RAPIDES ET CONSOMMABLES</v>
      </c>
      <c r="F868" s="14" t="s">
        <v>788</v>
      </c>
      <c r="G868" s="16">
        <f>DATE(YEAR(SUBSTITUTE(LEFT(Base_report!F866,10),"-","/")),MONTH(SUBSTITUTE(LEFT(Base_report!F866,10),"-","/")),DAY(SUBSTITUTE(LEFT(Base_report!F866,10),"-","/")))</f>
        <v>45298</v>
      </c>
      <c r="H868" s="16">
        <f>DATE(YEAR(SUBSTITUTE(LEFT(Base_report!G866,10),"-","/")),MONTH(SUBSTITUTE(LEFT(Base_report!G866,10),"-","/")),DAY(SUBSTITUTE(LEFT(Base_report!G866,10),"-","/")))</f>
        <v>45298</v>
      </c>
      <c r="I868" s="17" t="str">
        <f t="shared" si="1"/>
        <v>OUI</v>
      </c>
      <c r="J868" s="18">
        <f>IF(L868="DS",DATE(RIGHT(B868,4),VLOOKUP(LEFT(B868,LEN(B868)-5),Feuil1!$E$3:$F$19,2,FALSE)+1,10),DATE(RIGHT(B868,4),VLOOKUP(LEFT(B868,LEN(B868)-5),Feuil1!$E$3:$F$19,2,FALSE)+1,7))</f>
        <v>45298</v>
      </c>
      <c r="K868" s="19">
        <f t="shared" si="2"/>
        <v>1</v>
      </c>
      <c r="L868" s="6" t="str">
        <f t="shared" si="3"/>
        <v>FS</v>
      </c>
    </row>
    <row r="869" ht="14.25" customHeight="1">
      <c r="A869" s="14" t="str">
        <f>Base_report!A867</f>
        <v>AGNEBY-TIASSA</v>
      </c>
      <c r="B869" s="14" t="str">
        <f>Base_report!B867</f>
        <v>DECEMBRE 2023</v>
      </c>
      <c r="C869" s="15" t="str">
        <f>Base_report!C867</f>
        <v>C1009</v>
      </c>
      <c r="D869" s="14" t="str">
        <f>TRIM(IF(ISNUMBER(FIND("PNSME",Base_report!D867,1)),SUBSTITUTE(Base_report!D867,"PNSME",""),IF(ISNUMBER(FIND("PHG",Base_report!D867,1)),SUBSTITUTE(Base_report!D867,"PHG",""),IF(ISNUMBER(FIND("PCS",Base_report!D867,1)),SUBSTITUTE(Base_report!D867,"PCS",""),IF(ISNUMBER(FIND("CMU",Base_report!D867,1)),SUBSTITUTE(Base_report!D867,"CMU",""),Base_report!D867)))))</f>
        <v>CSU N'DOUCI</v>
      </c>
      <c r="E869" s="14" t="str">
        <f>SUBSTITUTE(Base_report!E867,"-","/")</f>
        <v>PNLS/TESTS RAPIDES ET CONSOMMABLES</v>
      </c>
      <c r="F869" s="14" t="s">
        <v>788</v>
      </c>
      <c r="G869" s="16">
        <f>DATE(YEAR(SUBSTITUTE(LEFT(Base_report!F867,10),"-","/")),MONTH(SUBSTITUTE(LEFT(Base_report!F867,10),"-","/")),DAY(SUBSTITUTE(LEFT(Base_report!F867,10),"-","/")))</f>
        <v>45296</v>
      </c>
      <c r="H869" s="16">
        <f>DATE(YEAR(SUBSTITUTE(LEFT(Base_report!G867,10),"-","/")),MONTH(SUBSTITUTE(LEFT(Base_report!G867,10),"-","/")),DAY(SUBSTITUTE(LEFT(Base_report!G867,10),"-","/")))</f>
        <v>45297</v>
      </c>
      <c r="I869" s="17" t="str">
        <f t="shared" si="1"/>
        <v>OUI</v>
      </c>
      <c r="J869" s="18">
        <f>IF(L869="DS",DATE(RIGHT(B869,4),VLOOKUP(LEFT(B869,LEN(B869)-5),Feuil1!$E$3:$F$19,2,FALSE)+1,10),DATE(RIGHT(B869,4),VLOOKUP(LEFT(B869,LEN(B869)-5),Feuil1!$E$3:$F$19,2,FALSE)+1,7))</f>
        <v>45298</v>
      </c>
      <c r="K869" s="19">
        <f t="shared" si="2"/>
        <v>1</v>
      </c>
      <c r="L869" s="6" t="str">
        <f t="shared" si="3"/>
        <v>FS</v>
      </c>
    </row>
    <row r="870" ht="14.25" customHeight="1">
      <c r="A870" s="14" t="str">
        <f>Base_report!A868</f>
        <v>HAUT-SASSANDRA</v>
      </c>
      <c r="B870" s="14" t="str">
        <f>Base_report!B868</f>
        <v>DECEMBRE 2023</v>
      </c>
      <c r="C870" s="15" t="str">
        <f>Base_report!C868</f>
        <v>C2056</v>
      </c>
      <c r="D870" s="14" t="str">
        <f>TRIM(IF(ISNUMBER(FIND("PNSME",Base_report!D868,1)),SUBSTITUTE(Base_report!D868,"PNSME",""),IF(ISNUMBER(FIND("PHG",Base_report!D868,1)),SUBSTITUTE(Base_report!D868,"PHG",""),IF(ISNUMBER(FIND("PCS",Base_report!D868,1)),SUBSTITUTE(Base_report!D868,"PCS",""),IF(ISNUMBER(FIND("CMU",Base_report!D868,1)),SUBSTITUTE(Base_report!D868,"CMU",""),Base_report!D868)))))</f>
        <v>HOPITAL GENERAL ISSIA</v>
      </c>
      <c r="E870" s="14" t="str">
        <f>SUBSTITUTE(Base_report!E868,"-","/")</f>
        <v>PNN/MEDICAMENTS ET INTRANTS</v>
      </c>
      <c r="F870" s="14" t="s">
        <v>788</v>
      </c>
      <c r="G870" s="16">
        <f>DATE(YEAR(SUBSTITUTE(LEFT(Base_report!F868,10),"-","/")),MONTH(SUBSTITUTE(LEFT(Base_report!F868,10),"-","/")),DAY(SUBSTITUTE(LEFT(Base_report!F868,10),"-","/")))</f>
        <v>45296</v>
      </c>
      <c r="H870" s="16">
        <f>DATE(YEAR(SUBSTITUTE(LEFT(Base_report!G868,10),"-","/")),MONTH(SUBSTITUTE(LEFT(Base_report!G868,10),"-","/")),DAY(SUBSTITUTE(LEFT(Base_report!G868,10),"-","/")))</f>
        <v>45296</v>
      </c>
      <c r="I870" s="17" t="str">
        <f t="shared" si="1"/>
        <v>OUI</v>
      </c>
      <c r="J870" s="18">
        <f>IF(L870="DS",DATE(RIGHT(B870,4),VLOOKUP(LEFT(B870,LEN(B870)-5),Feuil1!$E$3:$F$19,2,FALSE)+1,10),DATE(RIGHT(B870,4),VLOOKUP(LEFT(B870,LEN(B870)-5),Feuil1!$E$3:$F$19,2,FALSE)+1,7))</f>
        <v>45298</v>
      </c>
      <c r="K870" s="19">
        <f t="shared" si="2"/>
        <v>1</v>
      </c>
      <c r="L870" s="6" t="str">
        <f t="shared" si="3"/>
        <v>FS</v>
      </c>
    </row>
    <row r="871" ht="14.25" customHeight="1">
      <c r="A871" s="14" t="str">
        <f>Base_report!A869</f>
        <v>CAVALLY</v>
      </c>
      <c r="B871" s="14" t="str">
        <f>Base_report!B869</f>
        <v>DECEMBRE 2023</v>
      </c>
      <c r="C871" s="15" t="str">
        <f>Base_report!C869</f>
        <v>C5085</v>
      </c>
      <c r="D871" s="14" t="str">
        <f>TRIM(IF(ISNUMBER(FIND("PNSME",Base_report!D869,1)),SUBSTITUTE(Base_report!D869,"PNSME",""),IF(ISNUMBER(FIND("PHG",Base_report!D869,1)),SUBSTITUTE(Base_report!D869,"PHG",""),IF(ISNUMBER(FIND("PCS",Base_report!D869,1)),SUBSTITUTE(Base_report!D869,"PCS",""),IF(ISNUMBER(FIND("CMU",Base_report!D869,1)),SUBSTITUTE(Base_report!D869,"CMU",""),Base_report!D869)))))</f>
        <v>HOPITAL GENERAL TAI</v>
      </c>
      <c r="E871" s="14" t="str">
        <f>SUBSTITUTE(Base_report!E869,"-","/")</f>
        <v>PNLS/PRODUITS DE LABORATOIRE</v>
      </c>
      <c r="F871" s="14" t="s">
        <v>788</v>
      </c>
      <c r="G871" s="16">
        <f>DATE(YEAR(SUBSTITUTE(LEFT(Base_report!F869,10),"-","/")),MONTH(SUBSTITUTE(LEFT(Base_report!F869,10),"-","/")),DAY(SUBSTITUTE(LEFT(Base_report!F869,10),"-","/")))</f>
        <v>45296</v>
      </c>
      <c r="H871" s="16">
        <f>DATE(YEAR(SUBSTITUTE(LEFT(Base_report!G869,10),"-","/")),MONTH(SUBSTITUTE(LEFT(Base_report!G869,10),"-","/")),DAY(SUBSTITUTE(LEFT(Base_report!G869,10),"-","/")))</f>
        <v>45296</v>
      </c>
      <c r="I871" s="17" t="str">
        <f t="shared" si="1"/>
        <v>OUI</v>
      </c>
      <c r="J871" s="18">
        <f>IF(L871="DS",DATE(RIGHT(B871,4),VLOOKUP(LEFT(B871,LEN(B871)-5),Feuil1!$E$3:$F$19,2,FALSE)+1,10),DATE(RIGHT(B871,4),VLOOKUP(LEFT(B871,LEN(B871)-5),Feuil1!$E$3:$F$19,2,FALSE)+1,7))</f>
        <v>45298</v>
      </c>
      <c r="K871" s="19">
        <f t="shared" si="2"/>
        <v>1</v>
      </c>
      <c r="L871" s="6" t="str">
        <f t="shared" si="3"/>
        <v>FS</v>
      </c>
    </row>
    <row r="872" ht="14.25" customHeight="1">
      <c r="A872" s="14" t="str">
        <f>Base_report!A870</f>
        <v>ABIDJAN 2</v>
      </c>
      <c r="B872" s="14" t="str">
        <f>Base_report!B870</f>
        <v>DECEMBRE 2023</v>
      </c>
      <c r="C872" s="15" t="str">
        <f>Base_report!C870</f>
        <v>C1060</v>
      </c>
      <c r="D872" s="14" t="str">
        <f>TRIM(IF(ISNUMBER(FIND("PNSME",Base_report!D870,1)),SUBSTITUTE(Base_report!D870,"PNSME",""),IF(ISNUMBER(FIND("PHG",Base_report!D870,1)),SUBSTITUTE(Base_report!D870,"PHG",""),IF(ISNUMBER(FIND("PCS",Base_report!D870,1)),SUBSTITUTE(Base_report!D870,"PCS",""),IF(ISNUMBER(FIND("CMU",Base_report!D870,1)),SUBSTITUTE(Base_report!D870,"CMU",""),Base_report!D870)))))</f>
        <v>HOPITAL GENERAL MARCORY</v>
      </c>
      <c r="E872" s="14" t="str">
        <f>SUBSTITUTE(Base_report!E870,"-","/")</f>
        <v>PNLS/TESTS RAPIDES ET CONSOMMABLES</v>
      </c>
      <c r="F872" s="14" t="s">
        <v>788</v>
      </c>
      <c r="G872" s="16">
        <f>DATE(YEAR(SUBSTITUTE(LEFT(Base_report!F870,10),"-","/")),MONTH(SUBSTITUTE(LEFT(Base_report!F870,10),"-","/")),DAY(SUBSTITUTE(LEFT(Base_report!F870,10),"-","/")))</f>
        <v>45295</v>
      </c>
      <c r="H872" s="16">
        <f>DATE(YEAR(SUBSTITUTE(LEFT(Base_report!G870,10),"-","/")),MONTH(SUBSTITUTE(LEFT(Base_report!G870,10),"-","/")),DAY(SUBSTITUTE(LEFT(Base_report!G870,10),"-","/")))</f>
        <v>45295</v>
      </c>
      <c r="I872" s="17" t="str">
        <f t="shared" si="1"/>
        <v>OUI</v>
      </c>
      <c r="J872" s="18">
        <f>IF(L872="DS",DATE(RIGHT(B872,4),VLOOKUP(LEFT(B872,LEN(B872)-5),Feuil1!$E$3:$F$19,2,FALSE)+1,10),DATE(RIGHT(B872,4),VLOOKUP(LEFT(B872,LEN(B872)-5),Feuil1!$E$3:$F$19,2,FALSE)+1,7))</f>
        <v>45298</v>
      </c>
      <c r="K872" s="19">
        <f t="shared" si="2"/>
        <v>1</v>
      </c>
      <c r="L872" s="6" t="str">
        <f t="shared" si="3"/>
        <v>FS</v>
      </c>
    </row>
    <row r="873" ht="14.25" customHeight="1">
      <c r="A873" s="14" t="str">
        <f>Base_report!A871</f>
        <v>ABIDJAN 1</v>
      </c>
      <c r="B873" s="14" t="str">
        <f>Base_report!B871</f>
        <v>DECEMBRE 2023</v>
      </c>
      <c r="C873" s="15" t="str">
        <f>Base_report!C871</f>
        <v>C1080</v>
      </c>
      <c r="D873" s="14" t="str">
        <f>TRIM(IF(ISNUMBER(FIND("PNSME",Base_report!D871,1)),SUBSTITUTE(Base_report!D871,"PNSME",""),IF(ISNUMBER(FIND("PHG",Base_report!D871,1)),SUBSTITUTE(Base_report!D871,"PHG",""),IF(ISNUMBER(FIND("PCS",Base_report!D871,1)),SUBSTITUTE(Base_report!D871,"PCS",""),IF(ISNUMBER(FIND("CMU",Base_report!D871,1)),SUBSTITUTE(Base_report!D871,"CMU",""),Base_report!D871)))))</f>
        <v>CHR ABOBO</v>
      </c>
      <c r="E873" s="14" t="str">
        <f>SUBSTITUTE(Base_report!E871,"-","/")</f>
        <v>PNN/MEDICAMENTS ET INTRANTS</v>
      </c>
      <c r="F873" s="14" t="s">
        <v>788</v>
      </c>
      <c r="G873" s="16">
        <f>DATE(YEAR(SUBSTITUTE(LEFT(Base_report!F871,10),"-","/")),MONTH(SUBSTITUTE(LEFT(Base_report!F871,10),"-","/")),DAY(SUBSTITUTE(LEFT(Base_report!F871,10),"-","/")))</f>
        <v>45295</v>
      </c>
      <c r="H873" s="16">
        <f>DATE(YEAR(SUBSTITUTE(LEFT(Base_report!G871,10),"-","/")),MONTH(SUBSTITUTE(LEFT(Base_report!G871,10),"-","/")),DAY(SUBSTITUTE(LEFT(Base_report!G871,10),"-","/")))</f>
        <v>45295</v>
      </c>
      <c r="I873" s="17" t="str">
        <f t="shared" si="1"/>
        <v>OUI</v>
      </c>
      <c r="J873" s="18">
        <f>IF(L873="DS",DATE(RIGHT(B873,4),VLOOKUP(LEFT(B873,LEN(B873)-5),Feuil1!$E$3:$F$19,2,FALSE)+1,10),DATE(RIGHT(B873,4),VLOOKUP(LEFT(B873,LEN(B873)-5),Feuil1!$E$3:$F$19,2,FALSE)+1,7))</f>
        <v>45298</v>
      </c>
      <c r="K873" s="19">
        <f t="shared" si="2"/>
        <v>1</v>
      </c>
      <c r="L873" s="6" t="str">
        <f t="shared" si="3"/>
        <v>FS</v>
      </c>
    </row>
    <row r="874" ht="14.25" customHeight="1">
      <c r="A874" s="14" t="str">
        <f>Base_report!A872</f>
        <v>KABADOUGOU</v>
      </c>
      <c r="B874" s="14" t="str">
        <f>Base_report!B872</f>
        <v>DECEMBRE 2023</v>
      </c>
      <c r="C874" s="15" t="str">
        <f>Base_report!C872</f>
        <v>C5075</v>
      </c>
      <c r="D874" s="14" t="str">
        <f>TRIM(IF(ISNUMBER(FIND("PNSME",Base_report!D872,1)),SUBSTITUTE(Base_report!D872,"PNSME",""),IF(ISNUMBER(FIND("PHG",Base_report!D872,1)),SUBSTITUTE(Base_report!D872,"PHG",""),IF(ISNUMBER(FIND("PCS",Base_report!D872,1)),SUBSTITUTE(Base_report!D872,"PCS",""),IF(ISNUMBER(FIND("CMU",Base_report!D872,1)),SUBSTITUTE(Base_report!D872,"CMU",""),Base_report!D872)))))</f>
        <v>HOPITAL GENERAL SAMATIGUILA</v>
      </c>
      <c r="E874" s="14" t="str">
        <f>SUBSTITUTE(Base_report!E872,"-","/")</f>
        <v>PNLS/ANTIRETROVIRAUX ET IO</v>
      </c>
      <c r="F874" s="14" t="s">
        <v>788</v>
      </c>
      <c r="G874" s="16">
        <f>DATE(YEAR(SUBSTITUTE(LEFT(Base_report!F872,10),"-","/")),MONTH(SUBSTITUTE(LEFT(Base_report!F872,10),"-","/")),DAY(SUBSTITUTE(LEFT(Base_report!F872,10),"-","/")))</f>
        <v>45295</v>
      </c>
      <c r="H874" s="16">
        <f>DATE(YEAR(SUBSTITUTE(LEFT(Base_report!G872,10),"-","/")),MONTH(SUBSTITUTE(LEFT(Base_report!G872,10),"-","/")),DAY(SUBSTITUTE(LEFT(Base_report!G872,10),"-","/")))</f>
        <v>45295</v>
      </c>
      <c r="I874" s="17" t="str">
        <f t="shared" si="1"/>
        <v>OUI</v>
      </c>
      <c r="J874" s="18">
        <f>IF(L874="DS",DATE(RIGHT(B874,4),VLOOKUP(LEFT(B874,LEN(B874)-5),Feuil1!$E$3:$F$19,2,FALSE)+1,10),DATE(RIGHT(B874,4),VLOOKUP(LEFT(B874,LEN(B874)-5),Feuil1!$E$3:$F$19,2,FALSE)+1,7))</f>
        <v>45298</v>
      </c>
      <c r="K874" s="19">
        <f t="shared" si="2"/>
        <v>1</v>
      </c>
      <c r="L874" s="6" t="str">
        <f t="shared" si="3"/>
        <v>FS</v>
      </c>
    </row>
    <row r="875" ht="14.25" customHeight="1">
      <c r="A875" s="14" t="str">
        <f>Base_report!A873</f>
        <v>MARAHOUE</v>
      </c>
      <c r="B875" s="14" t="str">
        <f>Base_report!B873</f>
        <v>DECEMBRE 2023</v>
      </c>
      <c r="C875" s="15" t="str">
        <f>Base_report!C873</f>
        <v>C2071</v>
      </c>
      <c r="D875" s="14" t="str">
        <f>TRIM(IF(ISNUMBER(FIND("PNSME",Base_report!D873,1)),SUBSTITUTE(Base_report!D873,"PNSME",""),IF(ISNUMBER(FIND("PHG",Base_report!D873,1)),SUBSTITUTE(Base_report!D873,"PHG",""),IF(ISNUMBER(FIND("PCS",Base_report!D873,1)),SUBSTITUTE(Base_report!D873,"PCS",""),IF(ISNUMBER(FIND("CMU",Base_report!D873,1)),SUBSTITUTE(Base_report!D873,"CMU",""),Base_report!D873)))))</f>
        <v>HOPITAL GENERAL ZUENOULA</v>
      </c>
      <c r="E875" s="14" t="str">
        <f>SUBSTITUTE(Base_report!E873,"-","/")</f>
        <v>PNN/MEDICAMENTS ET INTRANTS</v>
      </c>
      <c r="F875" s="14" t="s">
        <v>788</v>
      </c>
      <c r="G875" s="16">
        <f>DATE(YEAR(SUBSTITUTE(LEFT(Base_report!F873,10),"-","/")),MONTH(SUBSTITUTE(LEFT(Base_report!F873,10),"-","/")),DAY(SUBSTITUTE(LEFT(Base_report!F873,10),"-","/")))</f>
        <v>45298</v>
      </c>
      <c r="H875" s="16">
        <f>DATE(YEAR(SUBSTITUTE(LEFT(Base_report!G873,10),"-","/")),MONTH(SUBSTITUTE(LEFT(Base_report!G873,10),"-","/")),DAY(SUBSTITUTE(LEFT(Base_report!G873,10),"-","/")))</f>
        <v>45298</v>
      </c>
      <c r="I875" s="17" t="str">
        <f t="shared" si="1"/>
        <v>OUI</v>
      </c>
      <c r="J875" s="18">
        <f>IF(L875="DS",DATE(RIGHT(B875,4),VLOOKUP(LEFT(B875,LEN(B875)-5),Feuil1!$E$3:$F$19,2,FALSE)+1,10),DATE(RIGHT(B875,4),VLOOKUP(LEFT(B875,LEN(B875)-5),Feuil1!$E$3:$F$19,2,FALSE)+1,7))</f>
        <v>45298</v>
      </c>
      <c r="K875" s="19">
        <f t="shared" si="2"/>
        <v>1</v>
      </c>
      <c r="L875" s="6" t="str">
        <f t="shared" si="3"/>
        <v>FS</v>
      </c>
    </row>
    <row r="876" ht="14.25" customHeight="1">
      <c r="A876" s="14" t="str">
        <f>Base_report!A874</f>
        <v>ABIDJAN 1</v>
      </c>
      <c r="B876" s="14" t="str">
        <f>Base_report!B874</f>
        <v>DECEMBRE 2023</v>
      </c>
      <c r="C876" s="15" t="str">
        <f>Base_report!C874</f>
        <v>C1080</v>
      </c>
      <c r="D876" s="14" t="str">
        <f>TRIM(IF(ISNUMBER(FIND("PNSME",Base_report!D874,1)),SUBSTITUTE(Base_report!D874,"PNSME",""),IF(ISNUMBER(FIND("PHG",Base_report!D874,1)),SUBSTITUTE(Base_report!D874,"PHG",""),IF(ISNUMBER(FIND("PCS",Base_report!D874,1)),SUBSTITUTE(Base_report!D874,"PCS",""),IF(ISNUMBER(FIND("CMU",Base_report!D874,1)),SUBSTITUTE(Base_report!D874,"CMU",""),Base_report!D874)))))</f>
        <v>CHR ABOBO</v>
      </c>
      <c r="E876" s="14" t="str">
        <f>SUBSTITUTE(Base_report!E874,"-","/")</f>
        <v>PNSME/MEDICAMENTS ET INTRANTS</v>
      </c>
      <c r="F876" s="14" t="s">
        <v>788</v>
      </c>
      <c r="G876" s="16">
        <f>DATE(YEAR(SUBSTITUTE(LEFT(Base_report!F874,10),"-","/")),MONTH(SUBSTITUTE(LEFT(Base_report!F874,10),"-","/")),DAY(SUBSTITUTE(LEFT(Base_report!F874,10),"-","/")))</f>
        <v>45295</v>
      </c>
      <c r="H876" s="16">
        <f>DATE(YEAR(SUBSTITUTE(LEFT(Base_report!G874,10),"-","/")),MONTH(SUBSTITUTE(LEFT(Base_report!G874,10),"-","/")),DAY(SUBSTITUTE(LEFT(Base_report!G874,10),"-","/")))</f>
        <v>45295</v>
      </c>
      <c r="I876" s="17" t="str">
        <f t="shared" si="1"/>
        <v>OUI</v>
      </c>
      <c r="J876" s="18">
        <f>IF(L876="DS",DATE(RIGHT(B876,4),VLOOKUP(LEFT(B876,LEN(B876)-5),Feuil1!$E$3:$F$19,2,FALSE)+1,10),DATE(RIGHT(B876,4),VLOOKUP(LEFT(B876,LEN(B876)-5),Feuil1!$E$3:$F$19,2,FALSE)+1,7))</f>
        <v>45298</v>
      </c>
      <c r="K876" s="19">
        <f t="shared" si="2"/>
        <v>1</v>
      </c>
      <c r="L876" s="6" t="str">
        <f t="shared" si="3"/>
        <v>FS</v>
      </c>
    </row>
    <row r="877" ht="14.25" customHeight="1">
      <c r="A877" s="14" t="str">
        <f>Base_report!A875</f>
        <v>ABIDJAN 1</v>
      </c>
      <c r="B877" s="14" t="str">
        <f>Base_report!B875</f>
        <v>DECEMBRE 2023</v>
      </c>
      <c r="C877" s="15" t="str">
        <f>Base_report!C875</f>
        <v>C1031</v>
      </c>
      <c r="D877" s="14" t="str">
        <f>TRIM(IF(ISNUMBER(FIND("PNSME",Base_report!D875,1)),SUBSTITUTE(Base_report!D875,"PNSME",""),IF(ISNUMBER(FIND("PHG",Base_report!D875,1)),SUBSTITUTE(Base_report!D875,"PHG",""),IF(ISNUMBER(FIND("PCS",Base_report!D875,1)),SUBSTITUTE(Base_report!D875,"PCS",""),IF(ISNUMBER(FIND("CMU",Base_report!D875,1)),SUBSTITUTE(Base_report!D875,"CMU",""),Base_report!D875)))))</f>
        <v>CSU COM ASSOMIN</v>
      </c>
      <c r="E877" s="14" t="str">
        <f>SUBSTITUTE(Base_report!E875,"-","/")</f>
        <v>PNLP/MEDICAMENTS ET INTRANTS</v>
      </c>
      <c r="F877" s="14" t="s">
        <v>788</v>
      </c>
      <c r="G877" s="16">
        <f>DATE(YEAR(SUBSTITUTE(LEFT(Base_report!F875,10),"-","/")),MONTH(SUBSTITUTE(LEFT(Base_report!F875,10),"-","/")),DAY(SUBSTITUTE(LEFT(Base_report!F875,10),"-","/")))</f>
        <v>45299</v>
      </c>
      <c r="H877" s="16">
        <f>DATE(YEAR(SUBSTITUTE(LEFT(Base_report!G875,10),"-","/")),MONTH(SUBSTITUTE(LEFT(Base_report!G875,10),"-","/")),DAY(SUBSTITUTE(LEFT(Base_report!G875,10),"-","/")))</f>
        <v>45299</v>
      </c>
      <c r="I877" s="17" t="str">
        <f t="shared" si="1"/>
        <v>OUI</v>
      </c>
      <c r="J877" s="18">
        <f>IF(L877="DS",DATE(RIGHT(B877,4),VLOOKUP(LEFT(B877,LEN(B877)-5),Feuil1!$E$3:$F$19,2,FALSE)+1,10),DATE(RIGHT(B877,4),VLOOKUP(LEFT(B877,LEN(B877)-5),Feuil1!$E$3:$F$19,2,FALSE)+1,7))</f>
        <v>45298</v>
      </c>
      <c r="K877" s="19">
        <f t="shared" si="2"/>
        <v>0</v>
      </c>
      <c r="L877" s="6" t="str">
        <f t="shared" si="3"/>
        <v>FS</v>
      </c>
    </row>
    <row r="878" ht="14.25" customHeight="1">
      <c r="A878" s="14" t="str">
        <f>Base_report!A876</f>
        <v>GRANDS PONTS</v>
      </c>
      <c r="B878" s="14" t="str">
        <f>Base_report!B876</f>
        <v>DECEMBRE 2023</v>
      </c>
      <c r="C878" s="15" t="str">
        <f>Base_report!C876</f>
        <v>C1091</v>
      </c>
      <c r="D878" s="14" t="str">
        <f>TRIM(IF(ISNUMBER(FIND("PNSME",Base_report!D876,1)),SUBSTITUTE(Base_report!D876,"PNSME",""),IF(ISNUMBER(FIND("PHG",Base_report!D876,1)),SUBSTITUTE(Base_report!D876,"PHG",""),IF(ISNUMBER(FIND("PCS",Base_report!D876,1)),SUBSTITUTE(Base_report!D876,"PCS",""),IF(ISNUMBER(FIND("CMU",Base_report!D876,1)),SUBSTITUTE(Base_report!D876,"CMU",""),Base_report!D876)))))</f>
        <v>HOPITAL GENERAL GRAND-LAHOU</v>
      </c>
      <c r="E878" s="14" t="str">
        <f>SUBSTITUTE(Base_report!E876,"-","/")</f>
        <v>PNLP/MEDICAMENTS ET INTRANTS</v>
      </c>
      <c r="F878" s="14" t="s">
        <v>788</v>
      </c>
      <c r="G878" s="16">
        <f>DATE(YEAR(SUBSTITUTE(LEFT(Base_report!F876,10),"-","/")),MONTH(SUBSTITUTE(LEFT(Base_report!F876,10),"-","/")),DAY(SUBSTITUTE(LEFT(Base_report!F876,10),"-","/")))</f>
        <v>45295</v>
      </c>
      <c r="H878" s="16">
        <f>DATE(YEAR(SUBSTITUTE(LEFT(Base_report!G876,10),"-","/")),MONTH(SUBSTITUTE(LEFT(Base_report!G876,10),"-","/")),DAY(SUBSTITUTE(LEFT(Base_report!G876,10),"-","/")))</f>
        <v>45295</v>
      </c>
      <c r="I878" s="17" t="str">
        <f t="shared" si="1"/>
        <v>OUI</v>
      </c>
      <c r="J878" s="18">
        <f>IF(L878="DS",DATE(RIGHT(B878,4),VLOOKUP(LEFT(B878,LEN(B878)-5),Feuil1!$E$3:$F$19,2,FALSE)+1,10),DATE(RIGHT(B878,4),VLOOKUP(LEFT(B878,LEN(B878)-5),Feuil1!$E$3:$F$19,2,FALSE)+1,7))</f>
        <v>45298</v>
      </c>
      <c r="K878" s="19">
        <f t="shared" si="2"/>
        <v>1</v>
      </c>
      <c r="L878" s="6" t="str">
        <f t="shared" si="3"/>
        <v>FS</v>
      </c>
    </row>
    <row r="879" ht="14.25" customHeight="1">
      <c r="A879" s="14" t="str">
        <f>Base_report!A877</f>
        <v>ABIDJAN 2</v>
      </c>
      <c r="B879" s="14" t="str">
        <f>Base_report!B877</f>
        <v>DECEMBRE 2023</v>
      </c>
      <c r="C879" s="15" t="str">
        <f>Base_report!C877</f>
        <v>C1391</v>
      </c>
      <c r="D879" s="14" t="str">
        <f>TRIM(IF(ISNUMBER(FIND("PNSME",Base_report!D877,1)),SUBSTITUTE(Base_report!D877,"PNSME",""),IF(ISNUMBER(FIND("PHG",Base_report!D877,1)),SUBSTITUTE(Base_report!D877,"PHG",""),IF(ISNUMBER(FIND("PCS",Base_report!D877,1)),SUBSTITUTE(Base_report!D877,"PCS",""),IF(ISNUMBER(FIND("CMU",Base_report!D877,1)),SUBSTITUTE(Base_report!D877,"CMU",""),Base_report!D877)))))</f>
        <v>SOEURS MISSION. STE THERESE ENFANT JESUS</v>
      </c>
      <c r="E879" s="14" t="str">
        <f>SUBSTITUTE(Base_report!E877,"-","/")</f>
        <v>PNLS/CHARGES VIRALES</v>
      </c>
      <c r="F879" s="14" t="s">
        <v>788</v>
      </c>
      <c r="G879" s="16">
        <f>DATE(YEAR(SUBSTITUTE(LEFT(Base_report!F877,10),"-","/")),MONTH(SUBSTITUTE(LEFT(Base_report!F877,10),"-","/")),DAY(SUBSTITUTE(LEFT(Base_report!F877,10),"-","/")))</f>
        <v>45295</v>
      </c>
      <c r="H879" s="16">
        <f>DATE(YEAR(SUBSTITUTE(LEFT(Base_report!G877,10),"-","/")),MONTH(SUBSTITUTE(LEFT(Base_report!G877,10),"-","/")),DAY(SUBSTITUTE(LEFT(Base_report!G877,10),"-","/")))</f>
        <v>45295</v>
      </c>
      <c r="I879" s="17" t="str">
        <f t="shared" si="1"/>
        <v>OUI</v>
      </c>
      <c r="J879" s="18">
        <f>IF(L879="DS",DATE(RIGHT(B879,4),VLOOKUP(LEFT(B879,LEN(B879)-5),Feuil1!$E$3:$F$19,2,FALSE)+1,10),DATE(RIGHT(B879,4),VLOOKUP(LEFT(B879,LEN(B879)-5),Feuil1!$E$3:$F$19,2,FALSE)+1,7))</f>
        <v>45298</v>
      </c>
      <c r="K879" s="19">
        <f t="shared" si="2"/>
        <v>1</v>
      </c>
      <c r="L879" s="6" t="str">
        <f t="shared" si="3"/>
        <v>FS</v>
      </c>
    </row>
    <row r="880" ht="14.25" customHeight="1">
      <c r="A880" s="14" t="str">
        <f>Base_report!A878</f>
        <v>HAUT-SASSANDRA</v>
      </c>
      <c r="B880" s="14" t="str">
        <f>Base_report!B878</f>
        <v>DECEMBRE 2023</v>
      </c>
      <c r="C880" s="15" t="str">
        <f>Base_report!C878</f>
        <v>C2056</v>
      </c>
      <c r="D880" s="14" t="str">
        <f>TRIM(IF(ISNUMBER(FIND("PNSME",Base_report!D878,1)),SUBSTITUTE(Base_report!D878,"PNSME",""),IF(ISNUMBER(FIND("PHG",Base_report!D878,1)),SUBSTITUTE(Base_report!D878,"PHG",""),IF(ISNUMBER(FIND("PCS",Base_report!D878,1)),SUBSTITUTE(Base_report!D878,"PCS",""),IF(ISNUMBER(FIND("CMU",Base_report!D878,1)),SUBSTITUTE(Base_report!D878,"CMU",""),Base_report!D878)))))</f>
        <v>HOPITAL GENERAL ISSIA</v>
      </c>
      <c r="E880" s="14" t="str">
        <f>SUBSTITUTE(Base_report!E878,"-","/")</f>
        <v>PNLS/TESTS RAPIDES ET CONSOMMABLES</v>
      </c>
      <c r="F880" s="14" t="s">
        <v>788</v>
      </c>
      <c r="G880" s="16">
        <f>DATE(YEAR(SUBSTITUTE(LEFT(Base_report!F878,10),"-","/")),MONTH(SUBSTITUTE(LEFT(Base_report!F878,10),"-","/")),DAY(SUBSTITUTE(LEFT(Base_report!F878,10),"-","/")))</f>
        <v>45296</v>
      </c>
      <c r="H880" s="16">
        <f>DATE(YEAR(SUBSTITUTE(LEFT(Base_report!G878,10),"-","/")),MONTH(SUBSTITUTE(LEFT(Base_report!G878,10),"-","/")),DAY(SUBSTITUTE(LEFT(Base_report!G878,10),"-","/")))</f>
        <v>45296</v>
      </c>
      <c r="I880" s="17" t="str">
        <f t="shared" si="1"/>
        <v>OUI</v>
      </c>
      <c r="J880" s="18">
        <f>IF(L880="DS",DATE(RIGHT(B880,4),VLOOKUP(LEFT(B880,LEN(B880)-5),Feuil1!$E$3:$F$19,2,FALSE)+1,10),DATE(RIGHT(B880,4),VLOOKUP(LEFT(B880,LEN(B880)-5),Feuil1!$E$3:$F$19,2,FALSE)+1,7))</f>
        <v>45298</v>
      </c>
      <c r="K880" s="19">
        <f t="shared" si="2"/>
        <v>1</v>
      </c>
      <c r="L880" s="6" t="str">
        <f t="shared" si="3"/>
        <v>FS</v>
      </c>
    </row>
    <row r="881" ht="14.25" customHeight="1">
      <c r="A881" s="14" t="str">
        <f>Base_report!A879</f>
        <v>NAWA</v>
      </c>
      <c r="B881" s="14" t="str">
        <f>Base_report!B879</f>
        <v>DECEMBRE 2023</v>
      </c>
      <c r="C881" s="15" t="str">
        <f>Base_report!C879</f>
        <v>C2064</v>
      </c>
      <c r="D881" s="14" t="str">
        <f>TRIM(IF(ISNUMBER(FIND("PNSME",Base_report!D879,1)),SUBSTITUTE(Base_report!D879,"PNSME",""),IF(ISNUMBER(FIND("PHG",Base_report!D879,1)),SUBSTITUTE(Base_report!D879,"PHG",""),IF(ISNUMBER(FIND("PCS",Base_report!D879,1)),SUBSTITUTE(Base_report!D879,"PCS",""),IF(ISNUMBER(FIND("CMU",Base_report!D879,1)),SUBSTITUTE(Base_report!D879,"CMU",""),Base_report!D879)))))</f>
        <v>HOPITAL GENERAL SOUBRE</v>
      </c>
      <c r="E881" s="14" t="str">
        <f>SUBSTITUTE(Base_report!E879,"-","/")</f>
        <v>PNLS/CHARGES VIRALES</v>
      </c>
      <c r="F881" s="14" t="s">
        <v>788</v>
      </c>
      <c r="G881" s="16">
        <f>DATE(YEAR(SUBSTITUTE(LEFT(Base_report!F879,10),"-","/")),MONTH(SUBSTITUTE(LEFT(Base_report!F879,10),"-","/")),DAY(SUBSTITUTE(LEFT(Base_report!F879,10),"-","/")))</f>
        <v>45295</v>
      </c>
      <c r="H881" s="16">
        <f>DATE(YEAR(SUBSTITUTE(LEFT(Base_report!G879,10),"-","/")),MONTH(SUBSTITUTE(LEFT(Base_report!G879,10),"-","/")),DAY(SUBSTITUTE(LEFT(Base_report!G879,10),"-","/")))</f>
        <v>45296</v>
      </c>
      <c r="I881" s="17" t="str">
        <f t="shared" si="1"/>
        <v>OUI</v>
      </c>
      <c r="J881" s="18">
        <f>IF(L881="DS",DATE(RIGHT(B881,4),VLOOKUP(LEFT(B881,LEN(B881)-5),Feuil1!$E$3:$F$19,2,FALSE)+1,10),DATE(RIGHT(B881,4),VLOOKUP(LEFT(B881,LEN(B881)-5),Feuil1!$E$3:$F$19,2,FALSE)+1,7))</f>
        <v>45298</v>
      </c>
      <c r="K881" s="19">
        <f t="shared" si="2"/>
        <v>1</v>
      </c>
      <c r="L881" s="6" t="str">
        <f t="shared" si="3"/>
        <v>FS</v>
      </c>
    </row>
    <row r="882" ht="14.25" customHeight="1">
      <c r="A882" s="14" t="str">
        <f>Base_report!A880</f>
        <v>AGNEBY-TIASSA</v>
      </c>
      <c r="B882" s="14" t="str">
        <f>Base_report!B880</f>
        <v>DECEMBRE 2023</v>
      </c>
      <c r="C882" s="15" t="str">
        <f>Base_report!C880</f>
        <v>C1009</v>
      </c>
      <c r="D882" s="14" t="str">
        <f>TRIM(IF(ISNUMBER(FIND("PNSME",Base_report!D880,1)),SUBSTITUTE(Base_report!D880,"PNSME",""),IF(ISNUMBER(FIND("PHG",Base_report!D880,1)),SUBSTITUTE(Base_report!D880,"PHG",""),IF(ISNUMBER(FIND("PCS",Base_report!D880,1)),SUBSTITUTE(Base_report!D880,"PCS",""),IF(ISNUMBER(FIND("CMU",Base_report!D880,1)),SUBSTITUTE(Base_report!D880,"CMU",""),Base_report!D880)))))</f>
        <v>CSU N'DOUCI</v>
      </c>
      <c r="E882" s="14" t="str">
        <f>SUBSTITUTE(Base_report!E880,"-","/")</f>
        <v>PNSME_GRATUITE:MEDICAMENTS ET INTRANTS</v>
      </c>
      <c r="F882" s="14" t="s">
        <v>788</v>
      </c>
      <c r="G882" s="16">
        <f>DATE(YEAR(SUBSTITUTE(LEFT(Base_report!F880,10),"-","/")),MONTH(SUBSTITUTE(LEFT(Base_report!F880,10),"-","/")),DAY(SUBSTITUTE(LEFT(Base_report!F880,10),"-","/")))</f>
        <v>45296</v>
      </c>
      <c r="H882" s="16">
        <f>DATE(YEAR(SUBSTITUTE(LEFT(Base_report!G880,10),"-","/")),MONTH(SUBSTITUTE(LEFT(Base_report!G880,10),"-","/")),DAY(SUBSTITUTE(LEFT(Base_report!G880,10),"-","/")))</f>
        <v>45297</v>
      </c>
      <c r="I882" s="17" t="str">
        <f t="shared" si="1"/>
        <v>OUI</v>
      </c>
      <c r="J882" s="18">
        <f>IF(L882="DS",DATE(RIGHT(B882,4),VLOOKUP(LEFT(B882,LEN(B882)-5),Feuil1!$E$3:$F$19,2,FALSE)+1,10),DATE(RIGHT(B882,4),VLOOKUP(LEFT(B882,LEN(B882)-5),Feuil1!$E$3:$F$19,2,FALSE)+1,7))</f>
        <v>45298</v>
      </c>
      <c r="K882" s="19">
        <f t="shared" si="2"/>
        <v>1</v>
      </c>
      <c r="L882" s="6" t="str">
        <f t="shared" si="3"/>
        <v>FS</v>
      </c>
    </row>
    <row r="883" ht="14.25" customHeight="1">
      <c r="A883" s="14" t="str">
        <f>Base_report!A881</f>
        <v>ABIDJAN 2</v>
      </c>
      <c r="B883" s="14" t="str">
        <f>Base_report!B881</f>
        <v>DECEMBRE 2023</v>
      </c>
      <c r="C883" s="15" t="str">
        <f>Base_report!C881</f>
        <v>C1391</v>
      </c>
      <c r="D883" s="14" t="str">
        <f>TRIM(IF(ISNUMBER(FIND("PNSME",Base_report!D881,1)),SUBSTITUTE(Base_report!D881,"PNSME",""),IF(ISNUMBER(FIND("PHG",Base_report!D881,1)),SUBSTITUTE(Base_report!D881,"PHG",""),IF(ISNUMBER(FIND("PCS",Base_report!D881,1)),SUBSTITUTE(Base_report!D881,"PCS",""),IF(ISNUMBER(FIND("CMU",Base_report!D881,1)),SUBSTITUTE(Base_report!D881,"CMU",""),Base_report!D881)))))</f>
        <v>SOEURS MISSION. STE THERESE ENFANT JESUS</v>
      </c>
      <c r="E883" s="14" t="str">
        <f>SUBSTITUTE(Base_report!E881,"-","/")</f>
        <v>PNLS/PRODUITS DE LABORATOIRE</v>
      </c>
      <c r="F883" s="14" t="s">
        <v>788</v>
      </c>
      <c r="G883" s="16">
        <f>DATE(YEAR(SUBSTITUTE(LEFT(Base_report!F881,10),"-","/")),MONTH(SUBSTITUTE(LEFT(Base_report!F881,10),"-","/")),DAY(SUBSTITUTE(LEFT(Base_report!F881,10),"-","/")))</f>
        <v>45295</v>
      </c>
      <c r="H883" s="16">
        <f>DATE(YEAR(SUBSTITUTE(LEFT(Base_report!G881,10),"-","/")),MONTH(SUBSTITUTE(LEFT(Base_report!G881,10),"-","/")),DAY(SUBSTITUTE(LEFT(Base_report!G881,10),"-","/")))</f>
        <v>45295</v>
      </c>
      <c r="I883" s="17" t="str">
        <f t="shared" si="1"/>
        <v>OUI</v>
      </c>
      <c r="J883" s="18">
        <f>IF(L883="DS",DATE(RIGHT(B883,4),VLOOKUP(LEFT(B883,LEN(B883)-5),Feuil1!$E$3:$F$19,2,FALSE)+1,10),DATE(RIGHT(B883,4),VLOOKUP(LEFT(B883,LEN(B883)-5),Feuil1!$E$3:$F$19,2,FALSE)+1,7))</f>
        <v>45298</v>
      </c>
      <c r="K883" s="19">
        <f t="shared" si="2"/>
        <v>1</v>
      </c>
      <c r="L883" s="6" t="str">
        <f t="shared" si="3"/>
        <v>FS</v>
      </c>
    </row>
    <row r="884" ht="14.25" customHeight="1">
      <c r="A884" s="14" t="str">
        <f>Base_report!A882</f>
        <v>GUEMON</v>
      </c>
      <c r="B884" s="14" t="str">
        <f>Base_report!B882</f>
        <v>DECEMBRE 2023</v>
      </c>
      <c r="C884" s="15" t="str">
        <f>Base_report!C882</f>
        <v>C5010</v>
      </c>
      <c r="D884" s="14" t="str">
        <f>TRIM(IF(ISNUMBER(FIND("PNSME",Base_report!D882,1)),SUBSTITUTE(Base_report!D882,"PNSME",""),IF(ISNUMBER(FIND("PHG",Base_report!D882,1)),SUBSTITUTE(Base_report!D882,"PHG",""),IF(ISNUMBER(FIND("PCS",Base_report!D882,1)),SUBSTITUTE(Base_report!D882,"PCS",""),IF(ISNUMBER(FIND("CMU",Base_report!D882,1)),SUBSTITUTE(Base_report!D882,"CMU",""),Base_report!D882)))))</f>
        <v>DISTRICT SANITAIRE DUEKOUE</v>
      </c>
      <c r="E884" s="14" t="str">
        <f>SUBSTITUTE(Base_report!E882,"-","/")</f>
        <v>PNLS/TESTS RAPIDES ET CONSOMMABLES</v>
      </c>
      <c r="F884" s="14" t="s">
        <v>788</v>
      </c>
      <c r="G884" s="16">
        <f>DATE(YEAR(SUBSTITUTE(LEFT(Base_report!F882,10),"-","/")),MONTH(SUBSTITUTE(LEFT(Base_report!F882,10),"-","/")),DAY(SUBSTITUTE(LEFT(Base_report!F882,10),"-","/")))</f>
        <v>45302</v>
      </c>
      <c r="H884" s="16">
        <f>DATE(YEAR(SUBSTITUTE(LEFT(Base_report!G882,10),"-","/")),MONTH(SUBSTITUTE(LEFT(Base_report!G882,10),"-","/")),DAY(SUBSTITUTE(LEFT(Base_report!G882,10),"-","/")))</f>
        <v>45302</v>
      </c>
      <c r="I884" s="17" t="str">
        <f t="shared" si="1"/>
        <v>OUI</v>
      </c>
      <c r="J884" s="18">
        <f>IF(L884="DS",DATE(RIGHT(B884,4),VLOOKUP(LEFT(B884,LEN(B884)-5),Feuil1!$E$3:$F$19,2,FALSE)+1,10),DATE(RIGHT(B884,4),VLOOKUP(LEFT(B884,LEN(B884)-5),Feuil1!$E$3:$F$19,2,FALSE)+1,7))</f>
        <v>45301</v>
      </c>
      <c r="K884" s="19">
        <f t="shared" si="2"/>
        <v>0</v>
      </c>
      <c r="L884" s="6" t="str">
        <f t="shared" si="3"/>
        <v>DS</v>
      </c>
    </row>
    <row r="885" ht="14.25" customHeight="1">
      <c r="A885" s="14" t="str">
        <f>Base_report!A883</f>
        <v>ABIDJAN 2</v>
      </c>
      <c r="B885" s="14" t="str">
        <f>Base_report!B883</f>
        <v>DECEMBRE 2023</v>
      </c>
      <c r="C885" s="15" t="str">
        <f>Base_report!C883</f>
        <v>C1391</v>
      </c>
      <c r="D885" s="14" t="str">
        <f>TRIM(IF(ISNUMBER(FIND("PNSME",Base_report!D883,1)),SUBSTITUTE(Base_report!D883,"PNSME",""),IF(ISNUMBER(FIND("PHG",Base_report!D883,1)),SUBSTITUTE(Base_report!D883,"PHG",""),IF(ISNUMBER(FIND("PCS",Base_report!D883,1)),SUBSTITUTE(Base_report!D883,"PCS",""),IF(ISNUMBER(FIND("CMU",Base_report!D883,1)),SUBSTITUTE(Base_report!D883,"CMU",""),Base_report!D883)))))</f>
        <v>SOEURS MISSION. STE THERESE ENFANT JESUS</v>
      </c>
      <c r="E885" s="14" t="str">
        <f>SUBSTITUTE(Base_report!E883,"-","/")</f>
        <v>PNLS/TESTS RAPIDES ET CONSOMMABLES</v>
      </c>
      <c r="F885" s="14" t="s">
        <v>788</v>
      </c>
      <c r="G885" s="16">
        <f>DATE(YEAR(SUBSTITUTE(LEFT(Base_report!F883,10),"-","/")),MONTH(SUBSTITUTE(LEFT(Base_report!F883,10),"-","/")),DAY(SUBSTITUTE(LEFT(Base_report!F883,10),"-","/")))</f>
        <v>45295</v>
      </c>
      <c r="H885" s="16">
        <f>DATE(YEAR(SUBSTITUTE(LEFT(Base_report!G883,10),"-","/")),MONTH(SUBSTITUTE(LEFT(Base_report!G883,10),"-","/")),DAY(SUBSTITUTE(LEFT(Base_report!G883,10),"-","/")))</f>
        <v>45295</v>
      </c>
      <c r="I885" s="17" t="str">
        <f t="shared" si="1"/>
        <v>OUI</v>
      </c>
      <c r="J885" s="18">
        <f>IF(L885="DS",DATE(RIGHT(B885,4),VLOOKUP(LEFT(B885,LEN(B885)-5),Feuil1!$E$3:$F$19,2,FALSE)+1,10),DATE(RIGHT(B885,4),VLOOKUP(LEFT(B885,LEN(B885)-5),Feuil1!$E$3:$F$19,2,FALSE)+1,7))</f>
        <v>45298</v>
      </c>
      <c r="K885" s="19">
        <f t="shared" si="2"/>
        <v>1</v>
      </c>
      <c r="L885" s="6" t="str">
        <f t="shared" si="3"/>
        <v>FS</v>
      </c>
    </row>
    <row r="886" ht="14.25" customHeight="1">
      <c r="A886" s="14" t="str">
        <f>Base_report!A884</f>
        <v>KABADOUGOU</v>
      </c>
      <c r="B886" s="14" t="str">
        <f>Base_report!B884</f>
        <v>DECEMBRE 2023</v>
      </c>
      <c r="C886" s="15" t="str">
        <f>Base_report!C884</f>
        <v>C5075</v>
      </c>
      <c r="D886" s="14" t="str">
        <f>TRIM(IF(ISNUMBER(FIND("PNSME",Base_report!D884,1)),SUBSTITUTE(Base_report!D884,"PNSME",""),IF(ISNUMBER(FIND("PHG",Base_report!D884,1)),SUBSTITUTE(Base_report!D884,"PHG",""),IF(ISNUMBER(FIND("PCS",Base_report!D884,1)),SUBSTITUTE(Base_report!D884,"PCS",""),IF(ISNUMBER(FIND("CMU",Base_report!D884,1)),SUBSTITUTE(Base_report!D884,"CMU",""),Base_report!D884)))))</f>
        <v>HOPITAL GENERAL SAMATIGUILA</v>
      </c>
      <c r="E886" s="14" t="str">
        <f>SUBSTITUTE(Base_report!E884,"-","/")</f>
        <v>PNLS/TESTS RAPIDES ET CONSOMMABLES</v>
      </c>
      <c r="F886" s="14" t="s">
        <v>788</v>
      </c>
      <c r="G886" s="16">
        <f>DATE(YEAR(SUBSTITUTE(LEFT(Base_report!F884,10),"-","/")),MONTH(SUBSTITUTE(LEFT(Base_report!F884,10),"-","/")),DAY(SUBSTITUTE(LEFT(Base_report!F884,10),"-","/")))</f>
        <v>45295</v>
      </c>
      <c r="H886" s="16">
        <f>DATE(YEAR(SUBSTITUTE(LEFT(Base_report!G884,10),"-","/")),MONTH(SUBSTITUTE(LEFT(Base_report!G884,10),"-","/")),DAY(SUBSTITUTE(LEFT(Base_report!G884,10),"-","/")))</f>
        <v>45295</v>
      </c>
      <c r="I886" s="17" t="str">
        <f t="shared" si="1"/>
        <v>OUI</v>
      </c>
      <c r="J886" s="18">
        <f>IF(L886="DS",DATE(RIGHT(B886,4),VLOOKUP(LEFT(B886,LEN(B886)-5),Feuil1!$E$3:$F$19,2,FALSE)+1,10),DATE(RIGHT(B886,4),VLOOKUP(LEFT(B886,LEN(B886)-5),Feuil1!$E$3:$F$19,2,FALSE)+1,7))</f>
        <v>45298</v>
      </c>
      <c r="K886" s="19">
        <f t="shared" si="2"/>
        <v>1</v>
      </c>
      <c r="L886" s="6" t="str">
        <f t="shared" si="3"/>
        <v>FS</v>
      </c>
    </row>
    <row r="887" ht="14.25" customHeight="1">
      <c r="A887" s="14" t="str">
        <f>Base_report!A885</f>
        <v>ME</v>
      </c>
      <c r="B887" s="14" t="str">
        <f>Base_report!B885</f>
        <v>DECEMBRE 2023</v>
      </c>
      <c r="C887" s="15" t="str">
        <f>Base_report!C885</f>
        <v>C4061</v>
      </c>
      <c r="D887" s="14" t="str">
        <f>TRIM(IF(ISNUMBER(FIND("PNSME",Base_report!D885,1)),SUBSTITUTE(Base_report!D885,"PNSME",""),IF(ISNUMBER(FIND("PHG",Base_report!D885,1)),SUBSTITUTE(Base_report!D885,"PHG",""),IF(ISNUMBER(FIND("PCS",Base_report!D885,1)),SUBSTITUTE(Base_report!D885,"PCS",""),IF(ISNUMBER(FIND("CMU",Base_report!D885,1)),SUBSTITUTE(Base_report!D885,"CMU",""),Base_report!D885)))))</f>
        <v>HOPITAL GENERAL YAKASSE ATTOBROU</v>
      </c>
      <c r="E887" s="14" t="str">
        <f>SUBSTITUTE(Base_report!E885,"-","/")</f>
        <v>PNLS/PRODUITS DE LABORATOIRE</v>
      </c>
      <c r="F887" s="14" t="s">
        <v>788</v>
      </c>
      <c r="G887" s="16">
        <f>DATE(YEAR(SUBSTITUTE(LEFT(Base_report!F885,10),"-","/")),MONTH(SUBSTITUTE(LEFT(Base_report!F885,10),"-","/")),DAY(SUBSTITUTE(LEFT(Base_report!F885,10),"-","/")))</f>
        <v>45296</v>
      </c>
      <c r="H887" s="16">
        <f>DATE(YEAR(SUBSTITUTE(LEFT(Base_report!G885,10),"-","/")),MONTH(SUBSTITUTE(LEFT(Base_report!G885,10),"-","/")),DAY(SUBSTITUTE(LEFT(Base_report!G885,10),"-","/")))</f>
        <v>45296</v>
      </c>
      <c r="I887" s="17" t="str">
        <f t="shared" si="1"/>
        <v>OUI</v>
      </c>
      <c r="J887" s="18">
        <f>IF(L887="DS",DATE(RIGHT(B887,4),VLOOKUP(LEFT(B887,LEN(B887)-5),Feuil1!$E$3:$F$19,2,FALSE)+1,10),DATE(RIGHT(B887,4),VLOOKUP(LEFT(B887,LEN(B887)-5),Feuil1!$E$3:$F$19,2,FALSE)+1,7))</f>
        <v>45298</v>
      </c>
      <c r="K887" s="19">
        <f t="shared" si="2"/>
        <v>1</v>
      </c>
      <c r="L887" s="6" t="str">
        <f t="shared" si="3"/>
        <v>FS</v>
      </c>
    </row>
    <row r="888" ht="14.25" customHeight="1">
      <c r="A888" s="14" t="str">
        <f>Base_report!A886</f>
        <v>BAFING</v>
      </c>
      <c r="B888" s="14" t="str">
        <f>Base_report!B886</f>
        <v>DECEMBRE 2023</v>
      </c>
      <c r="C888" s="15" t="str">
        <f>Base_report!C886</f>
        <v>C5004</v>
      </c>
      <c r="D888" s="14" t="str">
        <f>TRIM(IF(ISNUMBER(FIND("PNSME",Base_report!D886,1)),SUBSTITUTE(Base_report!D886,"PNSME",""),IF(ISNUMBER(FIND("PHG",Base_report!D886,1)),SUBSTITUTE(Base_report!D886,"PHG",""),IF(ISNUMBER(FIND("PCS",Base_report!D886,1)),SUBSTITUTE(Base_report!D886,"PCS",""),IF(ISNUMBER(FIND("CMU",Base_report!D886,1)),SUBSTITUTE(Base_report!D886,"CMU",""),Base_report!D886)))))</f>
        <v>CHR TOUBA</v>
      </c>
      <c r="E888" s="14" t="str">
        <f>SUBSTITUTE(Base_report!E886,"-","/")</f>
        <v>PNLS/TESTS RAPIDES ET CONSOMMABLES</v>
      </c>
      <c r="F888" s="14" t="s">
        <v>788</v>
      </c>
      <c r="G888" s="16">
        <f>DATE(YEAR(SUBSTITUTE(LEFT(Base_report!F886,10),"-","/")),MONTH(SUBSTITUTE(LEFT(Base_report!F886,10),"-","/")),DAY(SUBSTITUTE(LEFT(Base_report!F886,10),"-","/")))</f>
        <v>45299</v>
      </c>
      <c r="H888" s="16">
        <f>DATE(YEAR(SUBSTITUTE(LEFT(Base_report!G886,10),"-","/")),MONTH(SUBSTITUTE(LEFT(Base_report!G886,10),"-","/")),DAY(SUBSTITUTE(LEFT(Base_report!G886,10),"-","/")))</f>
        <v>45300</v>
      </c>
      <c r="I888" s="17" t="str">
        <f t="shared" si="1"/>
        <v>OUI</v>
      </c>
      <c r="J888" s="18">
        <f>IF(L888="DS",DATE(RIGHT(B888,4),VLOOKUP(LEFT(B888,LEN(B888)-5),Feuil1!$E$3:$F$19,2,FALSE)+1,10),DATE(RIGHT(B888,4),VLOOKUP(LEFT(B888,LEN(B888)-5),Feuil1!$E$3:$F$19,2,FALSE)+1,7))</f>
        <v>45298</v>
      </c>
      <c r="K888" s="19">
        <f t="shared" si="2"/>
        <v>0</v>
      </c>
      <c r="L888" s="6" t="str">
        <f t="shared" si="3"/>
        <v>FS</v>
      </c>
    </row>
    <row r="889" ht="14.25" customHeight="1">
      <c r="A889" s="14" t="str">
        <f>Base_report!A887</f>
        <v>BAFING</v>
      </c>
      <c r="B889" s="14" t="str">
        <f>Base_report!B887</f>
        <v>DECEMBRE 2023</v>
      </c>
      <c r="C889" s="15" t="str">
        <f>Base_report!C887</f>
        <v>C5004</v>
      </c>
      <c r="D889" s="14" t="str">
        <f>TRIM(IF(ISNUMBER(FIND("PNSME",Base_report!D887,1)),SUBSTITUTE(Base_report!D887,"PNSME",""),IF(ISNUMBER(FIND("PHG",Base_report!D887,1)),SUBSTITUTE(Base_report!D887,"PHG",""),IF(ISNUMBER(FIND("PCS",Base_report!D887,1)),SUBSTITUTE(Base_report!D887,"PCS",""),IF(ISNUMBER(FIND("CMU",Base_report!D887,1)),SUBSTITUTE(Base_report!D887,"CMU",""),Base_report!D887)))))</f>
        <v>CHR TOUBA</v>
      </c>
      <c r="E889" s="14" t="str">
        <f>SUBSTITUTE(Base_report!E887,"-","/")</f>
        <v>PNLP/MEDICAMENTS ET INTRANTS</v>
      </c>
      <c r="F889" s="14" t="s">
        <v>788</v>
      </c>
      <c r="G889" s="16">
        <f>DATE(YEAR(SUBSTITUTE(LEFT(Base_report!F887,10),"-","/")),MONTH(SUBSTITUTE(LEFT(Base_report!F887,10),"-","/")),DAY(SUBSTITUTE(LEFT(Base_report!F887,10),"-","/")))</f>
        <v>45299</v>
      </c>
      <c r="H889" s="16">
        <f>DATE(YEAR(SUBSTITUTE(LEFT(Base_report!G887,10),"-","/")),MONTH(SUBSTITUTE(LEFT(Base_report!G887,10),"-","/")),DAY(SUBSTITUTE(LEFT(Base_report!G887,10),"-","/")))</f>
        <v>45300</v>
      </c>
      <c r="I889" s="17" t="str">
        <f t="shared" si="1"/>
        <v>OUI</v>
      </c>
      <c r="J889" s="18">
        <f>IF(L889="DS",DATE(RIGHT(B889,4),VLOOKUP(LEFT(B889,LEN(B889)-5),Feuil1!$E$3:$F$19,2,FALSE)+1,10),DATE(RIGHT(B889,4),VLOOKUP(LEFT(B889,LEN(B889)-5),Feuil1!$E$3:$F$19,2,FALSE)+1,7))</f>
        <v>45298</v>
      </c>
      <c r="K889" s="19">
        <f t="shared" si="2"/>
        <v>0</v>
      </c>
      <c r="L889" s="6" t="str">
        <f t="shared" si="3"/>
        <v>FS</v>
      </c>
    </row>
    <row r="890" ht="14.25" customHeight="1">
      <c r="A890" s="14" t="str">
        <f>Base_report!A888</f>
        <v>BELIER</v>
      </c>
      <c r="B890" s="14" t="str">
        <f>Base_report!B888</f>
        <v>DECEMBRE 2023</v>
      </c>
      <c r="C890" s="15" t="str">
        <f>Base_report!C888</f>
        <v>C2009</v>
      </c>
      <c r="D890" s="14" t="str">
        <f>TRIM(IF(ISNUMBER(FIND("PNSME",Base_report!D888,1)),SUBSTITUTE(Base_report!D888,"PNSME",""),IF(ISNUMBER(FIND("PHG",Base_report!D888,1)),SUBSTITUTE(Base_report!D888,"PHG",""),IF(ISNUMBER(FIND("PCS",Base_report!D888,1)),SUBSTITUTE(Base_report!D888,"PCS",""),IF(ISNUMBER(FIND("CMU",Base_report!D888,1)),SUBSTITUTE(Base_report!D888,"CMU",""),Base_report!D888)))))</f>
        <v>CHR YAMOUSSOUKRO</v>
      </c>
      <c r="E890" s="14" t="str">
        <f>SUBSTITUTE(Base_report!E888,"-","/")</f>
        <v>PNN/MEDICAMENTS ET INTRANTS</v>
      </c>
      <c r="F890" s="14" t="s">
        <v>788</v>
      </c>
      <c r="G890" s="16">
        <f>DATE(YEAR(SUBSTITUTE(LEFT(Base_report!F888,10),"-","/")),MONTH(SUBSTITUTE(LEFT(Base_report!F888,10),"-","/")),DAY(SUBSTITUTE(LEFT(Base_report!F888,10),"-","/")))</f>
        <v>45296</v>
      </c>
      <c r="H890" s="16">
        <f>DATE(YEAR(SUBSTITUTE(LEFT(Base_report!G888,10),"-","/")),MONTH(SUBSTITUTE(LEFT(Base_report!G888,10),"-","/")),DAY(SUBSTITUTE(LEFT(Base_report!G888,10),"-","/")))</f>
        <v>45297</v>
      </c>
      <c r="I890" s="17" t="str">
        <f t="shared" si="1"/>
        <v>OUI</v>
      </c>
      <c r="J890" s="18">
        <f>IF(L890="DS",DATE(RIGHT(B890,4),VLOOKUP(LEFT(B890,LEN(B890)-5),Feuil1!$E$3:$F$19,2,FALSE)+1,10),DATE(RIGHT(B890,4),VLOOKUP(LEFT(B890,LEN(B890)-5),Feuil1!$E$3:$F$19,2,FALSE)+1,7))</f>
        <v>45298</v>
      </c>
      <c r="K890" s="19">
        <f t="shared" si="2"/>
        <v>1</v>
      </c>
      <c r="L890" s="6" t="str">
        <f t="shared" si="3"/>
        <v>FS</v>
      </c>
    </row>
    <row r="891" ht="14.25" customHeight="1">
      <c r="A891" s="14" t="str">
        <f>Base_report!A889</f>
        <v>TCHOLOGO</v>
      </c>
      <c r="B891" s="14" t="str">
        <f>Base_report!B889</f>
        <v>DECEMBRE 2023</v>
      </c>
      <c r="C891" s="15" t="str">
        <f>Base_report!C889</f>
        <v>C2225</v>
      </c>
      <c r="D891" s="14" t="str">
        <f>TRIM(IF(ISNUMBER(FIND("PNSME",Base_report!D889,1)),SUBSTITUTE(Base_report!D889,"PNSME",""),IF(ISNUMBER(FIND("PHG",Base_report!D889,1)),SUBSTITUTE(Base_report!D889,"PHG",""),IF(ISNUMBER(FIND("PCS",Base_report!D889,1)),SUBSTITUTE(Base_report!D889,"PCS",""),IF(ISNUMBER(FIND("CMU",Base_report!D889,1)),SUBSTITUTE(Base_report!D889,"CMU",""),Base_report!D889)))))</f>
        <v>HOPITAL GENERAL KONG</v>
      </c>
      <c r="E891" s="14" t="str">
        <f>SUBSTITUTE(Base_report!E889,"-","/")</f>
        <v>PNN/MEDICAMENTS ET INTRANTS</v>
      </c>
      <c r="F891" s="14" t="s">
        <v>788</v>
      </c>
      <c r="G891" s="16">
        <f>DATE(YEAR(SUBSTITUTE(LEFT(Base_report!F889,10),"-","/")),MONTH(SUBSTITUTE(LEFT(Base_report!F889,10),"-","/")),DAY(SUBSTITUTE(LEFT(Base_report!F889,10),"-","/")))</f>
        <v>45296</v>
      </c>
      <c r="H891" s="16">
        <f>DATE(YEAR(SUBSTITUTE(LEFT(Base_report!G889,10),"-","/")),MONTH(SUBSTITUTE(LEFT(Base_report!G889,10),"-","/")),DAY(SUBSTITUTE(LEFT(Base_report!G889,10),"-","/")))</f>
        <v>45298</v>
      </c>
      <c r="I891" s="17" t="str">
        <f t="shared" si="1"/>
        <v>OUI</v>
      </c>
      <c r="J891" s="18">
        <f>IF(L891="DS",DATE(RIGHT(B891,4),VLOOKUP(LEFT(B891,LEN(B891)-5),Feuil1!$E$3:$F$19,2,FALSE)+1,10),DATE(RIGHT(B891,4),VLOOKUP(LEFT(B891,LEN(B891)-5),Feuil1!$E$3:$F$19,2,FALSE)+1,7))</f>
        <v>45298</v>
      </c>
      <c r="K891" s="19">
        <f t="shared" si="2"/>
        <v>1</v>
      </c>
      <c r="L891" s="6" t="str">
        <f t="shared" si="3"/>
        <v>FS</v>
      </c>
    </row>
    <row r="892" ht="14.25" customHeight="1">
      <c r="A892" s="14" t="str">
        <f>Base_report!A890</f>
        <v>SUD-COMOE</v>
      </c>
      <c r="B892" s="14" t="str">
        <f>Base_report!B890</f>
        <v>DECEMBRE 2023</v>
      </c>
      <c r="C892" s="15" t="str">
        <f>Base_report!C890</f>
        <v>C1082</v>
      </c>
      <c r="D892" s="14" t="str">
        <f>TRIM(IF(ISNUMBER(FIND("PNSME",Base_report!D890,1)),SUBSTITUTE(Base_report!D890,"PNSME",""),IF(ISNUMBER(FIND("PHG",Base_report!D890,1)),SUBSTITUTE(Base_report!D890,"PHG",""),IF(ISNUMBER(FIND("PCS",Base_report!D890,1)),SUBSTITUTE(Base_report!D890,"PCS",""),IF(ISNUMBER(FIND("CMU",Base_report!D890,1)),SUBSTITUTE(Base_report!D890,"CMU",""),Base_report!D890)))))</f>
        <v>HOPITAL GENERAL ADIAKE</v>
      </c>
      <c r="E892" s="14" t="str">
        <f>SUBSTITUTE(Base_report!E890,"-","/")</f>
        <v>PNLP/MEDICAMENTS ET INTRANTS</v>
      </c>
      <c r="F892" s="14" t="s">
        <v>788</v>
      </c>
      <c r="G892" s="16">
        <f>DATE(YEAR(SUBSTITUTE(LEFT(Base_report!F890,10),"-","/")),MONTH(SUBSTITUTE(LEFT(Base_report!F890,10),"-","/")),DAY(SUBSTITUTE(LEFT(Base_report!F890,10),"-","/")))</f>
        <v>45295</v>
      </c>
      <c r="H892" s="16">
        <f>DATE(YEAR(SUBSTITUTE(LEFT(Base_report!G890,10),"-","/")),MONTH(SUBSTITUTE(LEFT(Base_report!G890,10),"-","/")),DAY(SUBSTITUTE(LEFT(Base_report!G890,10),"-","/")))</f>
        <v>45297</v>
      </c>
      <c r="I892" s="17" t="str">
        <f t="shared" si="1"/>
        <v>OUI</v>
      </c>
      <c r="J892" s="18">
        <f>IF(L892="DS",DATE(RIGHT(B892,4),VLOOKUP(LEFT(B892,LEN(B892)-5),Feuil1!$E$3:$F$19,2,FALSE)+1,10),DATE(RIGHT(B892,4),VLOOKUP(LEFT(B892,LEN(B892)-5),Feuil1!$E$3:$F$19,2,FALSE)+1,7))</f>
        <v>45298</v>
      </c>
      <c r="K892" s="19">
        <f t="shared" si="2"/>
        <v>1</v>
      </c>
      <c r="L892" s="6" t="str">
        <f t="shared" si="3"/>
        <v>FS</v>
      </c>
    </row>
    <row r="893" ht="14.25" customHeight="1">
      <c r="A893" s="14" t="str">
        <f>Base_report!A891</f>
        <v>ABIDJAN 2</v>
      </c>
      <c r="B893" s="14" t="str">
        <f>Base_report!B891</f>
        <v>DECEMBRE 2023</v>
      </c>
      <c r="C893" s="15" t="str">
        <f>Base_report!C891</f>
        <v>C1745</v>
      </c>
      <c r="D893" s="14" t="str">
        <f>TRIM(IF(ISNUMBER(FIND("PNSME",Base_report!D891,1)),SUBSTITUTE(Base_report!D891,"PNSME",""),IF(ISNUMBER(FIND("PHG",Base_report!D891,1)),SUBSTITUTE(Base_report!D891,"PHG",""),IF(ISNUMBER(FIND("PCS",Base_report!D891,1)),SUBSTITUTE(Base_report!D891,"PCS",""),IF(ISNUMBER(FIND("CMU",Base_report!D891,1)),SUBSTITUTE(Base_report!D891,"CMU",""),Base_report!D891)))))</f>
        <v>CHU ANGRE</v>
      </c>
      <c r="E893" s="14" t="str">
        <f>SUBSTITUTE(Base_report!E891,"-","/")</f>
        <v>PNSME/MEDICAMENTS ET INTRANTS</v>
      </c>
      <c r="F893" s="14" t="s">
        <v>788</v>
      </c>
      <c r="G893" s="16">
        <f>DATE(YEAR(SUBSTITUTE(LEFT(Base_report!F891,10),"-","/")),MONTH(SUBSTITUTE(LEFT(Base_report!F891,10),"-","/")),DAY(SUBSTITUTE(LEFT(Base_report!F891,10),"-","/")))</f>
        <v>45295</v>
      </c>
      <c r="H893" s="16">
        <f>DATE(YEAR(SUBSTITUTE(LEFT(Base_report!G891,10),"-","/")),MONTH(SUBSTITUTE(LEFT(Base_report!G891,10),"-","/")),DAY(SUBSTITUTE(LEFT(Base_report!G891,10),"-","/")))</f>
        <v>45296</v>
      </c>
      <c r="I893" s="17" t="str">
        <f t="shared" si="1"/>
        <v>OUI</v>
      </c>
      <c r="J893" s="18">
        <f>IF(L893="DS",DATE(RIGHT(B893,4),VLOOKUP(LEFT(B893,LEN(B893)-5),Feuil1!$E$3:$F$19,2,FALSE)+1,10),DATE(RIGHT(B893,4),VLOOKUP(LEFT(B893,LEN(B893)-5),Feuil1!$E$3:$F$19,2,FALSE)+1,7))</f>
        <v>45298</v>
      </c>
      <c r="K893" s="19">
        <f t="shared" si="2"/>
        <v>1</v>
      </c>
      <c r="L893" s="6" t="str">
        <f t="shared" si="3"/>
        <v>FS</v>
      </c>
    </row>
    <row r="894" ht="14.25" customHeight="1">
      <c r="A894" s="14" t="str">
        <f>Base_report!A892</f>
        <v>KABADOUGOU</v>
      </c>
      <c r="B894" s="14" t="str">
        <f>Base_report!B892</f>
        <v>DECEMBRE 2023</v>
      </c>
      <c r="C894" s="15" t="str">
        <f>Base_report!C892</f>
        <v>C5075</v>
      </c>
      <c r="D894" s="14" t="str">
        <f>TRIM(IF(ISNUMBER(FIND("PNSME",Base_report!D892,1)),SUBSTITUTE(Base_report!D892,"PNSME",""),IF(ISNUMBER(FIND("PHG",Base_report!D892,1)),SUBSTITUTE(Base_report!D892,"PHG",""),IF(ISNUMBER(FIND("PCS",Base_report!D892,1)),SUBSTITUTE(Base_report!D892,"PCS",""),IF(ISNUMBER(FIND("CMU",Base_report!D892,1)),SUBSTITUTE(Base_report!D892,"CMU",""),Base_report!D892)))))</f>
        <v>HOPITAL GENERAL SAMATIGUILA</v>
      </c>
      <c r="E894" s="14" t="str">
        <f>SUBSTITUTE(Base_report!E892,"-","/")</f>
        <v>PNSME/MEDICAMENTS ET INTRANTS</v>
      </c>
      <c r="F894" s="14" t="s">
        <v>788</v>
      </c>
      <c r="G894" s="16">
        <f>DATE(YEAR(SUBSTITUTE(LEFT(Base_report!F892,10),"-","/")),MONTH(SUBSTITUTE(LEFT(Base_report!F892,10),"-","/")),DAY(SUBSTITUTE(LEFT(Base_report!F892,10),"-","/")))</f>
        <v>45295</v>
      </c>
      <c r="H894" s="16">
        <f>DATE(YEAR(SUBSTITUTE(LEFT(Base_report!G892,10),"-","/")),MONTH(SUBSTITUTE(LEFT(Base_report!G892,10),"-","/")),DAY(SUBSTITUTE(LEFT(Base_report!G892,10),"-","/")))</f>
        <v>45295</v>
      </c>
      <c r="I894" s="17" t="str">
        <f t="shared" si="1"/>
        <v>OUI</v>
      </c>
      <c r="J894" s="18">
        <f>IF(L894="DS",DATE(RIGHT(B894,4),VLOOKUP(LEFT(B894,LEN(B894)-5),Feuil1!$E$3:$F$19,2,FALSE)+1,10),DATE(RIGHT(B894,4),VLOOKUP(LEFT(B894,LEN(B894)-5),Feuil1!$E$3:$F$19,2,FALSE)+1,7))</f>
        <v>45298</v>
      </c>
      <c r="K894" s="19">
        <f t="shared" si="2"/>
        <v>1</v>
      </c>
      <c r="L894" s="6" t="str">
        <f t="shared" si="3"/>
        <v>FS</v>
      </c>
    </row>
    <row r="895" ht="14.25" customHeight="1">
      <c r="A895" s="14" t="str">
        <f>Base_report!A893</f>
        <v>SUD-COMOE</v>
      </c>
      <c r="B895" s="14" t="str">
        <f>Base_report!B893</f>
        <v>DECEMBRE 2023</v>
      </c>
      <c r="C895" s="15" t="str">
        <f>Base_report!C893</f>
        <v>C1082</v>
      </c>
      <c r="D895" s="14" t="str">
        <f>TRIM(IF(ISNUMBER(FIND("PNSME",Base_report!D893,1)),SUBSTITUTE(Base_report!D893,"PNSME",""),IF(ISNUMBER(FIND("PHG",Base_report!D893,1)),SUBSTITUTE(Base_report!D893,"PHG",""),IF(ISNUMBER(FIND("PCS",Base_report!D893,1)),SUBSTITUTE(Base_report!D893,"PCS",""),IF(ISNUMBER(FIND("CMU",Base_report!D893,1)),SUBSTITUTE(Base_report!D893,"CMU",""),Base_report!D893)))))</f>
        <v>HOPITAL GENERAL ADIAKE</v>
      </c>
      <c r="E895" s="14" t="str">
        <f>SUBSTITUTE(Base_report!E893,"-","/")</f>
        <v>PNLS/CHARGES VIRALES</v>
      </c>
      <c r="F895" s="14" t="s">
        <v>788</v>
      </c>
      <c r="G895" s="16">
        <f>DATE(YEAR(SUBSTITUTE(LEFT(Base_report!F893,10),"-","/")),MONTH(SUBSTITUTE(LEFT(Base_report!F893,10),"-","/")),DAY(SUBSTITUTE(LEFT(Base_report!F893,10),"-","/")))</f>
        <v>45295</v>
      </c>
      <c r="H895" s="16">
        <f>DATE(YEAR(SUBSTITUTE(LEFT(Base_report!G893,10),"-","/")),MONTH(SUBSTITUTE(LEFT(Base_report!G893,10),"-","/")),DAY(SUBSTITUTE(LEFT(Base_report!G893,10),"-","/")))</f>
        <v>45297</v>
      </c>
      <c r="I895" s="17" t="str">
        <f t="shared" si="1"/>
        <v>OUI</v>
      </c>
      <c r="J895" s="18">
        <f>IF(L895="DS",DATE(RIGHT(B895,4),VLOOKUP(LEFT(B895,LEN(B895)-5),Feuil1!$E$3:$F$19,2,FALSE)+1,10),DATE(RIGHT(B895,4),VLOOKUP(LEFT(B895,LEN(B895)-5),Feuil1!$E$3:$F$19,2,FALSE)+1,7))</f>
        <v>45298</v>
      </c>
      <c r="K895" s="19">
        <f t="shared" si="2"/>
        <v>1</v>
      </c>
      <c r="L895" s="6" t="str">
        <f t="shared" si="3"/>
        <v>FS</v>
      </c>
    </row>
    <row r="896" ht="14.25" customHeight="1">
      <c r="A896" s="14" t="str">
        <f>Base_report!A894</f>
        <v>BERE</v>
      </c>
      <c r="B896" s="14" t="str">
        <f>Base_report!B894</f>
        <v>DECEMBRE 2023</v>
      </c>
      <c r="C896" s="15" t="str">
        <f>Base_report!C894</f>
        <v>C5084</v>
      </c>
      <c r="D896" s="14" t="str">
        <f>TRIM(IF(ISNUMBER(FIND("PNSME",Base_report!D894,1)),SUBSTITUTE(Base_report!D894,"PNSME",""),IF(ISNUMBER(FIND("PHG",Base_report!D894,1)),SUBSTITUTE(Base_report!D894,"PHG",""),IF(ISNUMBER(FIND("PCS",Base_report!D894,1)),SUBSTITUTE(Base_report!D894,"PCS",""),IF(ISNUMBER(FIND("CMU",Base_report!D894,1)),SUBSTITUTE(Base_report!D894,"CMU",""),Base_report!D894)))))</f>
        <v>HOPITAL GENERAL KOUNAHIRI</v>
      </c>
      <c r="E896" s="14" t="str">
        <f>SUBSTITUTE(Base_report!E894,"-","/")</f>
        <v>PNLS/PRODUITS DE LABORATOIRE</v>
      </c>
      <c r="F896" s="14" t="s">
        <v>788</v>
      </c>
      <c r="G896" s="16">
        <f>DATE(YEAR(SUBSTITUTE(LEFT(Base_report!F894,10),"-","/")),MONTH(SUBSTITUTE(LEFT(Base_report!F894,10),"-","/")),DAY(SUBSTITUTE(LEFT(Base_report!F894,10),"-","/")))</f>
        <v>45295</v>
      </c>
      <c r="H896" s="16">
        <f>DATE(YEAR(SUBSTITUTE(LEFT(Base_report!G894,10),"-","/")),MONTH(SUBSTITUTE(LEFT(Base_report!G894,10),"-","/")),DAY(SUBSTITUTE(LEFT(Base_report!G894,10),"-","/")))</f>
        <v>45296</v>
      </c>
      <c r="I896" s="17" t="str">
        <f t="shared" si="1"/>
        <v>OUI</v>
      </c>
      <c r="J896" s="18">
        <f>IF(L896="DS",DATE(RIGHT(B896,4),VLOOKUP(LEFT(B896,LEN(B896)-5),Feuil1!$E$3:$F$19,2,FALSE)+1,10),DATE(RIGHT(B896,4),VLOOKUP(LEFT(B896,LEN(B896)-5),Feuil1!$E$3:$F$19,2,FALSE)+1,7))</f>
        <v>45298</v>
      </c>
      <c r="K896" s="19">
        <f t="shared" si="2"/>
        <v>1</v>
      </c>
      <c r="L896" s="6" t="str">
        <f t="shared" si="3"/>
        <v>FS</v>
      </c>
    </row>
    <row r="897" ht="14.25" customHeight="1">
      <c r="A897" s="14" t="str">
        <f>Base_report!A895</f>
        <v>BELIER</v>
      </c>
      <c r="B897" s="14" t="str">
        <f>Base_report!B895</f>
        <v>DECEMBRE 2023</v>
      </c>
      <c r="C897" s="15" t="str">
        <f>Base_report!C895</f>
        <v>C2009</v>
      </c>
      <c r="D897" s="14" t="str">
        <f>TRIM(IF(ISNUMBER(FIND("PNSME",Base_report!D895,1)),SUBSTITUTE(Base_report!D895,"PNSME",""),IF(ISNUMBER(FIND("PHG",Base_report!D895,1)),SUBSTITUTE(Base_report!D895,"PHG",""),IF(ISNUMBER(FIND("PCS",Base_report!D895,1)),SUBSTITUTE(Base_report!D895,"PCS",""),IF(ISNUMBER(FIND("CMU",Base_report!D895,1)),SUBSTITUTE(Base_report!D895,"CMU",""),Base_report!D895)))))</f>
        <v>CHR YAMOUSSOUKRO</v>
      </c>
      <c r="E897" s="14" t="str">
        <f>SUBSTITUTE(Base_report!E895,"-","/")</f>
        <v>PNSME/MEDICAMENTS ET INTRANTS</v>
      </c>
      <c r="F897" s="14" t="s">
        <v>788</v>
      </c>
      <c r="G897" s="16">
        <f>DATE(YEAR(SUBSTITUTE(LEFT(Base_report!F895,10),"-","/")),MONTH(SUBSTITUTE(LEFT(Base_report!F895,10),"-","/")),DAY(SUBSTITUTE(LEFT(Base_report!F895,10),"-","/")))</f>
        <v>45296</v>
      </c>
      <c r="H897" s="16">
        <f>DATE(YEAR(SUBSTITUTE(LEFT(Base_report!G895,10),"-","/")),MONTH(SUBSTITUTE(LEFT(Base_report!G895,10),"-","/")),DAY(SUBSTITUTE(LEFT(Base_report!G895,10),"-","/")))</f>
        <v>45296</v>
      </c>
      <c r="I897" s="17" t="str">
        <f t="shared" si="1"/>
        <v>OUI</v>
      </c>
      <c r="J897" s="18">
        <f>IF(L897="DS",DATE(RIGHT(B897,4),VLOOKUP(LEFT(B897,LEN(B897)-5),Feuil1!$E$3:$F$19,2,FALSE)+1,10),DATE(RIGHT(B897,4),VLOOKUP(LEFT(B897,LEN(B897)-5),Feuil1!$E$3:$F$19,2,FALSE)+1,7))</f>
        <v>45298</v>
      </c>
      <c r="K897" s="19">
        <f t="shared" si="2"/>
        <v>1</v>
      </c>
      <c r="L897" s="6" t="str">
        <f t="shared" si="3"/>
        <v>FS</v>
      </c>
    </row>
    <row r="898" ht="14.25" customHeight="1">
      <c r="A898" s="14" t="str">
        <f>Base_report!A896</f>
        <v>MORONOU</v>
      </c>
      <c r="B898" s="14" t="str">
        <f>Base_report!B896</f>
        <v>DECEMBRE 2023</v>
      </c>
      <c r="C898" s="15" t="str">
        <f>Base_report!C896</f>
        <v>C4016</v>
      </c>
      <c r="D898" s="14" t="str">
        <f>TRIM(IF(ISNUMBER(FIND("PNSME",Base_report!D896,1)),SUBSTITUTE(Base_report!D896,"PNSME",""),IF(ISNUMBER(FIND("PHG",Base_report!D896,1)),SUBSTITUTE(Base_report!D896,"PHG",""),IF(ISNUMBER(FIND("PCS",Base_report!D896,1)),SUBSTITUTE(Base_report!D896,"PCS",""),IF(ISNUMBER(FIND("CMU",Base_report!D896,1)),SUBSTITUTE(Base_report!D896,"CMU",""),Base_report!D896)))))</f>
        <v>HOPITAL GENERAL ARRAH</v>
      </c>
      <c r="E898" s="14" t="str">
        <f>SUBSTITUTE(Base_report!E896,"-","/")</f>
        <v>PNLS/ANTIRETROVIRAUX ET IO</v>
      </c>
      <c r="F898" s="14" t="s">
        <v>788</v>
      </c>
      <c r="G898" s="16">
        <f>DATE(YEAR(SUBSTITUTE(LEFT(Base_report!F896,10),"-","/")),MONTH(SUBSTITUTE(LEFT(Base_report!F896,10),"-","/")),DAY(SUBSTITUTE(LEFT(Base_report!F896,10),"-","/")))</f>
        <v>45296</v>
      </c>
      <c r="H898" s="16">
        <f>DATE(YEAR(SUBSTITUTE(LEFT(Base_report!G896,10),"-","/")),MONTH(SUBSTITUTE(LEFT(Base_report!G896,10),"-","/")),DAY(SUBSTITUTE(LEFT(Base_report!G896,10),"-","/")))</f>
        <v>45296</v>
      </c>
      <c r="I898" s="17" t="str">
        <f t="shared" si="1"/>
        <v>OUI</v>
      </c>
      <c r="J898" s="18">
        <f>IF(L898="DS",DATE(RIGHT(B898,4),VLOOKUP(LEFT(B898,LEN(B898)-5),Feuil1!$E$3:$F$19,2,FALSE)+1,10),DATE(RIGHT(B898,4),VLOOKUP(LEFT(B898,LEN(B898)-5),Feuil1!$E$3:$F$19,2,FALSE)+1,7))</f>
        <v>45298</v>
      </c>
      <c r="K898" s="19">
        <f t="shared" si="2"/>
        <v>1</v>
      </c>
      <c r="L898" s="6" t="str">
        <f t="shared" si="3"/>
        <v>FS</v>
      </c>
    </row>
    <row r="899" ht="14.25" customHeight="1">
      <c r="A899" s="14" t="str">
        <f>Base_report!A897</f>
        <v>BELIER</v>
      </c>
      <c r="B899" s="14" t="str">
        <f>Base_report!B897</f>
        <v>DECEMBRE 2023</v>
      </c>
      <c r="C899" s="15" t="str">
        <f>Base_report!C897</f>
        <v>C2009</v>
      </c>
      <c r="D899" s="14" t="str">
        <f>TRIM(IF(ISNUMBER(FIND("PNSME",Base_report!D897,1)),SUBSTITUTE(Base_report!D897,"PNSME",""),IF(ISNUMBER(FIND("PHG",Base_report!D897,1)),SUBSTITUTE(Base_report!D897,"PHG",""),IF(ISNUMBER(FIND("PCS",Base_report!D897,1)),SUBSTITUTE(Base_report!D897,"PCS",""),IF(ISNUMBER(FIND("CMU",Base_report!D897,1)),SUBSTITUTE(Base_report!D897,"CMU",""),Base_report!D897)))))</f>
        <v>CHR YAMOUSSOUKRO</v>
      </c>
      <c r="E899" s="14" t="str">
        <f>SUBSTITUTE(Base_report!E897,"-","/")</f>
        <v>PNLP/MEDICAMENTS ET INTRANTS</v>
      </c>
      <c r="F899" s="14" t="s">
        <v>788</v>
      </c>
      <c r="G899" s="16">
        <f>DATE(YEAR(SUBSTITUTE(LEFT(Base_report!F897,10),"-","/")),MONTH(SUBSTITUTE(LEFT(Base_report!F897,10),"-","/")),DAY(SUBSTITUTE(LEFT(Base_report!F897,10),"-","/")))</f>
        <v>45296</v>
      </c>
      <c r="H899" s="16">
        <f>DATE(YEAR(SUBSTITUTE(LEFT(Base_report!G897,10),"-","/")),MONTH(SUBSTITUTE(LEFT(Base_report!G897,10),"-","/")),DAY(SUBSTITUTE(LEFT(Base_report!G897,10),"-","/")))</f>
        <v>45296</v>
      </c>
      <c r="I899" s="17" t="str">
        <f t="shared" si="1"/>
        <v>OUI</v>
      </c>
      <c r="J899" s="18">
        <f>IF(L899="DS",DATE(RIGHT(B899,4),VLOOKUP(LEFT(B899,LEN(B899)-5),Feuil1!$E$3:$F$19,2,FALSE)+1,10),DATE(RIGHT(B899,4),VLOOKUP(LEFT(B899,LEN(B899)-5),Feuil1!$E$3:$F$19,2,FALSE)+1,7))</f>
        <v>45298</v>
      </c>
      <c r="K899" s="19">
        <f t="shared" si="2"/>
        <v>1</v>
      </c>
      <c r="L899" s="6" t="str">
        <f t="shared" si="3"/>
        <v>FS</v>
      </c>
    </row>
    <row r="900" ht="14.25" customHeight="1">
      <c r="A900" s="14" t="str">
        <f>Base_report!A898</f>
        <v>ABIDJAN 2</v>
      </c>
      <c r="B900" s="14" t="str">
        <f>Base_report!B898</f>
        <v>DECEMBRE 2023</v>
      </c>
      <c r="C900" s="15" t="str">
        <f>Base_report!C898</f>
        <v>C1058</v>
      </c>
      <c r="D900" s="14" t="str">
        <f>TRIM(IF(ISNUMBER(FIND("PNSME",Base_report!D898,1)),SUBSTITUTE(Base_report!D898,"PNSME",""),IF(ISNUMBER(FIND("PHG",Base_report!D898,1)),SUBSTITUTE(Base_report!D898,"PHG",""),IF(ISNUMBER(FIND("PCS",Base_report!D898,1)),SUBSTITUTE(Base_report!D898,"PCS",""),IF(ISNUMBER(FIND("CMU",Base_report!D898,1)),SUBSTITUTE(Base_report!D898,"CMU",""),Base_report!D898)))))</f>
        <v>HOPITAL GENERAL KOUMASSI</v>
      </c>
      <c r="E900" s="14" t="str">
        <f>SUBSTITUTE(Base_report!E898,"-","/")</f>
        <v>PNSME/MEDICAMENTS ET INTRANTS</v>
      </c>
      <c r="F900" s="14" t="s">
        <v>788</v>
      </c>
      <c r="G900" s="16">
        <f>DATE(YEAR(SUBSTITUTE(LEFT(Base_report!F898,10),"-","/")),MONTH(SUBSTITUTE(LEFT(Base_report!F898,10),"-","/")),DAY(SUBSTITUTE(LEFT(Base_report!F898,10),"-","/")))</f>
        <v>45295</v>
      </c>
      <c r="H900" s="16">
        <f>DATE(YEAR(SUBSTITUTE(LEFT(Base_report!G898,10),"-","/")),MONTH(SUBSTITUTE(LEFT(Base_report!G898,10),"-","/")),DAY(SUBSTITUTE(LEFT(Base_report!G898,10),"-","/")))</f>
        <v>45296</v>
      </c>
      <c r="I900" s="17" t="str">
        <f t="shared" si="1"/>
        <v>OUI</v>
      </c>
      <c r="J900" s="18">
        <f>IF(L900="DS",DATE(RIGHT(B900,4),VLOOKUP(LEFT(B900,LEN(B900)-5),Feuil1!$E$3:$F$19,2,FALSE)+1,10),DATE(RIGHT(B900,4),VLOOKUP(LEFT(B900,LEN(B900)-5),Feuil1!$E$3:$F$19,2,FALSE)+1,7))</f>
        <v>45298</v>
      </c>
      <c r="K900" s="19">
        <f t="shared" si="2"/>
        <v>1</v>
      </c>
      <c r="L900" s="6" t="str">
        <f t="shared" si="3"/>
        <v>FS</v>
      </c>
    </row>
    <row r="901" ht="14.25" customHeight="1">
      <c r="A901" s="14" t="str">
        <f>Base_report!A899</f>
        <v>TCHOLOGO</v>
      </c>
      <c r="B901" s="14" t="str">
        <f>Base_report!B899</f>
        <v>DECEMBRE 2023</v>
      </c>
      <c r="C901" s="15" t="str">
        <f>Base_report!C899</f>
        <v>C3020</v>
      </c>
      <c r="D901" s="14" t="str">
        <f>TRIM(IF(ISNUMBER(FIND("PNSME",Base_report!D899,1)),SUBSTITUTE(Base_report!D899,"PNSME",""),IF(ISNUMBER(FIND("PHG",Base_report!D899,1)),SUBSTITUTE(Base_report!D899,"PHG",""),IF(ISNUMBER(FIND("PCS",Base_report!D899,1)),SUBSTITUTE(Base_report!D899,"PCS",""),IF(ISNUMBER(FIND("CMU",Base_report!D899,1)),SUBSTITUTE(Base_report!D899,"CMU",""),Base_report!D899)))))</f>
        <v>HOPITAL GENERAL OUANGOLO</v>
      </c>
      <c r="E901" s="14" t="str">
        <f>SUBSTITUTE(Base_report!E899,"-","/")</f>
        <v>PNSME/MEDICAMENTS ET INTRANTS</v>
      </c>
      <c r="F901" s="14" t="s">
        <v>788</v>
      </c>
      <c r="G901" s="16">
        <f>DATE(YEAR(SUBSTITUTE(LEFT(Base_report!F899,10),"-","/")),MONTH(SUBSTITUTE(LEFT(Base_report!F899,10),"-","/")),DAY(SUBSTITUTE(LEFT(Base_report!F899,10),"-","/")))</f>
        <v>45295</v>
      </c>
      <c r="H901" s="16">
        <f>DATE(YEAR(SUBSTITUTE(LEFT(Base_report!G899,10),"-","/")),MONTH(SUBSTITUTE(LEFT(Base_report!G899,10),"-","/")),DAY(SUBSTITUTE(LEFT(Base_report!G899,10),"-","/")))</f>
        <v>45297</v>
      </c>
      <c r="I901" s="17" t="str">
        <f t="shared" si="1"/>
        <v>OUI</v>
      </c>
      <c r="J901" s="18">
        <f>IF(L901="DS",DATE(RIGHT(B901,4),VLOOKUP(LEFT(B901,LEN(B901)-5),Feuil1!$E$3:$F$19,2,FALSE)+1,10),DATE(RIGHT(B901,4),VLOOKUP(LEFT(B901,LEN(B901)-5),Feuil1!$E$3:$F$19,2,FALSE)+1,7))</f>
        <v>45298</v>
      </c>
      <c r="K901" s="19">
        <f t="shared" si="2"/>
        <v>1</v>
      </c>
      <c r="L901" s="6" t="str">
        <f t="shared" si="3"/>
        <v>FS</v>
      </c>
    </row>
    <row r="902" ht="14.25" customHeight="1">
      <c r="A902" s="14" t="str">
        <f>Base_report!A900</f>
        <v>KABADOUGOU</v>
      </c>
      <c r="B902" s="14" t="str">
        <f>Base_report!B900</f>
        <v>DECEMBRE 2023</v>
      </c>
      <c r="C902" s="15" t="str">
        <f>Base_report!C900</f>
        <v>C5077</v>
      </c>
      <c r="D902" s="14" t="str">
        <f>TRIM(IF(ISNUMBER(FIND("PNSME",Base_report!D900,1)),SUBSTITUTE(Base_report!D900,"PNSME",""),IF(ISNUMBER(FIND("PHG",Base_report!D900,1)),SUBSTITUTE(Base_report!D900,"PHG",""),IF(ISNUMBER(FIND("PCS",Base_report!D900,1)),SUBSTITUTE(Base_report!D900,"PCS",""),IF(ISNUMBER(FIND("CMU",Base_report!D900,1)),SUBSTITUTE(Base_report!D900,"CMU",""),Base_report!D900)))))</f>
        <v>HOPITAL GENERAL SEGUELON</v>
      </c>
      <c r="E902" s="14" t="str">
        <f>SUBSTITUTE(Base_report!E900,"-","/")</f>
        <v>PNLP/MEDICAMENTS ET INTRANTS</v>
      </c>
      <c r="F902" s="14" t="s">
        <v>788</v>
      </c>
      <c r="G902" s="16">
        <f>DATE(YEAR(SUBSTITUTE(LEFT(Base_report!F900,10),"-","/")),MONTH(SUBSTITUTE(LEFT(Base_report!F900,10),"-","/")),DAY(SUBSTITUTE(LEFT(Base_report!F900,10),"-","/")))</f>
        <v>45296</v>
      </c>
      <c r="H902" s="16">
        <f>DATE(YEAR(SUBSTITUTE(LEFT(Base_report!G900,10),"-","/")),MONTH(SUBSTITUTE(LEFT(Base_report!G900,10),"-","/")),DAY(SUBSTITUTE(LEFT(Base_report!G900,10),"-","/")))</f>
        <v>45296</v>
      </c>
      <c r="I902" s="17" t="str">
        <f t="shared" si="1"/>
        <v>OUI</v>
      </c>
      <c r="J902" s="18">
        <f>IF(L902="DS",DATE(RIGHT(B902,4),VLOOKUP(LEFT(B902,LEN(B902)-5),Feuil1!$E$3:$F$19,2,FALSE)+1,10),DATE(RIGHT(B902,4),VLOOKUP(LEFT(B902,LEN(B902)-5),Feuil1!$E$3:$F$19,2,FALSE)+1,7))</f>
        <v>45298</v>
      </c>
      <c r="K902" s="19">
        <f t="shared" si="2"/>
        <v>1</v>
      </c>
      <c r="L902" s="6" t="str">
        <f t="shared" si="3"/>
        <v>FS</v>
      </c>
    </row>
    <row r="903" ht="14.25" customHeight="1">
      <c r="A903" s="14" t="str">
        <f>Base_report!A901</f>
        <v>ABIDJAN 1</v>
      </c>
      <c r="B903" s="14" t="str">
        <f>Base_report!B901</f>
        <v>DECEMBRE 2023</v>
      </c>
      <c r="C903" s="15" t="str">
        <f>Base_report!C901</f>
        <v>C1364</v>
      </c>
      <c r="D903" s="14" t="str">
        <f>TRIM(IF(ISNUMBER(FIND("PNSME",Base_report!D901,1)),SUBSTITUTE(Base_report!D901,"PNSME",""),IF(ISNUMBER(FIND("PHG",Base_report!D901,1)),SUBSTITUTE(Base_report!D901,"PHG",""),IF(ISNUMBER(FIND("PCS",Base_report!D901,1)),SUBSTITUTE(Base_report!D901,"PCS",""),IF(ISNUMBER(FIND("CMU",Base_report!D901,1)),SUBSTITUTE(Base_report!D901,"CMU",""),Base_report!D901)))))</f>
        <v>RUBAN ROUGE</v>
      </c>
      <c r="E903" s="14" t="str">
        <f>SUBSTITUTE(Base_report!E901,"-","/")</f>
        <v>PNLS/ANTIRETROVIRAUX ET IO</v>
      </c>
      <c r="F903" s="14" t="s">
        <v>788</v>
      </c>
      <c r="G903" s="16">
        <f>DATE(YEAR(SUBSTITUTE(LEFT(Base_report!F901,10),"-","/")),MONTH(SUBSTITUTE(LEFT(Base_report!F901,10),"-","/")),DAY(SUBSTITUTE(LEFT(Base_report!F901,10),"-","/")))</f>
        <v>45295</v>
      </c>
      <c r="H903" s="16">
        <f>DATE(YEAR(SUBSTITUTE(LEFT(Base_report!G901,10),"-","/")),MONTH(SUBSTITUTE(LEFT(Base_report!G901,10),"-","/")),DAY(SUBSTITUTE(LEFT(Base_report!G901,10),"-","/")))</f>
        <v>45296</v>
      </c>
      <c r="I903" s="17" t="str">
        <f t="shared" si="1"/>
        <v>OUI</v>
      </c>
      <c r="J903" s="18">
        <f>IF(L903="DS",DATE(RIGHT(B903,4),VLOOKUP(LEFT(B903,LEN(B903)-5),Feuil1!$E$3:$F$19,2,FALSE)+1,10),DATE(RIGHT(B903,4),VLOOKUP(LEFT(B903,LEN(B903)-5),Feuil1!$E$3:$F$19,2,FALSE)+1,7))</f>
        <v>45298</v>
      </c>
      <c r="K903" s="19">
        <f t="shared" si="2"/>
        <v>1</v>
      </c>
      <c r="L903" s="6" t="str">
        <f t="shared" si="3"/>
        <v>FS</v>
      </c>
    </row>
    <row r="904" ht="14.25" customHeight="1">
      <c r="A904" s="14" t="str">
        <f>Base_report!A902</f>
        <v>HAMBOL</v>
      </c>
      <c r="B904" s="14" t="str">
        <f>Base_report!B902</f>
        <v>DECEMBRE 2023</v>
      </c>
      <c r="C904" s="15" t="str">
        <f>Base_report!C902</f>
        <v>C3013</v>
      </c>
      <c r="D904" s="14" t="str">
        <f>TRIM(IF(ISNUMBER(FIND("PNSME",Base_report!D902,1)),SUBSTITUTE(Base_report!D902,"PNSME",""),IF(ISNUMBER(FIND("PHG",Base_report!D902,1)),SUBSTITUTE(Base_report!D902,"PHG",""),IF(ISNUMBER(FIND("PCS",Base_report!D902,1)),SUBSTITUTE(Base_report!D902,"PCS",""),IF(ISNUMBER(FIND("CMU",Base_report!D902,1)),SUBSTITUTE(Base_report!D902,"CMU",""),Base_report!D902)))))</f>
        <v>CHR KATIOLA</v>
      </c>
      <c r="E904" s="14" t="str">
        <f>SUBSTITUTE(Base_report!E902,"-","/")</f>
        <v>PNLP/MEDICAMENTS ET INTRANTS</v>
      </c>
      <c r="F904" s="14" t="s">
        <v>788</v>
      </c>
      <c r="G904" s="16">
        <f>DATE(YEAR(SUBSTITUTE(LEFT(Base_report!F902,10),"-","/")),MONTH(SUBSTITUTE(LEFT(Base_report!F902,10),"-","/")),DAY(SUBSTITUTE(LEFT(Base_report!F902,10),"-","/")))</f>
        <v>45298</v>
      </c>
      <c r="H904" s="16">
        <f>DATE(YEAR(SUBSTITUTE(LEFT(Base_report!G902,10),"-","/")),MONTH(SUBSTITUTE(LEFT(Base_report!G902,10),"-","/")),DAY(SUBSTITUTE(LEFT(Base_report!G902,10),"-","/")))</f>
        <v>45298</v>
      </c>
      <c r="I904" s="17" t="str">
        <f t="shared" si="1"/>
        <v>OUI</v>
      </c>
      <c r="J904" s="18">
        <f>IF(L904="DS",DATE(RIGHT(B904,4),VLOOKUP(LEFT(B904,LEN(B904)-5),Feuil1!$E$3:$F$19,2,FALSE)+1,10),DATE(RIGHT(B904,4),VLOOKUP(LEFT(B904,LEN(B904)-5),Feuil1!$E$3:$F$19,2,FALSE)+1,7))</f>
        <v>45298</v>
      </c>
      <c r="K904" s="19">
        <f t="shared" si="2"/>
        <v>1</v>
      </c>
      <c r="L904" s="6" t="str">
        <f t="shared" si="3"/>
        <v>FS</v>
      </c>
    </row>
    <row r="905" ht="14.25" customHeight="1">
      <c r="A905" s="14" t="str">
        <f>Base_report!A903</f>
        <v>HAUT-SASSANDRA</v>
      </c>
      <c r="B905" s="14" t="str">
        <f>Base_report!B903</f>
        <v>DECEMBRE 2023</v>
      </c>
      <c r="C905" s="15" t="str">
        <f>Base_report!C903</f>
        <v>C2061</v>
      </c>
      <c r="D905" s="14" t="str">
        <f>TRIM(IF(ISNUMBER(FIND("PNSME",Base_report!D903,1)),SUBSTITUTE(Base_report!D903,"PNSME",""),IF(ISNUMBER(FIND("PHG",Base_report!D903,1)),SUBSTITUTE(Base_report!D903,"PHG",""),IF(ISNUMBER(FIND("PCS",Base_report!D903,1)),SUBSTITUTE(Base_report!D903,"PCS",""),IF(ISNUMBER(FIND("CMU",Base_report!D903,1)),SUBSTITUTE(Base_report!D903,"CMU",""),Base_report!D903)))))</f>
        <v>HOPITAL GENERAL SAIOUA</v>
      </c>
      <c r="E905" s="14" t="str">
        <f>SUBSTITUTE(Base_report!E903,"-","/")</f>
        <v>PNLP/MEDICAMENTS ET INTRANTS</v>
      </c>
      <c r="F905" s="14" t="s">
        <v>788</v>
      </c>
      <c r="G905" s="16">
        <f>DATE(YEAR(SUBSTITUTE(LEFT(Base_report!F903,10),"-","/")),MONTH(SUBSTITUTE(LEFT(Base_report!F903,10),"-","/")),DAY(SUBSTITUTE(LEFT(Base_report!F903,10),"-","/")))</f>
        <v>45296</v>
      </c>
      <c r="H905" s="16">
        <f>DATE(YEAR(SUBSTITUTE(LEFT(Base_report!G903,10),"-","/")),MONTH(SUBSTITUTE(LEFT(Base_report!G903,10),"-","/")),DAY(SUBSTITUTE(LEFT(Base_report!G903,10),"-","/")))</f>
        <v>45296</v>
      </c>
      <c r="I905" s="17" t="str">
        <f t="shared" si="1"/>
        <v>OUI</v>
      </c>
      <c r="J905" s="18">
        <f>IF(L905="DS",DATE(RIGHT(B905,4),VLOOKUP(LEFT(B905,LEN(B905)-5),Feuil1!$E$3:$F$19,2,FALSE)+1,10),DATE(RIGHT(B905,4),VLOOKUP(LEFT(B905,LEN(B905)-5),Feuil1!$E$3:$F$19,2,FALSE)+1,7))</f>
        <v>45298</v>
      </c>
      <c r="K905" s="19">
        <f t="shared" si="2"/>
        <v>1</v>
      </c>
      <c r="L905" s="6" t="str">
        <f t="shared" si="3"/>
        <v>FS</v>
      </c>
    </row>
    <row r="906" ht="14.25" customHeight="1">
      <c r="A906" s="14" t="str">
        <f>Base_report!A904</f>
        <v>LOH-DJIBOUA</v>
      </c>
      <c r="B906" s="14" t="str">
        <f>Base_report!B904</f>
        <v>DECEMBRE 2023</v>
      </c>
      <c r="C906" s="15" t="str">
        <f>Base_report!C904</f>
        <v>C2055</v>
      </c>
      <c r="D906" s="14" t="str">
        <f>TRIM(IF(ISNUMBER(FIND("PNSME",Base_report!D904,1)),SUBSTITUTE(Base_report!D904,"PNSME",""),IF(ISNUMBER(FIND("PHG",Base_report!D904,1)),SUBSTITUTE(Base_report!D904,"PHG",""),IF(ISNUMBER(FIND("PCS",Base_report!D904,1)),SUBSTITUTE(Base_report!D904,"PCS",""),IF(ISNUMBER(FIND("CMU",Base_report!D904,1)),SUBSTITUTE(Base_report!D904,"CMU",""),Base_report!D904)))))</f>
        <v>HOPITAL GENERAL GUITRY</v>
      </c>
      <c r="E906" s="14" t="str">
        <f>SUBSTITUTE(Base_report!E904,"-","/")</f>
        <v>PNSME/MEDICAMENTS ET INTRANTS</v>
      </c>
      <c r="F906" s="14" t="s">
        <v>788</v>
      </c>
      <c r="G906" s="16">
        <f>DATE(YEAR(SUBSTITUTE(LEFT(Base_report!F904,10),"-","/")),MONTH(SUBSTITUTE(LEFT(Base_report!F904,10),"-","/")),DAY(SUBSTITUTE(LEFT(Base_report!F904,10),"-","/")))</f>
        <v>45296</v>
      </c>
      <c r="H906" s="16">
        <f>DATE(YEAR(SUBSTITUTE(LEFT(Base_report!G904,10),"-","/")),MONTH(SUBSTITUTE(LEFT(Base_report!G904,10),"-","/")),DAY(SUBSTITUTE(LEFT(Base_report!G904,10),"-","/")))</f>
        <v>45297</v>
      </c>
      <c r="I906" s="17" t="str">
        <f t="shared" si="1"/>
        <v>OUI</v>
      </c>
      <c r="J906" s="18">
        <f>IF(L906="DS",DATE(RIGHT(B906,4),VLOOKUP(LEFT(B906,LEN(B906)-5),Feuil1!$E$3:$F$19,2,FALSE)+1,10),DATE(RIGHT(B906,4),VLOOKUP(LEFT(B906,LEN(B906)-5),Feuil1!$E$3:$F$19,2,FALSE)+1,7))</f>
        <v>45298</v>
      </c>
      <c r="K906" s="19">
        <f t="shared" si="2"/>
        <v>1</v>
      </c>
      <c r="L906" s="6" t="str">
        <f t="shared" si="3"/>
        <v>FS</v>
      </c>
    </row>
    <row r="907" ht="14.25" customHeight="1">
      <c r="A907" s="14" t="str">
        <f>Base_report!A905</f>
        <v>INDENIE-DJUABLIN</v>
      </c>
      <c r="B907" s="14" t="str">
        <f>Base_report!B905</f>
        <v>DECEMBRE 2023</v>
      </c>
      <c r="C907" s="15" t="str">
        <f>Base_report!C905</f>
        <v>C4014</v>
      </c>
      <c r="D907" s="14" t="str">
        <f>TRIM(IF(ISNUMBER(FIND("PNSME",Base_report!D905,1)),SUBSTITUTE(Base_report!D905,"PNSME",""),IF(ISNUMBER(FIND("PHG",Base_report!D905,1)),SUBSTITUTE(Base_report!D905,"PHG",""),IF(ISNUMBER(FIND("PCS",Base_report!D905,1)),SUBSTITUTE(Base_report!D905,"PCS",""),IF(ISNUMBER(FIND("CMU",Base_report!D905,1)),SUBSTITUTE(Base_report!D905,"CMU",""),Base_report!D905)))))</f>
        <v>HOPITAL GENERAL AGNIBILEKROU</v>
      </c>
      <c r="E907" s="14" t="str">
        <f>SUBSTITUTE(Base_report!E905,"-","/")</f>
        <v>PNLP/MEDICAMENTS ET INTRANTS</v>
      </c>
      <c r="F907" s="14" t="s">
        <v>788</v>
      </c>
      <c r="G907" s="16">
        <f>DATE(YEAR(SUBSTITUTE(LEFT(Base_report!F905,10),"-","/")),MONTH(SUBSTITUTE(LEFT(Base_report!F905,10),"-","/")),DAY(SUBSTITUTE(LEFT(Base_report!F905,10),"-","/")))</f>
        <v>45295</v>
      </c>
      <c r="H907" s="16">
        <f>DATE(YEAR(SUBSTITUTE(LEFT(Base_report!G905,10),"-","/")),MONTH(SUBSTITUTE(LEFT(Base_report!G905,10),"-","/")),DAY(SUBSTITUTE(LEFT(Base_report!G905,10),"-","/")))</f>
        <v>45295</v>
      </c>
      <c r="I907" s="17" t="str">
        <f t="shared" si="1"/>
        <v>OUI</v>
      </c>
      <c r="J907" s="18">
        <f>IF(L907="DS",DATE(RIGHT(B907,4),VLOOKUP(LEFT(B907,LEN(B907)-5),Feuil1!$E$3:$F$19,2,FALSE)+1,10),DATE(RIGHT(B907,4),VLOOKUP(LEFT(B907,LEN(B907)-5),Feuil1!$E$3:$F$19,2,FALSE)+1,7))</f>
        <v>45298</v>
      </c>
      <c r="K907" s="19">
        <f t="shared" si="2"/>
        <v>1</v>
      </c>
      <c r="L907" s="6" t="str">
        <f t="shared" si="3"/>
        <v>FS</v>
      </c>
    </row>
    <row r="908" ht="14.25" customHeight="1">
      <c r="A908" s="14" t="str">
        <f>Base_report!A906</f>
        <v>BELIER</v>
      </c>
      <c r="B908" s="14" t="str">
        <f>Base_report!B906</f>
        <v>DECEMBRE 2023</v>
      </c>
      <c r="C908" s="15" t="str">
        <f>Base_report!C906</f>
        <v>C2009</v>
      </c>
      <c r="D908" s="14" t="str">
        <f>TRIM(IF(ISNUMBER(FIND("PNSME",Base_report!D906,1)),SUBSTITUTE(Base_report!D906,"PNSME",""),IF(ISNUMBER(FIND("PHG",Base_report!D906,1)),SUBSTITUTE(Base_report!D906,"PHG",""),IF(ISNUMBER(FIND("PCS",Base_report!D906,1)),SUBSTITUTE(Base_report!D906,"PCS",""),IF(ISNUMBER(FIND("CMU",Base_report!D906,1)),SUBSTITUTE(Base_report!D906,"CMU",""),Base_report!D906)))))</f>
        <v>CHR YAMOUSSOUKRO</v>
      </c>
      <c r="E908" s="14" t="str">
        <f>SUBSTITUTE(Base_report!E906,"-","/")</f>
        <v>PNLS/CHARGES VIRALES</v>
      </c>
      <c r="F908" s="14" t="s">
        <v>788</v>
      </c>
      <c r="G908" s="16">
        <f>DATE(YEAR(SUBSTITUTE(LEFT(Base_report!F906,10),"-","/")),MONTH(SUBSTITUTE(LEFT(Base_report!F906,10),"-","/")),DAY(SUBSTITUTE(LEFT(Base_report!F906,10),"-","/")))</f>
        <v>45296</v>
      </c>
      <c r="H908" s="16">
        <f>DATE(YEAR(SUBSTITUTE(LEFT(Base_report!G906,10),"-","/")),MONTH(SUBSTITUTE(LEFT(Base_report!G906,10),"-","/")),DAY(SUBSTITUTE(LEFT(Base_report!G906,10),"-","/")))</f>
        <v>45296</v>
      </c>
      <c r="I908" s="17" t="str">
        <f t="shared" si="1"/>
        <v>OUI</v>
      </c>
      <c r="J908" s="18">
        <f>IF(L908="DS",DATE(RIGHT(B908,4),VLOOKUP(LEFT(B908,LEN(B908)-5),Feuil1!$E$3:$F$19,2,FALSE)+1,10),DATE(RIGHT(B908,4),VLOOKUP(LEFT(B908,LEN(B908)-5),Feuil1!$E$3:$F$19,2,FALSE)+1,7))</f>
        <v>45298</v>
      </c>
      <c r="K908" s="19">
        <f t="shared" si="2"/>
        <v>1</v>
      </c>
      <c r="L908" s="6" t="str">
        <f t="shared" si="3"/>
        <v>FS</v>
      </c>
    </row>
    <row r="909" ht="14.25" customHeight="1">
      <c r="A909" s="14" t="str">
        <f>Base_report!A907</f>
        <v>MORONOU</v>
      </c>
      <c r="B909" s="14" t="str">
        <f>Base_report!B907</f>
        <v>DECEMBRE 2023</v>
      </c>
      <c r="C909" s="15" t="str">
        <f>Base_report!C907</f>
        <v>C4016</v>
      </c>
      <c r="D909" s="14" t="str">
        <f>TRIM(IF(ISNUMBER(FIND("PNSME",Base_report!D907,1)),SUBSTITUTE(Base_report!D907,"PNSME",""),IF(ISNUMBER(FIND("PHG",Base_report!D907,1)),SUBSTITUTE(Base_report!D907,"PHG",""),IF(ISNUMBER(FIND("PCS",Base_report!D907,1)),SUBSTITUTE(Base_report!D907,"PCS",""),IF(ISNUMBER(FIND("CMU",Base_report!D907,1)),SUBSTITUTE(Base_report!D907,"CMU",""),Base_report!D907)))))</f>
        <v>HOPITAL GENERAL ARRAH</v>
      </c>
      <c r="E909" s="14" t="str">
        <f>SUBSTITUTE(Base_report!E907,"-","/")</f>
        <v>PNSME/MEDICAMENTS ET INTRANTS</v>
      </c>
      <c r="F909" s="14" t="s">
        <v>788</v>
      </c>
      <c r="G909" s="16">
        <f>DATE(YEAR(SUBSTITUTE(LEFT(Base_report!F907,10),"-","/")),MONTH(SUBSTITUTE(LEFT(Base_report!F907,10),"-","/")),DAY(SUBSTITUTE(LEFT(Base_report!F907,10),"-","/")))</f>
        <v>45295</v>
      </c>
      <c r="H909" s="16">
        <f>DATE(YEAR(SUBSTITUTE(LEFT(Base_report!G907,10),"-","/")),MONTH(SUBSTITUTE(LEFT(Base_report!G907,10),"-","/")),DAY(SUBSTITUTE(LEFT(Base_report!G907,10),"-","/")))</f>
        <v>45296</v>
      </c>
      <c r="I909" s="17" t="str">
        <f t="shared" si="1"/>
        <v>OUI</v>
      </c>
      <c r="J909" s="18">
        <f>IF(L909="DS",DATE(RIGHT(B909,4),VLOOKUP(LEFT(B909,LEN(B909)-5),Feuil1!$E$3:$F$19,2,FALSE)+1,10),DATE(RIGHT(B909,4),VLOOKUP(LEFT(B909,LEN(B909)-5),Feuil1!$E$3:$F$19,2,FALSE)+1,7))</f>
        <v>45298</v>
      </c>
      <c r="K909" s="19">
        <f t="shared" si="2"/>
        <v>1</v>
      </c>
      <c r="L909" s="6" t="str">
        <f t="shared" si="3"/>
        <v>FS</v>
      </c>
    </row>
    <row r="910" ht="14.25" customHeight="1">
      <c r="A910" s="14" t="str">
        <f>Base_report!A908</f>
        <v>CAVALLY</v>
      </c>
      <c r="B910" s="14" t="str">
        <f>Base_report!B908</f>
        <v>DECEMBRE 2023</v>
      </c>
      <c r="C910" s="15" t="str">
        <f>Base_report!C908</f>
        <v>C5085</v>
      </c>
      <c r="D910" s="14" t="str">
        <f>TRIM(IF(ISNUMBER(FIND("PNSME",Base_report!D908,1)),SUBSTITUTE(Base_report!D908,"PNSME",""),IF(ISNUMBER(FIND("PHG",Base_report!D908,1)),SUBSTITUTE(Base_report!D908,"PHG",""),IF(ISNUMBER(FIND("PCS",Base_report!D908,1)),SUBSTITUTE(Base_report!D908,"PCS",""),IF(ISNUMBER(FIND("CMU",Base_report!D908,1)),SUBSTITUTE(Base_report!D908,"CMU",""),Base_report!D908)))))</f>
        <v>HOPITAL GENERAL TAI</v>
      </c>
      <c r="E910" s="14" t="str">
        <f>SUBSTITUTE(Base_report!E908,"-","/")</f>
        <v>PNLS/TESTS RAPIDES ET CONSOMMABLES</v>
      </c>
      <c r="F910" s="14" t="s">
        <v>788</v>
      </c>
      <c r="G910" s="16">
        <f>DATE(YEAR(SUBSTITUTE(LEFT(Base_report!F908,10),"-","/")),MONTH(SUBSTITUTE(LEFT(Base_report!F908,10),"-","/")),DAY(SUBSTITUTE(LEFT(Base_report!F908,10),"-","/")))</f>
        <v>45296</v>
      </c>
      <c r="H910" s="16">
        <f>DATE(YEAR(SUBSTITUTE(LEFT(Base_report!G908,10),"-","/")),MONTH(SUBSTITUTE(LEFT(Base_report!G908,10),"-","/")),DAY(SUBSTITUTE(LEFT(Base_report!G908,10),"-","/")))</f>
        <v>45296</v>
      </c>
      <c r="I910" s="17" t="str">
        <f t="shared" si="1"/>
        <v>OUI</v>
      </c>
      <c r="J910" s="18">
        <f>IF(L910="DS",DATE(RIGHT(B910,4),VLOOKUP(LEFT(B910,LEN(B910)-5),Feuil1!$E$3:$F$19,2,FALSE)+1,10),DATE(RIGHT(B910,4),VLOOKUP(LEFT(B910,LEN(B910)-5),Feuil1!$E$3:$F$19,2,FALSE)+1,7))</f>
        <v>45298</v>
      </c>
      <c r="K910" s="19">
        <f t="shared" si="2"/>
        <v>1</v>
      </c>
      <c r="L910" s="6" t="str">
        <f t="shared" si="3"/>
        <v>FS</v>
      </c>
    </row>
    <row r="911" ht="14.25" customHeight="1">
      <c r="A911" s="14" t="str">
        <f>Base_report!A909</f>
        <v>TCHOLOGO</v>
      </c>
      <c r="B911" s="14" t="str">
        <f>Base_report!B909</f>
        <v>DECEMBRE 2023</v>
      </c>
      <c r="C911" s="15" t="str">
        <f>Base_report!C909</f>
        <v>C3020</v>
      </c>
      <c r="D911" s="14" t="str">
        <f>TRIM(IF(ISNUMBER(FIND("PNSME",Base_report!D909,1)),SUBSTITUTE(Base_report!D909,"PNSME",""),IF(ISNUMBER(FIND("PHG",Base_report!D909,1)),SUBSTITUTE(Base_report!D909,"PHG",""),IF(ISNUMBER(FIND("PCS",Base_report!D909,1)),SUBSTITUTE(Base_report!D909,"PCS",""),IF(ISNUMBER(FIND("CMU",Base_report!D909,1)),SUBSTITUTE(Base_report!D909,"CMU",""),Base_report!D909)))))</f>
        <v>HOPITAL GENERAL OUANGOLO</v>
      </c>
      <c r="E911" s="14" t="str">
        <f>SUBSTITUTE(Base_report!E909,"-","/")</f>
        <v>PNN/MEDICAMENTS ET INTRANTS</v>
      </c>
      <c r="F911" s="14" t="s">
        <v>788</v>
      </c>
      <c r="G911" s="16">
        <f>DATE(YEAR(SUBSTITUTE(LEFT(Base_report!F909,10),"-","/")),MONTH(SUBSTITUTE(LEFT(Base_report!F909,10),"-","/")),DAY(SUBSTITUTE(LEFT(Base_report!F909,10),"-","/")))</f>
        <v>45295</v>
      </c>
      <c r="H911" s="16">
        <f>DATE(YEAR(SUBSTITUTE(LEFT(Base_report!G909,10),"-","/")),MONTH(SUBSTITUTE(LEFT(Base_report!G909,10),"-","/")),DAY(SUBSTITUTE(LEFT(Base_report!G909,10),"-","/")))</f>
        <v>45297</v>
      </c>
      <c r="I911" s="17" t="str">
        <f t="shared" si="1"/>
        <v>OUI</v>
      </c>
      <c r="J911" s="18">
        <f>IF(L911="DS",DATE(RIGHT(B911,4),VLOOKUP(LEFT(B911,LEN(B911)-5),Feuil1!$E$3:$F$19,2,FALSE)+1,10),DATE(RIGHT(B911,4),VLOOKUP(LEFT(B911,LEN(B911)-5),Feuil1!$E$3:$F$19,2,FALSE)+1,7))</f>
        <v>45298</v>
      </c>
      <c r="K911" s="19">
        <f t="shared" si="2"/>
        <v>1</v>
      </c>
      <c r="L911" s="6" t="str">
        <f t="shared" si="3"/>
        <v>FS</v>
      </c>
    </row>
    <row r="912" ht="14.25" customHeight="1">
      <c r="A912" s="14" t="str">
        <f>Base_report!A910</f>
        <v>TCHOLOGO</v>
      </c>
      <c r="B912" s="14" t="str">
        <f>Base_report!B910</f>
        <v>DECEMBRE 2023</v>
      </c>
      <c r="C912" s="15" t="str">
        <f>Base_report!C910</f>
        <v>C3020</v>
      </c>
      <c r="D912" s="14" t="str">
        <f>TRIM(IF(ISNUMBER(FIND("PNSME",Base_report!D910,1)),SUBSTITUTE(Base_report!D910,"PNSME",""),IF(ISNUMBER(FIND("PHG",Base_report!D910,1)),SUBSTITUTE(Base_report!D910,"PHG",""),IF(ISNUMBER(FIND("PCS",Base_report!D910,1)),SUBSTITUTE(Base_report!D910,"PCS",""),IF(ISNUMBER(FIND("CMU",Base_report!D910,1)),SUBSTITUTE(Base_report!D910,"CMU",""),Base_report!D910)))))</f>
        <v>HOPITAL GENERAL OUANGOLO</v>
      </c>
      <c r="E912" s="14" t="str">
        <f>SUBSTITUTE(Base_report!E910,"-","/")</f>
        <v>PNLS/PRODUITS DE LABORATOIRE</v>
      </c>
      <c r="F912" s="14" t="s">
        <v>788</v>
      </c>
      <c r="G912" s="16">
        <f>DATE(YEAR(SUBSTITUTE(LEFT(Base_report!F910,10),"-","/")),MONTH(SUBSTITUTE(LEFT(Base_report!F910,10),"-","/")),DAY(SUBSTITUTE(LEFT(Base_report!F910,10),"-","/")))</f>
        <v>45295</v>
      </c>
      <c r="H912" s="16">
        <f>DATE(YEAR(SUBSTITUTE(LEFT(Base_report!G910,10),"-","/")),MONTH(SUBSTITUTE(LEFT(Base_report!G910,10),"-","/")),DAY(SUBSTITUTE(LEFT(Base_report!G910,10),"-","/")))</f>
        <v>45297</v>
      </c>
      <c r="I912" s="17" t="str">
        <f t="shared" si="1"/>
        <v>OUI</v>
      </c>
      <c r="J912" s="18">
        <f>IF(L912="DS",DATE(RIGHT(B912,4),VLOOKUP(LEFT(B912,LEN(B912)-5),Feuil1!$E$3:$F$19,2,FALSE)+1,10),DATE(RIGHT(B912,4),VLOOKUP(LEFT(B912,LEN(B912)-5),Feuil1!$E$3:$F$19,2,FALSE)+1,7))</f>
        <v>45298</v>
      </c>
      <c r="K912" s="19">
        <f t="shared" si="2"/>
        <v>1</v>
      </c>
      <c r="L912" s="6" t="str">
        <f t="shared" si="3"/>
        <v>FS</v>
      </c>
    </row>
    <row r="913" ht="14.25" customHeight="1">
      <c r="A913" s="14" t="str">
        <f>Base_report!A911</f>
        <v>NAWA</v>
      </c>
      <c r="B913" s="14" t="str">
        <f>Base_report!B911</f>
        <v>DECEMBRE 2023</v>
      </c>
      <c r="C913" s="15" t="str">
        <f>Base_report!C911</f>
        <v>C2230</v>
      </c>
      <c r="D913" s="14" t="str">
        <f>TRIM(IF(ISNUMBER(FIND("PNSME",Base_report!D911,1)),SUBSTITUTE(Base_report!D911,"PNSME",""),IF(ISNUMBER(FIND("PHG",Base_report!D911,1)),SUBSTITUTE(Base_report!D911,"PHG",""),IF(ISNUMBER(FIND("PCS",Base_report!D911,1)),SUBSTITUTE(Base_report!D911,"PCS",""),IF(ISNUMBER(FIND("CMU",Base_report!D911,1)),SUBSTITUTE(Base_report!D911,"CMU",""),Base_report!D911)))))</f>
        <v>HOPITAL GENERAL DE MEAGUI</v>
      </c>
      <c r="E913" s="14" t="str">
        <f>SUBSTITUTE(Base_report!E911,"-","/")</f>
        <v>PNLS/ANTIRETROVIRAUX ET IO</v>
      </c>
      <c r="F913" s="14" t="s">
        <v>788</v>
      </c>
      <c r="G913" s="16">
        <f>DATE(YEAR(SUBSTITUTE(LEFT(Base_report!F911,10),"-","/")),MONTH(SUBSTITUTE(LEFT(Base_report!F911,10),"-","/")),DAY(SUBSTITUTE(LEFT(Base_report!F911,10),"-","/")))</f>
        <v>45295</v>
      </c>
      <c r="H913" s="16">
        <f>DATE(YEAR(SUBSTITUTE(LEFT(Base_report!G911,10),"-","/")),MONTH(SUBSTITUTE(LEFT(Base_report!G911,10),"-","/")),DAY(SUBSTITUTE(LEFT(Base_report!G911,10),"-","/")))</f>
        <v>45297</v>
      </c>
      <c r="I913" s="17" t="str">
        <f t="shared" si="1"/>
        <v>OUI</v>
      </c>
      <c r="J913" s="18">
        <f>IF(L913="DS",DATE(RIGHT(B913,4),VLOOKUP(LEFT(B913,LEN(B913)-5),Feuil1!$E$3:$F$19,2,FALSE)+1,10),DATE(RIGHT(B913,4),VLOOKUP(LEFT(B913,LEN(B913)-5),Feuil1!$E$3:$F$19,2,FALSE)+1,7))</f>
        <v>45298</v>
      </c>
      <c r="K913" s="19">
        <f t="shared" si="2"/>
        <v>1</v>
      </c>
      <c r="L913" s="6" t="str">
        <f t="shared" si="3"/>
        <v>FS</v>
      </c>
    </row>
    <row r="914" ht="14.25" customHeight="1">
      <c r="A914" s="14" t="str">
        <f>Base_report!A912</f>
        <v>CAVALLY</v>
      </c>
      <c r="B914" s="14" t="str">
        <f>Base_report!B912</f>
        <v>DECEMBRE 2023</v>
      </c>
      <c r="C914" s="15" t="str">
        <f>Base_report!C912</f>
        <v>C5017</v>
      </c>
      <c r="D914" s="14" t="str">
        <f>TRIM(IF(ISNUMBER(FIND("PNSME",Base_report!D912,1)),SUBSTITUTE(Base_report!D912,"PNSME",""),IF(ISNUMBER(FIND("PHG",Base_report!D912,1)),SUBSTITUTE(Base_report!D912,"PHG",""),IF(ISNUMBER(FIND("PCS",Base_report!D912,1)),SUBSTITUTE(Base_report!D912,"PCS",""),IF(ISNUMBER(FIND("CMU",Base_report!D912,1)),SUBSTITUTE(Base_report!D912,"CMU",""),Base_report!D912)))))</f>
        <v>HOPITAL GENERAL BLOLEQUIN</v>
      </c>
      <c r="E914" s="14" t="str">
        <f>SUBSTITUTE(Base_report!E912,"-","/")</f>
        <v>PNLS/ANTIRETROVIRAUX ET IO</v>
      </c>
      <c r="F914" s="14" t="s">
        <v>788</v>
      </c>
      <c r="G914" s="16">
        <f>DATE(YEAR(SUBSTITUTE(LEFT(Base_report!F912,10),"-","/")),MONTH(SUBSTITUTE(LEFT(Base_report!F912,10),"-","/")),DAY(SUBSTITUTE(LEFT(Base_report!F912,10),"-","/")))</f>
        <v>45297</v>
      </c>
      <c r="H914" s="16">
        <f>DATE(YEAR(SUBSTITUTE(LEFT(Base_report!G912,10),"-","/")),MONTH(SUBSTITUTE(LEFT(Base_report!G912,10),"-","/")),DAY(SUBSTITUTE(LEFT(Base_report!G912,10),"-","/")))</f>
        <v>45297</v>
      </c>
      <c r="I914" s="17" t="str">
        <f t="shared" si="1"/>
        <v>OUI</v>
      </c>
      <c r="J914" s="18">
        <f>IF(L914="DS",DATE(RIGHT(B914,4),VLOOKUP(LEFT(B914,LEN(B914)-5),Feuil1!$E$3:$F$19,2,FALSE)+1,10),DATE(RIGHT(B914,4),VLOOKUP(LEFT(B914,LEN(B914)-5),Feuil1!$E$3:$F$19,2,FALSE)+1,7))</f>
        <v>45298</v>
      </c>
      <c r="K914" s="19">
        <f t="shared" si="2"/>
        <v>1</v>
      </c>
      <c r="L914" s="6" t="str">
        <f t="shared" si="3"/>
        <v>FS</v>
      </c>
    </row>
    <row r="915" ht="14.25" customHeight="1">
      <c r="A915" s="14" t="str">
        <f>Base_report!A913</f>
        <v>TCHOLOGO</v>
      </c>
      <c r="B915" s="14" t="str">
        <f>Base_report!B913</f>
        <v>DECEMBRE 2023</v>
      </c>
      <c r="C915" s="15" t="str">
        <f>Base_report!C913</f>
        <v>C3020</v>
      </c>
      <c r="D915" s="14" t="str">
        <f>TRIM(IF(ISNUMBER(FIND("PNSME",Base_report!D913,1)),SUBSTITUTE(Base_report!D913,"PNSME",""),IF(ISNUMBER(FIND("PHG",Base_report!D913,1)),SUBSTITUTE(Base_report!D913,"PHG",""),IF(ISNUMBER(FIND("PCS",Base_report!D913,1)),SUBSTITUTE(Base_report!D913,"PCS",""),IF(ISNUMBER(FIND("CMU",Base_report!D913,1)),SUBSTITUTE(Base_report!D913,"CMU",""),Base_report!D913)))))</f>
        <v>HOPITAL GENERAL OUANGOLO</v>
      </c>
      <c r="E915" s="14" t="str">
        <f>SUBSTITUTE(Base_report!E913,"-","/")</f>
        <v>PNLP/MEDICAMENTS ET INTRANTS</v>
      </c>
      <c r="F915" s="14" t="s">
        <v>788</v>
      </c>
      <c r="G915" s="16">
        <f>DATE(YEAR(SUBSTITUTE(LEFT(Base_report!F913,10),"-","/")),MONTH(SUBSTITUTE(LEFT(Base_report!F913,10),"-","/")),DAY(SUBSTITUTE(LEFT(Base_report!F913,10),"-","/")))</f>
        <v>45295</v>
      </c>
      <c r="H915" s="16">
        <f>DATE(YEAR(SUBSTITUTE(LEFT(Base_report!G913,10),"-","/")),MONTH(SUBSTITUTE(LEFT(Base_report!G913,10),"-","/")),DAY(SUBSTITUTE(LEFT(Base_report!G913,10),"-","/")))</f>
        <v>45297</v>
      </c>
      <c r="I915" s="17" t="str">
        <f t="shared" si="1"/>
        <v>OUI</v>
      </c>
      <c r="J915" s="18">
        <f>IF(L915="DS",DATE(RIGHT(B915,4),VLOOKUP(LEFT(B915,LEN(B915)-5),Feuil1!$E$3:$F$19,2,FALSE)+1,10),DATE(RIGHT(B915,4),VLOOKUP(LEFT(B915,LEN(B915)-5),Feuil1!$E$3:$F$19,2,FALSE)+1,7))</f>
        <v>45298</v>
      </c>
      <c r="K915" s="19">
        <f t="shared" si="2"/>
        <v>1</v>
      </c>
      <c r="L915" s="6" t="str">
        <f t="shared" si="3"/>
        <v>FS</v>
      </c>
    </row>
    <row r="916" ht="14.25" customHeight="1">
      <c r="A916" s="14" t="str">
        <f>Base_report!A914</f>
        <v>ABIDJAN 2</v>
      </c>
      <c r="B916" s="14" t="str">
        <f>Base_report!B914</f>
        <v>DECEMBRE 2023</v>
      </c>
      <c r="C916" s="15" t="str">
        <f>Base_report!C914</f>
        <v>C1745</v>
      </c>
      <c r="D916" s="14" t="str">
        <f>TRIM(IF(ISNUMBER(FIND("PNSME",Base_report!D914,1)),SUBSTITUTE(Base_report!D914,"PNSME",""),IF(ISNUMBER(FIND("PHG",Base_report!D914,1)),SUBSTITUTE(Base_report!D914,"PHG",""),IF(ISNUMBER(FIND("PCS",Base_report!D914,1)),SUBSTITUTE(Base_report!D914,"PCS",""),IF(ISNUMBER(FIND("CMU",Base_report!D914,1)),SUBSTITUTE(Base_report!D914,"CMU",""),Base_report!D914)))))</f>
        <v>CHU ANGRE</v>
      </c>
      <c r="E916" s="14" t="str">
        <f>SUBSTITUTE(Base_report!E914,"-","/")</f>
        <v>PNLS/TESTS RAPIDES ET CONSOMMABLES</v>
      </c>
      <c r="F916" s="14" t="s">
        <v>788</v>
      </c>
      <c r="G916" s="16">
        <f>DATE(YEAR(SUBSTITUTE(LEFT(Base_report!F914,10),"-","/")),MONTH(SUBSTITUTE(LEFT(Base_report!F914,10),"-","/")),DAY(SUBSTITUTE(LEFT(Base_report!F914,10),"-","/")))</f>
        <v>45296</v>
      </c>
      <c r="H916" s="16">
        <f>DATE(YEAR(SUBSTITUTE(LEFT(Base_report!G914,10),"-","/")),MONTH(SUBSTITUTE(LEFT(Base_report!G914,10),"-","/")),DAY(SUBSTITUTE(LEFT(Base_report!G914,10),"-","/")))</f>
        <v>45297</v>
      </c>
      <c r="I916" s="17" t="str">
        <f t="shared" si="1"/>
        <v>OUI</v>
      </c>
      <c r="J916" s="18">
        <f>IF(L916="DS",DATE(RIGHT(B916,4),VLOOKUP(LEFT(B916,LEN(B916)-5),Feuil1!$E$3:$F$19,2,FALSE)+1,10),DATE(RIGHT(B916,4),VLOOKUP(LEFT(B916,LEN(B916)-5),Feuil1!$E$3:$F$19,2,FALSE)+1,7))</f>
        <v>45298</v>
      </c>
      <c r="K916" s="19">
        <f t="shared" si="2"/>
        <v>1</v>
      </c>
      <c r="L916" s="6" t="str">
        <f t="shared" si="3"/>
        <v>FS</v>
      </c>
    </row>
    <row r="917" ht="14.25" customHeight="1">
      <c r="A917" s="14" t="str">
        <f>Base_report!A915</f>
        <v>HAUT-SASSANDRA</v>
      </c>
      <c r="B917" s="14" t="str">
        <f>Base_report!B915</f>
        <v>DECEMBRE 2023</v>
      </c>
      <c r="C917" s="15" t="str">
        <f>Base_report!C915</f>
        <v>C5060</v>
      </c>
      <c r="D917" s="14" t="str">
        <f>TRIM(IF(ISNUMBER(FIND("PNSME",Base_report!D915,1)),SUBSTITUTE(Base_report!D915,"PNSME",""),IF(ISNUMBER(FIND("PHG",Base_report!D915,1)),SUBSTITUTE(Base_report!D915,"PHG",""),IF(ISNUMBER(FIND("PCS",Base_report!D915,1)),SUBSTITUTE(Base_report!D915,"PCS",""),IF(ISNUMBER(FIND("CMU",Base_report!D915,1)),SUBSTITUTE(Base_report!D915,"CMU",""),Base_report!D915)))))</f>
        <v>HOPITAL GENERAL ZOUKOUGBEU</v>
      </c>
      <c r="E917" s="14" t="str">
        <f>SUBSTITUTE(Base_report!E915,"-","/")</f>
        <v>PNLS/ANTIRETROVIRAUX ET IO</v>
      </c>
      <c r="F917" s="14" t="s">
        <v>788</v>
      </c>
      <c r="G917" s="16">
        <f>DATE(YEAR(SUBSTITUTE(LEFT(Base_report!F915,10),"-","/")),MONTH(SUBSTITUTE(LEFT(Base_report!F915,10),"-","/")),DAY(SUBSTITUTE(LEFT(Base_report!F915,10),"-","/")))</f>
        <v>45296</v>
      </c>
      <c r="H917" s="16">
        <f>DATE(YEAR(SUBSTITUTE(LEFT(Base_report!G915,10),"-","/")),MONTH(SUBSTITUTE(LEFT(Base_report!G915,10),"-","/")),DAY(SUBSTITUTE(LEFT(Base_report!G915,10),"-","/")))</f>
        <v>45296</v>
      </c>
      <c r="I917" s="17" t="str">
        <f t="shared" si="1"/>
        <v>OUI</v>
      </c>
      <c r="J917" s="18">
        <f>IF(L917="DS",DATE(RIGHT(B917,4),VLOOKUP(LEFT(B917,LEN(B917)-5),Feuil1!$E$3:$F$19,2,FALSE)+1,10),DATE(RIGHT(B917,4),VLOOKUP(LEFT(B917,LEN(B917)-5),Feuil1!$E$3:$F$19,2,FALSE)+1,7))</f>
        <v>45298</v>
      </c>
      <c r="K917" s="19">
        <f t="shared" si="2"/>
        <v>1</v>
      </c>
      <c r="L917" s="6" t="str">
        <f t="shared" si="3"/>
        <v>FS</v>
      </c>
    </row>
    <row r="918" ht="14.25" customHeight="1">
      <c r="A918" s="14" t="str">
        <f>Base_report!A916</f>
        <v>PORO</v>
      </c>
      <c r="B918" s="14" t="str">
        <f>Base_report!B916</f>
        <v>DECEMBRE 2023</v>
      </c>
      <c r="C918" s="15" t="str">
        <f>Base_report!C916</f>
        <v>C3043</v>
      </c>
      <c r="D918" s="14" t="str">
        <f>TRIM(IF(ISNUMBER(FIND("PNSME",Base_report!D916,1)),SUBSTITUTE(Base_report!D916,"PNSME",""),IF(ISNUMBER(FIND("PHG",Base_report!D916,1)),SUBSTITUTE(Base_report!D916,"PHG",""),IF(ISNUMBER(FIND("PCS",Base_report!D916,1)),SUBSTITUTE(Base_report!D916,"PCS",""),IF(ISNUMBER(FIND("CMU",Base_report!D916,1)),SUBSTITUTE(Base_report!D916,"CMU",""),Base_report!D916)))))</f>
        <v>HOPITAL GENERAL DIKODOUGOU</v>
      </c>
      <c r="E918" s="14" t="str">
        <f>SUBSTITUTE(Base_report!E916,"-","/")</f>
        <v>PNLS/PRODUITS DE LABORATOIRE</v>
      </c>
      <c r="F918" s="14" t="s">
        <v>788</v>
      </c>
      <c r="G918" s="16">
        <f>DATE(YEAR(SUBSTITUTE(LEFT(Base_report!F916,10),"-","/")),MONTH(SUBSTITUTE(LEFT(Base_report!F916,10),"-","/")),DAY(SUBSTITUTE(LEFT(Base_report!F916,10),"-","/")))</f>
        <v>45296</v>
      </c>
      <c r="H918" s="16">
        <f>DATE(YEAR(SUBSTITUTE(LEFT(Base_report!G916,10),"-","/")),MONTH(SUBSTITUTE(LEFT(Base_report!G916,10),"-","/")),DAY(SUBSTITUTE(LEFT(Base_report!G916,10),"-","/")))</f>
        <v>45298</v>
      </c>
      <c r="I918" s="17" t="str">
        <f t="shared" si="1"/>
        <v>OUI</v>
      </c>
      <c r="J918" s="18">
        <f>IF(L918="DS",DATE(RIGHT(B918,4),VLOOKUP(LEFT(B918,LEN(B918)-5),Feuil1!$E$3:$F$19,2,FALSE)+1,10),DATE(RIGHT(B918,4),VLOOKUP(LEFT(B918,LEN(B918)-5),Feuil1!$E$3:$F$19,2,FALSE)+1,7))</f>
        <v>45298</v>
      </c>
      <c r="K918" s="19">
        <f t="shared" si="2"/>
        <v>1</v>
      </c>
      <c r="L918" s="6" t="str">
        <f t="shared" si="3"/>
        <v>FS</v>
      </c>
    </row>
    <row r="919" ht="14.25" customHeight="1">
      <c r="A919" s="14" t="str">
        <f>Base_report!A917</f>
        <v>CAVALLY</v>
      </c>
      <c r="B919" s="14" t="str">
        <f>Base_report!B917</f>
        <v>DECEMBRE 2023</v>
      </c>
      <c r="C919" s="15" t="str">
        <f>Base_report!C917</f>
        <v>C5085</v>
      </c>
      <c r="D919" s="14" t="str">
        <f>TRIM(IF(ISNUMBER(FIND("PNSME",Base_report!D917,1)),SUBSTITUTE(Base_report!D917,"PNSME",""),IF(ISNUMBER(FIND("PHG",Base_report!D917,1)),SUBSTITUTE(Base_report!D917,"PHG",""),IF(ISNUMBER(FIND("PCS",Base_report!D917,1)),SUBSTITUTE(Base_report!D917,"PCS",""),IF(ISNUMBER(FIND("CMU",Base_report!D917,1)),SUBSTITUTE(Base_report!D917,"CMU",""),Base_report!D917)))))</f>
        <v>HOPITAL GENERAL TAI</v>
      </c>
      <c r="E919" s="14" t="str">
        <f>SUBSTITUTE(Base_report!E917,"-","/")</f>
        <v>PNLS/ANTIRETROVIRAUX ET IO</v>
      </c>
      <c r="F919" s="14" t="s">
        <v>788</v>
      </c>
      <c r="G919" s="16">
        <f>DATE(YEAR(SUBSTITUTE(LEFT(Base_report!F917,10),"-","/")),MONTH(SUBSTITUTE(LEFT(Base_report!F917,10),"-","/")),DAY(SUBSTITUTE(LEFT(Base_report!F917,10),"-","/")))</f>
        <v>45296</v>
      </c>
      <c r="H919" s="16">
        <f>DATE(YEAR(SUBSTITUTE(LEFT(Base_report!G917,10),"-","/")),MONTH(SUBSTITUTE(LEFT(Base_report!G917,10),"-","/")),DAY(SUBSTITUTE(LEFT(Base_report!G917,10),"-","/")))</f>
        <v>45296</v>
      </c>
      <c r="I919" s="17" t="str">
        <f t="shared" si="1"/>
        <v>OUI</v>
      </c>
      <c r="J919" s="18">
        <f>IF(L919="DS",DATE(RIGHT(B919,4),VLOOKUP(LEFT(B919,LEN(B919)-5),Feuil1!$E$3:$F$19,2,FALSE)+1,10),DATE(RIGHT(B919,4),VLOOKUP(LEFT(B919,LEN(B919)-5),Feuil1!$E$3:$F$19,2,FALSE)+1,7))</f>
        <v>45298</v>
      </c>
      <c r="K919" s="19">
        <f t="shared" si="2"/>
        <v>1</v>
      </c>
      <c r="L919" s="6" t="str">
        <f t="shared" si="3"/>
        <v>FS</v>
      </c>
    </row>
    <row r="920" ht="14.25" customHeight="1">
      <c r="A920" s="14" t="str">
        <f>Base_report!A918</f>
        <v>GRANDS PONTS</v>
      </c>
      <c r="B920" s="14" t="str">
        <f>Base_report!B918</f>
        <v>DECEMBRE 2023</v>
      </c>
      <c r="C920" s="15" t="str">
        <f>Base_report!C918</f>
        <v>C1092</v>
      </c>
      <c r="D920" s="14" t="str">
        <f>TRIM(IF(ISNUMBER(FIND("PNSME",Base_report!D918,1)),SUBSTITUTE(Base_report!D918,"PNSME",""),IF(ISNUMBER(FIND("PHG",Base_report!D918,1)),SUBSTITUTE(Base_report!D918,"PHG",""),IF(ISNUMBER(FIND("PCS",Base_report!D918,1)),SUBSTITUTE(Base_report!D918,"PCS",""),IF(ISNUMBER(FIND("CMU",Base_report!D918,1)),SUBSTITUTE(Base_report!D918,"CMU",""),Base_report!D918)))))</f>
        <v>HOPITAL GENERAL JACQUEVILLE</v>
      </c>
      <c r="E920" s="14" t="str">
        <f>SUBSTITUTE(Base_report!E918,"-","/")</f>
        <v>PNLP/MEDICAMENTS ET INTRANTS</v>
      </c>
      <c r="F920" s="14" t="s">
        <v>788</v>
      </c>
      <c r="G920" s="16">
        <f>DATE(YEAR(SUBSTITUTE(LEFT(Base_report!F918,10),"-","/")),MONTH(SUBSTITUTE(LEFT(Base_report!F918,10),"-","/")),DAY(SUBSTITUTE(LEFT(Base_report!F918,10),"-","/")))</f>
        <v>45295</v>
      </c>
      <c r="H920" s="16">
        <f>DATE(YEAR(SUBSTITUTE(LEFT(Base_report!G918,10),"-","/")),MONTH(SUBSTITUTE(LEFT(Base_report!G918,10),"-","/")),DAY(SUBSTITUTE(LEFT(Base_report!G918,10),"-","/")))</f>
        <v>45296</v>
      </c>
      <c r="I920" s="17" t="str">
        <f t="shared" si="1"/>
        <v>OUI</v>
      </c>
      <c r="J920" s="18">
        <f>IF(L920="DS",DATE(RIGHT(B920,4),VLOOKUP(LEFT(B920,LEN(B920)-5),Feuil1!$E$3:$F$19,2,FALSE)+1,10),DATE(RIGHT(B920,4),VLOOKUP(LEFT(B920,LEN(B920)-5),Feuil1!$E$3:$F$19,2,FALSE)+1,7))</f>
        <v>45298</v>
      </c>
      <c r="K920" s="19">
        <f t="shared" si="2"/>
        <v>1</v>
      </c>
      <c r="L920" s="6" t="str">
        <f t="shared" si="3"/>
        <v>FS</v>
      </c>
    </row>
    <row r="921" ht="14.25" customHeight="1">
      <c r="A921" s="14" t="str">
        <f>Base_report!A919</f>
        <v>TCHOLOGO</v>
      </c>
      <c r="B921" s="14" t="str">
        <f>Base_report!B919</f>
        <v>DECEMBRE 2023</v>
      </c>
      <c r="C921" s="15" t="str">
        <f>Base_report!C919</f>
        <v>C3020</v>
      </c>
      <c r="D921" s="14" t="str">
        <f>TRIM(IF(ISNUMBER(FIND("PNSME",Base_report!D919,1)),SUBSTITUTE(Base_report!D919,"PNSME",""),IF(ISNUMBER(FIND("PHG",Base_report!D919,1)),SUBSTITUTE(Base_report!D919,"PHG",""),IF(ISNUMBER(FIND("PCS",Base_report!D919,1)),SUBSTITUTE(Base_report!D919,"PCS",""),IF(ISNUMBER(FIND("CMU",Base_report!D919,1)),SUBSTITUTE(Base_report!D919,"CMU",""),Base_report!D919)))))</f>
        <v>HOPITAL GENERAL OUANGOLO</v>
      </c>
      <c r="E921" s="14" t="str">
        <f>SUBSTITUTE(Base_report!E919,"-","/")</f>
        <v>PNLS/ANTIRETROVIRAUX ET IO</v>
      </c>
      <c r="F921" s="14" t="s">
        <v>788</v>
      </c>
      <c r="G921" s="16">
        <f>DATE(YEAR(SUBSTITUTE(LEFT(Base_report!F919,10),"-","/")),MONTH(SUBSTITUTE(LEFT(Base_report!F919,10),"-","/")),DAY(SUBSTITUTE(LEFT(Base_report!F919,10),"-","/")))</f>
        <v>45296</v>
      </c>
      <c r="H921" s="16">
        <f>DATE(YEAR(SUBSTITUTE(LEFT(Base_report!G919,10),"-","/")),MONTH(SUBSTITUTE(LEFT(Base_report!G919,10),"-","/")),DAY(SUBSTITUTE(LEFT(Base_report!G919,10),"-","/")))</f>
        <v>45297</v>
      </c>
      <c r="I921" s="17" t="str">
        <f t="shared" si="1"/>
        <v>OUI</v>
      </c>
      <c r="J921" s="18">
        <f>IF(L921="DS",DATE(RIGHT(B921,4),VLOOKUP(LEFT(B921,LEN(B921)-5),Feuil1!$E$3:$F$19,2,FALSE)+1,10),DATE(RIGHT(B921,4),VLOOKUP(LEFT(B921,LEN(B921)-5),Feuil1!$E$3:$F$19,2,FALSE)+1,7))</f>
        <v>45298</v>
      </c>
      <c r="K921" s="19">
        <f t="shared" si="2"/>
        <v>1</v>
      </c>
      <c r="L921" s="6" t="str">
        <f t="shared" si="3"/>
        <v>FS</v>
      </c>
    </row>
    <row r="922" ht="14.25" customHeight="1">
      <c r="A922" s="14" t="str">
        <f>Base_report!A920</f>
        <v>GONTOUGO</v>
      </c>
      <c r="B922" s="14" t="str">
        <f>Base_report!B920</f>
        <v>DECEMBRE 2023</v>
      </c>
      <c r="C922" s="15" t="str">
        <f>Base_report!C920</f>
        <v>C4007</v>
      </c>
      <c r="D922" s="14" t="str">
        <f>TRIM(IF(ISNUMBER(FIND("PNSME",Base_report!D920,1)),SUBSTITUTE(Base_report!D920,"PNSME",""),IF(ISNUMBER(FIND("PHG",Base_report!D920,1)),SUBSTITUTE(Base_report!D920,"PHG",""),IF(ISNUMBER(FIND("PCS",Base_report!D920,1)),SUBSTITUTE(Base_report!D920,"PCS",""),IF(ISNUMBER(FIND("CMU",Base_report!D920,1)),SUBSTITUTE(Base_report!D920,"CMU",""),Base_report!D920)))))</f>
        <v>DISTRICT SANITAIRE BONDOUKOU</v>
      </c>
      <c r="E922" s="14" t="str">
        <f>SUBSTITUTE(Base_report!E920,"-","/")</f>
        <v>PNLS/ANTIRETROVIRAUX ET IO</v>
      </c>
      <c r="F922" s="14" t="s">
        <v>788</v>
      </c>
      <c r="G922" s="16">
        <f>DATE(YEAR(SUBSTITUTE(LEFT(Base_report!F920,10),"-","/")),MONTH(SUBSTITUTE(LEFT(Base_report!F920,10),"-","/")),DAY(SUBSTITUTE(LEFT(Base_report!F920,10),"-","/")))</f>
        <v>45301</v>
      </c>
      <c r="H922" s="16">
        <f>DATE(YEAR(SUBSTITUTE(LEFT(Base_report!G920,10),"-","/")),MONTH(SUBSTITUTE(LEFT(Base_report!G920,10),"-","/")),DAY(SUBSTITUTE(LEFT(Base_report!G920,10),"-","/")))</f>
        <v>45301</v>
      </c>
      <c r="I922" s="17" t="str">
        <f t="shared" si="1"/>
        <v>OUI</v>
      </c>
      <c r="J922" s="18">
        <f>IF(L922="DS",DATE(RIGHT(B922,4),VLOOKUP(LEFT(B922,LEN(B922)-5),Feuil1!$E$3:$F$19,2,FALSE)+1,10),DATE(RIGHT(B922,4),VLOOKUP(LEFT(B922,LEN(B922)-5),Feuil1!$E$3:$F$19,2,FALSE)+1,7))</f>
        <v>45301</v>
      </c>
      <c r="K922" s="19">
        <f t="shared" si="2"/>
        <v>1</v>
      </c>
      <c r="L922" s="6" t="str">
        <f t="shared" si="3"/>
        <v>DS</v>
      </c>
    </row>
    <row r="923" ht="14.25" customHeight="1">
      <c r="A923" s="14" t="str">
        <f>Base_report!A921</f>
        <v>KABADOUGOU</v>
      </c>
      <c r="B923" s="14" t="str">
        <f>Base_report!B921</f>
        <v>DECEMBRE 2023</v>
      </c>
      <c r="C923" s="15" t="str">
        <f>Base_report!C921</f>
        <v>C5077</v>
      </c>
      <c r="D923" s="14" t="str">
        <f>TRIM(IF(ISNUMBER(FIND("PNSME",Base_report!D921,1)),SUBSTITUTE(Base_report!D921,"PNSME",""),IF(ISNUMBER(FIND("PHG",Base_report!D921,1)),SUBSTITUTE(Base_report!D921,"PHG",""),IF(ISNUMBER(FIND("PCS",Base_report!D921,1)),SUBSTITUTE(Base_report!D921,"PCS",""),IF(ISNUMBER(FIND("CMU",Base_report!D921,1)),SUBSTITUTE(Base_report!D921,"CMU",""),Base_report!D921)))))</f>
        <v>HOPITAL GENERAL SEGUELON</v>
      </c>
      <c r="E923" s="14" t="str">
        <f>SUBSTITUTE(Base_report!E921,"-","/")</f>
        <v>PNLS/ANTIRETROVIRAUX ET IO</v>
      </c>
      <c r="F923" s="14" t="s">
        <v>788</v>
      </c>
      <c r="G923" s="16">
        <f>DATE(YEAR(SUBSTITUTE(LEFT(Base_report!F921,10),"-","/")),MONTH(SUBSTITUTE(LEFT(Base_report!F921,10),"-","/")),DAY(SUBSTITUTE(LEFT(Base_report!F921,10),"-","/")))</f>
        <v>45296</v>
      </c>
      <c r="H923" s="16">
        <f>DATE(YEAR(SUBSTITUTE(LEFT(Base_report!G921,10),"-","/")),MONTH(SUBSTITUTE(LEFT(Base_report!G921,10),"-","/")),DAY(SUBSTITUTE(LEFT(Base_report!G921,10),"-","/")))</f>
        <v>45296</v>
      </c>
      <c r="I923" s="17" t="str">
        <f t="shared" si="1"/>
        <v>OUI</v>
      </c>
      <c r="J923" s="18">
        <f>IF(L923="DS",DATE(RIGHT(B923,4),VLOOKUP(LEFT(B923,LEN(B923)-5),Feuil1!$E$3:$F$19,2,FALSE)+1,10),DATE(RIGHT(B923,4),VLOOKUP(LEFT(B923,LEN(B923)-5),Feuil1!$E$3:$F$19,2,FALSE)+1,7))</f>
        <v>45298</v>
      </c>
      <c r="K923" s="19">
        <f t="shared" si="2"/>
        <v>1</v>
      </c>
      <c r="L923" s="6" t="str">
        <f t="shared" si="3"/>
        <v>FS</v>
      </c>
    </row>
    <row r="924" ht="14.25" customHeight="1">
      <c r="A924" s="14" t="str">
        <f>Base_report!A922</f>
        <v>GONTOUGO</v>
      </c>
      <c r="B924" s="14" t="str">
        <f>Base_report!B922</f>
        <v>DECEMBRE 2023</v>
      </c>
      <c r="C924" s="15" t="str">
        <f>Base_report!C922</f>
        <v>C4007</v>
      </c>
      <c r="D924" s="14" t="str">
        <f>TRIM(IF(ISNUMBER(FIND("PNSME",Base_report!D922,1)),SUBSTITUTE(Base_report!D922,"PNSME",""),IF(ISNUMBER(FIND("PHG",Base_report!D922,1)),SUBSTITUTE(Base_report!D922,"PHG",""),IF(ISNUMBER(FIND("PCS",Base_report!D922,1)),SUBSTITUTE(Base_report!D922,"PCS",""),IF(ISNUMBER(FIND("CMU",Base_report!D922,1)),SUBSTITUTE(Base_report!D922,"CMU",""),Base_report!D922)))))</f>
        <v>DISTRICT SANITAIRE BONDOUKOU</v>
      </c>
      <c r="E924" s="14" t="str">
        <f>SUBSTITUTE(Base_report!E922,"-","/")</f>
        <v>PNLS/TESTS RAPIDES ET CONSOMMABLES</v>
      </c>
      <c r="F924" s="14" t="s">
        <v>788</v>
      </c>
      <c r="G924" s="16">
        <f>DATE(YEAR(SUBSTITUTE(LEFT(Base_report!F922,10),"-","/")),MONTH(SUBSTITUTE(LEFT(Base_report!F922,10),"-","/")),DAY(SUBSTITUTE(LEFT(Base_report!F922,10),"-","/")))</f>
        <v>45301</v>
      </c>
      <c r="H924" s="16">
        <f>DATE(YEAR(SUBSTITUTE(LEFT(Base_report!G922,10),"-","/")),MONTH(SUBSTITUTE(LEFT(Base_report!G922,10),"-","/")),DAY(SUBSTITUTE(LEFT(Base_report!G922,10),"-","/")))</f>
        <v>45301</v>
      </c>
      <c r="I924" s="17" t="str">
        <f t="shared" si="1"/>
        <v>OUI</v>
      </c>
      <c r="J924" s="18">
        <f>IF(L924="DS",DATE(RIGHT(B924,4),VLOOKUP(LEFT(B924,LEN(B924)-5),Feuil1!$E$3:$F$19,2,FALSE)+1,10),DATE(RIGHT(B924,4),VLOOKUP(LEFT(B924,LEN(B924)-5),Feuil1!$E$3:$F$19,2,FALSE)+1,7))</f>
        <v>45301</v>
      </c>
      <c r="K924" s="19">
        <f t="shared" si="2"/>
        <v>1</v>
      </c>
      <c r="L924" s="6" t="str">
        <f t="shared" si="3"/>
        <v>DS</v>
      </c>
    </row>
    <row r="925" ht="14.25" customHeight="1">
      <c r="A925" s="14" t="str">
        <f>Base_report!A923</f>
        <v>LOH-DJIBOUA</v>
      </c>
      <c r="B925" s="14" t="str">
        <f>Base_report!B923</f>
        <v>DECEMBRE 2023</v>
      </c>
      <c r="C925" s="15" t="str">
        <f>Base_report!C923</f>
        <v>C2055</v>
      </c>
      <c r="D925" s="14" t="str">
        <f>TRIM(IF(ISNUMBER(FIND("PNSME",Base_report!D923,1)),SUBSTITUTE(Base_report!D923,"PNSME",""),IF(ISNUMBER(FIND("PHG",Base_report!D923,1)),SUBSTITUTE(Base_report!D923,"PHG",""),IF(ISNUMBER(FIND("PCS",Base_report!D923,1)),SUBSTITUTE(Base_report!D923,"PCS",""),IF(ISNUMBER(FIND("CMU",Base_report!D923,1)),SUBSTITUTE(Base_report!D923,"CMU",""),Base_report!D923)))))</f>
        <v>HOPITAL GENERAL GUITRY</v>
      </c>
      <c r="E925" s="14" t="str">
        <f>SUBSTITUTE(Base_report!E923,"-","/")</f>
        <v>PNLP/MEDICAMENTS ET INTRANTS</v>
      </c>
      <c r="F925" s="14" t="s">
        <v>788</v>
      </c>
      <c r="G925" s="16">
        <f>DATE(YEAR(SUBSTITUTE(LEFT(Base_report!F923,10),"-","/")),MONTH(SUBSTITUTE(LEFT(Base_report!F923,10),"-","/")),DAY(SUBSTITUTE(LEFT(Base_report!F923,10),"-","/")))</f>
        <v>45296</v>
      </c>
      <c r="H925" s="16">
        <f>DATE(YEAR(SUBSTITUTE(LEFT(Base_report!G923,10),"-","/")),MONTH(SUBSTITUTE(LEFT(Base_report!G923,10),"-","/")),DAY(SUBSTITUTE(LEFT(Base_report!G923,10),"-","/")))</f>
        <v>45297</v>
      </c>
      <c r="I925" s="17" t="str">
        <f t="shared" si="1"/>
        <v>OUI</v>
      </c>
      <c r="J925" s="18">
        <f>IF(L925="DS",DATE(RIGHT(B925,4),VLOOKUP(LEFT(B925,LEN(B925)-5),Feuil1!$E$3:$F$19,2,FALSE)+1,10),DATE(RIGHT(B925,4),VLOOKUP(LEFT(B925,LEN(B925)-5),Feuil1!$E$3:$F$19,2,FALSE)+1,7))</f>
        <v>45298</v>
      </c>
      <c r="K925" s="19">
        <f t="shared" si="2"/>
        <v>1</v>
      </c>
      <c r="L925" s="6" t="str">
        <f t="shared" si="3"/>
        <v>FS</v>
      </c>
    </row>
    <row r="926" ht="14.25" customHeight="1">
      <c r="A926" s="14" t="str">
        <f>Base_report!A924</f>
        <v>IFFOU</v>
      </c>
      <c r="B926" s="14" t="str">
        <f>Base_report!B924</f>
        <v>DECEMBRE 2023</v>
      </c>
      <c r="C926" s="15" t="str">
        <f>Base_report!C924</f>
        <v>C4025</v>
      </c>
      <c r="D926" s="14" t="str">
        <f>TRIM(IF(ISNUMBER(FIND("PNSME",Base_report!D924,1)),SUBSTITUTE(Base_report!D924,"PNSME",""),IF(ISNUMBER(FIND("PHG",Base_report!D924,1)),SUBSTITUTE(Base_report!D924,"PHG",""),IF(ISNUMBER(FIND("PCS",Base_report!D924,1)),SUBSTITUTE(Base_report!D924,"PCS",""),IF(ISNUMBER(FIND("CMU",Base_report!D924,1)),SUBSTITUTE(Base_report!D924,"CMU",""),Base_report!D924)))))</f>
        <v>HOPITAL GENERAL PRIKRO</v>
      </c>
      <c r="E926" s="14" t="str">
        <f>SUBSTITUTE(Base_report!E924,"-","/")</f>
        <v>PNSME/MEDICAMENTS ET INTRANTS</v>
      </c>
      <c r="F926" s="14" t="s">
        <v>788</v>
      </c>
      <c r="G926" s="16">
        <f>DATE(YEAR(SUBSTITUTE(LEFT(Base_report!F924,10),"-","/")),MONTH(SUBSTITUTE(LEFT(Base_report!F924,10),"-","/")),DAY(SUBSTITUTE(LEFT(Base_report!F924,10),"-","/")))</f>
        <v>45295</v>
      </c>
      <c r="H926" s="16">
        <f>DATE(YEAR(SUBSTITUTE(LEFT(Base_report!G924,10),"-","/")),MONTH(SUBSTITUTE(LEFT(Base_report!G924,10),"-","/")),DAY(SUBSTITUTE(LEFT(Base_report!G924,10),"-","/")))</f>
        <v>45295</v>
      </c>
      <c r="I926" s="17" t="str">
        <f t="shared" si="1"/>
        <v>OUI</v>
      </c>
      <c r="J926" s="18">
        <f>IF(L926="DS",DATE(RIGHT(B926,4),VLOOKUP(LEFT(B926,LEN(B926)-5),Feuil1!$E$3:$F$19,2,FALSE)+1,10),DATE(RIGHT(B926,4),VLOOKUP(LEFT(B926,LEN(B926)-5),Feuil1!$E$3:$F$19,2,FALSE)+1,7))</f>
        <v>45298</v>
      </c>
      <c r="K926" s="19">
        <f t="shared" si="2"/>
        <v>1</v>
      </c>
      <c r="L926" s="6" t="str">
        <f t="shared" si="3"/>
        <v>FS</v>
      </c>
    </row>
    <row r="927" ht="14.25" customHeight="1">
      <c r="A927" s="14" t="str">
        <f>Base_report!A925</f>
        <v>BOUNKANI</v>
      </c>
      <c r="B927" s="14" t="str">
        <f>Base_report!B925</f>
        <v>DECEMBRE 2023</v>
      </c>
      <c r="C927" s="15" t="str">
        <f>Base_report!C925</f>
        <v>C4069</v>
      </c>
      <c r="D927" s="14" t="str">
        <f>TRIM(IF(ISNUMBER(FIND("PNSME",Base_report!D925,1)),SUBSTITUTE(Base_report!D925,"PNSME",""),IF(ISNUMBER(FIND("PHG",Base_report!D925,1)),SUBSTITUTE(Base_report!D925,"PHG",""),IF(ISNUMBER(FIND("PCS",Base_report!D925,1)),SUBSTITUTE(Base_report!D925,"PCS",""),IF(ISNUMBER(FIND("CMU",Base_report!D925,1)),SUBSTITUTE(Base_report!D925,"CMU",""),Base_report!D925)))))</f>
        <v>DISTRICT SANITAIRE TRANSUA</v>
      </c>
      <c r="E927" s="14" t="str">
        <f>SUBSTITUTE(Base_report!E925,"-","/")</f>
        <v>PNLP/MEDICAMENTS ET INTRANTS</v>
      </c>
      <c r="F927" s="14" t="s">
        <v>788</v>
      </c>
      <c r="G927" s="16">
        <f>DATE(YEAR(SUBSTITUTE(LEFT(Base_report!F925,10),"-","/")),MONTH(SUBSTITUTE(LEFT(Base_report!F925,10),"-","/")),DAY(SUBSTITUTE(LEFT(Base_report!F925,10),"-","/")))</f>
        <v>45301</v>
      </c>
      <c r="H927" s="16">
        <f>DATE(YEAR(SUBSTITUTE(LEFT(Base_report!G925,10),"-","/")),MONTH(SUBSTITUTE(LEFT(Base_report!G925,10),"-","/")),DAY(SUBSTITUTE(LEFT(Base_report!G925,10),"-","/")))</f>
        <v>45301</v>
      </c>
      <c r="I927" s="17" t="str">
        <f t="shared" si="1"/>
        <v>OUI</v>
      </c>
      <c r="J927" s="18">
        <f>IF(L927="DS",DATE(RIGHT(B927,4),VLOOKUP(LEFT(B927,LEN(B927)-5),Feuil1!$E$3:$F$19,2,FALSE)+1,10),DATE(RIGHT(B927,4),VLOOKUP(LEFT(B927,LEN(B927)-5),Feuil1!$E$3:$F$19,2,FALSE)+1,7))</f>
        <v>45301</v>
      </c>
      <c r="K927" s="19">
        <f t="shared" si="2"/>
        <v>1</v>
      </c>
      <c r="L927" s="6" t="str">
        <f t="shared" si="3"/>
        <v>DS</v>
      </c>
    </row>
    <row r="928" ht="14.25" customHeight="1">
      <c r="A928" s="14" t="str">
        <f>Base_report!A926</f>
        <v>HAUT-SASSANDRA</v>
      </c>
      <c r="B928" s="14" t="str">
        <f>Base_report!B926</f>
        <v>DECEMBRE 2023</v>
      </c>
      <c r="C928" s="15" t="str">
        <f>Base_report!C926</f>
        <v>C2061</v>
      </c>
      <c r="D928" s="14" t="str">
        <f>TRIM(IF(ISNUMBER(FIND("PNSME",Base_report!D926,1)),SUBSTITUTE(Base_report!D926,"PNSME",""),IF(ISNUMBER(FIND("PHG",Base_report!D926,1)),SUBSTITUTE(Base_report!D926,"PHG",""),IF(ISNUMBER(FIND("PCS",Base_report!D926,1)),SUBSTITUTE(Base_report!D926,"PCS",""),IF(ISNUMBER(FIND("CMU",Base_report!D926,1)),SUBSTITUTE(Base_report!D926,"CMU",""),Base_report!D926)))))</f>
        <v>HOPITAL GENERAL SAIOUA</v>
      </c>
      <c r="E928" s="14" t="str">
        <f>SUBSTITUTE(Base_report!E926,"-","/")</f>
        <v>PNSME/MEDICAMENTS ET INTRANTS</v>
      </c>
      <c r="F928" s="14" t="s">
        <v>788</v>
      </c>
      <c r="G928" s="16">
        <f>DATE(YEAR(SUBSTITUTE(LEFT(Base_report!F926,10),"-","/")),MONTH(SUBSTITUTE(LEFT(Base_report!F926,10),"-","/")),DAY(SUBSTITUTE(LEFT(Base_report!F926,10),"-","/")))</f>
        <v>45296</v>
      </c>
      <c r="H928" s="16">
        <f>DATE(YEAR(SUBSTITUTE(LEFT(Base_report!G926,10),"-","/")),MONTH(SUBSTITUTE(LEFT(Base_report!G926,10),"-","/")),DAY(SUBSTITUTE(LEFT(Base_report!G926,10),"-","/")))</f>
        <v>45296</v>
      </c>
      <c r="I928" s="17" t="str">
        <f t="shared" si="1"/>
        <v>OUI</v>
      </c>
      <c r="J928" s="18">
        <f>IF(L928="DS",DATE(RIGHT(B928,4),VLOOKUP(LEFT(B928,LEN(B928)-5),Feuil1!$E$3:$F$19,2,FALSE)+1,10),DATE(RIGHT(B928,4),VLOOKUP(LEFT(B928,LEN(B928)-5),Feuil1!$E$3:$F$19,2,FALSE)+1,7))</f>
        <v>45298</v>
      </c>
      <c r="K928" s="19">
        <f t="shared" si="2"/>
        <v>1</v>
      </c>
      <c r="L928" s="6" t="str">
        <f t="shared" si="3"/>
        <v>FS</v>
      </c>
    </row>
    <row r="929" ht="14.25" customHeight="1">
      <c r="A929" s="14" t="str">
        <f>Base_report!A927</f>
        <v>NAWA</v>
      </c>
      <c r="B929" s="14" t="str">
        <f>Base_report!B927</f>
        <v>DECEMBRE 2023</v>
      </c>
      <c r="C929" s="15" t="str">
        <f>Base_report!C927</f>
        <v>C2230</v>
      </c>
      <c r="D929" s="14" t="str">
        <f>TRIM(IF(ISNUMBER(FIND("PNSME",Base_report!D927,1)),SUBSTITUTE(Base_report!D927,"PNSME",""),IF(ISNUMBER(FIND("PHG",Base_report!D927,1)),SUBSTITUTE(Base_report!D927,"PHG",""),IF(ISNUMBER(FIND("PCS",Base_report!D927,1)),SUBSTITUTE(Base_report!D927,"PCS",""),IF(ISNUMBER(FIND("CMU",Base_report!D927,1)),SUBSTITUTE(Base_report!D927,"CMU",""),Base_report!D927)))))</f>
        <v>HOPITAL GENERAL DE MEAGUI</v>
      </c>
      <c r="E929" s="14" t="str">
        <f>SUBSTITUTE(Base_report!E927,"-","/")</f>
        <v>PNLS/CHARGES VIRALES</v>
      </c>
      <c r="F929" s="14" t="s">
        <v>788</v>
      </c>
      <c r="G929" s="16">
        <f>DATE(YEAR(SUBSTITUTE(LEFT(Base_report!F927,10),"-","/")),MONTH(SUBSTITUTE(LEFT(Base_report!F927,10),"-","/")),DAY(SUBSTITUTE(LEFT(Base_report!F927,10),"-","/")))</f>
        <v>45295</v>
      </c>
      <c r="H929" s="16">
        <f>DATE(YEAR(SUBSTITUTE(LEFT(Base_report!G927,10),"-","/")),MONTH(SUBSTITUTE(LEFT(Base_report!G927,10),"-","/")),DAY(SUBSTITUTE(LEFT(Base_report!G927,10),"-","/")))</f>
        <v>45297</v>
      </c>
      <c r="I929" s="17" t="str">
        <f t="shared" si="1"/>
        <v>OUI</v>
      </c>
      <c r="J929" s="18">
        <f>IF(L929="DS",DATE(RIGHT(B929,4),VLOOKUP(LEFT(B929,LEN(B929)-5),Feuil1!$E$3:$F$19,2,FALSE)+1,10),DATE(RIGHT(B929,4),VLOOKUP(LEFT(B929,LEN(B929)-5),Feuil1!$E$3:$F$19,2,FALSE)+1,7))</f>
        <v>45298</v>
      </c>
      <c r="K929" s="19">
        <f t="shared" si="2"/>
        <v>1</v>
      </c>
      <c r="L929" s="6" t="str">
        <f t="shared" si="3"/>
        <v>FS</v>
      </c>
    </row>
    <row r="930" ht="14.25" customHeight="1">
      <c r="A930" s="14" t="str">
        <f>Base_report!A928</f>
        <v>TCHOLOGO</v>
      </c>
      <c r="B930" s="14" t="str">
        <f>Base_report!B928</f>
        <v>DECEMBRE 2023</v>
      </c>
      <c r="C930" s="15" t="str">
        <f>Base_report!C928</f>
        <v>C3020</v>
      </c>
      <c r="D930" s="14" t="str">
        <f>TRIM(IF(ISNUMBER(FIND("PNSME",Base_report!D928,1)),SUBSTITUTE(Base_report!D928,"PNSME",""),IF(ISNUMBER(FIND("PHG",Base_report!D928,1)),SUBSTITUTE(Base_report!D928,"PHG",""),IF(ISNUMBER(FIND("PCS",Base_report!D928,1)),SUBSTITUTE(Base_report!D928,"PCS",""),IF(ISNUMBER(FIND("CMU",Base_report!D928,1)),SUBSTITUTE(Base_report!D928,"CMU",""),Base_report!D928)))))</f>
        <v>HOPITAL GENERAL OUANGOLO</v>
      </c>
      <c r="E930" s="14" t="str">
        <f>SUBSTITUTE(Base_report!E928,"-","/")</f>
        <v>PNLS/TESTS RAPIDES ET CONSOMMABLES</v>
      </c>
      <c r="F930" s="14" t="s">
        <v>788</v>
      </c>
      <c r="G930" s="16">
        <f>DATE(YEAR(SUBSTITUTE(LEFT(Base_report!F928,10),"-","/")),MONTH(SUBSTITUTE(LEFT(Base_report!F928,10),"-","/")),DAY(SUBSTITUTE(LEFT(Base_report!F928,10),"-","/")))</f>
        <v>45296</v>
      </c>
      <c r="H930" s="16">
        <f>DATE(YEAR(SUBSTITUTE(LEFT(Base_report!G928,10),"-","/")),MONTH(SUBSTITUTE(LEFT(Base_report!G928,10),"-","/")),DAY(SUBSTITUTE(LEFT(Base_report!G928,10),"-","/")))</f>
        <v>45297</v>
      </c>
      <c r="I930" s="17" t="str">
        <f t="shared" si="1"/>
        <v>OUI</v>
      </c>
      <c r="J930" s="18">
        <f>IF(L930="DS",DATE(RIGHT(B930,4),VLOOKUP(LEFT(B930,LEN(B930)-5),Feuil1!$E$3:$F$19,2,FALSE)+1,10),DATE(RIGHT(B930,4),VLOOKUP(LEFT(B930,LEN(B930)-5),Feuil1!$E$3:$F$19,2,FALSE)+1,7))</f>
        <v>45298</v>
      </c>
      <c r="K930" s="19">
        <f t="shared" si="2"/>
        <v>1</v>
      </c>
      <c r="L930" s="6" t="str">
        <f t="shared" si="3"/>
        <v>FS</v>
      </c>
    </row>
    <row r="931" ht="14.25" customHeight="1">
      <c r="A931" s="14" t="str">
        <f>Base_report!A929</f>
        <v>NAWA</v>
      </c>
      <c r="B931" s="14" t="str">
        <f>Base_report!B929</f>
        <v>DECEMBRE 2023</v>
      </c>
      <c r="C931" s="15" t="str">
        <f>Base_report!C929</f>
        <v>C2230</v>
      </c>
      <c r="D931" s="14" t="str">
        <f>TRIM(IF(ISNUMBER(FIND("PNSME",Base_report!D929,1)),SUBSTITUTE(Base_report!D929,"PNSME",""),IF(ISNUMBER(FIND("PHG",Base_report!D929,1)),SUBSTITUTE(Base_report!D929,"PHG",""),IF(ISNUMBER(FIND("PCS",Base_report!D929,1)),SUBSTITUTE(Base_report!D929,"PCS",""),IF(ISNUMBER(FIND("CMU",Base_report!D929,1)),SUBSTITUTE(Base_report!D929,"CMU",""),Base_report!D929)))))</f>
        <v>HOPITAL GENERAL DE MEAGUI</v>
      </c>
      <c r="E931" s="14" t="str">
        <f>SUBSTITUTE(Base_report!E929,"-","/")</f>
        <v>PNLS/PRODUITS DE LABORATOIRE</v>
      </c>
      <c r="F931" s="14" t="s">
        <v>788</v>
      </c>
      <c r="G931" s="16">
        <f>DATE(YEAR(SUBSTITUTE(LEFT(Base_report!F929,10),"-","/")),MONTH(SUBSTITUTE(LEFT(Base_report!F929,10),"-","/")),DAY(SUBSTITUTE(LEFT(Base_report!F929,10),"-","/")))</f>
        <v>45295</v>
      </c>
      <c r="H931" s="16">
        <f>DATE(YEAR(SUBSTITUTE(LEFT(Base_report!G929,10),"-","/")),MONTH(SUBSTITUTE(LEFT(Base_report!G929,10),"-","/")),DAY(SUBSTITUTE(LEFT(Base_report!G929,10),"-","/")))</f>
        <v>45297</v>
      </c>
      <c r="I931" s="17" t="str">
        <f t="shared" si="1"/>
        <v>OUI</v>
      </c>
      <c r="J931" s="18">
        <f>IF(L931="DS",DATE(RIGHT(B931,4),VLOOKUP(LEFT(B931,LEN(B931)-5),Feuil1!$E$3:$F$19,2,FALSE)+1,10),DATE(RIGHT(B931,4),VLOOKUP(LEFT(B931,LEN(B931)-5),Feuil1!$E$3:$F$19,2,FALSE)+1,7))</f>
        <v>45298</v>
      </c>
      <c r="K931" s="19">
        <f t="shared" si="2"/>
        <v>1</v>
      </c>
      <c r="L931" s="6" t="str">
        <f t="shared" si="3"/>
        <v>FS</v>
      </c>
    </row>
    <row r="932" ht="14.25" customHeight="1">
      <c r="A932" s="14" t="str">
        <f>Base_report!A930</f>
        <v>INDENIE-DJUABLIN</v>
      </c>
      <c r="B932" s="14" t="str">
        <f>Base_report!B930</f>
        <v>DECEMBRE 2023</v>
      </c>
      <c r="C932" s="15" t="str">
        <f>Base_report!C930</f>
        <v>C4023</v>
      </c>
      <c r="D932" s="14" t="str">
        <f>TRIM(IF(ISNUMBER(FIND("PNSME",Base_report!D930,1)),SUBSTITUTE(Base_report!D930,"PNSME",""),IF(ISNUMBER(FIND("PHG",Base_report!D930,1)),SUBSTITUTE(Base_report!D930,"PHG",""),IF(ISNUMBER(FIND("PCS",Base_report!D930,1)),SUBSTITUTE(Base_report!D930,"PCS",""),IF(ISNUMBER(FIND("CMU",Base_report!D930,1)),SUBSTITUTE(Base_report!D930,"CMU",""),Base_report!D930)))))</f>
        <v>CSU NIABLE</v>
      </c>
      <c r="E932" s="14" t="str">
        <f>SUBSTITUTE(Base_report!E930,"-","/")</f>
        <v>PNSME/MEDICAMENTS ET INTRANTS</v>
      </c>
      <c r="F932" s="14" t="s">
        <v>788</v>
      </c>
      <c r="G932" s="16">
        <f>DATE(YEAR(SUBSTITUTE(LEFT(Base_report!F930,10),"-","/")),MONTH(SUBSTITUTE(LEFT(Base_report!F930,10),"-","/")),DAY(SUBSTITUTE(LEFT(Base_report!F930,10),"-","/")))</f>
        <v>45295</v>
      </c>
      <c r="H932" s="16">
        <f>DATE(YEAR(SUBSTITUTE(LEFT(Base_report!G930,10),"-","/")),MONTH(SUBSTITUTE(LEFT(Base_report!G930,10),"-","/")),DAY(SUBSTITUTE(LEFT(Base_report!G930,10),"-","/")))</f>
        <v>45295</v>
      </c>
      <c r="I932" s="17" t="str">
        <f t="shared" si="1"/>
        <v>OUI</v>
      </c>
      <c r="J932" s="18">
        <f>IF(L932="DS",DATE(RIGHT(B932,4),VLOOKUP(LEFT(B932,LEN(B932)-5),Feuil1!$E$3:$F$19,2,FALSE)+1,10),DATE(RIGHT(B932,4),VLOOKUP(LEFT(B932,LEN(B932)-5),Feuil1!$E$3:$F$19,2,FALSE)+1,7))</f>
        <v>45298</v>
      </c>
      <c r="K932" s="19">
        <f t="shared" si="2"/>
        <v>1</v>
      </c>
      <c r="L932" s="6" t="str">
        <f t="shared" si="3"/>
        <v>FS</v>
      </c>
    </row>
    <row r="933" ht="14.25" customHeight="1">
      <c r="A933" s="14" t="str">
        <f>Base_report!A931</f>
        <v>NAWA</v>
      </c>
      <c r="B933" s="14" t="str">
        <f>Base_report!B931</f>
        <v>DECEMBRE 2023</v>
      </c>
      <c r="C933" s="15" t="str">
        <f>Base_report!C931</f>
        <v>C2230</v>
      </c>
      <c r="D933" s="14" t="str">
        <f>TRIM(IF(ISNUMBER(FIND("PNSME",Base_report!D931,1)),SUBSTITUTE(Base_report!D931,"PNSME",""),IF(ISNUMBER(FIND("PHG",Base_report!D931,1)),SUBSTITUTE(Base_report!D931,"PHG",""),IF(ISNUMBER(FIND("PCS",Base_report!D931,1)),SUBSTITUTE(Base_report!D931,"PCS",""),IF(ISNUMBER(FIND("CMU",Base_report!D931,1)),SUBSTITUTE(Base_report!D931,"CMU",""),Base_report!D931)))))</f>
        <v>HOPITAL GENERAL DE MEAGUI</v>
      </c>
      <c r="E933" s="14" t="str">
        <f>SUBSTITUTE(Base_report!E931,"-","/")</f>
        <v>PNLS/TESTS RAPIDES ET CONSOMMABLES</v>
      </c>
      <c r="F933" s="14" t="s">
        <v>788</v>
      </c>
      <c r="G933" s="16">
        <f>DATE(YEAR(SUBSTITUTE(LEFT(Base_report!F931,10),"-","/")),MONTH(SUBSTITUTE(LEFT(Base_report!F931,10),"-","/")),DAY(SUBSTITUTE(LEFT(Base_report!F931,10),"-","/")))</f>
        <v>45295</v>
      </c>
      <c r="H933" s="16">
        <f>DATE(YEAR(SUBSTITUTE(LEFT(Base_report!G931,10),"-","/")),MONTH(SUBSTITUTE(LEFT(Base_report!G931,10),"-","/")),DAY(SUBSTITUTE(LEFT(Base_report!G931,10),"-","/")))</f>
        <v>45297</v>
      </c>
      <c r="I933" s="17" t="str">
        <f t="shared" si="1"/>
        <v>OUI</v>
      </c>
      <c r="J933" s="18">
        <f>IF(L933="DS",DATE(RIGHT(B933,4),VLOOKUP(LEFT(B933,LEN(B933)-5),Feuil1!$E$3:$F$19,2,FALSE)+1,10),DATE(RIGHT(B933,4),VLOOKUP(LEFT(B933,LEN(B933)-5),Feuil1!$E$3:$F$19,2,FALSE)+1,7))</f>
        <v>45298</v>
      </c>
      <c r="K933" s="19">
        <f t="shared" si="2"/>
        <v>1</v>
      </c>
      <c r="L933" s="6" t="str">
        <f t="shared" si="3"/>
        <v>FS</v>
      </c>
    </row>
    <row r="934" ht="14.25" customHeight="1">
      <c r="A934" s="14" t="str">
        <f>Base_report!A932</f>
        <v>GRANDS PONTS</v>
      </c>
      <c r="B934" s="14" t="str">
        <f>Base_report!B932</f>
        <v>DECEMBRE 2023</v>
      </c>
      <c r="C934" s="15" t="str">
        <f>Base_report!C932</f>
        <v>C1901</v>
      </c>
      <c r="D934" s="14" t="str">
        <f>TRIM(IF(ISNUMBER(FIND("PNSME",Base_report!D932,1)),SUBSTITUTE(Base_report!D932,"PNSME",""),IF(ISNUMBER(FIND("PHG",Base_report!D932,1)),SUBSTITUTE(Base_report!D932,"PHG",""),IF(ISNUMBER(FIND("PCS",Base_report!D932,1)),SUBSTITUTE(Base_report!D932,"PCS",""),IF(ISNUMBER(FIND("CMU",Base_report!D932,1)),SUBSTITUTE(Base_report!D932,"CMU",""),Base_report!D932)))))</f>
        <v>CSU LOPOU</v>
      </c>
      <c r="E934" s="14" t="str">
        <f>SUBSTITUTE(Base_report!E932,"-","/")</f>
        <v>PNSME/MEDICAMENTS ET INTRANTS</v>
      </c>
      <c r="F934" s="14" t="s">
        <v>788</v>
      </c>
      <c r="G934" s="16">
        <f>DATE(YEAR(SUBSTITUTE(LEFT(Base_report!F932,10),"-","/")),MONTH(SUBSTITUTE(LEFT(Base_report!F932,10),"-","/")),DAY(SUBSTITUTE(LEFT(Base_report!F932,10),"-","/")))</f>
        <v>45295</v>
      </c>
      <c r="H934" s="16">
        <f>DATE(YEAR(SUBSTITUTE(LEFT(Base_report!G932,10),"-","/")),MONTH(SUBSTITUTE(LEFT(Base_report!G932,10),"-","/")),DAY(SUBSTITUTE(LEFT(Base_report!G932,10),"-","/")))</f>
        <v>45296</v>
      </c>
      <c r="I934" s="17" t="str">
        <f t="shared" si="1"/>
        <v>OUI</v>
      </c>
      <c r="J934" s="18">
        <f>IF(L934="DS",DATE(RIGHT(B934,4),VLOOKUP(LEFT(B934,LEN(B934)-5),Feuil1!$E$3:$F$19,2,FALSE)+1,10),DATE(RIGHT(B934,4),VLOOKUP(LEFT(B934,LEN(B934)-5),Feuil1!$E$3:$F$19,2,FALSE)+1,7))</f>
        <v>45298</v>
      </c>
      <c r="K934" s="19">
        <f t="shared" si="2"/>
        <v>1</v>
      </c>
      <c r="L934" s="6" t="str">
        <f t="shared" si="3"/>
        <v>FS</v>
      </c>
    </row>
    <row r="935" ht="14.25" customHeight="1">
      <c r="A935" s="14" t="str">
        <f>Base_report!A933</f>
        <v>MORONOU</v>
      </c>
      <c r="B935" s="14" t="str">
        <f>Base_report!B933</f>
        <v>DECEMBRE 2023</v>
      </c>
      <c r="C935" s="15" t="str">
        <f>Base_report!C933</f>
        <v>C4016</v>
      </c>
      <c r="D935" s="14" t="str">
        <f>TRIM(IF(ISNUMBER(FIND("PNSME",Base_report!D933,1)),SUBSTITUTE(Base_report!D933,"PNSME",""),IF(ISNUMBER(FIND("PHG",Base_report!D933,1)),SUBSTITUTE(Base_report!D933,"PHG",""),IF(ISNUMBER(FIND("PCS",Base_report!D933,1)),SUBSTITUTE(Base_report!D933,"PCS",""),IF(ISNUMBER(FIND("CMU",Base_report!D933,1)),SUBSTITUTE(Base_report!D933,"CMU",""),Base_report!D933)))))</f>
        <v>HOPITAL GENERAL ARRAH</v>
      </c>
      <c r="E935" s="14" t="str">
        <f>SUBSTITUTE(Base_report!E933,"-","/")</f>
        <v>PNLS/TESTS RAPIDES ET CONSOMMABLES</v>
      </c>
      <c r="F935" s="14" t="s">
        <v>788</v>
      </c>
      <c r="G935" s="16">
        <f>DATE(YEAR(SUBSTITUTE(LEFT(Base_report!F933,10),"-","/")),MONTH(SUBSTITUTE(LEFT(Base_report!F933,10),"-","/")),DAY(SUBSTITUTE(LEFT(Base_report!F933,10),"-","/")))</f>
        <v>45296</v>
      </c>
      <c r="H935" s="16">
        <f>DATE(YEAR(SUBSTITUTE(LEFT(Base_report!G933,10),"-","/")),MONTH(SUBSTITUTE(LEFT(Base_report!G933,10),"-","/")),DAY(SUBSTITUTE(LEFT(Base_report!G933,10),"-","/")))</f>
        <v>45296</v>
      </c>
      <c r="I935" s="17" t="str">
        <f t="shared" si="1"/>
        <v>OUI</v>
      </c>
      <c r="J935" s="18">
        <f>IF(L935="DS",DATE(RIGHT(B935,4),VLOOKUP(LEFT(B935,LEN(B935)-5),Feuil1!$E$3:$F$19,2,FALSE)+1,10),DATE(RIGHT(B935,4),VLOOKUP(LEFT(B935,LEN(B935)-5),Feuil1!$E$3:$F$19,2,FALSE)+1,7))</f>
        <v>45298</v>
      </c>
      <c r="K935" s="19">
        <f t="shared" si="2"/>
        <v>1</v>
      </c>
      <c r="L935" s="6" t="str">
        <f t="shared" si="3"/>
        <v>FS</v>
      </c>
    </row>
    <row r="936" ht="14.25" customHeight="1">
      <c r="A936" s="14" t="str">
        <f>Base_report!A934</f>
        <v>ABIDJAN 2</v>
      </c>
      <c r="B936" s="14" t="str">
        <f>Base_report!B934</f>
        <v>DECEMBRE 2023</v>
      </c>
      <c r="C936" s="15" t="str">
        <f>Base_report!C934</f>
        <v>C1745</v>
      </c>
      <c r="D936" s="14" t="str">
        <f>TRIM(IF(ISNUMBER(FIND("PNSME",Base_report!D934,1)),SUBSTITUTE(Base_report!D934,"PNSME",""),IF(ISNUMBER(FIND("PHG",Base_report!D934,1)),SUBSTITUTE(Base_report!D934,"PHG",""),IF(ISNUMBER(FIND("PCS",Base_report!D934,1)),SUBSTITUTE(Base_report!D934,"PCS",""),IF(ISNUMBER(FIND("CMU",Base_report!D934,1)),SUBSTITUTE(Base_report!D934,"CMU",""),Base_report!D934)))))</f>
        <v>CHU ANGRE</v>
      </c>
      <c r="E936" s="14" t="str">
        <f>SUBSTITUTE(Base_report!E934,"-","/")</f>
        <v>PNLS/ANTIRETROVIRAUX ET IO</v>
      </c>
      <c r="F936" s="14" t="s">
        <v>788</v>
      </c>
      <c r="G936" s="16">
        <f>DATE(YEAR(SUBSTITUTE(LEFT(Base_report!F934,10),"-","/")),MONTH(SUBSTITUTE(LEFT(Base_report!F934,10),"-","/")),DAY(SUBSTITUTE(LEFT(Base_report!F934,10),"-","/")))</f>
        <v>45296</v>
      </c>
      <c r="H936" s="16">
        <f>DATE(YEAR(SUBSTITUTE(LEFT(Base_report!G934,10),"-","/")),MONTH(SUBSTITUTE(LEFT(Base_report!G934,10),"-","/")),DAY(SUBSTITUTE(LEFT(Base_report!G934,10),"-","/")))</f>
        <v>45297</v>
      </c>
      <c r="I936" s="17" t="str">
        <f t="shared" si="1"/>
        <v>OUI</v>
      </c>
      <c r="J936" s="18">
        <f>IF(L936="DS",DATE(RIGHT(B936,4),VLOOKUP(LEFT(B936,LEN(B936)-5),Feuil1!$E$3:$F$19,2,FALSE)+1,10),DATE(RIGHT(B936,4),VLOOKUP(LEFT(B936,LEN(B936)-5),Feuil1!$E$3:$F$19,2,FALSE)+1,7))</f>
        <v>45298</v>
      </c>
      <c r="K936" s="19">
        <f t="shared" si="2"/>
        <v>1</v>
      </c>
      <c r="L936" s="6" t="str">
        <f t="shared" si="3"/>
        <v>FS</v>
      </c>
    </row>
    <row r="937" ht="14.25" customHeight="1">
      <c r="A937" s="14" t="str">
        <f>Base_report!A935</f>
        <v>BELIER</v>
      </c>
      <c r="B937" s="14" t="str">
        <f>Base_report!B935</f>
        <v>DECEMBRE 2023</v>
      </c>
      <c r="C937" s="15" t="str">
        <f>Base_report!C935</f>
        <v>C2068</v>
      </c>
      <c r="D937" s="14" t="str">
        <f>TRIM(IF(ISNUMBER(FIND("PNSME",Base_report!D935,1)),SUBSTITUTE(Base_report!D935,"PNSME",""),IF(ISNUMBER(FIND("PHG",Base_report!D935,1)),SUBSTITUTE(Base_report!D935,"PHG",""),IF(ISNUMBER(FIND("PCS",Base_report!D935,1)),SUBSTITUTE(Base_report!D935,"PCS",""),IF(ISNUMBER(FIND("CMU",Base_report!D935,1)),SUBSTITUTE(Base_report!D935,"CMU",""),Base_report!D935)))))</f>
        <v>HOPITAL GENERAL TIEBISSOU</v>
      </c>
      <c r="E937" s="14" t="str">
        <f>SUBSTITUTE(Base_report!E935,"-","/")</f>
        <v>PNLP/MEDICAMENTS ET INTRANTS</v>
      </c>
      <c r="F937" s="14" t="s">
        <v>788</v>
      </c>
      <c r="G937" s="16">
        <f>DATE(YEAR(SUBSTITUTE(LEFT(Base_report!F935,10),"-","/")),MONTH(SUBSTITUTE(LEFT(Base_report!F935,10),"-","/")),DAY(SUBSTITUTE(LEFT(Base_report!F935,10),"-","/")))</f>
        <v>45298</v>
      </c>
      <c r="H937" s="16">
        <f>DATE(YEAR(SUBSTITUTE(LEFT(Base_report!G935,10),"-","/")),MONTH(SUBSTITUTE(LEFT(Base_report!G935,10),"-","/")),DAY(SUBSTITUTE(LEFT(Base_report!G935,10),"-","/")))</f>
        <v>45298</v>
      </c>
      <c r="I937" s="17" t="str">
        <f t="shared" si="1"/>
        <v>OUI</v>
      </c>
      <c r="J937" s="18">
        <f>IF(L937="DS",DATE(RIGHT(B937,4),VLOOKUP(LEFT(B937,LEN(B937)-5),Feuil1!$E$3:$F$19,2,FALSE)+1,10),DATE(RIGHT(B937,4),VLOOKUP(LEFT(B937,LEN(B937)-5),Feuil1!$E$3:$F$19,2,FALSE)+1,7))</f>
        <v>45298</v>
      </c>
      <c r="K937" s="19">
        <f t="shared" si="2"/>
        <v>1</v>
      </c>
      <c r="L937" s="6" t="str">
        <f t="shared" si="3"/>
        <v>FS</v>
      </c>
    </row>
    <row r="938" ht="14.25" customHeight="1">
      <c r="A938" s="14" t="str">
        <f>Base_report!A936</f>
        <v>INDENIE-DJUABLIN</v>
      </c>
      <c r="B938" s="14" t="str">
        <f>Base_report!B936</f>
        <v>DECEMBRE 2023</v>
      </c>
      <c r="C938" s="15" t="str">
        <f>Base_report!C936</f>
        <v>C4014</v>
      </c>
      <c r="D938" s="14" t="str">
        <f>TRIM(IF(ISNUMBER(FIND("PNSME",Base_report!D936,1)),SUBSTITUTE(Base_report!D936,"PNSME",""),IF(ISNUMBER(FIND("PHG",Base_report!D936,1)),SUBSTITUTE(Base_report!D936,"PHG",""),IF(ISNUMBER(FIND("PCS",Base_report!D936,1)),SUBSTITUTE(Base_report!D936,"PCS",""),IF(ISNUMBER(FIND("CMU",Base_report!D936,1)),SUBSTITUTE(Base_report!D936,"CMU",""),Base_report!D936)))))</f>
        <v>HOPITAL GENERAL AGNIBILEKROU</v>
      </c>
      <c r="E938" s="14" t="str">
        <f>SUBSTITUTE(Base_report!E936,"-","/")</f>
        <v>PNLS/PRODUITS DE LABORATOIRE</v>
      </c>
      <c r="F938" s="14" t="s">
        <v>788</v>
      </c>
      <c r="G938" s="16">
        <f>DATE(YEAR(SUBSTITUTE(LEFT(Base_report!F936,10),"-","/")),MONTH(SUBSTITUTE(LEFT(Base_report!F936,10),"-","/")),DAY(SUBSTITUTE(LEFT(Base_report!F936,10),"-","/")))</f>
        <v>45295</v>
      </c>
      <c r="H938" s="16">
        <f>DATE(YEAR(SUBSTITUTE(LEFT(Base_report!G936,10),"-","/")),MONTH(SUBSTITUTE(LEFT(Base_report!G936,10),"-","/")),DAY(SUBSTITUTE(LEFT(Base_report!G936,10),"-","/")))</f>
        <v>45295</v>
      </c>
      <c r="I938" s="17" t="str">
        <f t="shared" si="1"/>
        <v>OUI</v>
      </c>
      <c r="J938" s="18">
        <f>IF(L938="DS",DATE(RIGHT(B938,4),VLOOKUP(LEFT(B938,LEN(B938)-5),Feuil1!$E$3:$F$19,2,FALSE)+1,10),DATE(RIGHT(B938,4),VLOOKUP(LEFT(B938,LEN(B938)-5),Feuil1!$E$3:$F$19,2,FALSE)+1,7))</f>
        <v>45298</v>
      </c>
      <c r="K938" s="19">
        <f t="shared" si="2"/>
        <v>1</v>
      </c>
      <c r="L938" s="6" t="str">
        <f t="shared" si="3"/>
        <v>FS</v>
      </c>
    </row>
    <row r="939" ht="14.25" customHeight="1">
      <c r="A939" s="14" t="str">
        <f>Base_report!A937</f>
        <v>KABADOUGOU</v>
      </c>
      <c r="B939" s="14" t="str">
        <f>Base_report!B937</f>
        <v>DECEMBRE 2023</v>
      </c>
      <c r="C939" s="15" t="str">
        <f>Base_report!C937</f>
        <v>C5077</v>
      </c>
      <c r="D939" s="14" t="str">
        <f>TRIM(IF(ISNUMBER(FIND("PNSME",Base_report!D937,1)),SUBSTITUTE(Base_report!D937,"PNSME",""),IF(ISNUMBER(FIND("PHG",Base_report!D937,1)),SUBSTITUTE(Base_report!D937,"PHG",""),IF(ISNUMBER(FIND("PCS",Base_report!D937,1)),SUBSTITUTE(Base_report!D937,"PCS",""),IF(ISNUMBER(FIND("CMU",Base_report!D937,1)),SUBSTITUTE(Base_report!D937,"CMU",""),Base_report!D937)))))</f>
        <v>HOPITAL GENERAL SEGUELON</v>
      </c>
      <c r="E939" s="14" t="str">
        <f>SUBSTITUTE(Base_report!E937,"-","/")</f>
        <v>PNN/MEDICAMENTS ET INTRANTS</v>
      </c>
      <c r="F939" s="14" t="s">
        <v>788</v>
      </c>
      <c r="G939" s="16">
        <f>DATE(YEAR(SUBSTITUTE(LEFT(Base_report!F937,10),"-","/")),MONTH(SUBSTITUTE(LEFT(Base_report!F937,10),"-","/")),DAY(SUBSTITUTE(LEFT(Base_report!F937,10),"-","/")))</f>
        <v>45296</v>
      </c>
      <c r="H939" s="16">
        <f>DATE(YEAR(SUBSTITUTE(LEFT(Base_report!G937,10),"-","/")),MONTH(SUBSTITUTE(LEFT(Base_report!G937,10),"-","/")),DAY(SUBSTITUTE(LEFT(Base_report!G937,10),"-","/")))</f>
        <v>45296</v>
      </c>
      <c r="I939" s="17" t="str">
        <f t="shared" si="1"/>
        <v>OUI</v>
      </c>
      <c r="J939" s="18">
        <f>IF(L939="DS",DATE(RIGHT(B939,4),VLOOKUP(LEFT(B939,LEN(B939)-5),Feuil1!$E$3:$F$19,2,FALSE)+1,10),DATE(RIGHT(B939,4),VLOOKUP(LEFT(B939,LEN(B939)-5),Feuil1!$E$3:$F$19,2,FALSE)+1,7))</f>
        <v>45298</v>
      </c>
      <c r="K939" s="19">
        <f t="shared" si="2"/>
        <v>1</v>
      </c>
      <c r="L939" s="6" t="str">
        <f t="shared" si="3"/>
        <v>FS</v>
      </c>
    </row>
    <row r="940" ht="14.25" customHeight="1">
      <c r="A940" s="14" t="str">
        <f>Base_report!A938</f>
        <v>GONTOUGO</v>
      </c>
      <c r="B940" s="14" t="str">
        <f>Base_report!B938</f>
        <v>DECEMBRE 2023</v>
      </c>
      <c r="C940" s="15" t="str">
        <f>Base_report!C938</f>
        <v>C4007</v>
      </c>
      <c r="D940" s="14" t="str">
        <f>TRIM(IF(ISNUMBER(FIND("PNSME",Base_report!D938,1)),SUBSTITUTE(Base_report!D938,"PNSME",""),IF(ISNUMBER(FIND("PHG",Base_report!D938,1)),SUBSTITUTE(Base_report!D938,"PHG",""),IF(ISNUMBER(FIND("PCS",Base_report!D938,1)),SUBSTITUTE(Base_report!D938,"PCS",""),IF(ISNUMBER(FIND("CMU",Base_report!D938,1)),SUBSTITUTE(Base_report!D938,"CMU",""),Base_report!D938)))))</f>
        <v>DISTRICT SANITAIRE BONDOUKOU</v>
      </c>
      <c r="E940" s="14" t="str">
        <f>SUBSTITUTE(Base_report!E938,"-","/")</f>
        <v>PNLS/PRODUITS DE LABORATOIRE</v>
      </c>
      <c r="F940" s="14" t="s">
        <v>788</v>
      </c>
      <c r="G940" s="16">
        <f>DATE(YEAR(SUBSTITUTE(LEFT(Base_report!F938,10),"-","/")),MONTH(SUBSTITUTE(LEFT(Base_report!F938,10),"-","/")),DAY(SUBSTITUTE(LEFT(Base_report!F938,10),"-","/")))</f>
        <v>45301</v>
      </c>
      <c r="H940" s="16">
        <f>DATE(YEAR(SUBSTITUTE(LEFT(Base_report!G938,10),"-","/")),MONTH(SUBSTITUTE(LEFT(Base_report!G938,10),"-","/")),DAY(SUBSTITUTE(LEFT(Base_report!G938,10),"-","/")))</f>
        <v>45301</v>
      </c>
      <c r="I940" s="17" t="str">
        <f t="shared" si="1"/>
        <v>OUI</v>
      </c>
      <c r="J940" s="18">
        <f>IF(L940="DS",DATE(RIGHT(B940,4),VLOOKUP(LEFT(B940,LEN(B940)-5),Feuil1!$E$3:$F$19,2,FALSE)+1,10),DATE(RIGHT(B940,4),VLOOKUP(LEFT(B940,LEN(B940)-5),Feuil1!$E$3:$F$19,2,FALSE)+1,7))</f>
        <v>45301</v>
      </c>
      <c r="K940" s="19">
        <f t="shared" si="2"/>
        <v>1</v>
      </c>
      <c r="L940" s="6" t="str">
        <f t="shared" si="3"/>
        <v>DS</v>
      </c>
    </row>
    <row r="941" ht="14.25" customHeight="1">
      <c r="A941" s="14" t="str">
        <f>Base_report!A939</f>
        <v>HAUT-SASSANDRA</v>
      </c>
      <c r="B941" s="14" t="str">
        <f>Base_report!B939</f>
        <v>DECEMBRE 2023</v>
      </c>
      <c r="C941" s="15" t="str">
        <f>Base_report!C939</f>
        <v>C2056</v>
      </c>
      <c r="D941" s="14" t="str">
        <f>TRIM(IF(ISNUMBER(FIND("PNSME",Base_report!D939,1)),SUBSTITUTE(Base_report!D939,"PNSME",""),IF(ISNUMBER(FIND("PHG",Base_report!D939,1)),SUBSTITUTE(Base_report!D939,"PHG",""),IF(ISNUMBER(FIND("PCS",Base_report!D939,1)),SUBSTITUTE(Base_report!D939,"PCS",""),IF(ISNUMBER(FIND("CMU",Base_report!D939,1)),SUBSTITUTE(Base_report!D939,"CMU",""),Base_report!D939)))))</f>
        <v>HOPITAL GENERAL ISSIA</v>
      </c>
      <c r="E941" s="14" t="str">
        <f>SUBSTITUTE(Base_report!E939,"-","/")</f>
        <v>PNLS/PRODUITS DE LABORATOIRE</v>
      </c>
      <c r="F941" s="14" t="s">
        <v>788</v>
      </c>
      <c r="G941" s="16">
        <f>DATE(YEAR(SUBSTITUTE(LEFT(Base_report!F939,10),"-","/")),MONTH(SUBSTITUTE(LEFT(Base_report!F939,10),"-","/")),DAY(SUBSTITUTE(LEFT(Base_report!F939,10),"-","/")))</f>
        <v>45296</v>
      </c>
      <c r="H941" s="16">
        <f>DATE(YEAR(SUBSTITUTE(LEFT(Base_report!G939,10),"-","/")),MONTH(SUBSTITUTE(LEFT(Base_report!G939,10),"-","/")),DAY(SUBSTITUTE(LEFT(Base_report!G939,10),"-","/")))</f>
        <v>45296</v>
      </c>
      <c r="I941" s="17" t="str">
        <f t="shared" si="1"/>
        <v>OUI</v>
      </c>
      <c r="J941" s="18">
        <f>IF(L941="DS",DATE(RIGHT(B941,4),VLOOKUP(LEFT(B941,LEN(B941)-5),Feuil1!$E$3:$F$19,2,FALSE)+1,10),DATE(RIGHT(B941,4),VLOOKUP(LEFT(B941,LEN(B941)-5),Feuil1!$E$3:$F$19,2,FALSE)+1,7))</f>
        <v>45298</v>
      </c>
      <c r="K941" s="19">
        <f t="shared" si="2"/>
        <v>1</v>
      </c>
      <c r="L941" s="6" t="str">
        <f t="shared" si="3"/>
        <v>FS</v>
      </c>
    </row>
    <row r="942" ht="14.25" customHeight="1">
      <c r="A942" s="14" t="str">
        <f>Base_report!A940</f>
        <v>BELIER</v>
      </c>
      <c r="B942" s="14" t="str">
        <f>Base_report!B940</f>
        <v>DECEMBRE 2023</v>
      </c>
      <c r="C942" s="15" t="str">
        <f>Base_report!C940</f>
        <v>C2068</v>
      </c>
      <c r="D942" s="14" t="str">
        <f>TRIM(IF(ISNUMBER(FIND("PNSME",Base_report!D940,1)),SUBSTITUTE(Base_report!D940,"PNSME",""),IF(ISNUMBER(FIND("PHG",Base_report!D940,1)),SUBSTITUTE(Base_report!D940,"PHG",""),IF(ISNUMBER(FIND("PCS",Base_report!D940,1)),SUBSTITUTE(Base_report!D940,"PCS",""),IF(ISNUMBER(FIND("CMU",Base_report!D940,1)),SUBSTITUTE(Base_report!D940,"CMU",""),Base_report!D940)))))</f>
        <v>HOPITAL GENERAL TIEBISSOU</v>
      </c>
      <c r="E942" s="14" t="str">
        <f>SUBSTITUTE(Base_report!E940,"-","/")</f>
        <v>PNLS/ANTIRETROVIRAUX ET IO</v>
      </c>
      <c r="F942" s="14" t="s">
        <v>788</v>
      </c>
      <c r="G942" s="16">
        <f>DATE(YEAR(SUBSTITUTE(LEFT(Base_report!F940,10),"-","/")),MONTH(SUBSTITUTE(LEFT(Base_report!F940,10),"-","/")),DAY(SUBSTITUTE(LEFT(Base_report!F940,10),"-","/")))</f>
        <v>45298</v>
      </c>
      <c r="H942" s="16">
        <f>DATE(YEAR(SUBSTITUTE(LEFT(Base_report!G940,10),"-","/")),MONTH(SUBSTITUTE(LEFT(Base_report!G940,10),"-","/")),DAY(SUBSTITUTE(LEFT(Base_report!G940,10),"-","/")))</f>
        <v>45298</v>
      </c>
      <c r="I942" s="17" t="str">
        <f t="shared" si="1"/>
        <v>OUI</v>
      </c>
      <c r="J942" s="18">
        <f>IF(L942="DS",DATE(RIGHT(B942,4),VLOOKUP(LEFT(B942,LEN(B942)-5),Feuil1!$E$3:$F$19,2,FALSE)+1,10),DATE(RIGHT(B942,4),VLOOKUP(LEFT(B942,LEN(B942)-5),Feuil1!$E$3:$F$19,2,FALSE)+1,7))</f>
        <v>45298</v>
      </c>
      <c r="K942" s="19">
        <f t="shared" si="2"/>
        <v>1</v>
      </c>
      <c r="L942" s="6" t="str">
        <f t="shared" si="3"/>
        <v>FS</v>
      </c>
    </row>
    <row r="943" ht="14.25" customHeight="1">
      <c r="A943" s="14" t="str">
        <f>Base_report!A941</f>
        <v>BELIER</v>
      </c>
      <c r="B943" s="14" t="str">
        <f>Base_report!B941</f>
        <v>DECEMBRE 2023</v>
      </c>
      <c r="C943" s="15" t="str">
        <f>Base_report!C941</f>
        <v>C2068</v>
      </c>
      <c r="D943" s="14" t="str">
        <f>TRIM(IF(ISNUMBER(FIND("PNSME",Base_report!D941,1)),SUBSTITUTE(Base_report!D941,"PNSME",""),IF(ISNUMBER(FIND("PHG",Base_report!D941,1)),SUBSTITUTE(Base_report!D941,"PHG",""),IF(ISNUMBER(FIND("PCS",Base_report!D941,1)),SUBSTITUTE(Base_report!D941,"PCS",""),IF(ISNUMBER(FIND("CMU",Base_report!D941,1)),SUBSTITUTE(Base_report!D941,"CMU",""),Base_report!D941)))))</f>
        <v>HOPITAL GENERAL TIEBISSOU</v>
      </c>
      <c r="E943" s="14" t="str">
        <f>SUBSTITUTE(Base_report!E941,"-","/")</f>
        <v>PNLS/TESTS RAPIDES ET CONSOMMABLES</v>
      </c>
      <c r="F943" s="14" t="s">
        <v>788</v>
      </c>
      <c r="G943" s="16">
        <f>DATE(YEAR(SUBSTITUTE(LEFT(Base_report!F941,10),"-","/")),MONTH(SUBSTITUTE(LEFT(Base_report!F941,10),"-","/")),DAY(SUBSTITUTE(LEFT(Base_report!F941,10),"-","/")))</f>
        <v>45298</v>
      </c>
      <c r="H943" s="16">
        <f>DATE(YEAR(SUBSTITUTE(LEFT(Base_report!G941,10),"-","/")),MONTH(SUBSTITUTE(LEFT(Base_report!G941,10),"-","/")),DAY(SUBSTITUTE(LEFT(Base_report!G941,10),"-","/")))</f>
        <v>45298</v>
      </c>
      <c r="I943" s="17" t="str">
        <f t="shared" si="1"/>
        <v>OUI</v>
      </c>
      <c r="J943" s="18">
        <f>IF(L943="DS",DATE(RIGHT(B943,4),VLOOKUP(LEFT(B943,LEN(B943)-5),Feuil1!$E$3:$F$19,2,FALSE)+1,10),DATE(RIGHT(B943,4),VLOOKUP(LEFT(B943,LEN(B943)-5),Feuil1!$E$3:$F$19,2,FALSE)+1,7))</f>
        <v>45298</v>
      </c>
      <c r="K943" s="19">
        <f t="shared" si="2"/>
        <v>1</v>
      </c>
      <c r="L943" s="6" t="str">
        <f t="shared" si="3"/>
        <v>FS</v>
      </c>
    </row>
    <row r="944" ht="14.25" customHeight="1">
      <c r="A944" s="14" t="str">
        <f>Base_report!A942</f>
        <v>ABIDJAN 2</v>
      </c>
      <c r="B944" s="14" t="str">
        <f>Base_report!B942</f>
        <v>DECEMBRE 2023</v>
      </c>
      <c r="C944" s="15" t="str">
        <f>Base_report!C942</f>
        <v>C1745</v>
      </c>
      <c r="D944" s="14" t="str">
        <f>TRIM(IF(ISNUMBER(FIND("PNSME",Base_report!D942,1)),SUBSTITUTE(Base_report!D942,"PNSME",""),IF(ISNUMBER(FIND("PHG",Base_report!D942,1)),SUBSTITUTE(Base_report!D942,"PHG",""),IF(ISNUMBER(FIND("PCS",Base_report!D942,1)),SUBSTITUTE(Base_report!D942,"PCS",""),IF(ISNUMBER(FIND("CMU",Base_report!D942,1)),SUBSTITUTE(Base_report!D942,"CMU",""),Base_report!D942)))))</f>
        <v>CHU ANGRE</v>
      </c>
      <c r="E944" s="14" t="str">
        <f>SUBSTITUTE(Base_report!E942,"-","/")</f>
        <v>PNLS/PRODUITS DE LABORATOIRE</v>
      </c>
      <c r="F944" s="14" t="s">
        <v>788</v>
      </c>
      <c r="G944" s="16">
        <f>DATE(YEAR(SUBSTITUTE(LEFT(Base_report!F942,10),"-","/")),MONTH(SUBSTITUTE(LEFT(Base_report!F942,10),"-","/")),DAY(SUBSTITUTE(LEFT(Base_report!F942,10),"-","/")))</f>
        <v>45295</v>
      </c>
      <c r="H944" s="16">
        <f>DATE(YEAR(SUBSTITUTE(LEFT(Base_report!G942,10),"-","/")),MONTH(SUBSTITUTE(LEFT(Base_report!G942,10),"-","/")),DAY(SUBSTITUTE(LEFT(Base_report!G942,10),"-","/")))</f>
        <v>45296</v>
      </c>
      <c r="I944" s="17" t="str">
        <f t="shared" si="1"/>
        <v>OUI</v>
      </c>
      <c r="J944" s="18">
        <f>IF(L944="DS",DATE(RIGHT(B944,4),VLOOKUP(LEFT(B944,LEN(B944)-5),Feuil1!$E$3:$F$19,2,FALSE)+1,10),DATE(RIGHT(B944,4),VLOOKUP(LEFT(B944,LEN(B944)-5),Feuil1!$E$3:$F$19,2,FALSE)+1,7))</f>
        <v>45298</v>
      </c>
      <c r="K944" s="19">
        <f t="shared" si="2"/>
        <v>1</v>
      </c>
      <c r="L944" s="6" t="str">
        <f t="shared" si="3"/>
        <v>FS</v>
      </c>
    </row>
    <row r="945" ht="14.25" customHeight="1">
      <c r="A945" s="14" t="str">
        <f>Base_report!A943</f>
        <v>KABADOUGOU</v>
      </c>
      <c r="B945" s="14" t="str">
        <f>Base_report!B943</f>
        <v>DECEMBRE 2023</v>
      </c>
      <c r="C945" s="15" t="str">
        <f>Base_report!C943</f>
        <v>C5077</v>
      </c>
      <c r="D945" s="14" t="str">
        <f>TRIM(IF(ISNUMBER(FIND("PNSME",Base_report!D943,1)),SUBSTITUTE(Base_report!D943,"PNSME",""),IF(ISNUMBER(FIND("PHG",Base_report!D943,1)),SUBSTITUTE(Base_report!D943,"PHG",""),IF(ISNUMBER(FIND("PCS",Base_report!D943,1)),SUBSTITUTE(Base_report!D943,"PCS",""),IF(ISNUMBER(FIND("CMU",Base_report!D943,1)),SUBSTITUTE(Base_report!D943,"CMU",""),Base_report!D943)))))</f>
        <v>HOPITAL GENERAL SEGUELON</v>
      </c>
      <c r="E945" s="14" t="str">
        <f>SUBSTITUTE(Base_report!E943,"-","/")</f>
        <v>PNSME/MEDICAMENTS ET INTRANTS</v>
      </c>
      <c r="F945" s="14" t="s">
        <v>788</v>
      </c>
      <c r="G945" s="16">
        <f>DATE(YEAR(SUBSTITUTE(LEFT(Base_report!F943,10),"-","/")),MONTH(SUBSTITUTE(LEFT(Base_report!F943,10),"-","/")),DAY(SUBSTITUTE(LEFT(Base_report!F943,10),"-","/")))</f>
        <v>45296</v>
      </c>
      <c r="H945" s="16">
        <f>DATE(YEAR(SUBSTITUTE(LEFT(Base_report!G943,10),"-","/")),MONTH(SUBSTITUTE(LEFT(Base_report!G943,10),"-","/")),DAY(SUBSTITUTE(LEFT(Base_report!G943,10),"-","/")))</f>
        <v>45296</v>
      </c>
      <c r="I945" s="17" t="str">
        <f t="shared" si="1"/>
        <v>OUI</v>
      </c>
      <c r="J945" s="18">
        <f>IF(L945="DS",DATE(RIGHT(B945,4),VLOOKUP(LEFT(B945,LEN(B945)-5),Feuil1!$E$3:$F$19,2,FALSE)+1,10),DATE(RIGHT(B945,4),VLOOKUP(LEFT(B945,LEN(B945)-5),Feuil1!$E$3:$F$19,2,FALSE)+1,7))</f>
        <v>45298</v>
      </c>
      <c r="K945" s="19">
        <f t="shared" si="2"/>
        <v>1</v>
      </c>
      <c r="L945" s="6" t="str">
        <f t="shared" si="3"/>
        <v>FS</v>
      </c>
    </row>
    <row r="946" ht="14.25" customHeight="1">
      <c r="A946" s="14" t="str">
        <f>Base_report!A944</f>
        <v>ABIDJAN 1</v>
      </c>
      <c r="B946" s="14" t="str">
        <f>Base_report!B944</f>
        <v>DECEMBRE 2023</v>
      </c>
      <c r="C946" s="15" t="str">
        <f>Base_report!C944</f>
        <v>C1364</v>
      </c>
      <c r="D946" s="14" t="str">
        <f>TRIM(IF(ISNUMBER(FIND("PNSME",Base_report!D944,1)),SUBSTITUTE(Base_report!D944,"PNSME",""),IF(ISNUMBER(FIND("PHG",Base_report!D944,1)),SUBSTITUTE(Base_report!D944,"PHG",""),IF(ISNUMBER(FIND("PCS",Base_report!D944,1)),SUBSTITUTE(Base_report!D944,"PCS",""),IF(ISNUMBER(FIND("CMU",Base_report!D944,1)),SUBSTITUTE(Base_report!D944,"CMU",""),Base_report!D944)))))</f>
        <v>RUBAN ROUGE</v>
      </c>
      <c r="E946" s="14" t="str">
        <f>SUBSTITUTE(Base_report!E944,"-","/")</f>
        <v>PNLS/PRODUITS DE LABORATOIRE</v>
      </c>
      <c r="F946" s="14" t="s">
        <v>788</v>
      </c>
      <c r="G946" s="16">
        <f>DATE(YEAR(SUBSTITUTE(LEFT(Base_report!F944,10),"-","/")),MONTH(SUBSTITUTE(LEFT(Base_report!F944,10),"-","/")),DAY(SUBSTITUTE(LEFT(Base_report!F944,10),"-","/")))</f>
        <v>45296</v>
      </c>
      <c r="H946" s="16">
        <f>DATE(YEAR(SUBSTITUTE(LEFT(Base_report!G944,10),"-","/")),MONTH(SUBSTITUTE(LEFT(Base_report!G944,10),"-","/")),DAY(SUBSTITUTE(LEFT(Base_report!G944,10),"-","/")))</f>
        <v>45296</v>
      </c>
      <c r="I946" s="17" t="str">
        <f t="shared" si="1"/>
        <v>OUI</v>
      </c>
      <c r="J946" s="18">
        <f>IF(L946="DS",DATE(RIGHT(B946,4),VLOOKUP(LEFT(B946,LEN(B946)-5),Feuil1!$E$3:$F$19,2,FALSE)+1,10),DATE(RIGHT(B946,4),VLOOKUP(LEFT(B946,LEN(B946)-5),Feuil1!$E$3:$F$19,2,FALSE)+1,7))</f>
        <v>45298</v>
      </c>
      <c r="K946" s="19">
        <f t="shared" si="2"/>
        <v>1</v>
      </c>
      <c r="L946" s="6" t="str">
        <f t="shared" si="3"/>
        <v>FS</v>
      </c>
    </row>
    <row r="947" ht="14.25" customHeight="1">
      <c r="A947" s="14" t="str">
        <f>Base_report!A945</f>
        <v>HAUT-SASSANDRA</v>
      </c>
      <c r="B947" s="14" t="str">
        <f>Base_report!B945</f>
        <v>DECEMBRE 2023</v>
      </c>
      <c r="C947" s="15" t="str">
        <f>Base_report!C945</f>
        <v>C2061</v>
      </c>
      <c r="D947" s="14" t="str">
        <f>TRIM(IF(ISNUMBER(FIND("PNSME",Base_report!D945,1)),SUBSTITUTE(Base_report!D945,"PNSME",""),IF(ISNUMBER(FIND("PHG",Base_report!D945,1)),SUBSTITUTE(Base_report!D945,"PHG",""),IF(ISNUMBER(FIND("PCS",Base_report!D945,1)),SUBSTITUTE(Base_report!D945,"PCS",""),IF(ISNUMBER(FIND("CMU",Base_report!D945,1)),SUBSTITUTE(Base_report!D945,"CMU",""),Base_report!D945)))))</f>
        <v>HOPITAL GENERAL SAIOUA</v>
      </c>
      <c r="E947" s="14" t="str">
        <f>SUBSTITUTE(Base_report!E945,"-","/")</f>
        <v>PNLS/TESTS RAPIDES ET CONSOMMABLES</v>
      </c>
      <c r="F947" s="14" t="s">
        <v>788</v>
      </c>
      <c r="G947" s="16">
        <f>DATE(YEAR(SUBSTITUTE(LEFT(Base_report!F945,10),"-","/")),MONTH(SUBSTITUTE(LEFT(Base_report!F945,10),"-","/")),DAY(SUBSTITUTE(LEFT(Base_report!F945,10),"-","/")))</f>
        <v>45296</v>
      </c>
      <c r="H947" s="16">
        <f>DATE(YEAR(SUBSTITUTE(LEFT(Base_report!G945,10),"-","/")),MONTH(SUBSTITUTE(LEFT(Base_report!G945,10),"-","/")),DAY(SUBSTITUTE(LEFT(Base_report!G945,10),"-","/")))</f>
        <v>45296</v>
      </c>
      <c r="I947" s="17" t="str">
        <f t="shared" si="1"/>
        <v>OUI</v>
      </c>
      <c r="J947" s="18">
        <f>IF(L947="DS",DATE(RIGHT(B947,4),VLOOKUP(LEFT(B947,LEN(B947)-5),Feuil1!$E$3:$F$19,2,FALSE)+1,10),DATE(RIGHT(B947,4),VLOOKUP(LEFT(B947,LEN(B947)-5),Feuil1!$E$3:$F$19,2,FALSE)+1,7))</f>
        <v>45298</v>
      </c>
      <c r="K947" s="19">
        <f t="shared" si="2"/>
        <v>1</v>
      </c>
      <c r="L947" s="6" t="str">
        <f t="shared" si="3"/>
        <v>FS</v>
      </c>
    </row>
    <row r="948" ht="14.25" customHeight="1">
      <c r="A948" s="14" t="str">
        <f>Base_report!A946</f>
        <v>PORO</v>
      </c>
      <c r="B948" s="14" t="str">
        <f>Base_report!B946</f>
        <v>DECEMBRE 2023</v>
      </c>
      <c r="C948" s="15" t="str">
        <f>Base_report!C946</f>
        <v>C3043</v>
      </c>
      <c r="D948" s="14" t="str">
        <f>TRIM(IF(ISNUMBER(FIND("PNSME",Base_report!D946,1)),SUBSTITUTE(Base_report!D946,"PNSME",""),IF(ISNUMBER(FIND("PHG",Base_report!D946,1)),SUBSTITUTE(Base_report!D946,"PHG",""),IF(ISNUMBER(FIND("PCS",Base_report!D946,1)),SUBSTITUTE(Base_report!D946,"PCS",""),IF(ISNUMBER(FIND("CMU",Base_report!D946,1)),SUBSTITUTE(Base_report!D946,"CMU",""),Base_report!D946)))))</f>
        <v>HOPITAL GENERAL DIKODOUGOU</v>
      </c>
      <c r="E948" s="14" t="str">
        <f>SUBSTITUTE(Base_report!E946,"-","/")</f>
        <v>PNLS/TESTS RAPIDES ET CONSOMMABLES</v>
      </c>
      <c r="F948" s="14" t="s">
        <v>788</v>
      </c>
      <c r="G948" s="16">
        <f>DATE(YEAR(SUBSTITUTE(LEFT(Base_report!F946,10),"-","/")),MONTH(SUBSTITUTE(LEFT(Base_report!F946,10),"-","/")),DAY(SUBSTITUTE(LEFT(Base_report!F946,10),"-","/")))</f>
        <v>45296</v>
      </c>
      <c r="H948" s="16">
        <f>DATE(YEAR(SUBSTITUTE(LEFT(Base_report!G946,10),"-","/")),MONTH(SUBSTITUTE(LEFT(Base_report!G946,10),"-","/")),DAY(SUBSTITUTE(LEFT(Base_report!G946,10),"-","/")))</f>
        <v>45298</v>
      </c>
      <c r="I948" s="17" t="str">
        <f t="shared" si="1"/>
        <v>OUI</v>
      </c>
      <c r="J948" s="18">
        <f>IF(L948="DS",DATE(RIGHT(B948,4),VLOOKUP(LEFT(B948,LEN(B948)-5),Feuil1!$E$3:$F$19,2,FALSE)+1,10),DATE(RIGHT(B948,4),VLOOKUP(LEFT(B948,LEN(B948)-5),Feuil1!$E$3:$F$19,2,FALSE)+1,7))</f>
        <v>45298</v>
      </c>
      <c r="K948" s="19">
        <f t="shared" si="2"/>
        <v>1</v>
      </c>
      <c r="L948" s="6" t="str">
        <f t="shared" si="3"/>
        <v>FS</v>
      </c>
    </row>
    <row r="949" ht="14.25" customHeight="1">
      <c r="A949" s="14" t="str">
        <f>Base_report!A947</f>
        <v>KABADOUGOU</v>
      </c>
      <c r="B949" s="14" t="str">
        <f>Base_report!B947</f>
        <v>DECEMBRE 2023</v>
      </c>
      <c r="C949" s="15" t="str">
        <f>Base_report!C947</f>
        <v>C5075</v>
      </c>
      <c r="D949" s="14" t="str">
        <f>TRIM(IF(ISNUMBER(FIND("PNSME",Base_report!D947,1)),SUBSTITUTE(Base_report!D947,"PNSME",""),IF(ISNUMBER(FIND("PHG",Base_report!D947,1)),SUBSTITUTE(Base_report!D947,"PHG",""),IF(ISNUMBER(FIND("PCS",Base_report!D947,1)),SUBSTITUTE(Base_report!D947,"PCS",""),IF(ISNUMBER(FIND("CMU",Base_report!D947,1)),SUBSTITUTE(Base_report!D947,"CMU",""),Base_report!D947)))))</f>
        <v>HOPITAL GENERAL SAMATIGUILA</v>
      </c>
      <c r="E949" s="14" t="str">
        <f>SUBSTITUTE(Base_report!E947,"-","/")</f>
        <v>PNN/MEDICAMENTS ET INTRANTS</v>
      </c>
      <c r="F949" s="14" t="s">
        <v>788</v>
      </c>
      <c r="G949" s="16">
        <f>DATE(YEAR(SUBSTITUTE(LEFT(Base_report!F947,10),"-","/")),MONTH(SUBSTITUTE(LEFT(Base_report!F947,10),"-","/")),DAY(SUBSTITUTE(LEFT(Base_report!F947,10),"-","/")))</f>
        <v>45295</v>
      </c>
      <c r="H949" s="16">
        <f>DATE(YEAR(SUBSTITUTE(LEFT(Base_report!G947,10),"-","/")),MONTH(SUBSTITUTE(LEFT(Base_report!G947,10),"-","/")),DAY(SUBSTITUTE(LEFT(Base_report!G947,10),"-","/")))</f>
        <v>45295</v>
      </c>
      <c r="I949" s="17" t="str">
        <f t="shared" si="1"/>
        <v>OUI</v>
      </c>
      <c r="J949" s="18">
        <f>IF(L949="DS",DATE(RIGHT(B949,4),VLOOKUP(LEFT(B949,LEN(B949)-5),Feuil1!$E$3:$F$19,2,FALSE)+1,10),DATE(RIGHT(B949,4),VLOOKUP(LEFT(B949,LEN(B949)-5),Feuil1!$E$3:$F$19,2,FALSE)+1,7))</f>
        <v>45298</v>
      </c>
      <c r="K949" s="19">
        <f t="shared" si="2"/>
        <v>1</v>
      </c>
      <c r="L949" s="6" t="str">
        <f t="shared" si="3"/>
        <v>FS</v>
      </c>
    </row>
    <row r="950" ht="14.25" customHeight="1">
      <c r="A950" s="14" t="str">
        <f>Base_report!A948</f>
        <v>BERE</v>
      </c>
      <c r="B950" s="14" t="str">
        <f>Base_report!B948</f>
        <v>DECEMBRE 2023</v>
      </c>
      <c r="C950" s="15" t="str">
        <f>Base_report!C948</f>
        <v>C3017</v>
      </c>
      <c r="D950" s="14" t="str">
        <f>TRIM(IF(ISNUMBER(FIND("PNSME",Base_report!D948,1)),SUBSTITUTE(Base_report!D948,"PNSME",""),IF(ISNUMBER(FIND("PHG",Base_report!D948,1)),SUBSTITUTE(Base_report!D948,"PHG",""),IF(ISNUMBER(FIND("PCS",Base_report!D948,1)),SUBSTITUTE(Base_report!D948,"PCS",""),IF(ISNUMBER(FIND("CMU",Base_report!D948,1)),SUBSTITUTE(Base_report!D948,"CMU",""),Base_report!D948)))))</f>
        <v>HOPITAL GENERAL MANKONO</v>
      </c>
      <c r="E950" s="14" t="str">
        <f>SUBSTITUTE(Base_report!E948,"-","/")</f>
        <v>PNLS/ANTIRETROVIRAUX ET IO</v>
      </c>
      <c r="F950" s="14" t="s">
        <v>788</v>
      </c>
      <c r="G950" s="16">
        <f>DATE(YEAR(SUBSTITUTE(LEFT(Base_report!F948,10),"-","/")),MONTH(SUBSTITUTE(LEFT(Base_report!F948,10),"-","/")),DAY(SUBSTITUTE(LEFT(Base_report!F948,10),"-","/")))</f>
        <v>45298</v>
      </c>
      <c r="H950" s="16">
        <f>DATE(YEAR(SUBSTITUTE(LEFT(Base_report!G948,10),"-","/")),MONTH(SUBSTITUTE(LEFT(Base_report!G948,10),"-","/")),DAY(SUBSTITUTE(LEFT(Base_report!G948,10),"-","/")))</f>
        <v>45298</v>
      </c>
      <c r="I950" s="17" t="str">
        <f t="shared" si="1"/>
        <v>OUI</v>
      </c>
      <c r="J950" s="18">
        <f>IF(L950="DS",DATE(RIGHT(B950,4),VLOOKUP(LEFT(B950,LEN(B950)-5),Feuil1!$E$3:$F$19,2,FALSE)+1,10),DATE(RIGHT(B950,4),VLOOKUP(LEFT(B950,LEN(B950)-5),Feuil1!$E$3:$F$19,2,FALSE)+1,7))</f>
        <v>45298</v>
      </c>
      <c r="K950" s="19">
        <f t="shared" si="2"/>
        <v>1</v>
      </c>
      <c r="L950" s="6" t="str">
        <f t="shared" si="3"/>
        <v>FS</v>
      </c>
    </row>
    <row r="951" ht="14.25" customHeight="1">
      <c r="A951" s="14" t="str">
        <f>Base_report!A949</f>
        <v>NAWA</v>
      </c>
      <c r="B951" s="14" t="str">
        <f>Base_report!B949</f>
        <v>DECEMBRE 2023</v>
      </c>
      <c r="C951" s="15" t="str">
        <f>Base_report!C949</f>
        <v>C2064</v>
      </c>
      <c r="D951" s="14" t="str">
        <f>TRIM(IF(ISNUMBER(FIND("PNSME",Base_report!D949,1)),SUBSTITUTE(Base_report!D949,"PNSME",""),IF(ISNUMBER(FIND("PHG",Base_report!D949,1)),SUBSTITUTE(Base_report!D949,"PHG",""),IF(ISNUMBER(FIND("PCS",Base_report!D949,1)),SUBSTITUTE(Base_report!D949,"PCS",""),IF(ISNUMBER(FIND("CMU",Base_report!D949,1)),SUBSTITUTE(Base_report!D949,"CMU",""),Base_report!D949)))))</f>
        <v>HOPITAL GENERAL SOUBRE</v>
      </c>
      <c r="E951" s="14" t="str">
        <f>SUBSTITUTE(Base_report!E949,"-","/")</f>
        <v>PNLS/PRODUITS DE LABORATOIRE</v>
      </c>
      <c r="F951" s="14" t="s">
        <v>788</v>
      </c>
      <c r="G951" s="16">
        <f>DATE(YEAR(SUBSTITUTE(LEFT(Base_report!F949,10),"-","/")),MONTH(SUBSTITUTE(LEFT(Base_report!F949,10),"-","/")),DAY(SUBSTITUTE(LEFT(Base_report!F949,10),"-","/")))</f>
        <v>45295</v>
      </c>
      <c r="H951" s="16">
        <f>DATE(YEAR(SUBSTITUTE(LEFT(Base_report!G949,10),"-","/")),MONTH(SUBSTITUTE(LEFT(Base_report!G949,10),"-","/")),DAY(SUBSTITUTE(LEFT(Base_report!G949,10),"-","/")))</f>
        <v>45296</v>
      </c>
      <c r="I951" s="17" t="str">
        <f t="shared" si="1"/>
        <v>OUI</v>
      </c>
      <c r="J951" s="18">
        <f>IF(L951="DS",DATE(RIGHT(B951,4),VLOOKUP(LEFT(B951,LEN(B951)-5),Feuil1!$E$3:$F$19,2,FALSE)+1,10),DATE(RIGHT(B951,4),VLOOKUP(LEFT(B951,LEN(B951)-5),Feuil1!$E$3:$F$19,2,FALSE)+1,7))</f>
        <v>45298</v>
      </c>
      <c r="K951" s="19">
        <f t="shared" si="2"/>
        <v>1</v>
      </c>
      <c r="L951" s="6" t="str">
        <f t="shared" si="3"/>
        <v>FS</v>
      </c>
    </row>
    <row r="952" ht="14.25" customHeight="1">
      <c r="A952" s="14" t="str">
        <f>Base_report!A950</f>
        <v>BERE</v>
      </c>
      <c r="B952" s="14" t="str">
        <f>Base_report!B950</f>
        <v>DECEMBRE 2023</v>
      </c>
      <c r="C952" s="15" t="str">
        <f>Base_report!C950</f>
        <v>C3017</v>
      </c>
      <c r="D952" s="14" t="str">
        <f>TRIM(IF(ISNUMBER(FIND("PNSME",Base_report!D950,1)),SUBSTITUTE(Base_report!D950,"PNSME",""),IF(ISNUMBER(FIND("PHG",Base_report!D950,1)),SUBSTITUTE(Base_report!D950,"PHG",""),IF(ISNUMBER(FIND("PCS",Base_report!D950,1)),SUBSTITUTE(Base_report!D950,"PCS",""),IF(ISNUMBER(FIND("CMU",Base_report!D950,1)),SUBSTITUTE(Base_report!D950,"CMU",""),Base_report!D950)))))</f>
        <v>HOPITAL GENERAL MANKONO</v>
      </c>
      <c r="E952" s="14" t="str">
        <f>SUBSTITUTE(Base_report!E950,"-","/")</f>
        <v>PNLS/CHARGES VIRALES</v>
      </c>
      <c r="F952" s="14" t="s">
        <v>788</v>
      </c>
      <c r="G952" s="16">
        <f>DATE(YEAR(SUBSTITUTE(LEFT(Base_report!F950,10),"-","/")),MONTH(SUBSTITUTE(LEFT(Base_report!F950,10),"-","/")),DAY(SUBSTITUTE(LEFT(Base_report!F950,10),"-","/")))</f>
        <v>45298</v>
      </c>
      <c r="H952" s="16">
        <f>DATE(YEAR(SUBSTITUTE(LEFT(Base_report!G950,10),"-","/")),MONTH(SUBSTITUTE(LEFT(Base_report!G950,10),"-","/")),DAY(SUBSTITUTE(LEFT(Base_report!G950,10),"-","/")))</f>
        <v>45298</v>
      </c>
      <c r="I952" s="17" t="str">
        <f t="shared" si="1"/>
        <v>OUI</v>
      </c>
      <c r="J952" s="18">
        <f>IF(L952="DS",DATE(RIGHT(B952,4),VLOOKUP(LEFT(B952,LEN(B952)-5),Feuil1!$E$3:$F$19,2,FALSE)+1,10),DATE(RIGHT(B952,4),VLOOKUP(LEFT(B952,LEN(B952)-5),Feuil1!$E$3:$F$19,2,FALSE)+1,7))</f>
        <v>45298</v>
      </c>
      <c r="K952" s="19">
        <f t="shared" si="2"/>
        <v>1</v>
      </c>
      <c r="L952" s="6" t="str">
        <f t="shared" si="3"/>
        <v>FS</v>
      </c>
    </row>
    <row r="953" ht="14.25" customHeight="1">
      <c r="A953" s="14" t="str">
        <f>Base_report!A951</f>
        <v>NAWA</v>
      </c>
      <c r="B953" s="14" t="str">
        <f>Base_report!B951</f>
        <v>DECEMBRE 2023</v>
      </c>
      <c r="C953" s="15" t="str">
        <f>Base_report!C951</f>
        <v>C2064</v>
      </c>
      <c r="D953" s="14" t="str">
        <f>TRIM(IF(ISNUMBER(FIND("PNSME",Base_report!D951,1)),SUBSTITUTE(Base_report!D951,"PNSME",""),IF(ISNUMBER(FIND("PHG",Base_report!D951,1)),SUBSTITUTE(Base_report!D951,"PHG",""),IF(ISNUMBER(FIND("PCS",Base_report!D951,1)),SUBSTITUTE(Base_report!D951,"PCS",""),IF(ISNUMBER(FIND("CMU",Base_report!D951,1)),SUBSTITUTE(Base_report!D951,"CMU",""),Base_report!D951)))))</f>
        <v>HOPITAL GENERAL SOUBRE</v>
      </c>
      <c r="E953" s="14" t="str">
        <f>SUBSTITUTE(Base_report!E951,"-","/")</f>
        <v>PNLS/TESTS RAPIDES ET CONSOMMABLES</v>
      </c>
      <c r="F953" s="14" t="s">
        <v>788</v>
      </c>
      <c r="G953" s="16">
        <f>DATE(YEAR(SUBSTITUTE(LEFT(Base_report!F951,10),"-","/")),MONTH(SUBSTITUTE(LEFT(Base_report!F951,10),"-","/")),DAY(SUBSTITUTE(LEFT(Base_report!F951,10),"-","/")))</f>
        <v>45295</v>
      </c>
      <c r="H953" s="16">
        <f>DATE(YEAR(SUBSTITUTE(LEFT(Base_report!G951,10),"-","/")),MONTH(SUBSTITUTE(LEFT(Base_report!G951,10),"-","/")),DAY(SUBSTITUTE(LEFT(Base_report!G951,10),"-","/")))</f>
        <v>45296</v>
      </c>
      <c r="I953" s="17" t="str">
        <f t="shared" si="1"/>
        <v>OUI</v>
      </c>
      <c r="J953" s="18">
        <f>IF(L953="DS",DATE(RIGHT(B953,4),VLOOKUP(LEFT(B953,LEN(B953)-5),Feuil1!$E$3:$F$19,2,FALSE)+1,10),DATE(RIGHT(B953,4),VLOOKUP(LEFT(B953,LEN(B953)-5),Feuil1!$E$3:$F$19,2,FALSE)+1,7))</f>
        <v>45298</v>
      </c>
      <c r="K953" s="19">
        <f t="shared" si="2"/>
        <v>1</v>
      </c>
      <c r="L953" s="6" t="str">
        <f t="shared" si="3"/>
        <v>FS</v>
      </c>
    </row>
    <row r="954" ht="14.25" customHeight="1">
      <c r="A954" s="14" t="str">
        <f>Base_report!A952</f>
        <v>GBEKE</v>
      </c>
      <c r="B954" s="14" t="str">
        <f>Base_report!B952</f>
        <v>DECEMBRE 2023</v>
      </c>
      <c r="C954" s="15" t="str">
        <f>Base_report!C952</f>
        <v>C2062</v>
      </c>
      <c r="D954" s="14" t="str">
        <f>TRIM(IF(ISNUMBER(FIND("PNSME",Base_report!D952,1)),SUBSTITUTE(Base_report!D952,"PNSME",""),IF(ISNUMBER(FIND("PHG",Base_report!D952,1)),SUBSTITUTE(Base_report!D952,"PHG",""),IF(ISNUMBER(FIND("PCS",Base_report!D952,1)),SUBSTITUTE(Base_report!D952,"PCS",""),IF(ISNUMBER(FIND("CMU",Base_report!D952,1)),SUBSTITUTE(Base_report!D952,"CMU",""),Base_report!D952)))))</f>
        <v>HOPITAL GENERAL SAKASSOU</v>
      </c>
      <c r="E954" s="14" t="str">
        <f>SUBSTITUTE(Base_report!E952,"-","/")</f>
        <v>PNN/MEDICAMENTS ET INTRANTS</v>
      </c>
      <c r="F954" s="14" t="s">
        <v>788</v>
      </c>
      <c r="G954" s="16">
        <f>DATE(YEAR(SUBSTITUTE(LEFT(Base_report!F952,10),"-","/")),MONTH(SUBSTITUTE(LEFT(Base_report!F952,10),"-","/")),DAY(SUBSTITUTE(LEFT(Base_report!F952,10),"-","/")))</f>
        <v>45296</v>
      </c>
      <c r="H954" s="16">
        <f>DATE(YEAR(SUBSTITUTE(LEFT(Base_report!G952,10),"-","/")),MONTH(SUBSTITUTE(LEFT(Base_report!G952,10),"-","/")),DAY(SUBSTITUTE(LEFT(Base_report!G952,10),"-","/")))</f>
        <v>45296</v>
      </c>
      <c r="I954" s="17" t="str">
        <f t="shared" si="1"/>
        <v>OUI</v>
      </c>
      <c r="J954" s="18">
        <f>IF(L954="DS",DATE(RIGHT(B954,4),VLOOKUP(LEFT(B954,LEN(B954)-5),Feuil1!$E$3:$F$19,2,FALSE)+1,10),DATE(RIGHT(B954,4),VLOOKUP(LEFT(B954,LEN(B954)-5),Feuil1!$E$3:$F$19,2,FALSE)+1,7))</f>
        <v>45298</v>
      </c>
      <c r="K954" s="19">
        <f t="shared" si="2"/>
        <v>1</v>
      </c>
      <c r="L954" s="6" t="str">
        <f t="shared" si="3"/>
        <v>FS</v>
      </c>
    </row>
    <row r="955" ht="14.25" customHeight="1">
      <c r="A955" s="14" t="str">
        <f>Base_report!A953</f>
        <v>MARAHOUE</v>
      </c>
      <c r="B955" s="14" t="str">
        <f>Base_report!B953</f>
        <v>DECEMBRE 2023</v>
      </c>
      <c r="C955" s="15" t="str">
        <f>Base_report!C953</f>
        <v>C2063</v>
      </c>
      <c r="D955" s="14" t="str">
        <f>TRIM(IF(ISNUMBER(FIND("PNSME",Base_report!D953,1)),SUBSTITUTE(Base_report!D953,"PNSME",""),IF(ISNUMBER(FIND("PHG",Base_report!D953,1)),SUBSTITUTE(Base_report!D953,"PHG",""),IF(ISNUMBER(FIND("PCS",Base_report!D953,1)),SUBSTITUTE(Base_report!D953,"PCS",""),IF(ISNUMBER(FIND("CMU",Base_report!D953,1)),SUBSTITUTE(Base_report!D953,"CMU",""),Base_report!D953)))))</f>
        <v>HOPITAL GENERAL SINFRA</v>
      </c>
      <c r="E955" s="14" t="str">
        <f>SUBSTITUTE(Base_report!E953,"-","/")</f>
        <v>PNLS/ANTIRETROVIRAUX ET IO</v>
      </c>
      <c r="F955" s="14" t="s">
        <v>788</v>
      </c>
      <c r="G955" s="16">
        <f>DATE(YEAR(SUBSTITUTE(LEFT(Base_report!F953,10),"-","/")),MONTH(SUBSTITUTE(LEFT(Base_report!F953,10),"-","/")),DAY(SUBSTITUTE(LEFT(Base_report!F953,10),"-","/")))</f>
        <v>45297</v>
      </c>
      <c r="H955" s="16">
        <f>DATE(YEAR(SUBSTITUTE(LEFT(Base_report!G953,10),"-","/")),MONTH(SUBSTITUTE(LEFT(Base_report!G953,10),"-","/")),DAY(SUBSTITUTE(LEFT(Base_report!G953,10),"-","/")))</f>
        <v>45297</v>
      </c>
      <c r="I955" s="17" t="str">
        <f t="shared" si="1"/>
        <v>OUI</v>
      </c>
      <c r="J955" s="18">
        <f>IF(L955="DS",DATE(RIGHT(B955,4),VLOOKUP(LEFT(B955,LEN(B955)-5),Feuil1!$E$3:$F$19,2,FALSE)+1,10),DATE(RIGHT(B955,4),VLOOKUP(LEFT(B955,LEN(B955)-5),Feuil1!$E$3:$F$19,2,FALSE)+1,7))</f>
        <v>45298</v>
      </c>
      <c r="K955" s="19">
        <f t="shared" si="2"/>
        <v>1</v>
      </c>
      <c r="L955" s="6" t="str">
        <f t="shared" si="3"/>
        <v>FS</v>
      </c>
    </row>
    <row r="956" ht="14.25" customHeight="1">
      <c r="A956" s="14" t="str">
        <f>Base_report!A954</f>
        <v>MARAHOUE</v>
      </c>
      <c r="B956" s="14" t="str">
        <f>Base_report!B954</f>
        <v>DECEMBRE 2023</v>
      </c>
      <c r="C956" s="15" t="str">
        <f>Base_report!C954</f>
        <v>C2063</v>
      </c>
      <c r="D956" s="14" t="str">
        <f>TRIM(IF(ISNUMBER(FIND("PNSME",Base_report!D954,1)),SUBSTITUTE(Base_report!D954,"PNSME",""),IF(ISNUMBER(FIND("PHG",Base_report!D954,1)),SUBSTITUTE(Base_report!D954,"PHG",""),IF(ISNUMBER(FIND("PCS",Base_report!D954,1)),SUBSTITUTE(Base_report!D954,"PCS",""),IF(ISNUMBER(FIND("CMU",Base_report!D954,1)),SUBSTITUTE(Base_report!D954,"CMU",""),Base_report!D954)))))</f>
        <v>HOPITAL GENERAL SINFRA</v>
      </c>
      <c r="E956" s="14" t="str">
        <f>SUBSTITUTE(Base_report!E954,"-","/")</f>
        <v>PNLS/CHARGES VIRALES</v>
      </c>
      <c r="F956" s="14" t="s">
        <v>788</v>
      </c>
      <c r="G956" s="16">
        <f>DATE(YEAR(SUBSTITUTE(LEFT(Base_report!F954,10),"-","/")),MONTH(SUBSTITUTE(LEFT(Base_report!F954,10),"-","/")),DAY(SUBSTITUTE(LEFT(Base_report!F954,10),"-","/")))</f>
        <v>45296</v>
      </c>
      <c r="H956" s="16">
        <f>DATE(YEAR(SUBSTITUTE(LEFT(Base_report!G954,10),"-","/")),MONTH(SUBSTITUTE(LEFT(Base_report!G954,10),"-","/")),DAY(SUBSTITUTE(LEFT(Base_report!G954,10),"-","/")))</f>
        <v>45296</v>
      </c>
      <c r="I956" s="17" t="str">
        <f t="shared" si="1"/>
        <v>OUI</v>
      </c>
      <c r="J956" s="18">
        <f>IF(L956="DS",DATE(RIGHT(B956,4),VLOOKUP(LEFT(B956,LEN(B956)-5),Feuil1!$E$3:$F$19,2,FALSE)+1,10),DATE(RIGHT(B956,4),VLOOKUP(LEFT(B956,LEN(B956)-5),Feuil1!$E$3:$F$19,2,FALSE)+1,7))</f>
        <v>45298</v>
      </c>
      <c r="K956" s="19">
        <f t="shared" si="2"/>
        <v>1</v>
      </c>
      <c r="L956" s="6" t="str">
        <f t="shared" si="3"/>
        <v>FS</v>
      </c>
    </row>
    <row r="957" ht="14.25" customHeight="1">
      <c r="A957" s="14" t="str">
        <f>Base_report!A955</f>
        <v>CAVALLY</v>
      </c>
      <c r="B957" s="14" t="str">
        <f>Base_report!B955</f>
        <v>DECEMBRE 2023</v>
      </c>
      <c r="C957" s="15" t="str">
        <f>Base_report!C955</f>
        <v>C5085</v>
      </c>
      <c r="D957" s="14" t="str">
        <f>TRIM(IF(ISNUMBER(FIND("PNSME",Base_report!D955,1)),SUBSTITUTE(Base_report!D955,"PNSME",""),IF(ISNUMBER(FIND("PHG",Base_report!D955,1)),SUBSTITUTE(Base_report!D955,"PHG",""),IF(ISNUMBER(FIND("PCS",Base_report!D955,1)),SUBSTITUTE(Base_report!D955,"PCS",""),IF(ISNUMBER(FIND("CMU",Base_report!D955,1)),SUBSTITUTE(Base_report!D955,"CMU",""),Base_report!D955)))))</f>
        <v>HOPITAL GENERAL TAI</v>
      </c>
      <c r="E957" s="14" t="str">
        <f>SUBSTITUTE(Base_report!E955,"-","/")</f>
        <v>PNN/MEDICAMENTS ET INTRANTS</v>
      </c>
      <c r="F957" s="14" t="s">
        <v>788</v>
      </c>
      <c r="G957" s="16">
        <f>DATE(YEAR(SUBSTITUTE(LEFT(Base_report!F955,10),"-","/")),MONTH(SUBSTITUTE(LEFT(Base_report!F955,10),"-","/")),DAY(SUBSTITUTE(LEFT(Base_report!F955,10),"-","/")))</f>
        <v>45295</v>
      </c>
      <c r="H957" s="16">
        <f>DATE(YEAR(SUBSTITUTE(LEFT(Base_report!G955,10),"-","/")),MONTH(SUBSTITUTE(LEFT(Base_report!G955,10),"-","/")),DAY(SUBSTITUTE(LEFT(Base_report!G955,10),"-","/")))</f>
        <v>45296</v>
      </c>
      <c r="I957" s="17" t="str">
        <f t="shared" si="1"/>
        <v>OUI</v>
      </c>
      <c r="J957" s="18">
        <f>IF(L957="DS",DATE(RIGHT(B957,4),VLOOKUP(LEFT(B957,LEN(B957)-5),Feuil1!$E$3:$F$19,2,FALSE)+1,10),DATE(RIGHT(B957,4),VLOOKUP(LEFT(B957,LEN(B957)-5),Feuil1!$E$3:$F$19,2,FALSE)+1,7))</f>
        <v>45298</v>
      </c>
      <c r="K957" s="19">
        <f t="shared" si="2"/>
        <v>1</v>
      </c>
      <c r="L957" s="6" t="str">
        <f t="shared" si="3"/>
        <v>FS</v>
      </c>
    </row>
    <row r="958" ht="14.25" customHeight="1">
      <c r="A958" s="14" t="str">
        <f>Base_report!A956</f>
        <v>SUD-COMOE</v>
      </c>
      <c r="B958" s="14" t="str">
        <f>Base_report!B956</f>
        <v>DECEMBRE 2023</v>
      </c>
      <c r="C958" s="15" t="str">
        <f>Base_report!C956</f>
        <v>C1003</v>
      </c>
      <c r="D958" s="14" t="str">
        <f>TRIM(IF(ISNUMBER(FIND("PNSME",Base_report!D956,1)),SUBSTITUTE(Base_report!D956,"PNSME",""),IF(ISNUMBER(FIND("PHG",Base_report!D956,1)),SUBSTITUTE(Base_report!D956,"PHG",""),IF(ISNUMBER(FIND("PCS",Base_report!D956,1)),SUBSTITUTE(Base_report!D956,"PCS",""),IF(ISNUMBER(FIND("CMU",Base_report!D956,1)),SUBSTITUTE(Base_report!D956,"CMU",""),Base_report!D956)))))</f>
        <v>CHR ABOISSO</v>
      </c>
      <c r="E958" s="14" t="str">
        <f>SUBSTITUTE(Base_report!E956,"-","/")</f>
        <v>PNLS/PRODUITS DE LABORATOIRE</v>
      </c>
      <c r="F958" s="14" t="s">
        <v>788</v>
      </c>
      <c r="G958" s="16">
        <f>DATE(YEAR(SUBSTITUTE(LEFT(Base_report!F956,10),"-","/")),MONTH(SUBSTITUTE(LEFT(Base_report!F956,10),"-","/")),DAY(SUBSTITUTE(LEFT(Base_report!F956,10),"-","/")))</f>
        <v>45296</v>
      </c>
      <c r="H958" s="16">
        <f>DATE(YEAR(SUBSTITUTE(LEFT(Base_report!G956,10),"-","/")),MONTH(SUBSTITUTE(LEFT(Base_report!G956,10),"-","/")),DAY(SUBSTITUTE(LEFT(Base_report!G956,10),"-","/")))</f>
        <v>45296</v>
      </c>
      <c r="I958" s="17" t="str">
        <f t="shared" si="1"/>
        <v>OUI</v>
      </c>
      <c r="J958" s="18">
        <f>IF(L958="DS",DATE(RIGHT(B958,4),VLOOKUP(LEFT(B958,LEN(B958)-5),Feuil1!$E$3:$F$19,2,FALSE)+1,10),DATE(RIGHT(B958,4),VLOOKUP(LEFT(B958,LEN(B958)-5),Feuil1!$E$3:$F$19,2,FALSE)+1,7))</f>
        <v>45298</v>
      </c>
      <c r="K958" s="19">
        <f t="shared" si="2"/>
        <v>1</v>
      </c>
      <c r="L958" s="6" t="str">
        <f t="shared" si="3"/>
        <v>FS</v>
      </c>
    </row>
    <row r="959" ht="14.25" customHeight="1">
      <c r="A959" s="14" t="str">
        <f>Base_report!A957</f>
        <v>CAVALLY</v>
      </c>
      <c r="B959" s="14" t="str">
        <f>Base_report!B957</f>
        <v>DECEMBRE 2023</v>
      </c>
      <c r="C959" s="15" t="str">
        <f>Base_report!C957</f>
        <v>C5085</v>
      </c>
      <c r="D959" s="14" t="str">
        <f>TRIM(IF(ISNUMBER(FIND("PNSME",Base_report!D957,1)),SUBSTITUTE(Base_report!D957,"PNSME",""),IF(ISNUMBER(FIND("PHG",Base_report!D957,1)),SUBSTITUTE(Base_report!D957,"PHG",""),IF(ISNUMBER(FIND("PCS",Base_report!D957,1)),SUBSTITUTE(Base_report!D957,"PCS",""),IF(ISNUMBER(FIND("CMU",Base_report!D957,1)),SUBSTITUTE(Base_report!D957,"CMU",""),Base_report!D957)))))</f>
        <v>HOPITAL GENERAL TAI</v>
      </c>
      <c r="E959" s="14" t="str">
        <f>SUBSTITUTE(Base_report!E957,"-","/")</f>
        <v>PNSME/MEDICAMENTS ET INTRANTS</v>
      </c>
      <c r="F959" s="14" t="s">
        <v>788</v>
      </c>
      <c r="G959" s="16">
        <f>DATE(YEAR(SUBSTITUTE(LEFT(Base_report!F957,10),"-","/")),MONTH(SUBSTITUTE(LEFT(Base_report!F957,10),"-","/")),DAY(SUBSTITUTE(LEFT(Base_report!F957,10),"-","/")))</f>
        <v>45295</v>
      </c>
      <c r="H959" s="16">
        <f>DATE(YEAR(SUBSTITUTE(LEFT(Base_report!G957,10),"-","/")),MONTH(SUBSTITUTE(LEFT(Base_report!G957,10),"-","/")),DAY(SUBSTITUTE(LEFT(Base_report!G957,10),"-","/")))</f>
        <v>45296</v>
      </c>
      <c r="I959" s="17" t="str">
        <f t="shared" si="1"/>
        <v>OUI</v>
      </c>
      <c r="J959" s="18">
        <f>IF(L959="DS",DATE(RIGHT(B959,4),VLOOKUP(LEFT(B959,LEN(B959)-5),Feuil1!$E$3:$F$19,2,FALSE)+1,10),DATE(RIGHT(B959,4),VLOOKUP(LEFT(B959,LEN(B959)-5),Feuil1!$E$3:$F$19,2,FALSE)+1,7))</f>
        <v>45298</v>
      </c>
      <c r="K959" s="19">
        <f t="shared" si="2"/>
        <v>1</v>
      </c>
      <c r="L959" s="6" t="str">
        <f t="shared" si="3"/>
        <v>FS</v>
      </c>
    </row>
    <row r="960" ht="14.25" customHeight="1">
      <c r="A960" s="14" t="str">
        <f>Base_report!A958</f>
        <v>ABIDJAN 2</v>
      </c>
      <c r="B960" s="14" t="str">
        <f>Base_report!B958</f>
        <v>DECEMBRE 2023</v>
      </c>
      <c r="C960" s="15" t="str">
        <f>Base_report!C958</f>
        <v>C1060</v>
      </c>
      <c r="D960" s="14" t="str">
        <f>TRIM(IF(ISNUMBER(FIND("PNSME",Base_report!D958,1)),SUBSTITUTE(Base_report!D958,"PNSME",""),IF(ISNUMBER(FIND("PHG",Base_report!D958,1)),SUBSTITUTE(Base_report!D958,"PHG",""),IF(ISNUMBER(FIND("PCS",Base_report!D958,1)),SUBSTITUTE(Base_report!D958,"PCS",""),IF(ISNUMBER(FIND("CMU",Base_report!D958,1)),SUBSTITUTE(Base_report!D958,"CMU",""),Base_report!D958)))))</f>
        <v>HOPITAL GENERAL MARCORY</v>
      </c>
      <c r="E960" s="14" t="str">
        <f>SUBSTITUTE(Base_report!E958,"-","/")</f>
        <v>PNLS/PRODUITS DE LABORATOIRE</v>
      </c>
      <c r="F960" s="14" t="s">
        <v>788</v>
      </c>
      <c r="G960" s="16">
        <f>DATE(YEAR(SUBSTITUTE(LEFT(Base_report!F958,10),"-","/")),MONTH(SUBSTITUTE(LEFT(Base_report!F958,10),"-","/")),DAY(SUBSTITUTE(LEFT(Base_report!F958,10),"-","/")))</f>
        <v>45297</v>
      </c>
      <c r="H960" s="16">
        <f>DATE(YEAR(SUBSTITUTE(LEFT(Base_report!G958,10),"-","/")),MONTH(SUBSTITUTE(LEFT(Base_report!G958,10),"-","/")),DAY(SUBSTITUTE(LEFT(Base_report!G958,10),"-","/")))</f>
        <v>45300</v>
      </c>
      <c r="I960" s="17" t="str">
        <f t="shared" si="1"/>
        <v>OUI</v>
      </c>
      <c r="J960" s="18">
        <f>IF(L960="DS",DATE(RIGHT(B960,4),VLOOKUP(LEFT(B960,LEN(B960)-5),Feuil1!$E$3:$F$19,2,FALSE)+1,10),DATE(RIGHT(B960,4),VLOOKUP(LEFT(B960,LEN(B960)-5),Feuil1!$E$3:$F$19,2,FALSE)+1,7))</f>
        <v>45298</v>
      </c>
      <c r="K960" s="19">
        <f t="shared" si="2"/>
        <v>0</v>
      </c>
      <c r="L960" s="6" t="str">
        <f t="shared" si="3"/>
        <v>FS</v>
      </c>
    </row>
    <row r="961" ht="14.25" customHeight="1">
      <c r="A961" s="14" t="str">
        <f>Base_report!A959</f>
        <v>SUD-COMOE</v>
      </c>
      <c r="B961" s="14" t="str">
        <f>Base_report!B959</f>
        <v>DECEMBRE 2023</v>
      </c>
      <c r="C961" s="15" t="str">
        <f>Base_report!C959</f>
        <v>C1003</v>
      </c>
      <c r="D961" s="14" t="str">
        <f>TRIM(IF(ISNUMBER(FIND("PNSME",Base_report!D959,1)),SUBSTITUTE(Base_report!D959,"PNSME",""),IF(ISNUMBER(FIND("PHG",Base_report!D959,1)),SUBSTITUTE(Base_report!D959,"PHG",""),IF(ISNUMBER(FIND("PCS",Base_report!D959,1)),SUBSTITUTE(Base_report!D959,"PCS",""),IF(ISNUMBER(FIND("CMU",Base_report!D959,1)),SUBSTITUTE(Base_report!D959,"CMU",""),Base_report!D959)))))</f>
        <v>CHR ABOISSO</v>
      </c>
      <c r="E961" s="14" t="str">
        <f>SUBSTITUTE(Base_report!E959,"-","/")</f>
        <v>PNLS/TESTS RAPIDES ET CONSOMMABLES</v>
      </c>
      <c r="F961" s="14" t="s">
        <v>788</v>
      </c>
      <c r="G961" s="16">
        <f>DATE(YEAR(SUBSTITUTE(LEFT(Base_report!F959,10),"-","/")),MONTH(SUBSTITUTE(LEFT(Base_report!F959,10),"-","/")),DAY(SUBSTITUTE(LEFT(Base_report!F959,10),"-","/")))</f>
        <v>45296</v>
      </c>
      <c r="H961" s="16">
        <f>DATE(YEAR(SUBSTITUTE(LEFT(Base_report!G959,10),"-","/")),MONTH(SUBSTITUTE(LEFT(Base_report!G959,10),"-","/")),DAY(SUBSTITUTE(LEFT(Base_report!G959,10),"-","/")))</f>
        <v>45296</v>
      </c>
      <c r="I961" s="17" t="str">
        <f t="shared" si="1"/>
        <v>OUI</v>
      </c>
      <c r="J961" s="18">
        <f>IF(L961="DS",DATE(RIGHT(B961,4),VLOOKUP(LEFT(B961,LEN(B961)-5),Feuil1!$E$3:$F$19,2,FALSE)+1,10),DATE(RIGHT(B961,4),VLOOKUP(LEFT(B961,LEN(B961)-5),Feuil1!$E$3:$F$19,2,FALSE)+1,7))</f>
        <v>45298</v>
      </c>
      <c r="K961" s="19">
        <f t="shared" si="2"/>
        <v>1</v>
      </c>
      <c r="L961" s="6" t="str">
        <f t="shared" si="3"/>
        <v>FS</v>
      </c>
    </row>
    <row r="962" ht="14.25" customHeight="1">
      <c r="A962" s="14" t="str">
        <f>Base_report!A960</f>
        <v>SUD-COMOE</v>
      </c>
      <c r="B962" s="14" t="str">
        <f>Base_report!B960</f>
        <v>DECEMBRE 2023</v>
      </c>
      <c r="C962" s="15" t="str">
        <f>Base_report!C960</f>
        <v>C1003</v>
      </c>
      <c r="D962" s="14" t="str">
        <f>TRIM(IF(ISNUMBER(FIND("PNSME",Base_report!D960,1)),SUBSTITUTE(Base_report!D960,"PNSME",""),IF(ISNUMBER(FIND("PHG",Base_report!D960,1)),SUBSTITUTE(Base_report!D960,"PHG",""),IF(ISNUMBER(FIND("PCS",Base_report!D960,1)),SUBSTITUTE(Base_report!D960,"PCS",""),IF(ISNUMBER(FIND("CMU",Base_report!D960,1)),SUBSTITUTE(Base_report!D960,"CMU",""),Base_report!D960)))))</f>
        <v>CHR ABOISSO</v>
      </c>
      <c r="E962" s="14" t="str">
        <f>SUBSTITUTE(Base_report!E960,"-","/")</f>
        <v>PNLS/CHARGES VIRALES</v>
      </c>
      <c r="F962" s="14" t="s">
        <v>788</v>
      </c>
      <c r="G962" s="16">
        <f>DATE(YEAR(SUBSTITUTE(LEFT(Base_report!F960,10),"-","/")),MONTH(SUBSTITUTE(LEFT(Base_report!F960,10),"-","/")),DAY(SUBSTITUTE(LEFT(Base_report!F960,10),"-","/")))</f>
        <v>45296</v>
      </c>
      <c r="H962" s="16">
        <f>DATE(YEAR(SUBSTITUTE(LEFT(Base_report!G960,10),"-","/")),MONTH(SUBSTITUTE(LEFT(Base_report!G960,10),"-","/")),DAY(SUBSTITUTE(LEFT(Base_report!G960,10),"-","/")))</f>
        <v>45296</v>
      </c>
      <c r="I962" s="17" t="str">
        <f t="shared" si="1"/>
        <v>OUI</v>
      </c>
      <c r="J962" s="18">
        <f>IF(L962="DS",DATE(RIGHT(B962,4),VLOOKUP(LEFT(B962,LEN(B962)-5),Feuil1!$E$3:$F$19,2,FALSE)+1,10),DATE(RIGHT(B962,4),VLOOKUP(LEFT(B962,LEN(B962)-5),Feuil1!$E$3:$F$19,2,FALSE)+1,7))</f>
        <v>45298</v>
      </c>
      <c r="K962" s="19">
        <f t="shared" si="2"/>
        <v>1</v>
      </c>
      <c r="L962" s="6" t="str">
        <f t="shared" si="3"/>
        <v>FS</v>
      </c>
    </row>
    <row r="963" ht="14.25" customHeight="1">
      <c r="A963" s="14" t="str">
        <f>Base_report!A961</f>
        <v>ABIDJAN 2</v>
      </c>
      <c r="B963" s="14" t="str">
        <f>Base_report!B961</f>
        <v>DECEMBRE 2023</v>
      </c>
      <c r="C963" s="15" t="str">
        <f>Base_report!C961</f>
        <v>C1745</v>
      </c>
      <c r="D963" s="14" t="str">
        <f>TRIM(IF(ISNUMBER(FIND("PNSME",Base_report!D961,1)),SUBSTITUTE(Base_report!D961,"PNSME",""),IF(ISNUMBER(FIND("PHG",Base_report!D961,1)),SUBSTITUTE(Base_report!D961,"PHG",""),IF(ISNUMBER(FIND("PCS",Base_report!D961,1)),SUBSTITUTE(Base_report!D961,"PCS",""),IF(ISNUMBER(FIND("CMU",Base_report!D961,1)),SUBSTITUTE(Base_report!D961,"CMU",""),Base_report!D961)))))</f>
        <v>CHU ANGRE</v>
      </c>
      <c r="E963" s="14" t="str">
        <f>SUBSTITUTE(Base_report!E961,"-","/")</f>
        <v>PNLS/CHARGES VIRALES</v>
      </c>
      <c r="F963" s="14" t="s">
        <v>788</v>
      </c>
      <c r="G963" s="16">
        <f>DATE(YEAR(SUBSTITUTE(LEFT(Base_report!F961,10),"-","/")),MONTH(SUBSTITUTE(LEFT(Base_report!F961,10),"-","/")),DAY(SUBSTITUTE(LEFT(Base_report!F961,10),"-","/")))</f>
        <v>45296</v>
      </c>
      <c r="H963" s="16">
        <f>DATE(YEAR(SUBSTITUTE(LEFT(Base_report!G961,10),"-","/")),MONTH(SUBSTITUTE(LEFT(Base_report!G961,10),"-","/")),DAY(SUBSTITUTE(LEFT(Base_report!G961,10),"-","/")))</f>
        <v>45297</v>
      </c>
      <c r="I963" s="17" t="str">
        <f t="shared" si="1"/>
        <v>OUI</v>
      </c>
      <c r="J963" s="18">
        <f>IF(L963="DS",DATE(RIGHT(B963,4),VLOOKUP(LEFT(B963,LEN(B963)-5),Feuil1!$E$3:$F$19,2,FALSE)+1,10),DATE(RIGHT(B963,4),VLOOKUP(LEFT(B963,LEN(B963)-5),Feuil1!$E$3:$F$19,2,FALSE)+1,7))</f>
        <v>45298</v>
      </c>
      <c r="K963" s="19">
        <f t="shared" si="2"/>
        <v>1</v>
      </c>
      <c r="L963" s="6" t="str">
        <f t="shared" si="3"/>
        <v>FS</v>
      </c>
    </row>
    <row r="964" ht="14.25" customHeight="1">
      <c r="A964" s="14" t="str">
        <f>Base_report!A962</f>
        <v>CAVALLY</v>
      </c>
      <c r="B964" s="14" t="str">
        <f>Base_report!B962</f>
        <v>DECEMBRE 2023</v>
      </c>
      <c r="C964" s="15" t="str">
        <f>Base_report!C962</f>
        <v>C5017</v>
      </c>
      <c r="D964" s="14" t="str">
        <f>TRIM(IF(ISNUMBER(FIND("PNSME",Base_report!D962,1)),SUBSTITUTE(Base_report!D962,"PNSME",""),IF(ISNUMBER(FIND("PHG",Base_report!D962,1)),SUBSTITUTE(Base_report!D962,"PHG",""),IF(ISNUMBER(FIND("PCS",Base_report!D962,1)),SUBSTITUTE(Base_report!D962,"PCS",""),IF(ISNUMBER(FIND("CMU",Base_report!D962,1)),SUBSTITUTE(Base_report!D962,"CMU",""),Base_report!D962)))))</f>
        <v>HOPITAL GENERAL BLOLEQUIN</v>
      </c>
      <c r="E964" s="14" t="str">
        <f>SUBSTITUTE(Base_report!E962,"-","/")</f>
        <v>PNN/MEDICAMENTS ET INTRANTS</v>
      </c>
      <c r="F964" s="14" t="s">
        <v>788</v>
      </c>
      <c r="G964" s="16">
        <f>DATE(YEAR(SUBSTITUTE(LEFT(Base_report!F962,10),"-","/")),MONTH(SUBSTITUTE(LEFT(Base_report!F962,10),"-","/")),DAY(SUBSTITUTE(LEFT(Base_report!F962,10),"-","/")))</f>
        <v>45296</v>
      </c>
      <c r="H964" s="16">
        <f>DATE(YEAR(SUBSTITUTE(LEFT(Base_report!G962,10),"-","/")),MONTH(SUBSTITUTE(LEFT(Base_report!G962,10),"-","/")),DAY(SUBSTITUTE(LEFT(Base_report!G962,10),"-","/")))</f>
        <v>45296</v>
      </c>
      <c r="I964" s="17" t="str">
        <f t="shared" si="1"/>
        <v>OUI</v>
      </c>
      <c r="J964" s="18">
        <f>IF(L964="DS",DATE(RIGHT(B964,4),VLOOKUP(LEFT(B964,LEN(B964)-5),Feuil1!$E$3:$F$19,2,FALSE)+1,10),DATE(RIGHT(B964,4),VLOOKUP(LEFT(B964,LEN(B964)-5),Feuil1!$E$3:$F$19,2,FALSE)+1,7))</f>
        <v>45298</v>
      </c>
      <c r="K964" s="19">
        <f t="shared" si="2"/>
        <v>1</v>
      </c>
      <c r="L964" s="6" t="str">
        <f t="shared" si="3"/>
        <v>FS</v>
      </c>
    </row>
    <row r="965" ht="14.25" customHeight="1">
      <c r="A965" s="14" t="str">
        <f>Base_report!A963</f>
        <v>ABIDJAN 2</v>
      </c>
      <c r="B965" s="14" t="str">
        <f>Base_report!B963</f>
        <v>DECEMBRE 2023</v>
      </c>
      <c r="C965" s="15" t="str">
        <f>Base_report!C963</f>
        <v>C1060</v>
      </c>
      <c r="D965" s="14" t="str">
        <f>TRIM(IF(ISNUMBER(FIND("PNSME",Base_report!D963,1)),SUBSTITUTE(Base_report!D963,"PNSME",""),IF(ISNUMBER(FIND("PHG",Base_report!D963,1)),SUBSTITUTE(Base_report!D963,"PHG",""),IF(ISNUMBER(FIND("PCS",Base_report!D963,1)),SUBSTITUTE(Base_report!D963,"PCS",""),IF(ISNUMBER(FIND("CMU",Base_report!D963,1)),SUBSTITUTE(Base_report!D963,"CMU",""),Base_report!D963)))))</f>
        <v>HOPITAL GENERAL MARCORY</v>
      </c>
      <c r="E965" s="14" t="str">
        <f>SUBSTITUTE(Base_report!E963,"-","/")</f>
        <v>PNLS/CHARGES VIRALES</v>
      </c>
      <c r="F965" s="14" t="s">
        <v>788</v>
      </c>
      <c r="G965" s="16">
        <f>DATE(YEAR(SUBSTITUTE(LEFT(Base_report!F963,10),"-","/")),MONTH(SUBSTITUTE(LEFT(Base_report!F963,10),"-","/")),DAY(SUBSTITUTE(LEFT(Base_report!F963,10),"-","/")))</f>
        <v>45297</v>
      </c>
      <c r="H965" s="16">
        <f>DATE(YEAR(SUBSTITUTE(LEFT(Base_report!G963,10),"-","/")),MONTH(SUBSTITUTE(LEFT(Base_report!G963,10),"-","/")),DAY(SUBSTITUTE(LEFT(Base_report!G963,10),"-","/")))</f>
        <v>45300</v>
      </c>
      <c r="I965" s="17" t="str">
        <f t="shared" si="1"/>
        <v>OUI</v>
      </c>
      <c r="J965" s="18">
        <f>IF(L965="DS",DATE(RIGHT(B965,4),VLOOKUP(LEFT(B965,LEN(B965)-5),Feuil1!$E$3:$F$19,2,FALSE)+1,10),DATE(RIGHT(B965,4),VLOOKUP(LEFT(B965,LEN(B965)-5),Feuil1!$E$3:$F$19,2,FALSE)+1,7))</f>
        <v>45298</v>
      </c>
      <c r="K965" s="19">
        <f t="shared" si="2"/>
        <v>0</v>
      </c>
      <c r="L965" s="6" t="str">
        <f t="shared" si="3"/>
        <v>FS</v>
      </c>
    </row>
    <row r="966" ht="14.25" customHeight="1">
      <c r="A966" s="14" t="str">
        <f>Base_report!A964</f>
        <v>MARAHOUE</v>
      </c>
      <c r="B966" s="14" t="str">
        <f>Base_report!B964</f>
        <v>DECEMBRE 2023</v>
      </c>
      <c r="C966" s="15" t="str">
        <f>Base_report!C964</f>
        <v>C2063</v>
      </c>
      <c r="D966" s="14" t="str">
        <f>TRIM(IF(ISNUMBER(FIND("PNSME",Base_report!D964,1)),SUBSTITUTE(Base_report!D964,"PNSME",""),IF(ISNUMBER(FIND("PHG",Base_report!D964,1)),SUBSTITUTE(Base_report!D964,"PHG",""),IF(ISNUMBER(FIND("PCS",Base_report!D964,1)),SUBSTITUTE(Base_report!D964,"PCS",""),IF(ISNUMBER(FIND("CMU",Base_report!D964,1)),SUBSTITUTE(Base_report!D964,"CMU",""),Base_report!D964)))))</f>
        <v>HOPITAL GENERAL SINFRA</v>
      </c>
      <c r="E966" s="14" t="str">
        <f>SUBSTITUTE(Base_report!E964,"-","/")</f>
        <v>PNLS/TESTS RAPIDES ET CONSOMMABLES</v>
      </c>
      <c r="F966" s="14" t="s">
        <v>788</v>
      </c>
      <c r="G966" s="16">
        <f>DATE(YEAR(SUBSTITUTE(LEFT(Base_report!F964,10),"-","/")),MONTH(SUBSTITUTE(LEFT(Base_report!F964,10),"-","/")),DAY(SUBSTITUTE(LEFT(Base_report!F964,10),"-","/")))</f>
        <v>45296</v>
      </c>
      <c r="H966" s="16">
        <f>DATE(YEAR(SUBSTITUTE(LEFT(Base_report!G964,10),"-","/")),MONTH(SUBSTITUTE(LEFT(Base_report!G964,10),"-","/")),DAY(SUBSTITUTE(LEFT(Base_report!G964,10),"-","/")))</f>
        <v>45297</v>
      </c>
      <c r="I966" s="17" t="str">
        <f t="shared" si="1"/>
        <v>OUI</v>
      </c>
      <c r="J966" s="18">
        <f>IF(L966="DS",DATE(RIGHT(B966,4),VLOOKUP(LEFT(B966,LEN(B966)-5),Feuil1!$E$3:$F$19,2,FALSE)+1,10),DATE(RIGHT(B966,4),VLOOKUP(LEFT(B966,LEN(B966)-5),Feuil1!$E$3:$F$19,2,FALSE)+1,7))</f>
        <v>45298</v>
      </c>
      <c r="K966" s="19">
        <f t="shared" si="2"/>
        <v>1</v>
      </c>
      <c r="L966" s="6" t="str">
        <f t="shared" si="3"/>
        <v>FS</v>
      </c>
    </row>
    <row r="967" ht="14.25" customHeight="1">
      <c r="A967" s="14" t="str">
        <f>Base_report!A965</f>
        <v>GONTOUGO</v>
      </c>
      <c r="B967" s="14" t="str">
        <f>Base_report!B965</f>
        <v>DECEMBRE 2023</v>
      </c>
      <c r="C967" s="15" t="str">
        <f>Base_report!C965</f>
        <v>C4070</v>
      </c>
      <c r="D967" s="14" t="str">
        <f>TRIM(IF(ISNUMBER(FIND("PNSME",Base_report!D965,1)),SUBSTITUTE(Base_report!D965,"PNSME",""),IF(ISNUMBER(FIND("PHG",Base_report!D965,1)),SUBSTITUTE(Base_report!D965,"PHG",""),IF(ISNUMBER(FIND("PCS",Base_report!D965,1)),SUBSTITUTE(Base_report!D965,"PCS",""),IF(ISNUMBER(FIND("CMU",Base_report!D965,1)),SUBSTITUTE(Base_report!D965,"CMU",""),Base_report!D965)))))</f>
        <v>DISTRICT SANITAIRE KOUN FAO</v>
      </c>
      <c r="E967" s="14" t="str">
        <f>SUBSTITUTE(Base_report!E965,"-","/")</f>
        <v>PNSME/MEDICAMENTS ET INTRANTS</v>
      </c>
      <c r="F967" s="14" t="s">
        <v>788</v>
      </c>
      <c r="G967" s="16">
        <f>DATE(YEAR(SUBSTITUTE(LEFT(Base_report!F965,10),"-","/")),MONTH(SUBSTITUTE(LEFT(Base_report!F965,10),"-","/")),DAY(SUBSTITUTE(LEFT(Base_report!F965,10),"-","/")))</f>
        <v>45295</v>
      </c>
      <c r="H967" s="16">
        <f>DATE(YEAR(SUBSTITUTE(LEFT(Base_report!G965,10),"-","/")),MONTH(SUBSTITUTE(LEFT(Base_report!G965,10),"-","/")),DAY(SUBSTITUTE(LEFT(Base_report!G965,10),"-","/")))</f>
        <v>45295</v>
      </c>
      <c r="I967" s="17" t="str">
        <f t="shared" si="1"/>
        <v>OUI</v>
      </c>
      <c r="J967" s="18">
        <f>IF(L967="DS",DATE(RIGHT(B967,4),VLOOKUP(LEFT(B967,LEN(B967)-5),Feuil1!$E$3:$F$19,2,FALSE)+1,10),DATE(RIGHT(B967,4),VLOOKUP(LEFT(B967,LEN(B967)-5),Feuil1!$E$3:$F$19,2,FALSE)+1,7))</f>
        <v>45301</v>
      </c>
      <c r="K967" s="19">
        <f t="shared" si="2"/>
        <v>1</v>
      </c>
      <c r="L967" s="6" t="str">
        <f t="shared" si="3"/>
        <v>DS</v>
      </c>
    </row>
    <row r="968" ht="14.25" customHeight="1">
      <c r="A968" s="14" t="str">
        <f>Base_report!A966</f>
        <v>CAVALLY</v>
      </c>
      <c r="B968" s="14" t="str">
        <f>Base_report!B966</f>
        <v>DECEMBRE 2023</v>
      </c>
      <c r="C968" s="15" t="str">
        <f>Base_report!C966</f>
        <v>C5085</v>
      </c>
      <c r="D968" s="14" t="str">
        <f>TRIM(IF(ISNUMBER(FIND("PNSME",Base_report!D966,1)),SUBSTITUTE(Base_report!D966,"PNSME",""),IF(ISNUMBER(FIND("PHG",Base_report!D966,1)),SUBSTITUTE(Base_report!D966,"PHG",""),IF(ISNUMBER(FIND("PCS",Base_report!D966,1)),SUBSTITUTE(Base_report!D966,"PCS",""),IF(ISNUMBER(FIND("CMU",Base_report!D966,1)),SUBSTITUTE(Base_report!D966,"CMU",""),Base_report!D966)))))</f>
        <v>HOPITAL GENERAL TAI</v>
      </c>
      <c r="E968" s="14" t="str">
        <f>SUBSTITUTE(Base_report!E966,"-","/")</f>
        <v>PNLP/MEDICAMENTS ET INTRANTS</v>
      </c>
      <c r="F968" s="14" t="s">
        <v>788</v>
      </c>
      <c r="G968" s="16">
        <f>DATE(YEAR(SUBSTITUTE(LEFT(Base_report!F966,10),"-","/")),MONTH(SUBSTITUTE(LEFT(Base_report!F966,10),"-","/")),DAY(SUBSTITUTE(LEFT(Base_report!F966,10),"-","/")))</f>
        <v>45296</v>
      </c>
      <c r="H968" s="16">
        <f>DATE(YEAR(SUBSTITUTE(LEFT(Base_report!G966,10),"-","/")),MONTH(SUBSTITUTE(LEFT(Base_report!G966,10),"-","/")),DAY(SUBSTITUTE(LEFT(Base_report!G966,10),"-","/")))</f>
        <v>45296</v>
      </c>
      <c r="I968" s="17" t="str">
        <f t="shared" si="1"/>
        <v>OUI</v>
      </c>
      <c r="J968" s="18">
        <f>IF(L968="DS",DATE(RIGHT(B968,4),VLOOKUP(LEFT(B968,LEN(B968)-5),Feuil1!$E$3:$F$19,2,FALSE)+1,10),DATE(RIGHT(B968,4),VLOOKUP(LEFT(B968,LEN(B968)-5),Feuil1!$E$3:$F$19,2,FALSE)+1,7))</f>
        <v>45298</v>
      </c>
      <c r="K968" s="19">
        <f t="shared" si="2"/>
        <v>1</v>
      </c>
      <c r="L968" s="6" t="str">
        <f t="shared" si="3"/>
        <v>FS</v>
      </c>
    </row>
    <row r="969" ht="14.25" customHeight="1">
      <c r="A969" s="14" t="str">
        <f>Base_report!A967</f>
        <v>BOUNKANI</v>
      </c>
      <c r="B969" s="14" t="str">
        <f>Base_report!B967</f>
        <v>DECEMBRE 2023</v>
      </c>
      <c r="C969" s="15" t="str">
        <f>Base_report!C967</f>
        <v>C4086</v>
      </c>
      <c r="D969" s="14" t="str">
        <f>TRIM(IF(ISNUMBER(FIND("PNSME",Base_report!D967,1)),SUBSTITUTE(Base_report!D967,"PNSME",""),IF(ISNUMBER(FIND("PHG",Base_report!D967,1)),SUBSTITUTE(Base_report!D967,"PHG",""),IF(ISNUMBER(FIND("PCS",Base_report!D967,1)),SUBSTITUTE(Base_report!D967,"PCS",""),IF(ISNUMBER(FIND("CMU",Base_report!D967,1)),SUBSTITUTE(Base_report!D967,"CMU",""),Base_report!D967)))))</f>
        <v>HOPITAL GENERAL DOROPO</v>
      </c>
      <c r="E969" s="14" t="str">
        <f>SUBSTITUTE(Base_report!E967,"-","/")</f>
        <v>PNSME/MEDICAMENTS ET INTRANTS</v>
      </c>
      <c r="F969" s="14" t="s">
        <v>788</v>
      </c>
      <c r="G969" s="16">
        <f>DATE(YEAR(SUBSTITUTE(LEFT(Base_report!F967,10),"-","/")),MONTH(SUBSTITUTE(LEFT(Base_report!F967,10),"-","/")),DAY(SUBSTITUTE(LEFT(Base_report!F967,10),"-","/")))</f>
        <v>45298</v>
      </c>
      <c r="H969" s="16">
        <f>DATE(YEAR(SUBSTITUTE(LEFT(Base_report!G967,10),"-","/")),MONTH(SUBSTITUTE(LEFT(Base_report!G967,10),"-","/")),DAY(SUBSTITUTE(LEFT(Base_report!G967,10),"-","/")))</f>
        <v>45298</v>
      </c>
      <c r="I969" s="17" t="str">
        <f t="shared" si="1"/>
        <v>OUI</v>
      </c>
      <c r="J969" s="18">
        <f>IF(L969="DS",DATE(RIGHT(B969,4),VLOOKUP(LEFT(B969,LEN(B969)-5),Feuil1!$E$3:$F$19,2,FALSE)+1,10),DATE(RIGHT(B969,4),VLOOKUP(LEFT(B969,LEN(B969)-5),Feuil1!$E$3:$F$19,2,FALSE)+1,7))</f>
        <v>45298</v>
      </c>
      <c r="K969" s="19">
        <f t="shared" si="2"/>
        <v>1</v>
      </c>
      <c r="L969" s="6" t="str">
        <f t="shared" si="3"/>
        <v>FS</v>
      </c>
    </row>
    <row r="970" ht="14.25" customHeight="1">
      <c r="A970" s="14" t="str">
        <f>Base_report!A968</f>
        <v>CAVALLY</v>
      </c>
      <c r="B970" s="14" t="str">
        <f>Base_report!B968</f>
        <v>DECEMBRE 2023</v>
      </c>
      <c r="C970" s="15" t="str">
        <f>Base_report!C968</f>
        <v>C5017</v>
      </c>
      <c r="D970" s="14" t="str">
        <f>TRIM(IF(ISNUMBER(FIND("PNSME",Base_report!D968,1)),SUBSTITUTE(Base_report!D968,"PNSME",""),IF(ISNUMBER(FIND("PHG",Base_report!D968,1)),SUBSTITUTE(Base_report!D968,"PHG",""),IF(ISNUMBER(FIND("PCS",Base_report!D968,1)),SUBSTITUTE(Base_report!D968,"PCS",""),IF(ISNUMBER(FIND("CMU",Base_report!D968,1)),SUBSTITUTE(Base_report!D968,"CMU",""),Base_report!D968)))))</f>
        <v>HOPITAL GENERAL BLOLEQUIN</v>
      </c>
      <c r="E970" s="14" t="str">
        <f>SUBSTITUTE(Base_report!E968,"-","/")</f>
        <v>PNLS/PRODUITS DE LABORATOIRE</v>
      </c>
      <c r="F970" s="14" t="s">
        <v>788</v>
      </c>
      <c r="G970" s="16">
        <f>DATE(YEAR(SUBSTITUTE(LEFT(Base_report!F968,10),"-","/")),MONTH(SUBSTITUTE(LEFT(Base_report!F968,10),"-","/")),DAY(SUBSTITUTE(LEFT(Base_report!F968,10),"-","/")))</f>
        <v>45296</v>
      </c>
      <c r="H970" s="16">
        <f>DATE(YEAR(SUBSTITUTE(LEFT(Base_report!G968,10),"-","/")),MONTH(SUBSTITUTE(LEFT(Base_report!G968,10),"-","/")),DAY(SUBSTITUTE(LEFT(Base_report!G968,10),"-","/")))</f>
        <v>45296</v>
      </c>
      <c r="I970" s="17" t="str">
        <f t="shared" si="1"/>
        <v>OUI</v>
      </c>
      <c r="J970" s="18">
        <f>IF(L970="DS",DATE(RIGHT(B970,4),VLOOKUP(LEFT(B970,LEN(B970)-5),Feuil1!$E$3:$F$19,2,FALSE)+1,10),DATE(RIGHT(B970,4),VLOOKUP(LEFT(B970,LEN(B970)-5),Feuil1!$E$3:$F$19,2,FALSE)+1,7))</f>
        <v>45298</v>
      </c>
      <c r="K970" s="19">
        <f t="shared" si="2"/>
        <v>1</v>
      </c>
      <c r="L970" s="6" t="str">
        <f t="shared" si="3"/>
        <v>FS</v>
      </c>
    </row>
    <row r="971" ht="14.25" customHeight="1">
      <c r="A971" s="14" t="str">
        <f>Base_report!A969</f>
        <v>HAUT-SASSANDRA</v>
      </c>
      <c r="B971" s="14" t="str">
        <f>Base_report!B969</f>
        <v>DECEMBRE 2023</v>
      </c>
      <c r="C971" s="15" t="str">
        <f>Base_report!C969</f>
        <v>C5060</v>
      </c>
      <c r="D971" s="14" t="str">
        <f>TRIM(IF(ISNUMBER(FIND("PNSME",Base_report!D969,1)),SUBSTITUTE(Base_report!D969,"PNSME",""),IF(ISNUMBER(FIND("PHG",Base_report!D969,1)),SUBSTITUTE(Base_report!D969,"PHG",""),IF(ISNUMBER(FIND("PCS",Base_report!D969,1)),SUBSTITUTE(Base_report!D969,"PCS",""),IF(ISNUMBER(FIND("CMU",Base_report!D969,1)),SUBSTITUTE(Base_report!D969,"CMU",""),Base_report!D969)))))</f>
        <v>HOPITAL GENERAL ZOUKOUGBEU</v>
      </c>
      <c r="E971" s="14" t="str">
        <f>SUBSTITUTE(Base_report!E969,"-","/")</f>
        <v>PNLS/TESTS RAPIDES ET CONSOMMABLES</v>
      </c>
      <c r="F971" s="14" t="s">
        <v>788</v>
      </c>
      <c r="G971" s="16">
        <f>DATE(YEAR(SUBSTITUTE(LEFT(Base_report!F969,10),"-","/")),MONTH(SUBSTITUTE(LEFT(Base_report!F969,10),"-","/")),DAY(SUBSTITUTE(LEFT(Base_report!F969,10),"-","/")))</f>
        <v>45296</v>
      </c>
      <c r="H971" s="16">
        <f>DATE(YEAR(SUBSTITUTE(LEFT(Base_report!G969,10),"-","/")),MONTH(SUBSTITUTE(LEFT(Base_report!G969,10),"-","/")),DAY(SUBSTITUTE(LEFT(Base_report!G969,10),"-","/")))</f>
        <v>45296</v>
      </c>
      <c r="I971" s="17" t="str">
        <f t="shared" si="1"/>
        <v>OUI</v>
      </c>
      <c r="J971" s="18">
        <f>IF(L971="DS",DATE(RIGHT(B971,4),VLOOKUP(LEFT(B971,LEN(B971)-5),Feuil1!$E$3:$F$19,2,FALSE)+1,10),DATE(RIGHT(B971,4),VLOOKUP(LEFT(B971,LEN(B971)-5),Feuil1!$E$3:$F$19,2,FALSE)+1,7))</f>
        <v>45298</v>
      </c>
      <c r="K971" s="19">
        <f t="shared" si="2"/>
        <v>1</v>
      </c>
      <c r="L971" s="6" t="str">
        <f t="shared" si="3"/>
        <v>FS</v>
      </c>
    </row>
    <row r="972" ht="14.25" customHeight="1">
      <c r="A972" s="14" t="str">
        <f>Base_report!A970</f>
        <v>N'ZI</v>
      </c>
      <c r="B972" s="14" t="str">
        <f>Base_report!B970</f>
        <v>DECEMBRE 2023</v>
      </c>
      <c r="C972" s="15" t="str">
        <f>Base_report!C970</f>
        <v>C2004</v>
      </c>
      <c r="D972" s="14" t="str">
        <f>TRIM(IF(ISNUMBER(FIND("PNSME",Base_report!D970,1)),SUBSTITUTE(Base_report!D970,"PNSME",""),IF(ISNUMBER(FIND("PHG",Base_report!D970,1)),SUBSTITUTE(Base_report!D970,"PHG",""),IF(ISNUMBER(FIND("PCS",Base_report!D970,1)),SUBSTITUTE(Base_report!D970,"PCS",""),IF(ISNUMBER(FIND("CMU",Base_report!D970,1)),SUBSTITUTE(Base_report!D970,"CMU",""),Base_report!D970)))))</f>
        <v>CHR DIMBOKRO</v>
      </c>
      <c r="E972" s="14" t="str">
        <f>SUBSTITUTE(Base_report!E970,"-","/")</f>
        <v>PNLS/TESTS RAPIDES ET CONSOMMABLES</v>
      </c>
      <c r="F972" s="14" t="s">
        <v>788</v>
      </c>
      <c r="G972" s="16">
        <f>DATE(YEAR(SUBSTITUTE(LEFT(Base_report!F970,10),"-","/")),MONTH(SUBSTITUTE(LEFT(Base_report!F970,10),"-","/")),DAY(SUBSTITUTE(LEFT(Base_report!F970,10),"-","/")))</f>
        <v>45298</v>
      </c>
      <c r="H972" s="16">
        <f>DATE(YEAR(SUBSTITUTE(LEFT(Base_report!G970,10),"-","/")),MONTH(SUBSTITUTE(LEFT(Base_report!G970,10),"-","/")),DAY(SUBSTITUTE(LEFT(Base_report!G970,10),"-","/")))</f>
        <v>45298</v>
      </c>
      <c r="I972" s="17" t="str">
        <f t="shared" si="1"/>
        <v>OUI</v>
      </c>
      <c r="J972" s="18">
        <f>IF(L972="DS",DATE(RIGHT(B972,4),VLOOKUP(LEFT(B972,LEN(B972)-5),Feuil1!$E$3:$F$19,2,FALSE)+1,10),DATE(RIGHT(B972,4),VLOOKUP(LEFT(B972,LEN(B972)-5),Feuil1!$E$3:$F$19,2,FALSE)+1,7))</f>
        <v>45298</v>
      </c>
      <c r="K972" s="19">
        <f t="shared" si="2"/>
        <v>1</v>
      </c>
      <c r="L972" s="6" t="str">
        <f t="shared" si="3"/>
        <v>FS</v>
      </c>
    </row>
    <row r="973" ht="14.25" customHeight="1">
      <c r="A973" s="14" t="str">
        <f>Base_report!A971</f>
        <v>SUD-COMOE</v>
      </c>
      <c r="B973" s="14" t="str">
        <f>Base_report!B971</f>
        <v>DECEMBRE 2023</v>
      </c>
      <c r="C973" s="15" t="str">
        <f>Base_report!C971</f>
        <v>C1142</v>
      </c>
      <c r="D973" s="14" t="str">
        <f>TRIM(IF(ISNUMBER(FIND("PNSME",Base_report!D971,1)),SUBSTITUTE(Base_report!D971,"PNSME",""),IF(ISNUMBER(FIND("PHG",Base_report!D971,1)),SUBSTITUTE(Base_report!D971,"PHG",""),IF(ISNUMBER(FIND("PCS",Base_report!D971,1)),SUBSTITUTE(Base_report!D971,"PCS",""),IF(ISNUMBER(FIND("CMU",Base_report!D971,1)),SUBSTITUTE(Base_report!D971,"CMU",""),Base_report!D971)))))</f>
        <v>PMI GRAND-BASSAM</v>
      </c>
      <c r="E973" s="14" t="str">
        <f>SUBSTITUTE(Base_report!E971,"-","/")</f>
        <v>PNSME/MEDICAMENTS ET INTRANTS</v>
      </c>
      <c r="F973" s="14" t="s">
        <v>788</v>
      </c>
      <c r="G973" s="16">
        <f>DATE(YEAR(SUBSTITUTE(LEFT(Base_report!F971,10),"-","/")),MONTH(SUBSTITUTE(LEFT(Base_report!F971,10),"-","/")),DAY(SUBSTITUTE(LEFT(Base_report!F971,10),"-","/")))</f>
        <v>45295</v>
      </c>
      <c r="H973" s="16">
        <f>DATE(YEAR(SUBSTITUTE(LEFT(Base_report!G971,10),"-","/")),MONTH(SUBSTITUTE(LEFT(Base_report!G971,10),"-","/")),DAY(SUBSTITUTE(LEFT(Base_report!G971,10),"-","/")))</f>
        <v>45295</v>
      </c>
      <c r="I973" s="17" t="str">
        <f t="shared" si="1"/>
        <v>OUI</v>
      </c>
      <c r="J973" s="18">
        <f>IF(L973="DS",DATE(RIGHT(B973,4),VLOOKUP(LEFT(B973,LEN(B973)-5),Feuil1!$E$3:$F$19,2,FALSE)+1,10),DATE(RIGHT(B973,4),VLOOKUP(LEFT(B973,LEN(B973)-5),Feuil1!$E$3:$F$19,2,FALSE)+1,7))</f>
        <v>45298</v>
      </c>
      <c r="K973" s="19">
        <f t="shared" si="2"/>
        <v>1</v>
      </c>
      <c r="L973" s="6" t="str">
        <f t="shared" si="3"/>
        <v>FS</v>
      </c>
    </row>
    <row r="974" ht="14.25" customHeight="1">
      <c r="A974" s="14" t="str">
        <f>Base_report!A972</f>
        <v>ABIDJAN 1</v>
      </c>
      <c r="B974" s="14" t="str">
        <f>Base_report!B972</f>
        <v>DECEMBRE 2023</v>
      </c>
      <c r="C974" s="15" t="str">
        <f>Base_report!C972</f>
        <v>C1099</v>
      </c>
      <c r="D974" s="14" t="str">
        <f>TRIM(IF(ISNUMBER(FIND("PNSME",Base_report!D972,1)),SUBSTITUTE(Base_report!D972,"PNSME",""),IF(ISNUMBER(FIND("PHG",Base_report!D972,1)),SUBSTITUTE(Base_report!D972,"PHG",""),IF(ISNUMBER(FIND("PCS",Base_report!D972,1)),SUBSTITUTE(Base_report!D972,"PCS",""),IF(ISNUMBER(FIND("CMU",Base_report!D972,1)),SUBSTITUTE(Base_report!D972,"CMU",""),Base_report!D972)))))</f>
        <v>HOPITAL GENERAL YOPOUGON ATTIE</v>
      </c>
      <c r="E974" s="14" t="str">
        <f>SUBSTITUTE(Base_report!E972,"-","/")</f>
        <v>PNLP/MEDICAMENTS ET INTRANTS</v>
      </c>
      <c r="F974" s="14" t="s">
        <v>788</v>
      </c>
      <c r="G974" s="16">
        <f>DATE(YEAR(SUBSTITUTE(LEFT(Base_report!F972,10),"-","/")),MONTH(SUBSTITUTE(LEFT(Base_report!F972,10),"-","/")),DAY(SUBSTITUTE(LEFT(Base_report!F972,10),"-","/")))</f>
        <v>45295</v>
      </c>
      <c r="H974" s="16">
        <f>DATE(YEAR(SUBSTITUTE(LEFT(Base_report!G972,10),"-","/")),MONTH(SUBSTITUTE(LEFT(Base_report!G972,10),"-","/")),DAY(SUBSTITUTE(LEFT(Base_report!G972,10),"-","/")))</f>
        <v>45296</v>
      </c>
      <c r="I974" s="17" t="str">
        <f t="shared" si="1"/>
        <v>OUI</v>
      </c>
      <c r="J974" s="18">
        <f>IF(L974="DS",DATE(RIGHT(B974,4),VLOOKUP(LEFT(B974,LEN(B974)-5),Feuil1!$E$3:$F$19,2,FALSE)+1,10),DATE(RIGHT(B974,4),VLOOKUP(LEFT(B974,LEN(B974)-5),Feuil1!$E$3:$F$19,2,FALSE)+1,7))</f>
        <v>45298</v>
      </c>
      <c r="K974" s="19">
        <f t="shared" si="2"/>
        <v>1</v>
      </c>
      <c r="L974" s="6" t="str">
        <f t="shared" si="3"/>
        <v>FS</v>
      </c>
    </row>
    <row r="975" ht="14.25" customHeight="1">
      <c r="A975" s="14" t="str">
        <f>Base_report!A973</f>
        <v>BERE</v>
      </c>
      <c r="B975" s="14" t="str">
        <f>Base_report!B973</f>
        <v>DECEMBRE 2023</v>
      </c>
      <c r="C975" s="15" t="str">
        <f>Base_report!C973</f>
        <v>C3017</v>
      </c>
      <c r="D975" s="14" t="str">
        <f>TRIM(IF(ISNUMBER(FIND("PNSME",Base_report!D973,1)),SUBSTITUTE(Base_report!D973,"PNSME",""),IF(ISNUMBER(FIND("PHG",Base_report!D973,1)),SUBSTITUTE(Base_report!D973,"PHG",""),IF(ISNUMBER(FIND("PCS",Base_report!D973,1)),SUBSTITUTE(Base_report!D973,"PCS",""),IF(ISNUMBER(FIND("CMU",Base_report!D973,1)),SUBSTITUTE(Base_report!D973,"CMU",""),Base_report!D973)))))</f>
        <v>HOPITAL GENERAL MANKONO</v>
      </c>
      <c r="E975" s="14" t="str">
        <f>SUBSTITUTE(Base_report!E973,"-","/")</f>
        <v>PNLS/PRODUITS DE LABORATOIRE</v>
      </c>
      <c r="F975" s="14" t="s">
        <v>788</v>
      </c>
      <c r="G975" s="16">
        <f>DATE(YEAR(SUBSTITUTE(LEFT(Base_report!F973,10),"-","/")),MONTH(SUBSTITUTE(LEFT(Base_report!F973,10),"-","/")),DAY(SUBSTITUTE(LEFT(Base_report!F973,10),"-","/")))</f>
        <v>45298</v>
      </c>
      <c r="H975" s="16">
        <f>DATE(YEAR(SUBSTITUTE(LEFT(Base_report!G973,10),"-","/")),MONTH(SUBSTITUTE(LEFT(Base_report!G973,10),"-","/")),DAY(SUBSTITUTE(LEFT(Base_report!G973,10),"-","/")))</f>
        <v>45298</v>
      </c>
      <c r="I975" s="17" t="str">
        <f t="shared" si="1"/>
        <v>OUI</v>
      </c>
      <c r="J975" s="18">
        <f>IF(L975="DS",DATE(RIGHT(B975,4),VLOOKUP(LEFT(B975,LEN(B975)-5),Feuil1!$E$3:$F$19,2,FALSE)+1,10),DATE(RIGHT(B975,4),VLOOKUP(LEFT(B975,LEN(B975)-5),Feuil1!$E$3:$F$19,2,FALSE)+1,7))</f>
        <v>45298</v>
      </c>
      <c r="K975" s="19">
        <f t="shared" si="2"/>
        <v>1</v>
      </c>
      <c r="L975" s="6" t="str">
        <f t="shared" si="3"/>
        <v>FS</v>
      </c>
    </row>
    <row r="976" ht="14.25" customHeight="1">
      <c r="A976" s="14" t="str">
        <f>Base_report!A974</f>
        <v>ABIDJAN 1</v>
      </c>
      <c r="B976" s="14" t="str">
        <f>Base_report!B974</f>
        <v>DECEMBRE 2023</v>
      </c>
      <c r="C976" s="15" t="str">
        <f>Base_report!C974</f>
        <v>C1099</v>
      </c>
      <c r="D976" s="14" t="str">
        <f>TRIM(IF(ISNUMBER(FIND("PNSME",Base_report!D974,1)),SUBSTITUTE(Base_report!D974,"PNSME",""),IF(ISNUMBER(FIND("PHG",Base_report!D974,1)),SUBSTITUTE(Base_report!D974,"PHG",""),IF(ISNUMBER(FIND("PCS",Base_report!D974,1)),SUBSTITUTE(Base_report!D974,"PCS",""),IF(ISNUMBER(FIND("CMU",Base_report!D974,1)),SUBSTITUTE(Base_report!D974,"CMU",""),Base_report!D974)))))</f>
        <v>HOPITAL GENERAL YOPOUGON ATTIE</v>
      </c>
      <c r="E976" s="14" t="str">
        <f>SUBSTITUTE(Base_report!E974,"-","/")</f>
        <v>PNLS/ANTIRETROVIRAUX ET IO</v>
      </c>
      <c r="F976" s="14" t="s">
        <v>788</v>
      </c>
      <c r="G976" s="16">
        <f>DATE(YEAR(SUBSTITUTE(LEFT(Base_report!F974,10),"-","/")),MONTH(SUBSTITUTE(LEFT(Base_report!F974,10),"-","/")),DAY(SUBSTITUTE(LEFT(Base_report!F974,10),"-","/")))</f>
        <v>45296</v>
      </c>
      <c r="H976" s="16">
        <f>DATE(YEAR(SUBSTITUTE(LEFT(Base_report!G974,10),"-","/")),MONTH(SUBSTITUTE(LEFT(Base_report!G974,10),"-","/")),DAY(SUBSTITUTE(LEFT(Base_report!G974,10),"-","/")))</f>
        <v>45296</v>
      </c>
      <c r="I976" s="17" t="str">
        <f t="shared" si="1"/>
        <v>OUI</v>
      </c>
      <c r="J976" s="18">
        <f>IF(L976="DS",DATE(RIGHT(B976,4),VLOOKUP(LEFT(B976,LEN(B976)-5),Feuil1!$E$3:$F$19,2,FALSE)+1,10),DATE(RIGHT(B976,4),VLOOKUP(LEFT(B976,LEN(B976)-5),Feuil1!$E$3:$F$19,2,FALSE)+1,7))</f>
        <v>45298</v>
      </c>
      <c r="K976" s="19">
        <f t="shared" si="2"/>
        <v>1</v>
      </c>
      <c r="L976" s="6" t="str">
        <f t="shared" si="3"/>
        <v>FS</v>
      </c>
    </row>
    <row r="977" ht="14.25" customHeight="1">
      <c r="A977" s="14" t="str">
        <f>Base_report!A975</f>
        <v>IFFOU</v>
      </c>
      <c r="B977" s="14" t="str">
        <f>Base_report!B975</f>
        <v>DECEMBRE 2023</v>
      </c>
      <c r="C977" s="15" t="str">
        <f>Base_report!C975</f>
        <v>C4019</v>
      </c>
      <c r="D977" s="14" t="str">
        <f>TRIM(IF(ISNUMBER(FIND("PNSME",Base_report!D975,1)),SUBSTITUTE(Base_report!D975,"PNSME",""),IF(ISNUMBER(FIND("PHG",Base_report!D975,1)),SUBSTITUTE(Base_report!D975,"PHG",""),IF(ISNUMBER(FIND("PCS",Base_report!D975,1)),SUBSTITUTE(Base_report!D975,"PCS",""),IF(ISNUMBER(FIND("CMU",Base_report!D975,1)),SUBSTITUTE(Base_report!D975,"CMU",""),Base_report!D975)))))</f>
        <v>HOPITAL GENERAL DAOUKRO</v>
      </c>
      <c r="E977" s="14" t="str">
        <f>SUBSTITUTE(Base_report!E975,"-","/")</f>
        <v>PNLP/MEDICAMENTS ET INTRANTS</v>
      </c>
      <c r="F977" s="14" t="s">
        <v>788</v>
      </c>
      <c r="G977" s="16">
        <f>DATE(YEAR(SUBSTITUTE(LEFT(Base_report!F975,10),"-","/")),MONTH(SUBSTITUTE(LEFT(Base_report!F975,10),"-","/")),DAY(SUBSTITUTE(LEFT(Base_report!F975,10),"-","/")))</f>
        <v>45296</v>
      </c>
      <c r="H977" s="16">
        <f>DATE(YEAR(SUBSTITUTE(LEFT(Base_report!G975,10),"-","/")),MONTH(SUBSTITUTE(LEFT(Base_report!G975,10),"-","/")),DAY(SUBSTITUTE(LEFT(Base_report!G975,10),"-","/")))</f>
        <v>45296</v>
      </c>
      <c r="I977" s="17" t="str">
        <f t="shared" si="1"/>
        <v>OUI</v>
      </c>
      <c r="J977" s="18">
        <f>IF(L977="DS",DATE(RIGHT(B977,4),VLOOKUP(LEFT(B977,LEN(B977)-5),Feuil1!$E$3:$F$19,2,FALSE)+1,10),DATE(RIGHT(B977,4),VLOOKUP(LEFT(B977,LEN(B977)-5),Feuil1!$E$3:$F$19,2,FALSE)+1,7))</f>
        <v>45298</v>
      </c>
      <c r="K977" s="19">
        <f t="shared" si="2"/>
        <v>1</v>
      </c>
      <c r="L977" s="6" t="str">
        <f t="shared" si="3"/>
        <v>FS</v>
      </c>
    </row>
    <row r="978" ht="14.25" customHeight="1">
      <c r="A978" s="14" t="str">
        <f>Base_report!A976</f>
        <v>ABIDJAN 1</v>
      </c>
      <c r="B978" s="14" t="str">
        <f>Base_report!B976</f>
        <v>DECEMBRE 2023</v>
      </c>
      <c r="C978" s="15" t="str">
        <f>Base_report!C976</f>
        <v>C1099</v>
      </c>
      <c r="D978" s="14" t="str">
        <f>TRIM(IF(ISNUMBER(FIND("PNSME",Base_report!D976,1)),SUBSTITUTE(Base_report!D976,"PNSME",""),IF(ISNUMBER(FIND("PHG",Base_report!D976,1)),SUBSTITUTE(Base_report!D976,"PHG",""),IF(ISNUMBER(FIND("PCS",Base_report!D976,1)),SUBSTITUTE(Base_report!D976,"PCS",""),IF(ISNUMBER(FIND("CMU",Base_report!D976,1)),SUBSTITUTE(Base_report!D976,"CMU",""),Base_report!D976)))))</f>
        <v>HOPITAL GENERAL YOPOUGON ATTIE</v>
      </c>
      <c r="E978" s="14" t="str">
        <f>SUBSTITUTE(Base_report!E976,"-","/")</f>
        <v>PNLS/TESTS RAPIDES ET CONSOMMABLES</v>
      </c>
      <c r="F978" s="14" t="s">
        <v>788</v>
      </c>
      <c r="G978" s="16">
        <f>DATE(YEAR(SUBSTITUTE(LEFT(Base_report!F976,10),"-","/")),MONTH(SUBSTITUTE(LEFT(Base_report!F976,10),"-","/")),DAY(SUBSTITUTE(LEFT(Base_report!F976,10),"-","/")))</f>
        <v>45296</v>
      </c>
      <c r="H978" s="16">
        <f>DATE(YEAR(SUBSTITUTE(LEFT(Base_report!G976,10),"-","/")),MONTH(SUBSTITUTE(LEFT(Base_report!G976,10),"-","/")),DAY(SUBSTITUTE(LEFT(Base_report!G976,10),"-","/")))</f>
        <v>45296</v>
      </c>
      <c r="I978" s="17" t="str">
        <f t="shared" si="1"/>
        <v>OUI</v>
      </c>
      <c r="J978" s="18">
        <f>IF(L978="DS",DATE(RIGHT(B978,4),VLOOKUP(LEFT(B978,LEN(B978)-5),Feuil1!$E$3:$F$19,2,FALSE)+1,10),DATE(RIGHT(B978,4),VLOOKUP(LEFT(B978,LEN(B978)-5),Feuil1!$E$3:$F$19,2,FALSE)+1,7))</f>
        <v>45298</v>
      </c>
      <c r="K978" s="19">
        <f t="shared" si="2"/>
        <v>1</v>
      </c>
      <c r="L978" s="6" t="str">
        <f t="shared" si="3"/>
        <v>FS</v>
      </c>
    </row>
    <row r="979" ht="14.25" customHeight="1">
      <c r="A979" s="14" t="str">
        <f>Base_report!A977</f>
        <v>ABIDJAN 1</v>
      </c>
      <c r="B979" s="14" t="str">
        <f>Base_report!B977</f>
        <v>DECEMBRE 2023</v>
      </c>
      <c r="C979" s="15" t="str">
        <f>Base_report!C977</f>
        <v>C1099</v>
      </c>
      <c r="D979" s="14" t="str">
        <f>TRIM(IF(ISNUMBER(FIND("PNSME",Base_report!D977,1)),SUBSTITUTE(Base_report!D977,"PNSME",""),IF(ISNUMBER(FIND("PHG",Base_report!D977,1)),SUBSTITUTE(Base_report!D977,"PHG",""),IF(ISNUMBER(FIND("PCS",Base_report!D977,1)),SUBSTITUTE(Base_report!D977,"PCS",""),IF(ISNUMBER(FIND("CMU",Base_report!D977,1)),SUBSTITUTE(Base_report!D977,"CMU",""),Base_report!D977)))))</f>
        <v>HOPITAL GENERAL YOPOUGON ATTIE</v>
      </c>
      <c r="E979" s="14" t="str">
        <f>SUBSTITUTE(Base_report!E977,"-","/")</f>
        <v>PNSME_GRATUITE:MEDICAMENTS ET INTRANTS</v>
      </c>
      <c r="F979" s="14" t="s">
        <v>788</v>
      </c>
      <c r="G979" s="16">
        <f>DATE(YEAR(SUBSTITUTE(LEFT(Base_report!F977,10),"-","/")),MONTH(SUBSTITUTE(LEFT(Base_report!F977,10),"-","/")),DAY(SUBSTITUTE(LEFT(Base_report!F977,10),"-","/")))</f>
        <v>45296</v>
      </c>
      <c r="H979" s="16">
        <f>DATE(YEAR(SUBSTITUTE(LEFT(Base_report!G977,10),"-","/")),MONTH(SUBSTITUTE(LEFT(Base_report!G977,10),"-","/")),DAY(SUBSTITUTE(LEFT(Base_report!G977,10),"-","/")))</f>
        <v>45296</v>
      </c>
      <c r="I979" s="17" t="str">
        <f t="shared" si="1"/>
        <v>OUI</v>
      </c>
      <c r="J979" s="18">
        <f>IF(L979="DS",DATE(RIGHT(B979,4),VLOOKUP(LEFT(B979,LEN(B979)-5),Feuil1!$E$3:$F$19,2,FALSE)+1,10),DATE(RIGHT(B979,4),VLOOKUP(LEFT(B979,LEN(B979)-5),Feuil1!$E$3:$F$19,2,FALSE)+1,7))</f>
        <v>45298</v>
      </c>
      <c r="K979" s="19">
        <f t="shared" si="2"/>
        <v>1</v>
      </c>
      <c r="L979" s="6" t="str">
        <f t="shared" si="3"/>
        <v>FS</v>
      </c>
    </row>
    <row r="980" ht="14.25" customHeight="1">
      <c r="A980" s="14" t="str">
        <f>Base_report!A978</f>
        <v>ABIDJAN 1</v>
      </c>
      <c r="B980" s="14" t="str">
        <f>Base_report!B978</f>
        <v>DECEMBRE 2023</v>
      </c>
      <c r="C980" s="15" t="str">
        <f>Base_report!C978</f>
        <v>C1680</v>
      </c>
      <c r="D980" s="14" t="str">
        <f>TRIM(IF(ISNUMBER(FIND("PNSME",Base_report!D978,1)),SUBSTITUTE(Base_report!D978,"PNSME",""),IF(ISNUMBER(FIND("PHG",Base_report!D978,1)),SUBSTITUTE(Base_report!D978,"PHG",""),IF(ISNUMBER(FIND("PCS",Base_report!D978,1)),SUBSTITUTE(Base_report!D978,"PCS",""),IF(ISNUMBER(FIND("CMU",Base_report!D978,1)),SUBSTITUTE(Base_report!D978,"CMU",""),Base_report!D978)))))</f>
        <v>CENTRE ANTITUBERCULEUX ABOBO</v>
      </c>
      <c r="E980" s="14" t="str">
        <f>SUBSTITUTE(Base_report!E978,"-","/")</f>
        <v>PNLS/ANTIRETROVIRAUX ET IO</v>
      </c>
      <c r="F980" s="14" t="s">
        <v>788</v>
      </c>
      <c r="G980" s="16">
        <f>DATE(YEAR(SUBSTITUTE(LEFT(Base_report!F978,10),"-","/")),MONTH(SUBSTITUTE(LEFT(Base_report!F978,10),"-","/")),DAY(SUBSTITUTE(LEFT(Base_report!F978,10),"-","/")))</f>
        <v>45296</v>
      </c>
      <c r="H980" s="16">
        <f>DATE(YEAR(SUBSTITUTE(LEFT(Base_report!G978,10),"-","/")),MONTH(SUBSTITUTE(LEFT(Base_report!G978,10),"-","/")),DAY(SUBSTITUTE(LEFT(Base_report!G978,10),"-","/")))</f>
        <v>45296</v>
      </c>
      <c r="I980" s="17" t="str">
        <f t="shared" si="1"/>
        <v>OUI</v>
      </c>
      <c r="J980" s="18">
        <f>IF(L980="DS",DATE(RIGHT(B980,4),VLOOKUP(LEFT(B980,LEN(B980)-5),Feuil1!$E$3:$F$19,2,FALSE)+1,10),DATE(RIGHT(B980,4),VLOOKUP(LEFT(B980,LEN(B980)-5),Feuil1!$E$3:$F$19,2,FALSE)+1,7))</f>
        <v>45298</v>
      </c>
      <c r="K980" s="19">
        <f t="shared" si="2"/>
        <v>1</v>
      </c>
      <c r="L980" s="6" t="str">
        <f t="shared" si="3"/>
        <v>FS</v>
      </c>
    </row>
    <row r="981" ht="14.25" customHeight="1">
      <c r="A981" s="14" t="str">
        <f>Base_report!A979</f>
        <v>ABIDJAN 1</v>
      </c>
      <c r="B981" s="14" t="str">
        <f>Base_report!B979</f>
        <v>DECEMBRE 2023</v>
      </c>
      <c r="C981" s="15" t="str">
        <f>Base_report!C979</f>
        <v>C1680</v>
      </c>
      <c r="D981" s="14" t="str">
        <f>TRIM(IF(ISNUMBER(FIND("PNSME",Base_report!D979,1)),SUBSTITUTE(Base_report!D979,"PNSME",""),IF(ISNUMBER(FIND("PHG",Base_report!D979,1)),SUBSTITUTE(Base_report!D979,"PHG",""),IF(ISNUMBER(FIND("PCS",Base_report!D979,1)),SUBSTITUTE(Base_report!D979,"PCS",""),IF(ISNUMBER(FIND("CMU",Base_report!D979,1)),SUBSTITUTE(Base_report!D979,"CMU",""),Base_report!D979)))))</f>
        <v>CENTRE ANTITUBERCULEUX ABOBO</v>
      </c>
      <c r="E981" s="14" t="str">
        <f>SUBSTITUTE(Base_report!E979,"-","/")</f>
        <v>PNLS/TESTS RAPIDES ET CONSOMMABLES</v>
      </c>
      <c r="F981" s="14" t="s">
        <v>788</v>
      </c>
      <c r="G981" s="16">
        <f>DATE(YEAR(SUBSTITUTE(LEFT(Base_report!F979,10),"-","/")),MONTH(SUBSTITUTE(LEFT(Base_report!F979,10),"-","/")),DAY(SUBSTITUTE(LEFT(Base_report!F979,10),"-","/")))</f>
        <v>45296</v>
      </c>
      <c r="H981" s="16">
        <f>DATE(YEAR(SUBSTITUTE(LEFT(Base_report!G979,10),"-","/")),MONTH(SUBSTITUTE(LEFT(Base_report!G979,10),"-","/")),DAY(SUBSTITUTE(LEFT(Base_report!G979,10),"-","/")))</f>
        <v>45296</v>
      </c>
      <c r="I981" s="17" t="str">
        <f t="shared" si="1"/>
        <v>OUI</v>
      </c>
      <c r="J981" s="18">
        <f>IF(L981="DS",DATE(RIGHT(B981,4),VLOOKUP(LEFT(B981,LEN(B981)-5),Feuil1!$E$3:$F$19,2,FALSE)+1,10),DATE(RIGHT(B981,4),VLOOKUP(LEFT(B981,LEN(B981)-5),Feuil1!$E$3:$F$19,2,FALSE)+1,7))</f>
        <v>45298</v>
      </c>
      <c r="K981" s="19">
        <f t="shared" si="2"/>
        <v>1</v>
      </c>
      <c r="L981" s="6" t="str">
        <f t="shared" si="3"/>
        <v>FS</v>
      </c>
    </row>
    <row r="982" ht="14.25" customHeight="1">
      <c r="A982" s="14" t="str">
        <f>Base_report!A980</f>
        <v>IFFOU</v>
      </c>
      <c r="B982" s="14" t="str">
        <f>Base_report!B980</f>
        <v>DECEMBRE 2023</v>
      </c>
      <c r="C982" s="15" t="str">
        <f>Base_report!C980</f>
        <v>C4019</v>
      </c>
      <c r="D982" s="14" t="str">
        <f>TRIM(IF(ISNUMBER(FIND("PNSME",Base_report!D980,1)),SUBSTITUTE(Base_report!D980,"PNSME",""),IF(ISNUMBER(FIND("PHG",Base_report!D980,1)),SUBSTITUTE(Base_report!D980,"PHG",""),IF(ISNUMBER(FIND("PCS",Base_report!D980,1)),SUBSTITUTE(Base_report!D980,"PCS",""),IF(ISNUMBER(FIND("CMU",Base_report!D980,1)),SUBSTITUTE(Base_report!D980,"CMU",""),Base_report!D980)))))</f>
        <v>HOPITAL GENERAL DAOUKRO</v>
      </c>
      <c r="E982" s="14" t="str">
        <f>SUBSTITUTE(Base_report!E980,"-","/")</f>
        <v>PNSME/MEDICAMENTS ET INTRANTS</v>
      </c>
      <c r="F982" s="14" t="s">
        <v>788</v>
      </c>
      <c r="G982" s="16">
        <f>DATE(YEAR(SUBSTITUTE(LEFT(Base_report!F980,10),"-","/")),MONTH(SUBSTITUTE(LEFT(Base_report!F980,10),"-","/")),DAY(SUBSTITUTE(LEFT(Base_report!F980,10),"-","/")))</f>
        <v>45296</v>
      </c>
      <c r="H982" s="16">
        <f>DATE(YEAR(SUBSTITUTE(LEFT(Base_report!G980,10),"-","/")),MONTH(SUBSTITUTE(LEFT(Base_report!G980,10),"-","/")),DAY(SUBSTITUTE(LEFT(Base_report!G980,10),"-","/")))</f>
        <v>45296</v>
      </c>
      <c r="I982" s="17" t="str">
        <f t="shared" si="1"/>
        <v>OUI</v>
      </c>
      <c r="J982" s="18">
        <f>IF(L982="DS",DATE(RIGHT(B982,4),VLOOKUP(LEFT(B982,LEN(B982)-5),Feuil1!$E$3:$F$19,2,FALSE)+1,10),DATE(RIGHT(B982,4),VLOOKUP(LEFT(B982,LEN(B982)-5),Feuil1!$E$3:$F$19,2,FALSE)+1,7))</f>
        <v>45298</v>
      </c>
      <c r="K982" s="19">
        <f t="shared" si="2"/>
        <v>1</v>
      </c>
      <c r="L982" s="6" t="str">
        <f t="shared" si="3"/>
        <v>FS</v>
      </c>
    </row>
    <row r="983" ht="14.25" customHeight="1">
      <c r="A983" s="14" t="str">
        <f>Base_report!A981</f>
        <v>CAVALLY</v>
      </c>
      <c r="B983" s="14" t="str">
        <f>Base_report!B981</f>
        <v>DECEMBRE 2023</v>
      </c>
      <c r="C983" s="15" t="str">
        <f>Base_report!C981</f>
        <v>C5002</v>
      </c>
      <c r="D983" s="14" t="str">
        <f>TRIM(IF(ISNUMBER(FIND("PNSME",Base_report!D981,1)),SUBSTITUTE(Base_report!D981,"PNSME",""),IF(ISNUMBER(FIND("PHG",Base_report!D981,1)),SUBSTITUTE(Base_report!D981,"PHG",""),IF(ISNUMBER(FIND("PCS",Base_report!D981,1)),SUBSTITUTE(Base_report!D981,"PCS",""),IF(ISNUMBER(FIND("CMU",Base_report!D981,1)),SUBSTITUTE(Base_report!D981,"CMU",""),Base_report!D981)))))</f>
        <v>CHR GUIGLO</v>
      </c>
      <c r="E983" s="14" t="str">
        <f>SUBSTITUTE(Base_report!E981,"-","/")</f>
        <v>PNLS/ANTIRETROVIRAUX ET IO</v>
      </c>
      <c r="F983" s="14" t="s">
        <v>788</v>
      </c>
      <c r="G983" s="16">
        <f>DATE(YEAR(SUBSTITUTE(LEFT(Base_report!F981,10),"-","/")),MONTH(SUBSTITUTE(LEFT(Base_report!F981,10),"-","/")),DAY(SUBSTITUTE(LEFT(Base_report!F981,10),"-","/")))</f>
        <v>45299</v>
      </c>
      <c r="H983" s="16">
        <f>DATE(YEAR(SUBSTITUTE(LEFT(Base_report!G981,10),"-","/")),MONTH(SUBSTITUTE(LEFT(Base_report!G981,10),"-","/")),DAY(SUBSTITUTE(LEFT(Base_report!G981,10),"-","/")))</f>
        <v>45299</v>
      </c>
      <c r="I983" s="17" t="str">
        <f t="shared" si="1"/>
        <v>OUI</v>
      </c>
      <c r="J983" s="18">
        <f>IF(L983="DS",DATE(RIGHT(B983,4),VLOOKUP(LEFT(B983,LEN(B983)-5),Feuil1!$E$3:$F$19,2,FALSE)+1,10),DATE(RIGHT(B983,4),VLOOKUP(LEFT(B983,LEN(B983)-5),Feuil1!$E$3:$F$19,2,FALSE)+1,7))</f>
        <v>45298</v>
      </c>
      <c r="K983" s="19">
        <f t="shared" si="2"/>
        <v>0</v>
      </c>
      <c r="L983" s="6" t="str">
        <f t="shared" si="3"/>
        <v>FS</v>
      </c>
    </row>
    <row r="984" ht="14.25" customHeight="1">
      <c r="A984" s="14" t="str">
        <f>Base_report!A982</f>
        <v>CAVALLY</v>
      </c>
      <c r="B984" s="14" t="str">
        <f>Base_report!B982</f>
        <v>DECEMBRE 2023</v>
      </c>
      <c r="C984" s="15" t="str">
        <f>Base_report!C982</f>
        <v>C5002</v>
      </c>
      <c r="D984" s="14" t="str">
        <f>TRIM(IF(ISNUMBER(FIND("PNSME",Base_report!D982,1)),SUBSTITUTE(Base_report!D982,"PNSME",""),IF(ISNUMBER(FIND("PHG",Base_report!D982,1)),SUBSTITUTE(Base_report!D982,"PHG",""),IF(ISNUMBER(FIND("PCS",Base_report!D982,1)),SUBSTITUTE(Base_report!D982,"PCS",""),IF(ISNUMBER(FIND("CMU",Base_report!D982,1)),SUBSTITUTE(Base_report!D982,"CMU",""),Base_report!D982)))))</f>
        <v>CHR GUIGLO</v>
      </c>
      <c r="E984" s="14" t="str">
        <f>SUBSTITUTE(Base_report!E982,"-","/")</f>
        <v>PNLS/CHARGES VIRALES</v>
      </c>
      <c r="F984" s="14" t="s">
        <v>788</v>
      </c>
      <c r="G984" s="16">
        <f>DATE(YEAR(SUBSTITUTE(LEFT(Base_report!F982,10),"-","/")),MONTH(SUBSTITUTE(LEFT(Base_report!F982,10),"-","/")),DAY(SUBSTITUTE(LEFT(Base_report!F982,10),"-","/")))</f>
        <v>45299</v>
      </c>
      <c r="H984" s="16">
        <f>DATE(YEAR(SUBSTITUTE(LEFT(Base_report!G982,10),"-","/")),MONTH(SUBSTITUTE(LEFT(Base_report!G982,10),"-","/")),DAY(SUBSTITUTE(LEFT(Base_report!G982,10),"-","/")))</f>
        <v>45299</v>
      </c>
      <c r="I984" s="17" t="str">
        <f t="shared" si="1"/>
        <v>OUI</v>
      </c>
      <c r="J984" s="18">
        <f>IF(L984="DS",DATE(RIGHT(B984,4),VLOOKUP(LEFT(B984,LEN(B984)-5),Feuil1!$E$3:$F$19,2,FALSE)+1,10),DATE(RIGHT(B984,4),VLOOKUP(LEFT(B984,LEN(B984)-5),Feuil1!$E$3:$F$19,2,FALSE)+1,7))</f>
        <v>45298</v>
      </c>
      <c r="K984" s="19">
        <f t="shared" si="2"/>
        <v>0</v>
      </c>
      <c r="L984" s="6" t="str">
        <f t="shared" si="3"/>
        <v>FS</v>
      </c>
    </row>
    <row r="985" ht="14.25" customHeight="1">
      <c r="A985" s="14" t="str">
        <f>Base_report!A983</f>
        <v>CAVALLY</v>
      </c>
      <c r="B985" s="14" t="str">
        <f>Base_report!B983</f>
        <v>DECEMBRE 2023</v>
      </c>
      <c r="C985" s="15" t="str">
        <f>Base_report!C983</f>
        <v>C5002</v>
      </c>
      <c r="D985" s="14" t="str">
        <f>TRIM(IF(ISNUMBER(FIND("PNSME",Base_report!D983,1)),SUBSTITUTE(Base_report!D983,"PNSME",""),IF(ISNUMBER(FIND("PHG",Base_report!D983,1)),SUBSTITUTE(Base_report!D983,"PHG",""),IF(ISNUMBER(FIND("PCS",Base_report!D983,1)),SUBSTITUTE(Base_report!D983,"PCS",""),IF(ISNUMBER(FIND("CMU",Base_report!D983,1)),SUBSTITUTE(Base_report!D983,"CMU",""),Base_report!D983)))))</f>
        <v>CHR GUIGLO</v>
      </c>
      <c r="E985" s="14" t="str">
        <f>SUBSTITUTE(Base_report!E983,"-","/")</f>
        <v>PNLS/PRODUITS DE LABORATOIRE</v>
      </c>
      <c r="F985" s="14" t="s">
        <v>788</v>
      </c>
      <c r="G985" s="16">
        <f>DATE(YEAR(SUBSTITUTE(LEFT(Base_report!F983,10),"-","/")),MONTH(SUBSTITUTE(LEFT(Base_report!F983,10),"-","/")),DAY(SUBSTITUTE(LEFT(Base_report!F983,10),"-","/")))</f>
        <v>45299</v>
      </c>
      <c r="H985" s="16">
        <f>DATE(YEAR(SUBSTITUTE(LEFT(Base_report!G983,10),"-","/")),MONTH(SUBSTITUTE(LEFT(Base_report!G983,10),"-","/")),DAY(SUBSTITUTE(LEFT(Base_report!G983,10),"-","/")))</f>
        <v>45299</v>
      </c>
      <c r="I985" s="17" t="str">
        <f t="shared" si="1"/>
        <v>OUI</v>
      </c>
      <c r="J985" s="18">
        <f>IF(L985="DS",DATE(RIGHT(B985,4),VLOOKUP(LEFT(B985,LEN(B985)-5),Feuil1!$E$3:$F$19,2,FALSE)+1,10),DATE(RIGHT(B985,4),VLOOKUP(LEFT(B985,LEN(B985)-5),Feuil1!$E$3:$F$19,2,FALSE)+1,7))</f>
        <v>45298</v>
      </c>
      <c r="K985" s="19">
        <f t="shared" si="2"/>
        <v>0</v>
      </c>
      <c r="L985" s="6" t="str">
        <f t="shared" si="3"/>
        <v>FS</v>
      </c>
    </row>
    <row r="986" ht="14.25" customHeight="1">
      <c r="A986" s="14" t="str">
        <f>Base_report!A984</f>
        <v>CAVALLY</v>
      </c>
      <c r="B986" s="14" t="str">
        <f>Base_report!B984</f>
        <v>DECEMBRE 2023</v>
      </c>
      <c r="C986" s="15" t="str">
        <f>Base_report!C984</f>
        <v>C5002</v>
      </c>
      <c r="D986" s="14" t="str">
        <f>TRIM(IF(ISNUMBER(FIND("PNSME",Base_report!D984,1)),SUBSTITUTE(Base_report!D984,"PNSME",""),IF(ISNUMBER(FIND("PHG",Base_report!D984,1)),SUBSTITUTE(Base_report!D984,"PHG",""),IF(ISNUMBER(FIND("PCS",Base_report!D984,1)),SUBSTITUTE(Base_report!D984,"PCS",""),IF(ISNUMBER(FIND("CMU",Base_report!D984,1)),SUBSTITUTE(Base_report!D984,"CMU",""),Base_report!D984)))))</f>
        <v>CHR GUIGLO</v>
      </c>
      <c r="E986" s="14" t="str">
        <f>SUBSTITUTE(Base_report!E984,"-","/")</f>
        <v>PNLS/TESTS RAPIDES ET CONSOMMABLES</v>
      </c>
      <c r="F986" s="14" t="s">
        <v>788</v>
      </c>
      <c r="G986" s="16">
        <f>DATE(YEAR(SUBSTITUTE(LEFT(Base_report!F984,10),"-","/")),MONTH(SUBSTITUTE(LEFT(Base_report!F984,10),"-","/")),DAY(SUBSTITUTE(LEFT(Base_report!F984,10),"-","/")))</f>
        <v>45299</v>
      </c>
      <c r="H986" s="16">
        <f>DATE(YEAR(SUBSTITUTE(LEFT(Base_report!G984,10),"-","/")),MONTH(SUBSTITUTE(LEFT(Base_report!G984,10),"-","/")),DAY(SUBSTITUTE(LEFT(Base_report!G984,10),"-","/")))</f>
        <v>45299</v>
      </c>
      <c r="I986" s="17" t="str">
        <f t="shared" si="1"/>
        <v>OUI</v>
      </c>
      <c r="J986" s="18">
        <f>IF(L986="DS",DATE(RIGHT(B986,4),VLOOKUP(LEFT(B986,LEN(B986)-5),Feuil1!$E$3:$F$19,2,FALSE)+1,10),DATE(RIGHT(B986,4),VLOOKUP(LEFT(B986,LEN(B986)-5),Feuil1!$E$3:$F$19,2,FALSE)+1,7))</f>
        <v>45298</v>
      </c>
      <c r="K986" s="19">
        <f t="shared" si="2"/>
        <v>0</v>
      </c>
      <c r="L986" s="6" t="str">
        <f t="shared" si="3"/>
        <v>FS</v>
      </c>
    </row>
    <row r="987" ht="14.25" customHeight="1">
      <c r="A987" s="14" t="str">
        <f>Base_report!A985</f>
        <v>ABIDJAN 2</v>
      </c>
      <c r="B987" s="14" t="str">
        <f>Base_report!B985</f>
        <v>DECEMBRE 2023</v>
      </c>
      <c r="C987" s="15" t="str">
        <f>Base_report!C985</f>
        <v>C1426</v>
      </c>
      <c r="D987" s="14" t="str">
        <f>TRIM(IF(ISNUMBER(FIND("PNSME",Base_report!D985,1)),SUBSTITUTE(Base_report!D985,"PNSME",""),IF(ISNUMBER(FIND("PHG",Base_report!D985,1)),SUBSTITUTE(Base_report!D985,"PHG",""),IF(ISNUMBER(FIND("PCS",Base_report!D985,1)),SUBSTITUTE(Base_report!D985,"PCS",""),IF(ISNUMBER(FIND("CMU",Base_report!D985,1)),SUBSTITUTE(Base_report!D985,"CMU",""),Base_report!D985)))))</f>
        <v>CEDRES (PROJET FAC-SIDA CHU TREICHVILLE)</v>
      </c>
      <c r="E987" s="14" t="str">
        <f>SUBSTITUTE(Base_report!E985,"-","/")</f>
        <v>PNLS/CHARGES VIRALES</v>
      </c>
      <c r="F987" s="14" t="s">
        <v>788</v>
      </c>
      <c r="G987" s="16">
        <f>DATE(YEAR(SUBSTITUTE(LEFT(Base_report!F985,10),"-","/")),MONTH(SUBSTITUTE(LEFT(Base_report!F985,10),"-","/")),DAY(SUBSTITUTE(LEFT(Base_report!F985,10),"-","/")))</f>
        <v>45296</v>
      </c>
      <c r="H987" s="16">
        <f>DATE(YEAR(SUBSTITUTE(LEFT(Base_report!G985,10),"-","/")),MONTH(SUBSTITUTE(LEFT(Base_report!G985,10),"-","/")),DAY(SUBSTITUTE(LEFT(Base_report!G985,10),"-","/")))</f>
        <v>45296</v>
      </c>
      <c r="I987" s="17" t="str">
        <f t="shared" si="1"/>
        <v>OUI</v>
      </c>
      <c r="J987" s="18">
        <f>IF(L987="DS",DATE(RIGHT(B987,4),VLOOKUP(LEFT(B987,LEN(B987)-5),Feuil1!$E$3:$F$19,2,FALSE)+1,10),DATE(RIGHT(B987,4),VLOOKUP(LEFT(B987,LEN(B987)-5),Feuil1!$E$3:$F$19,2,FALSE)+1,7))</f>
        <v>45298</v>
      </c>
      <c r="K987" s="19">
        <f t="shared" si="2"/>
        <v>1</v>
      </c>
      <c r="L987" s="6" t="str">
        <f t="shared" si="3"/>
        <v>FS</v>
      </c>
    </row>
    <row r="988" ht="14.25" customHeight="1">
      <c r="A988" s="14" t="str">
        <f>Base_report!A986</f>
        <v>MARAHOUE</v>
      </c>
      <c r="B988" s="14" t="str">
        <f>Base_report!B986</f>
        <v>DECEMBRE 2023</v>
      </c>
      <c r="C988" s="15" t="str">
        <f>Base_report!C986</f>
        <v>C2071</v>
      </c>
      <c r="D988" s="14" t="str">
        <f>TRIM(IF(ISNUMBER(FIND("PNSME",Base_report!D986,1)),SUBSTITUTE(Base_report!D986,"PNSME",""),IF(ISNUMBER(FIND("PHG",Base_report!D986,1)),SUBSTITUTE(Base_report!D986,"PHG",""),IF(ISNUMBER(FIND("PCS",Base_report!D986,1)),SUBSTITUTE(Base_report!D986,"PCS",""),IF(ISNUMBER(FIND("CMU",Base_report!D986,1)),SUBSTITUTE(Base_report!D986,"CMU",""),Base_report!D986)))))</f>
        <v>HOPITAL GENERAL ZUENOULA</v>
      </c>
      <c r="E988" s="14" t="str">
        <f>SUBSTITUTE(Base_report!E986,"-","/")</f>
        <v>PNLS/TESTS RAPIDES ET CONSOMMABLES</v>
      </c>
      <c r="F988" s="14" t="s">
        <v>788</v>
      </c>
      <c r="G988" s="16">
        <f>DATE(YEAR(SUBSTITUTE(LEFT(Base_report!F986,10),"-","/")),MONTH(SUBSTITUTE(LEFT(Base_report!F986,10),"-","/")),DAY(SUBSTITUTE(LEFT(Base_report!F986,10),"-","/")))</f>
        <v>45298</v>
      </c>
      <c r="H988" s="16">
        <f>DATE(YEAR(SUBSTITUTE(LEFT(Base_report!G986,10),"-","/")),MONTH(SUBSTITUTE(LEFT(Base_report!G986,10),"-","/")),DAY(SUBSTITUTE(LEFT(Base_report!G986,10),"-","/")))</f>
        <v>45298</v>
      </c>
      <c r="I988" s="17" t="str">
        <f t="shared" si="1"/>
        <v>OUI</v>
      </c>
      <c r="J988" s="18">
        <f>IF(L988="DS",DATE(RIGHT(B988,4),VLOOKUP(LEFT(B988,LEN(B988)-5),Feuil1!$E$3:$F$19,2,FALSE)+1,10),DATE(RIGHT(B988,4),VLOOKUP(LEFT(B988,LEN(B988)-5),Feuil1!$E$3:$F$19,2,FALSE)+1,7))</f>
        <v>45298</v>
      </c>
      <c r="K988" s="19">
        <f t="shared" si="2"/>
        <v>1</v>
      </c>
      <c r="L988" s="6" t="str">
        <f t="shared" si="3"/>
        <v>FS</v>
      </c>
    </row>
    <row r="989" ht="14.25" customHeight="1">
      <c r="A989" s="14" t="str">
        <f>Base_report!A987</f>
        <v>MARAHOUE</v>
      </c>
      <c r="B989" s="14" t="str">
        <f>Base_report!B987</f>
        <v>DECEMBRE 2023</v>
      </c>
      <c r="C989" s="15" t="str">
        <f>Base_report!C987</f>
        <v>C2071</v>
      </c>
      <c r="D989" s="14" t="str">
        <f>TRIM(IF(ISNUMBER(FIND("PNSME",Base_report!D987,1)),SUBSTITUTE(Base_report!D987,"PNSME",""),IF(ISNUMBER(FIND("PHG",Base_report!D987,1)),SUBSTITUTE(Base_report!D987,"PHG",""),IF(ISNUMBER(FIND("PCS",Base_report!D987,1)),SUBSTITUTE(Base_report!D987,"PCS",""),IF(ISNUMBER(FIND("CMU",Base_report!D987,1)),SUBSTITUTE(Base_report!D987,"CMU",""),Base_report!D987)))))</f>
        <v>HOPITAL GENERAL ZUENOULA</v>
      </c>
      <c r="E989" s="14" t="str">
        <f>SUBSTITUTE(Base_report!E987,"-","/")</f>
        <v>PNLP/MEDICAMENTS ET INTRANTS</v>
      </c>
      <c r="F989" s="14" t="s">
        <v>788</v>
      </c>
      <c r="G989" s="16">
        <f>DATE(YEAR(SUBSTITUTE(LEFT(Base_report!F987,10),"-","/")),MONTH(SUBSTITUTE(LEFT(Base_report!F987,10),"-","/")),DAY(SUBSTITUTE(LEFT(Base_report!F987,10),"-","/")))</f>
        <v>45298</v>
      </c>
      <c r="H989" s="16">
        <f>DATE(YEAR(SUBSTITUTE(LEFT(Base_report!G987,10),"-","/")),MONTH(SUBSTITUTE(LEFT(Base_report!G987,10),"-","/")),DAY(SUBSTITUTE(LEFT(Base_report!G987,10),"-","/")))</f>
        <v>45298</v>
      </c>
      <c r="I989" s="17" t="str">
        <f t="shared" si="1"/>
        <v>OUI</v>
      </c>
      <c r="J989" s="18">
        <f>IF(L989="DS",DATE(RIGHT(B989,4),VLOOKUP(LEFT(B989,LEN(B989)-5),Feuil1!$E$3:$F$19,2,FALSE)+1,10),DATE(RIGHT(B989,4),VLOOKUP(LEFT(B989,LEN(B989)-5),Feuil1!$E$3:$F$19,2,FALSE)+1,7))</f>
        <v>45298</v>
      </c>
      <c r="K989" s="19">
        <f t="shared" si="2"/>
        <v>1</v>
      </c>
      <c r="L989" s="6" t="str">
        <f t="shared" si="3"/>
        <v>FS</v>
      </c>
    </row>
    <row r="990" ht="14.25" customHeight="1">
      <c r="A990" s="14" t="str">
        <f>Base_report!A988</f>
        <v>ABIDJAN 1</v>
      </c>
      <c r="B990" s="14" t="str">
        <f>Base_report!B988</f>
        <v>DECEMBRE 2023</v>
      </c>
      <c r="C990" s="15" t="str">
        <f>Base_report!C988</f>
        <v>C1364</v>
      </c>
      <c r="D990" s="14" t="str">
        <f>TRIM(IF(ISNUMBER(FIND("PNSME",Base_report!D988,1)),SUBSTITUTE(Base_report!D988,"PNSME",""),IF(ISNUMBER(FIND("PHG",Base_report!D988,1)),SUBSTITUTE(Base_report!D988,"PHG",""),IF(ISNUMBER(FIND("PCS",Base_report!D988,1)),SUBSTITUTE(Base_report!D988,"PCS",""),IF(ISNUMBER(FIND("CMU",Base_report!D988,1)),SUBSTITUTE(Base_report!D988,"CMU",""),Base_report!D988)))))</f>
        <v>RUBAN ROUGE</v>
      </c>
      <c r="E990" s="14" t="str">
        <f>SUBSTITUTE(Base_report!E988,"-","/")</f>
        <v>PNLS/TESTS RAPIDES ET CONSOMMABLES</v>
      </c>
      <c r="F990" s="14" t="s">
        <v>788</v>
      </c>
      <c r="G990" s="16">
        <f>DATE(YEAR(SUBSTITUTE(LEFT(Base_report!F988,10),"-","/")),MONTH(SUBSTITUTE(LEFT(Base_report!F988,10),"-","/")),DAY(SUBSTITUTE(LEFT(Base_report!F988,10),"-","/")))</f>
        <v>45296</v>
      </c>
      <c r="H990" s="16">
        <f>DATE(YEAR(SUBSTITUTE(LEFT(Base_report!G988,10),"-","/")),MONTH(SUBSTITUTE(LEFT(Base_report!G988,10),"-","/")),DAY(SUBSTITUTE(LEFT(Base_report!G988,10),"-","/")))</f>
        <v>45296</v>
      </c>
      <c r="I990" s="17" t="str">
        <f t="shared" si="1"/>
        <v>OUI</v>
      </c>
      <c r="J990" s="18">
        <f>IF(L990="DS",DATE(RIGHT(B990,4),VLOOKUP(LEFT(B990,LEN(B990)-5),Feuil1!$E$3:$F$19,2,FALSE)+1,10),DATE(RIGHT(B990,4),VLOOKUP(LEFT(B990,LEN(B990)-5),Feuil1!$E$3:$F$19,2,FALSE)+1,7))</f>
        <v>45298</v>
      </c>
      <c r="K990" s="19">
        <f t="shared" si="2"/>
        <v>1</v>
      </c>
      <c r="L990" s="6" t="str">
        <f t="shared" si="3"/>
        <v>FS</v>
      </c>
    </row>
    <row r="991" ht="14.25" customHeight="1">
      <c r="A991" s="14" t="str">
        <f>Base_report!A989</f>
        <v>BELIER</v>
      </c>
      <c r="B991" s="14" t="str">
        <f>Base_report!B989</f>
        <v>DECEMBRE 2023</v>
      </c>
      <c r="C991" s="15" t="str">
        <f>Base_report!C989</f>
        <v>C2009</v>
      </c>
      <c r="D991" s="14" t="str">
        <f>TRIM(IF(ISNUMBER(FIND("PNSME",Base_report!D989,1)),SUBSTITUTE(Base_report!D989,"PNSME",""),IF(ISNUMBER(FIND("PHG",Base_report!D989,1)),SUBSTITUTE(Base_report!D989,"PHG",""),IF(ISNUMBER(FIND("PCS",Base_report!D989,1)),SUBSTITUTE(Base_report!D989,"PCS",""),IF(ISNUMBER(FIND("CMU",Base_report!D989,1)),SUBSTITUTE(Base_report!D989,"CMU",""),Base_report!D989)))))</f>
        <v>CHR YAMOUSSOUKRO</v>
      </c>
      <c r="E991" s="14" t="str">
        <f>SUBSTITUTE(Base_report!E989,"-","/")</f>
        <v>PNLS/PRODUITS DE LABORATOIRE</v>
      </c>
      <c r="F991" s="14" t="s">
        <v>788</v>
      </c>
      <c r="G991" s="16">
        <f>DATE(YEAR(SUBSTITUTE(LEFT(Base_report!F989,10),"-","/")),MONTH(SUBSTITUTE(LEFT(Base_report!F989,10),"-","/")),DAY(SUBSTITUTE(LEFT(Base_report!F989,10),"-","/")))</f>
        <v>45296</v>
      </c>
      <c r="H991" s="16">
        <f>DATE(YEAR(SUBSTITUTE(LEFT(Base_report!G989,10),"-","/")),MONTH(SUBSTITUTE(LEFT(Base_report!G989,10),"-","/")),DAY(SUBSTITUTE(LEFT(Base_report!G989,10),"-","/")))</f>
        <v>45296</v>
      </c>
      <c r="I991" s="17" t="str">
        <f t="shared" si="1"/>
        <v>OUI</v>
      </c>
      <c r="J991" s="18">
        <f>IF(L991="DS",DATE(RIGHT(B991,4),VLOOKUP(LEFT(B991,LEN(B991)-5),Feuil1!$E$3:$F$19,2,FALSE)+1,10),DATE(RIGHT(B991,4),VLOOKUP(LEFT(B991,LEN(B991)-5),Feuil1!$E$3:$F$19,2,FALSE)+1,7))</f>
        <v>45298</v>
      </c>
      <c r="K991" s="19">
        <f t="shared" si="2"/>
        <v>1</v>
      </c>
      <c r="L991" s="6" t="str">
        <f t="shared" si="3"/>
        <v>FS</v>
      </c>
    </row>
    <row r="992" ht="14.25" customHeight="1">
      <c r="A992" s="14" t="str">
        <f>Base_report!A990</f>
        <v>GONTOUGO</v>
      </c>
      <c r="B992" s="14" t="str">
        <f>Base_report!B990</f>
        <v>DECEMBRE 2023</v>
      </c>
      <c r="C992" s="15" t="str">
        <f>Base_report!C990</f>
        <v>C4085</v>
      </c>
      <c r="D992" s="14" t="str">
        <f>TRIM(IF(ISNUMBER(FIND("PNSME",Base_report!D990,1)),SUBSTITUTE(Base_report!D990,"PNSME",""),IF(ISNUMBER(FIND("PHG",Base_report!D990,1)),SUBSTITUTE(Base_report!D990,"PHG",""),IF(ISNUMBER(FIND("PCS",Base_report!D990,1)),SUBSTITUTE(Base_report!D990,"PCS",""),IF(ISNUMBER(FIND("CMU",Base_report!D990,1)),SUBSTITUTE(Base_report!D990,"CMU",""),Base_report!D990)))))</f>
        <v>HOPITAL GENERAL SANDEGUE</v>
      </c>
      <c r="E992" s="14" t="str">
        <f>SUBSTITUTE(Base_report!E990,"-","/")</f>
        <v>PNSME/MEDICAMENTS ET INTRANTS</v>
      </c>
      <c r="F992" s="14" t="s">
        <v>788</v>
      </c>
      <c r="G992" s="16">
        <f>DATE(YEAR(SUBSTITUTE(LEFT(Base_report!F990,10),"-","/")),MONTH(SUBSTITUTE(LEFT(Base_report!F990,10),"-","/")),DAY(SUBSTITUTE(LEFT(Base_report!F990,10),"-","/")))</f>
        <v>45298</v>
      </c>
      <c r="H992" s="16">
        <f>DATE(YEAR(SUBSTITUTE(LEFT(Base_report!G990,10),"-","/")),MONTH(SUBSTITUTE(LEFT(Base_report!G990,10),"-","/")),DAY(SUBSTITUTE(LEFT(Base_report!G990,10),"-","/")))</f>
        <v>45298</v>
      </c>
      <c r="I992" s="17" t="str">
        <f t="shared" si="1"/>
        <v>OUI</v>
      </c>
      <c r="J992" s="18">
        <f>IF(L992="DS",DATE(RIGHT(B992,4),VLOOKUP(LEFT(B992,LEN(B992)-5),Feuil1!$E$3:$F$19,2,FALSE)+1,10),DATE(RIGHT(B992,4),VLOOKUP(LEFT(B992,LEN(B992)-5),Feuil1!$E$3:$F$19,2,FALSE)+1,7))</f>
        <v>45298</v>
      </c>
      <c r="K992" s="19">
        <f t="shared" si="2"/>
        <v>1</v>
      </c>
      <c r="L992" s="6" t="str">
        <f t="shared" si="3"/>
        <v>FS</v>
      </c>
    </row>
    <row r="993" ht="14.25" customHeight="1">
      <c r="A993" s="14" t="str">
        <f>Base_report!A991</f>
        <v>BELIER</v>
      </c>
      <c r="B993" s="14" t="str">
        <f>Base_report!B991</f>
        <v>DECEMBRE 2023</v>
      </c>
      <c r="C993" s="15" t="str">
        <f>Base_report!C991</f>
        <v>C2009</v>
      </c>
      <c r="D993" s="14" t="str">
        <f>TRIM(IF(ISNUMBER(FIND("PNSME",Base_report!D991,1)),SUBSTITUTE(Base_report!D991,"PNSME",""),IF(ISNUMBER(FIND("PHG",Base_report!D991,1)),SUBSTITUTE(Base_report!D991,"PHG",""),IF(ISNUMBER(FIND("PCS",Base_report!D991,1)),SUBSTITUTE(Base_report!D991,"PCS",""),IF(ISNUMBER(FIND("CMU",Base_report!D991,1)),SUBSTITUTE(Base_report!D991,"CMU",""),Base_report!D991)))))</f>
        <v>CHR YAMOUSSOUKRO</v>
      </c>
      <c r="E993" s="14" t="str">
        <f>SUBSTITUTE(Base_report!E991,"-","/")</f>
        <v>PNLS/TESTS RAPIDES ET CONSOMMABLES</v>
      </c>
      <c r="F993" s="14" t="s">
        <v>788</v>
      </c>
      <c r="G993" s="16">
        <f>DATE(YEAR(SUBSTITUTE(LEFT(Base_report!F991,10),"-","/")),MONTH(SUBSTITUTE(LEFT(Base_report!F991,10),"-","/")),DAY(SUBSTITUTE(LEFT(Base_report!F991,10),"-","/")))</f>
        <v>45296</v>
      </c>
      <c r="H993" s="16">
        <f>DATE(YEAR(SUBSTITUTE(LEFT(Base_report!G991,10),"-","/")),MONTH(SUBSTITUTE(LEFT(Base_report!G991,10),"-","/")),DAY(SUBSTITUTE(LEFT(Base_report!G991,10),"-","/")))</f>
        <v>45296</v>
      </c>
      <c r="I993" s="17" t="str">
        <f t="shared" si="1"/>
        <v>OUI</v>
      </c>
      <c r="J993" s="18">
        <f>IF(L993="DS",DATE(RIGHT(B993,4),VLOOKUP(LEFT(B993,LEN(B993)-5),Feuil1!$E$3:$F$19,2,FALSE)+1,10),DATE(RIGHT(B993,4),VLOOKUP(LEFT(B993,LEN(B993)-5),Feuil1!$E$3:$F$19,2,FALSE)+1,7))</f>
        <v>45298</v>
      </c>
      <c r="K993" s="19">
        <f t="shared" si="2"/>
        <v>1</v>
      </c>
      <c r="L993" s="6" t="str">
        <f t="shared" si="3"/>
        <v>FS</v>
      </c>
    </row>
    <row r="994" ht="14.25" customHeight="1">
      <c r="A994" s="14" t="str">
        <f>Base_report!A992</f>
        <v>LOH-DJIBOUA</v>
      </c>
      <c r="B994" s="14" t="str">
        <f>Base_report!B992</f>
        <v>DECEMBRE 2023</v>
      </c>
      <c r="C994" s="15" t="str">
        <f>Base_report!C992</f>
        <v>C2055</v>
      </c>
      <c r="D994" s="14" t="str">
        <f>TRIM(IF(ISNUMBER(FIND("PNSME",Base_report!D992,1)),SUBSTITUTE(Base_report!D992,"PNSME",""),IF(ISNUMBER(FIND("PHG",Base_report!D992,1)),SUBSTITUTE(Base_report!D992,"PHG",""),IF(ISNUMBER(FIND("PCS",Base_report!D992,1)),SUBSTITUTE(Base_report!D992,"PCS",""),IF(ISNUMBER(FIND("CMU",Base_report!D992,1)),SUBSTITUTE(Base_report!D992,"CMU",""),Base_report!D992)))))</f>
        <v>HOPITAL GENERAL GUITRY</v>
      </c>
      <c r="E994" s="14" t="str">
        <f>SUBSTITUTE(Base_report!E992,"-","/")</f>
        <v>PNLS/PRODUITS DE LABORATOIRE</v>
      </c>
      <c r="F994" s="14" t="s">
        <v>788</v>
      </c>
      <c r="G994" s="16">
        <f>DATE(YEAR(SUBSTITUTE(LEFT(Base_report!F992,10),"-","/")),MONTH(SUBSTITUTE(LEFT(Base_report!F992,10),"-","/")),DAY(SUBSTITUTE(LEFT(Base_report!F992,10),"-","/")))</f>
        <v>45296</v>
      </c>
      <c r="H994" s="16">
        <f>DATE(YEAR(SUBSTITUTE(LEFT(Base_report!G992,10),"-","/")),MONTH(SUBSTITUTE(LEFT(Base_report!G992,10),"-","/")),DAY(SUBSTITUTE(LEFT(Base_report!G992,10),"-","/")))</f>
        <v>45297</v>
      </c>
      <c r="I994" s="17" t="str">
        <f t="shared" si="1"/>
        <v>OUI</v>
      </c>
      <c r="J994" s="18">
        <f>IF(L994="DS",DATE(RIGHT(B994,4),VLOOKUP(LEFT(B994,LEN(B994)-5),Feuil1!$E$3:$F$19,2,FALSE)+1,10),DATE(RIGHT(B994,4),VLOOKUP(LEFT(B994,LEN(B994)-5),Feuil1!$E$3:$F$19,2,FALSE)+1,7))</f>
        <v>45298</v>
      </c>
      <c r="K994" s="19">
        <f t="shared" si="2"/>
        <v>1</v>
      </c>
      <c r="L994" s="6" t="str">
        <f t="shared" si="3"/>
        <v>FS</v>
      </c>
    </row>
    <row r="995" ht="14.25" customHeight="1">
      <c r="A995" s="14" t="str">
        <f>Base_report!A993</f>
        <v>LOH-DJIBOUA</v>
      </c>
      <c r="B995" s="14" t="str">
        <f>Base_report!B993</f>
        <v>DECEMBRE 2023</v>
      </c>
      <c r="C995" s="15" t="str">
        <f>Base_report!C993</f>
        <v>C2055</v>
      </c>
      <c r="D995" s="14" t="str">
        <f>TRIM(IF(ISNUMBER(FIND("PNSME",Base_report!D993,1)),SUBSTITUTE(Base_report!D993,"PNSME",""),IF(ISNUMBER(FIND("PHG",Base_report!D993,1)),SUBSTITUTE(Base_report!D993,"PHG",""),IF(ISNUMBER(FIND("PCS",Base_report!D993,1)),SUBSTITUTE(Base_report!D993,"PCS",""),IF(ISNUMBER(FIND("CMU",Base_report!D993,1)),SUBSTITUTE(Base_report!D993,"CMU",""),Base_report!D993)))))</f>
        <v>HOPITAL GENERAL GUITRY</v>
      </c>
      <c r="E995" s="14" t="str">
        <f>SUBSTITUTE(Base_report!E993,"-","/")</f>
        <v>PNLS/TESTS RAPIDES ET CONSOMMABLES</v>
      </c>
      <c r="F995" s="14" t="s">
        <v>788</v>
      </c>
      <c r="G995" s="16">
        <f>DATE(YEAR(SUBSTITUTE(LEFT(Base_report!F993,10),"-","/")),MONTH(SUBSTITUTE(LEFT(Base_report!F993,10),"-","/")),DAY(SUBSTITUTE(LEFT(Base_report!F993,10),"-","/")))</f>
        <v>45297</v>
      </c>
      <c r="H995" s="16">
        <f>DATE(YEAR(SUBSTITUTE(LEFT(Base_report!G993,10),"-","/")),MONTH(SUBSTITUTE(LEFT(Base_report!G993,10),"-","/")),DAY(SUBSTITUTE(LEFT(Base_report!G993,10),"-","/")))</f>
        <v>45297</v>
      </c>
      <c r="I995" s="17" t="str">
        <f t="shared" si="1"/>
        <v>OUI</v>
      </c>
      <c r="J995" s="18">
        <f>IF(L995="DS",DATE(RIGHT(B995,4),VLOOKUP(LEFT(B995,LEN(B995)-5),Feuil1!$E$3:$F$19,2,FALSE)+1,10),DATE(RIGHT(B995,4),VLOOKUP(LEFT(B995,LEN(B995)-5),Feuil1!$E$3:$F$19,2,FALSE)+1,7))</f>
        <v>45298</v>
      </c>
      <c r="K995" s="19">
        <f t="shared" si="2"/>
        <v>1</v>
      </c>
      <c r="L995" s="6" t="str">
        <f t="shared" si="3"/>
        <v>FS</v>
      </c>
    </row>
    <row r="996" ht="14.25" customHeight="1">
      <c r="A996" s="14" t="str">
        <f>Base_report!A994</f>
        <v>ABIDJAN 2</v>
      </c>
      <c r="B996" s="14" t="str">
        <f>Base_report!B994</f>
        <v>DECEMBRE 2023</v>
      </c>
      <c r="C996" s="15" t="str">
        <f>Base_report!C994</f>
        <v>C1029</v>
      </c>
      <c r="D996" s="14" t="str">
        <f>TRIM(IF(ISNUMBER(FIND("PNSME",Base_report!D994,1)),SUBSTITUTE(Base_report!D994,"PNSME",""),IF(ISNUMBER(FIND("PHG",Base_report!D994,1)),SUBSTITUTE(Base_report!D994,"PHG",""),IF(ISNUMBER(FIND("PCS",Base_report!D994,1)),SUBSTITUTE(Base_report!D994,"PCS",""),IF(ISNUMBER(FIND("CMU",Base_report!D994,1)),SUBSTITUTE(Base_report!D994,"CMU",""),Base_report!D994)))))</f>
        <v>CSU COM PALMERAIE</v>
      </c>
      <c r="E996" s="14" t="str">
        <f>SUBSTITUTE(Base_report!E994,"-","/")</f>
        <v>PNSME/MEDICAMENTS ET INTRANTS</v>
      </c>
      <c r="F996" s="14" t="s">
        <v>788</v>
      </c>
      <c r="G996" s="16">
        <f>DATE(YEAR(SUBSTITUTE(LEFT(Base_report!F994,10),"-","/")),MONTH(SUBSTITUTE(LEFT(Base_report!F994,10),"-","/")),DAY(SUBSTITUTE(LEFT(Base_report!F994,10),"-","/")))</f>
        <v>45296</v>
      </c>
      <c r="H996" s="16">
        <f>DATE(YEAR(SUBSTITUTE(LEFT(Base_report!G994,10),"-","/")),MONTH(SUBSTITUTE(LEFT(Base_report!G994,10),"-","/")),DAY(SUBSTITUTE(LEFT(Base_report!G994,10),"-","/")))</f>
        <v>45296</v>
      </c>
      <c r="I996" s="17" t="str">
        <f t="shared" si="1"/>
        <v>OUI</v>
      </c>
      <c r="J996" s="18">
        <f>IF(L996="DS",DATE(RIGHT(B996,4),VLOOKUP(LEFT(B996,LEN(B996)-5),Feuil1!$E$3:$F$19,2,FALSE)+1,10),DATE(RIGHT(B996,4),VLOOKUP(LEFT(B996,LEN(B996)-5),Feuil1!$E$3:$F$19,2,FALSE)+1,7))</f>
        <v>45298</v>
      </c>
      <c r="K996" s="19">
        <f t="shared" si="2"/>
        <v>1</v>
      </c>
      <c r="L996" s="6" t="str">
        <f t="shared" si="3"/>
        <v>FS</v>
      </c>
    </row>
    <row r="997" ht="14.25" customHeight="1">
      <c r="A997" s="14" t="str">
        <f>Base_report!A995</f>
        <v>PORO</v>
      </c>
      <c r="B997" s="14" t="str">
        <f>Base_report!B995</f>
        <v>DECEMBRE 2023</v>
      </c>
      <c r="C997" s="15" t="str">
        <f>Base_report!C995</f>
        <v>C3021</v>
      </c>
      <c r="D997" s="14" t="str">
        <f>TRIM(IF(ISNUMBER(FIND("PNSME",Base_report!D995,1)),SUBSTITUTE(Base_report!D995,"PNSME",""),IF(ISNUMBER(FIND("PHG",Base_report!D995,1)),SUBSTITUTE(Base_report!D995,"PHG",""),IF(ISNUMBER(FIND("PCS",Base_report!D995,1)),SUBSTITUTE(Base_report!D995,"PCS",""),IF(ISNUMBER(FIND("CMU",Base_report!D995,1)),SUBSTITUTE(Base_report!D995,"CMU",""),Base_report!D995)))))</f>
        <v>HOPITAL GENERAL SINEMATIALI</v>
      </c>
      <c r="E997" s="14" t="str">
        <f>SUBSTITUTE(Base_report!E995,"-","/")</f>
        <v>PNSME/MEDICAMENTS ET INTRANTS</v>
      </c>
      <c r="F997" s="14" t="s">
        <v>788</v>
      </c>
      <c r="G997" s="16">
        <f>DATE(YEAR(SUBSTITUTE(LEFT(Base_report!F995,10),"-","/")),MONTH(SUBSTITUTE(LEFT(Base_report!F995,10),"-","/")),DAY(SUBSTITUTE(LEFT(Base_report!F995,10),"-","/")))</f>
        <v>45296</v>
      </c>
      <c r="H997" s="16">
        <f>DATE(YEAR(SUBSTITUTE(LEFT(Base_report!G995,10),"-","/")),MONTH(SUBSTITUTE(LEFT(Base_report!G995,10),"-","/")),DAY(SUBSTITUTE(LEFT(Base_report!G995,10),"-","/")))</f>
        <v>45298</v>
      </c>
      <c r="I997" s="17" t="str">
        <f t="shared" si="1"/>
        <v>OUI</v>
      </c>
      <c r="J997" s="18">
        <f>IF(L997="DS",DATE(RIGHT(B997,4),VLOOKUP(LEFT(B997,LEN(B997)-5),Feuil1!$E$3:$F$19,2,FALSE)+1,10),DATE(RIGHT(B997,4),VLOOKUP(LEFT(B997,LEN(B997)-5),Feuil1!$E$3:$F$19,2,FALSE)+1,7))</f>
        <v>45298</v>
      </c>
      <c r="K997" s="19">
        <f t="shared" si="2"/>
        <v>1</v>
      </c>
      <c r="L997" s="6" t="str">
        <f t="shared" si="3"/>
        <v>FS</v>
      </c>
    </row>
    <row r="998" ht="14.25" customHeight="1">
      <c r="A998" s="14" t="str">
        <f>Base_report!A996</f>
        <v>KABADOUGOU</v>
      </c>
      <c r="B998" s="14" t="str">
        <f>Base_report!B996</f>
        <v>DECEMBRE 2023</v>
      </c>
      <c r="C998" s="15" t="str">
        <f>Base_report!C996</f>
        <v>C5003</v>
      </c>
      <c r="D998" s="14" t="str">
        <f>TRIM(IF(ISNUMBER(FIND("PNSME",Base_report!D996,1)),SUBSTITUTE(Base_report!D996,"PNSME",""),IF(ISNUMBER(FIND("PHG",Base_report!D996,1)),SUBSTITUTE(Base_report!D996,"PHG",""),IF(ISNUMBER(FIND("PCS",Base_report!D996,1)),SUBSTITUTE(Base_report!D996,"PCS",""),IF(ISNUMBER(FIND("CMU",Base_report!D996,1)),SUBSTITUTE(Base_report!D996,"CMU",""),Base_report!D996)))))</f>
        <v>CHR ODIENNE</v>
      </c>
      <c r="E998" s="14" t="str">
        <f>SUBSTITUTE(Base_report!E996,"-","/")</f>
        <v>PNLS/TESTS RAPIDES ET CONSOMMABLES</v>
      </c>
      <c r="F998" s="14" t="s">
        <v>788</v>
      </c>
      <c r="G998" s="16">
        <f>DATE(YEAR(SUBSTITUTE(LEFT(Base_report!F996,10),"-","/")),MONTH(SUBSTITUTE(LEFT(Base_report!F996,10),"-","/")),DAY(SUBSTITUTE(LEFT(Base_report!F996,10),"-","/")))</f>
        <v>45296</v>
      </c>
      <c r="H998" s="16">
        <f>DATE(YEAR(SUBSTITUTE(LEFT(Base_report!G996,10),"-","/")),MONTH(SUBSTITUTE(LEFT(Base_report!G996,10),"-","/")),DAY(SUBSTITUTE(LEFT(Base_report!G996,10),"-","/")))</f>
        <v>45297</v>
      </c>
      <c r="I998" s="17" t="str">
        <f t="shared" si="1"/>
        <v>OUI</v>
      </c>
      <c r="J998" s="18">
        <f>IF(L998="DS",DATE(RIGHT(B998,4),VLOOKUP(LEFT(B998,LEN(B998)-5),Feuil1!$E$3:$F$19,2,FALSE)+1,10),DATE(RIGHT(B998,4),VLOOKUP(LEFT(B998,LEN(B998)-5),Feuil1!$E$3:$F$19,2,FALSE)+1,7))</f>
        <v>45298</v>
      </c>
      <c r="K998" s="19">
        <f t="shared" si="2"/>
        <v>1</v>
      </c>
      <c r="L998" s="6" t="str">
        <f t="shared" si="3"/>
        <v>FS</v>
      </c>
    </row>
    <row r="999" ht="14.25" customHeight="1">
      <c r="A999" s="14" t="str">
        <f>Base_report!A997</f>
        <v>SAN PEDRO</v>
      </c>
      <c r="B999" s="14" t="str">
        <f>Base_report!B997</f>
        <v>DECEMBRE 2023</v>
      </c>
      <c r="C999" s="15" t="str">
        <f>Base_report!C997</f>
        <v>C2066</v>
      </c>
      <c r="D999" s="14" t="str">
        <f>TRIM(IF(ISNUMBER(FIND("PNSME",Base_report!D997,1)),SUBSTITUTE(Base_report!D997,"PNSME",""),IF(ISNUMBER(FIND("PHG",Base_report!D997,1)),SUBSTITUTE(Base_report!D997,"PHG",""),IF(ISNUMBER(FIND("PCS",Base_report!D997,1)),SUBSTITUTE(Base_report!D997,"PCS",""),IF(ISNUMBER(FIND("CMU",Base_report!D997,1)),SUBSTITUTE(Base_report!D997,"CMU",""),Base_report!D997)))))</f>
        <v>HOPITAL GENERAL TABOU</v>
      </c>
      <c r="E999" s="14" t="str">
        <f>SUBSTITUTE(Base_report!E997,"-","/")</f>
        <v>PNLS/ANTIRETROVIRAUX ET IO</v>
      </c>
      <c r="F999" s="14" t="s">
        <v>788</v>
      </c>
      <c r="G999" s="16">
        <f>DATE(YEAR(SUBSTITUTE(LEFT(Base_report!F997,10),"-","/")),MONTH(SUBSTITUTE(LEFT(Base_report!F997,10),"-","/")),DAY(SUBSTITUTE(LEFT(Base_report!F997,10),"-","/")))</f>
        <v>45296</v>
      </c>
      <c r="H999" s="16">
        <f>DATE(YEAR(SUBSTITUTE(LEFT(Base_report!G997,10),"-","/")),MONTH(SUBSTITUTE(LEFT(Base_report!G997,10),"-","/")),DAY(SUBSTITUTE(LEFT(Base_report!G997,10),"-","/")))</f>
        <v>45298</v>
      </c>
      <c r="I999" s="17" t="str">
        <f t="shared" si="1"/>
        <v>OUI</v>
      </c>
      <c r="J999" s="18">
        <f>IF(L999="DS",DATE(RIGHT(B999,4),VLOOKUP(LEFT(B999,LEN(B999)-5),Feuil1!$E$3:$F$19,2,FALSE)+1,10),DATE(RIGHT(B999,4),VLOOKUP(LEFT(B999,LEN(B999)-5),Feuil1!$E$3:$F$19,2,FALSE)+1,7))</f>
        <v>45298</v>
      </c>
      <c r="K999" s="19">
        <f t="shared" si="2"/>
        <v>1</v>
      </c>
      <c r="L999" s="6" t="str">
        <f t="shared" si="3"/>
        <v>FS</v>
      </c>
    </row>
    <row r="1000" ht="14.25" customHeight="1">
      <c r="A1000" s="14" t="str">
        <f>Base_report!A998</f>
        <v>ABIDJAN 2</v>
      </c>
      <c r="B1000" s="14" t="str">
        <f>Base_report!B998</f>
        <v>DECEMBRE 2023</v>
      </c>
      <c r="C1000" s="15" t="str">
        <f>Base_report!C998</f>
        <v>C1005</v>
      </c>
      <c r="D1000" s="14" t="str">
        <f>TRIM(IF(ISNUMBER(FIND("PNSME",Base_report!D998,1)),SUBSTITUTE(Base_report!D998,"PNSME",""),IF(ISNUMBER(FIND("PHG",Base_report!D998,1)),SUBSTITUTE(Base_report!D998,"PHG",""),IF(ISNUMBER(FIND("PCS",Base_report!D998,1)),SUBSTITUTE(Base_report!D998,"PCS",""),IF(ISNUMBER(FIND("CMU",Base_report!D998,1)),SUBSTITUTE(Base_report!D998,"CMU",""),Base_report!D998)))))</f>
        <v>CHU COCODY</v>
      </c>
      <c r="E1000" s="14" t="str">
        <f>SUBSTITUTE(Base_report!E998,"-","/")</f>
        <v>PNLS/ANTIRETROVIRAUX ET IO</v>
      </c>
      <c r="F1000" s="14" t="s">
        <v>788</v>
      </c>
      <c r="G1000" s="16">
        <f>DATE(YEAR(SUBSTITUTE(LEFT(Base_report!F998,10),"-","/")),MONTH(SUBSTITUTE(LEFT(Base_report!F998,10),"-","/")),DAY(SUBSTITUTE(LEFT(Base_report!F998,10),"-","/")))</f>
        <v>45298</v>
      </c>
      <c r="H1000" s="16">
        <f>DATE(YEAR(SUBSTITUTE(LEFT(Base_report!G998,10),"-","/")),MONTH(SUBSTITUTE(LEFT(Base_report!G998,10),"-","/")),DAY(SUBSTITUTE(LEFT(Base_report!G998,10),"-","/")))</f>
        <v>45299</v>
      </c>
      <c r="I1000" s="17" t="str">
        <f t="shared" si="1"/>
        <v>OUI</v>
      </c>
      <c r="J1000" s="18">
        <f>IF(L1000="DS",DATE(RIGHT(B1000,4),VLOOKUP(LEFT(B1000,LEN(B1000)-5),Feuil1!$E$3:$F$19,2,FALSE)+1,10),DATE(RIGHT(B1000,4),VLOOKUP(LEFT(B1000,LEN(B1000)-5),Feuil1!$E$3:$F$19,2,FALSE)+1,7))</f>
        <v>45298</v>
      </c>
      <c r="K1000" s="19">
        <f t="shared" si="2"/>
        <v>0</v>
      </c>
      <c r="L1000" s="6" t="str">
        <f t="shared" si="3"/>
        <v>FS</v>
      </c>
    </row>
    <row r="1001" ht="14.25" customHeight="1">
      <c r="A1001" s="14" t="str">
        <f>Base_report!A999</f>
        <v>SAN PEDRO</v>
      </c>
      <c r="B1001" s="14" t="str">
        <f>Base_report!B999</f>
        <v>DECEMBRE 2023</v>
      </c>
      <c r="C1001" s="15" t="str">
        <f>Base_report!C999</f>
        <v>C2066</v>
      </c>
      <c r="D1001" s="14" t="str">
        <f>TRIM(IF(ISNUMBER(FIND("PNSME",Base_report!D999,1)),SUBSTITUTE(Base_report!D999,"PNSME",""),IF(ISNUMBER(FIND("PHG",Base_report!D999,1)),SUBSTITUTE(Base_report!D999,"PHG",""),IF(ISNUMBER(FIND("PCS",Base_report!D999,1)),SUBSTITUTE(Base_report!D999,"PCS",""),IF(ISNUMBER(FIND("CMU",Base_report!D999,1)),SUBSTITUTE(Base_report!D999,"CMU",""),Base_report!D999)))))</f>
        <v>HOPITAL GENERAL TABOU</v>
      </c>
      <c r="E1001" s="14" t="str">
        <f>SUBSTITUTE(Base_report!E999,"-","/")</f>
        <v>PNLP/MEDICAMENTS ET INTRANTS</v>
      </c>
      <c r="F1001" s="14" t="s">
        <v>788</v>
      </c>
      <c r="G1001" s="16">
        <f>DATE(YEAR(SUBSTITUTE(LEFT(Base_report!F999,10),"-","/")),MONTH(SUBSTITUTE(LEFT(Base_report!F999,10),"-","/")),DAY(SUBSTITUTE(LEFT(Base_report!F999,10),"-","/")))</f>
        <v>45296</v>
      </c>
      <c r="H1001" s="16">
        <f>DATE(YEAR(SUBSTITUTE(LEFT(Base_report!G999,10),"-","/")),MONTH(SUBSTITUTE(LEFT(Base_report!G999,10),"-","/")),DAY(SUBSTITUTE(LEFT(Base_report!G999,10),"-","/")))</f>
        <v>45298</v>
      </c>
      <c r="I1001" s="17" t="str">
        <f t="shared" si="1"/>
        <v>OUI</v>
      </c>
      <c r="J1001" s="18">
        <f>IF(L1001="DS",DATE(RIGHT(B1001,4),VLOOKUP(LEFT(B1001,LEN(B1001)-5),Feuil1!$E$3:$F$19,2,FALSE)+1,10),DATE(RIGHT(B1001,4),VLOOKUP(LEFT(B1001,LEN(B1001)-5),Feuil1!$E$3:$F$19,2,FALSE)+1,7))</f>
        <v>45298</v>
      </c>
      <c r="K1001" s="19">
        <f t="shared" si="2"/>
        <v>1</v>
      </c>
      <c r="L1001" s="6" t="str">
        <f t="shared" si="3"/>
        <v>FS</v>
      </c>
    </row>
    <row r="1002" ht="14.25" customHeight="1">
      <c r="A1002" s="14" t="str">
        <f>Base_report!A1000</f>
        <v>SAN PEDRO</v>
      </c>
      <c r="B1002" s="14" t="str">
        <f>Base_report!B1000</f>
        <v>DECEMBRE 2023</v>
      </c>
      <c r="C1002" s="15" t="str">
        <f>Base_report!C1000</f>
        <v>C2066</v>
      </c>
      <c r="D1002" s="14" t="str">
        <f>TRIM(IF(ISNUMBER(FIND("PNSME",Base_report!D1000,1)),SUBSTITUTE(Base_report!D1000,"PNSME",""),IF(ISNUMBER(FIND("PHG",Base_report!D1000,1)),SUBSTITUTE(Base_report!D1000,"PHG",""),IF(ISNUMBER(FIND("PCS",Base_report!D1000,1)),SUBSTITUTE(Base_report!D1000,"PCS",""),IF(ISNUMBER(FIND("CMU",Base_report!D1000,1)),SUBSTITUTE(Base_report!D1000,"CMU",""),Base_report!D1000)))))</f>
        <v>HOPITAL GENERAL TABOU</v>
      </c>
      <c r="E1002" s="14" t="str">
        <f>SUBSTITUTE(Base_report!E1000,"-","/")</f>
        <v>PNLS/TESTS RAPIDES ET CONSOMMABLES</v>
      </c>
      <c r="F1002" s="14" t="s">
        <v>788</v>
      </c>
      <c r="G1002" s="16">
        <f>DATE(YEAR(SUBSTITUTE(LEFT(Base_report!F1000,10),"-","/")),MONTH(SUBSTITUTE(LEFT(Base_report!F1000,10),"-","/")),DAY(SUBSTITUTE(LEFT(Base_report!F1000,10),"-","/")))</f>
        <v>45296</v>
      </c>
      <c r="H1002" s="16">
        <f>DATE(YEAR(SUBSTITUTE(LEFT(Base_report!G1000,10),"-","/")),MONTH(SUBSTITUTE(LEFT(Base_report!G1000,10),"-","/")),DAY(SUBSTITUTE(LEFT(Base_report!G1000,10),"-","/")))</f>
        <v>45298</v>
      </c>
      <c r="I1002" s="17" t="str">
        <f t="shared" si="1"/>
        <v>OUI</v>
      </c>
      <c r="J1002" s="18">
        <f>IF(L1002="DS",DATE(RIGHT(B1002,4),VLOOKUP(LEFT(B1002,LEN(B1002)-5),Feuil1!$E$3:$F$19,2,FALSE)+1,10),DATE(RIGHT(B1002,4),VLOOKUP(LEFT(B1002,LEN(B1002)-5),Feuil1!$E$3:$F$19,2,FALSE)+1,7))</f>
        <v>45298</v>
      </c>
      <c r="K1002" s="19">
        <f t="shared" si="2"/>
        <v>1</v>
      </c>
      <c r="L1002" s="6" t="str">
        <f t="shared" si="3"/>
        <v>FS</v>
      </c>
    </row>
    <row r="1003" ht="14.25" customHeight="1">
      <c r="A1003" s="14" t="str">
        <f>Base_report!A1001</f>
        <v>SAN PEDRO</v>
      </c>
      <c r="B1003" s="14" t="str">
        <f>Base_report!B1001</f>
        <v>DECEMBRE 2023</v>
      </c>
      <c r="C1003" s="15" t="str">
        <f>Base_report!C1001</f>
        <v>C2066</v>
      </c>
      <c r="D1003" s="14" t="str">
        <f>TRIM(IF(ISNUMBER(FIND("PNSME",Base_report!D1001,1)),SUBSTITUTE(Base_report!D1001,"PNSME",""),IF(ISNUMBER(FIND("PHG",Base_report!D1001,1)),SUBSTITUTE(Base_report!D1001,"PHG",""),IF(ISNUMBER(FIND("PCS",Base_report!D1001,1)),SUBSTITUTE(Base_report!D1001,"PCS",""),IF(ISNUMBER(FIND("CMU",Base_report!D1001,1)),SUBSTITUTE(Base_report!D1001,"CMU",""),Base_report!D1001)))))</f>
        <v>HOPITAL GENERAL TABOU</v>
      </c>
      <c r="E1003" s="14" t="str">
        <f>SUBSTITUTE(Base_report!E1001,"-","/")</f>
        <v>PNSME/MEDICAMENTS ET INTRANTS</v>
      </c>
      <c r="F1003" s="14" t="s">
        <v>788</v>
      </c>
      <c r="G1003" s="16">
        <f>DATE(YEAR(SUBSTITUTE(LEFT(Base_report!F1001,10),"-","/")),MONTH(SUBSTITUTE(LEFT(Base_report!F1001,10),"-","/")),DAY(SUBSTITUTE(LEFT(Base_report!F1001,10),"-","/")))</f>
        <v>45296</v>
      </c>
      <c r="H1003" s="16">
        <f>DATE(YEAR(SUBSTITUTE(LEFT(Base_report!G1001,10),"-","/")),MONTH(SUBSTITUTE(LEFT(Base_report!G1001,10),"-","/")),DAY(SUBSTITUTE(LEFT(Base_report!G1001,10),"-","/")))</f>
        <v>45298</v>
      </c>
      <c r="I1003" s="17" t="str">
        <f t="shared" si="1"/>
        <v>OUI</v>
      </c>
      <c r="J1003" s="18">
        <f>IF(L1003="DS",DATE(RIGHT(B1003,4),VLOOKUP(LEFT(B1003,LEN(B1003)-5),Feuil1!$E$3:$F$19,2,FALSE)+1,10),DATE(RIGHT(B1003,4),VLOOKUP(LEFT(B1003,LEN(B1003)-5),Feuil1!$E$3:$F$19,2,FALSE)+1,7))</f>
        <v>45298</v>
      </c>
      <c r="K1003" s="19">
        <f t="shared" si="2"/>
        <v>1</v>
      </c>
      <c r="L1003" s="6" t="str">
        <f t="shared" si="3"/>
        <v>FS</v>
      </c>
    </row>
    <row r="1004" ht="14.25" customHeight="1">
      <c r="A1004" s="14" t="str">
        <f>Base_report!#REF!</f>
        <v>#ERROR!</v>
      </c>
      <c r="B1004" s="14" t="str">
        <f>Base_report!#REF!</f>
        <v>#ERROR!</v>
      </c>
      <c r="C1004" s="15" t="str">
        <f>Base_report!#REF!</f>
        <v>#ERROR!</v>
      </c>
      <c r="D1004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004" s="14" t="str">
        <f>SUBSTITUTE(Base_report!#REF!,"-","/")</f>
        <v>#ERROR!</v>
      </c>
      <c r="F1004" s="14" t="s">
        <v>788</v>
      </c>
      <c r="G1004" s="16" t="str">
        <f>DATE(YEAR(SUBSTITUTE(LEFT(Base_report!#REF!,10),"-","/")),MONTH(SUBSTITUTE(LEFT(Base_report!#REF!,10),"-","/")),DAY(SUBSTITUTE(LEFT(Base_report!#REF!,10),"-","/")))</f>
        <v>#ERROR!</v>
      </c>
      <c r="H1004" s="16" t="str">
        <f>DATE(YEAR(SUBSTITUTE(LEFT(Base_report!#REF!,10),"-","/")),MONTH(SUBSTITUTE(LEFT(Base_report!#REF!,10),"-","/")),DAY(SUBSTITUTE(LEFT(Base_report!#REF!,10),"-","/")))</f>
        <v>#ERROR!</v>
      </c>
      <c r="I1004" s="17" t="str">
        <f t="shared" si="1"/>
        <v>OUI</v>
      </c>
      <c r="J1004" s="18" t="str">
        <f>IF(L1004="DS",DATE(RIGHT(B1004,4),VLOOKUP(LEFT(B1004,LEN(B1004)-5),Feuil1!$E$3:$F$19,2,FALSE)+1,10),DATE(RIGHT(B1004,4),VLOOKUP(LEFT(B1004,LEN(B1004)-5),Feuil1!$E$3:$F$19,2,FALSE)+1,7))</f>
        <v>#ERROR!</v>
      </c>
      <c r="K1004" s="19" t="str">
        <f t="shared" si="2"/>
        <v>#ERROR!</v>
      </c>
      <c r="L1004" s="6" t="str">
        <f t="shared" si="3"/>
        <v>FS</v>
      </c>
    </row>
    <row r="1005" ht="14.25" customHeight="1">
      <c r="A1005" s="14" t="str">
        <f>Base_report!A1002</f>
        <v>HAMBOL</v>
      </c>
      <c r="B1005" s="14" t="str">
        <f>Base_report!B1002</f>
        <v>DECEMBRE 2023</v>
      </c>
      <c r="C1005" s="15" t="str">
        <f>Base_report!C1002</f>
        <v>C3011</v>
      </c>
      <c r="D1005" s="14" t="str">
        <f>TRIM(IF(ISNUMBER(FIND("PNSME",Base_report!D1002,1)),SUBSTITUTE(Base_report!D1002,"PNSME",""),IF(ISNUMBER(FIND("PHG",Base_report!D1002,1)),SUBSTITUTE(Base_report!D1002,"PHG",""),IF(ISNUMBER(FIND("PCS",Base_report!D1002,1)),SUBSTITUTE(Base_report!D1002,"PCS",""),IF(ISNUMBER(FIND("CMU",Base_report!D1002,1)),SUBSTITUTE(Base_report!D1002,"CMU",""),Base_report!D1002)))))</f>
        <v>HOPITAL GENERAL DABAKALA</v>
      </c>
      <c r="E1005" s="14" t="str">
        <f>SUBSTITUTE(Base_report!E1002,"-","/")</f>
        <v>PNLS/PRODUITS DE LABORATOIRE</v>
      </c>
      <c r="F1005" s="14" t="s">
        <v>788</v>
      </c>
      <c r="G1005" s="16">
        <f>DATE(YEAR(SUBSTITUTE(LEFT(Base_report!F1002,10),"-","/")),MONTH(SUBSTITUTE(LEFT(Base_report!F1002,10),"-","/")),DAY(SUBSTITUTE(LEFT(Base_report!F1002,10),"-","/")))</f>
        <v>45296</v>
      </c>
      <c r="H1005" s="16">
        <f>DATE(YEAR(SUBSTITUTE(LEFT(Base_report!G1002,10),"-","/")),MONTH(SUBSTITUTE(LEFT(Base_report!G1002,10),"-","/")),DAY(SUBSTITUTE(LEFT(Base_report!G1002,10),"-","/")))</f>
        <v>45296</v>
      </c>
      <c r="I1005" s="17" t="str">
        <f t="shared" si="1"/>
        <v>OUI</v>
      </c>
      <c r="J1005" s="18">
        <f>IF(L1005="DS",DATE(RIGHT(B1005,4),VLOOKUP(LEFT(B1005,LEN(B1005)-5),Feuil1!$E$3:$F$19,2,FALSE)+1,10),DATE(RIGHT(B1005,4),VLOOKUP(LEFT(B1005,LEN(B1005)-5),Feuil1!$E$3:$F$19,2,FALSE)+1,7))</f>
        <v>45298</v>
      </c>
      <c r="K1005" s="19">
        <f t="shared" si="2"/>
        <v>1</v>
      </c>
      <c r="L1005" s="6" t="str">
        <f t="shared" si="3"/>
        <v>FS</v>
      </c>
    </row>
    <row r="1006" ht="14.25" customHeight="1">
      <c r="A1006" s="14" t="str">
        <f>Base_report!A1003</f>
        <v>SAN PEDRO</v>
      </c>
      <c r="B1006" s="14" t="str">
        <f>Base_report!B1003</f>
        <v>DECEMBRE 2023</v>
      </c>
      <c r="C1006" s="15" t="str">
        <f>Base_report!C1003</f>
        <v>C2066</v>
      </c>
      <c r="D1006" s="14" t="str">
        <f>TRIM(IF(ISNUMBER(FIND("PNSME",Base_report!D1003,1)),SUBSTITUTE(Base_report!D1003,"PNSME",""),IF(ISNUMBER(FIND("PHG",Base_report!D1003,1)),SUBSTITUTE(Base_report!D1003,"PHG",""),IF(ISNUMBER(FIND("PCS",Base_report!D1003,1)),SUBSTITUTE(Base_report!D1003,"PCS",""),IF(ISNUMBER(FIND("CMU",Base_report!D1003,1)),SUBSTITUTE(Base_report!D1003,"CMU",""),Base_report!D1003)))))</f>
        <v>HOPITAL GENERAL TABOU</v>
      </c>
      <c r="E1006" s="14" t="str">
        <f>SUBSTITUTE(Base_report!E1003,"-","/")</f>
        <v>PNN/MEDICAMENTS ET INTRANTS</v>
      </c>
      <c r="F1006" s="14" t="s">
        <v>788</v>
      </c>
      <c r="G1006" s="16">
        <f>DATE(YEAR(SUBSTITUTE(LEFT(Base_report!F1003,10),"-","/")),MONTH(SUBSTITUTE(LEFT(Base_report!F1003,10),"-","/")),DAY(SUBSTITUTE(LEFT(Base_report!F1003,10),"-","/")))</f>
        <v>45296</v>
      </c>
      <c r="H1006" s="16">
        <f>DATE(YEAR(SUBSTITUTE(LEFT(Base_report!G1003,10),"-","/")),MONTH(SUBSTITUTE(LEFT(Base_report!G1003,10),"-","/")),DAY(SUBSTITUTE(LEFT(Base_report!G1003,10),"-","/")))</f>
        <v>45298</v>
      </c>
      <c r="I1006" s="17" t="str">
        <f t="shared" si="1"/>
        <v>OUI</v>
      </c>
      <c r="J1006" s="18">
        <f>IF(L1006="DS",DATE(RIGHT(B1006,4),VLOOKUP(LEFT(B1006,LEN(B1006)-5),Feuil1!$E$3:$F$19,2,FALSE)+1,10),DATE(RIGHT(B1006,4),VLOOKUP(LEFT(B1006,LEN(B1006)-5),Feuil1!$E$3:$F$19,2,FALSE)+1,7))</f>
        <v>45298</v>
      </c>
      <c r="K1006" s="19">
        <f t="shared" si="2"/>
        <v>1</v>
      </c>
      <c r="L1006" s="6" t="str">
        <f t="shared" si="3"/>
        <v>FS</v>
      </c>
    </row>
    <row r="1007" ht="14.25" customHeight="1">
      <c r="A1007" s="14" t="str">
        <f>Base_report!A1004</f>
        <v>ABIDJAN 2</v>
      </c>
      <c r="B1007" s="14" t="str">
        <f>Base_report!B1004</f>
        <v>DECEMBRE 2023</v>
      </c>
      <c r="C1007" s="15" t="str">
        <f>Base_report!C1004</f>
        <v>C1106</v>
      </c>
      <c r="D1007" s="14" t="str">
        <f>TRIM(IF(ISNUMBER(FIND("PNSME",Base_report!D1004,1)),SUBSTITUTE(Base_report!D1004,"PNSME",""),IF(ISNUMBER(FIND("PHG",Base_report!D1004,1)),SUBSTITUTE(Base_report!D1004,"PHG",""),IF(ISNUMBER(FIND("PCS",Base_report!D1004,1)),SUBSTITUTE(Base_report!D1004,"PCS",""),IF(ISNUMBER(FIND("CMU",Base_report!D1004,1)),SUBSTITUTE(Base_report!D1004,"CMU",""),Base_report!D1004)))))</f>
        <v>INSTITUT NATIONAL DE LA SANTE PUBLIQUE</v>
      </c>
      <c r="E1007" s="14" t="str">
        <f>SUBSTITUTE(Base_report!E1004,"-","/")</f>
        <v>PNLS/ANTIRETROVIRAUX ET IO</v>
      </c>
      <c r="F1007" s="14" t="s">
        <v>788</v>
      </c>
      <c r="G1007" s="16">
        <f>DATE(YEAR(SUBSTITUTE(LEFT(Base_report!F1004,10),"-","/")),MONTH(SUBSTITUTE(LEFT(Base_report!F1004,10),"-","/")),DAY(SUBSTITUTE(LEFT(Base_report!F1004,10),"-","/")))</f>
        <v>45296</v>
      </c>
      <c r="H1007" s="16">
        <f>DATE(YEAR(SUBSTITUTE(LEFT(Base_report!G1004,10),"-","/")),MONTH(SUBSTITUTE(LEFT(Base_report!G1004,10),"-","/")),DAY(SUBSTITUTE(LEFT(Base_report!G1004,10),"-","/")))</f>
        <v>45296</v>
      </c>
      <c r="I1007" s="17" t="str">
        <f t="shared" si="1"/>
        <v>OUI</v>
      </c>
      <c r="J1007" s="18">
        <f>IF(L1007="DS",DATE(RIGHT(B1007,4),VLOOKUP(LEFT(B1007,LEN(B1007)-5),Feuil1!$E$3:$F$19,2,FALSE)+1,10),DATE(RIGHT(B1007,4),VLOOKUP(LEFT(B1007,LEN(B1007)-5),Feuil1!$E$3:$F$19,2,FALSE)+1,7))</f>
        <v>45298</v>
      </c>
      <c r="K1007" s="19">
        <f t="shared" si="2"/>
        <v>1</v>
      </c>
      <c r="L1007" s="6" t="str">
        <f t="shared" si="3"/>
        <v>FS</v>
      </c>
    </row>
    <row r="1008" ht="14.25" customHeight="1">
      <c r="A1008" s="14" t="str">
        <f>Base_report!A1005</f>
        <v>HAMBOL</v>
      </c>
      <c r="B1008" s="14" t="str">
        <f>Base_report!B1005</f>
        <v>DECEMBRE 2023</v>
      </c>
      <c r="C1008" s="15" t="str">
        <f>Base_report!C1005</f>
        <v>C3011</v>
      </c>
      <c r="D1008" s="14" t="str">
        <f>TRIM(IF(ISNUMBER(FIND("PNSME",Base_report!D1005,1)),SUBSTITUTE(Base_report!D1005,"PNSME",""),IF(ISNUMBER(FIND("PHG",Base_report!D1005,1)),SUBSTITUTE(Base_report!D1005,"PHG",""),IF(ISNUMBER(FIND("PCS",Base_report!D1005,1)),SUBSTITUTE(Base_report!D1005,"PCS",""),IF(ISNUMBER(FIND("CMU",Base_report!D1005,1)),SUBSTITUTE(Base_report!D1005,"CMU",""),Base_report!D1005)))))</f>
        <v>HOPITAL GENERAL DABAKALA</v>
      </c>
      <c r="E1008" s="14" t="str">
        <f>SUBSTITUTE(Base_report!E1005,"-","/")</f>
        <v>PNN/MEDICAMENTS ET INTRANTS</v>
      </c>
      <c r="F1008" s="14" t="s">
        <v>788</v>
      </c>
      <c r="G1008" s="16">
        <f>DATE(YEAR(SUBSTITUTE(LEFT(Base_report!F1005,10),"-","/")),MONTH(SUBSTITUTE(LEFT(Base_report!F1005,10),"-","/")),DAY(SUBSTITUTE(LEFT(Base_report!F1005,10),"-","/")))</f>
        <v>45298</v>
      </c>
      <c r="H1008" s="16">
        <f>DATE(YEAR(SUBSTITUTE(LEFT(Base_report!G1005,10),"-","/")),MONTH(SUBSTITUTE(LEFT(Base_report!G1005,10),"-","/")),DAY(SUBSTITUTE(LEFT(Base_report!G1005,10),"-","/")))</f>
        <v>45298</v>
      </c>
      <c r="I1008" s="17" t="str">
        <f t="shared" si="1"/>
        <v>OUI</v>
      </c>
      <c r="J1008" s="18">
        <f>IF(L1008="DS",DATE(RIGHT(B1008,4),VLOOKUP(LEFT(B1008,LEN(B1008)-5),Feuil1!$E$3:$F$19,2,FALSE)+1,10),DATE(RIGHT(B1008,4),VLOOKUP(LEFT(B1008,LEN(B1008)-5),Feuil1!$E$3:$F$19,2,FALSE)+1,7))</f>
        <v>45298</v>
      </c>
      <c r="K1008" s="19">
        <f t="shared" si="2"/>
        <v>1</v>
      </c>
      <c r="L1008" s="6" t="str">
        <f t="shared" si="3"/>
        <v>FS</v>
      </c>
    </row>
    <row r="1009" ht="14.25" customHeight="1">
      <c r="A1009" s="14" t="str">
        <f>Base_report!A1006</f>
        <v>HAMBOL</v>
      </c>
      <c r="B1009" s="14" t="str">
        <f>Base_report!B1006</f>
        <v>DECEMBRE 2023</v>
      </c>
      <c r="C1009" s="15" t="str">
        <f>Base_report!C1006</f>
        <v>C3011</v>
      </c>
      <c r="D1009" s="14" t="str">
        <f>TRIM(IF(ISNUMBER(FIND("PNSME",Base_report!D1006,1)),SUBSTITUTE(Base_report!D1006,"PNSME",""),IF(ISNUMBER(FIND("PHG",Base_report!D1006,1)),SUBSTITUTE(Base_report!D1006,"PHG",""),IF(ISNUMBER(FIND("PCS",Base_report!D1006,1)),SUBSTITUTE(Base_report!D1006,"PCS",""),IF(ISNUMBER(FIND("CMU",Base_report!D1006,1)),SUBSTITUTE(Base_report!D1006,"CMU",""),Base_report!D1006)))))</f>
        <v>HOPITAL GENERAL DABAKALA</v>
      </c>
      <c r="E1009" s="14" t="str">
        <f>SUBSTITUTE(Base_report!E1006,"-","/")</f>
        <v>PNSME/MEDICAMENTS ET INTRANTS</v>
      </c>
      <c r="F1009" s="14" t="s">
        <v>788</v>
      </c>
      <c r="G1009" s="16">
        <f>DATE(YEAR(SUBSTITUTE(LEFT(Base_report!F1006,10),"-","/")),MONTH(SUBSTITUTE(LEFT(Base_report!F1006,10),"-","/")),DAY(SUBSTITUTE(LEFT(Base_report!F1006,10),"-","/")))</f>
        <v>45296</v>
      </c>
      <c r="H1009" s="16">
        <f>DATE(YEAR(SUBSTITUTE(LEFT(Base_report!G1006,10),"-","/")),MONTH(SUBSTITUTE(LEFT(Base_report!G1006,10),"-","/")),DAY(SUBSTITUTE(LEFT(Base_report!G1006,10),"-","/")))</f>
        <v>45296</v>
      </c>
      <c r="I1009" s="17" t="str">
        <f t="shared" si="1"/>
        <v>OUI</v>
      </c>
      <c r="J1009" s="18">
        <f>IF(L1009="DS",DATE(RIGHT(B1009,4),VLOOKUP(LEFT(B1009,LEN(B1009)-5),Feuil1!$E$3:$F$19,2,FALSE)+1,10),DATE(RIGHT(B1009,4),VLOOKUP(LEFT(B1009,LEN(B1009)-5),Feuil1!$E$3:$F$19,2,FALSE)+1,7))</f>
        <v>45298</v>
      </c>
      <c r="K1009" s="19">
        <f t="shared" si="2"/>
        <v>1</v>
      </c>
      <c r="L1009" s="6" t="str">
        <f t="shared" si="3"/>
        <v>FS</v>
      </c>
    </row>
    <row r="1010" ht="14.25" customHeight="1">
      <c r="A1010" s="14" t="str">
        <f>Base_report!A1007</f>
        <v>HAMBOL</v>
      </c>
      <c r="B1010" s="14" t="str">
        <f>Base_report!B1007</f>
        <v>DECEMBRE 2023</v>
      </c>
      <c r="C1010" s="15" t="str">
        <f>Base_report!C1007</f>
        <v>C3011</v>
      </c>
      <c r="D1010" s="14" t="str">
        <f>TRIM(IF(ISNUMBER(FIND("PNSME",Base_report!D1007,1)),SUBSTITUTE(Base_report!D1007,"PNSME",""),IF(ISNUMBER(FIND("PHG",Base_report!D1007,1)),SUBSTITUTE(Base_report!D1007,"PHG",""),IF(ISNUMBER(FIND("PCS",Base_report!D1007,1)),SUBSTITUTE(Base_report!D1007,"PCS",""),IF(ISNUMBER(FIND("CMU",Base_report!D1007,1)),SUBSTITUTE(Base_report!D1007,"CMU",""),Base_report!D1007)))))</f>
        <v>HOPITAL GENERAL DABAKALA</v>
      </c>
      <c r="E1010" s="14" t="str">
        <f>SUBSTITUTE(Base_report!E1007,"-","/")</f>
        <v>PNLS/ANTIRETROVIRAUX ET IO</v>
      </c>
      <c r="F1010" s="14" t="s">
        <v>788</v>
      </c>
      <c r="G1010" s="16">
        <f>DATE(YEAR(SUBSTITUTE(LEFT(Base_report!F1007,10),"-","/")),MONTH(SUBSTITUTE(LEFT(Base_report!F1007,10),"-","/")),DAY(SUBSTITUTE(LEFT(Base_report!F1007,10),"-","/")))</f>
        <v>45296</v>
      </c>
      <c r="H1010" s="16">
        <f>DATE(YEAR(SUBSTITUTE(LEFT(Base_report!G1007,10),"-","/")),MONTH(SUBSTITUTE(LEFT(Base_report!G1007,10),"-","/")),DAY(SUBSTITUTE(LEFT(Base_report!G1007,10),"-","/")))</f>
        <v>45296</v>
      </c>
      <c r="I1010" s="17" t="str">
        <f t="shared" si="1"/>
        <v>OUI</v>
      </c>
      <c r="J1010" s="18">
        <f>IF(L1010="DS",DATE(RIGHT(B1010,4),VLOOKUP(LEFT(B1010,LEN(B1010)-5),Feuil1!$E$3:$F$19,2,FALSE)+1,10),DATE(RIGHT(B1010,4),VLOOKUP(LEFT(B1010,LEN(B1010)-5),Feuil1!$E$3:$F$19,2,FALSE)+1,7))</f>
        <v>45298</v>
      </c>
      <c r="K1010" s="19">
        <f t="shared" si="2"/>
        <v>1</v>
      </c>
      <c r="L1010" s="6" t="str">
        <f t="shared" si="3"/>
        <v>FS</v>
      </c>
    </row>
    <row r="1011" ht="14.25" customHeight="1">
      <c r="A1011" s="14" t="str">
        <f>Base_report!A1008</f>
        <v>GRANDS PONTS</v>
      </c>
      <c r="B1011" s="14" t="str">
        <f>Base_report!B1008</f>
        <v>DECEMBRE 2023</v>
      </c>
      <c r="C1011" s="15" t="str">
        <f>Base_report!C1008</f>
        <v>C1092</v>
      </c>
      <c r="D1011" s="14" t="str">
        <f>TRIM(IF(ISNUMBER(FIND("PNSME",Base_report!D1008,1)),SUBSTITUTE(Base_report!D1008,"PNSME",""),IF(ISNUMBER(FIND("PHG",Base_report!D1008,1)),SUBSTITUTE(Base_report!D1008,"PHG",""),IF(ISNUMBER(FIND("PCS",Base_report!D1008,1)),SUBSTITUTE(Base_report!D1008,"PCS",""),IF(ISNUMBER(FIND("CMU",Base_report!D1008,1)),SUBSTITUTE(Base_report!D1008,"CMU",""),Base_report!D1008)))))</f>
        <v>HOPITAL GENERAL JACQUEVILLE</v>
      </c>
      <c r="E1011" s="14" t="str">
        <f>SUBSTITUTE(Base_report!E1008,"-","/")</f>
        <v>PNSME/MEDICAMENTS ET INTRANTS</v>
      </c>
      <c r="F1011" s="14" t="s">
        <v>788</v>
      </c>
      <c r="G1011" s="16">
        <f>DATE(YEAR(SUBSTITUTE(LEFT(Base_report!F1008,10),"-","/")),MONTH(SUBSTITUTE(LEFT(Base_report!F1008,10),"-","/")),DAY(SUBSTITUTE(LEFT(Base_report!F1008,10),"-","/")))</f>
        <v>45296</v>
      </c>
      <c r="H1011" s="16">
        <f>DATE(YEAR(SUBSTITUTE(LEFT(Base_report!G1008,10),"-","/")),MONTH(SUBSTITUTE(LEFT(Base_report!G1008,10),"-","/")),DAY(SUBSTITUTE(LEFT(Base_report!G1008,10),"-","/")))</f>
        <v>45296</v>
      </c>
      <c r="I1011" s="17" t="str">
        <f t="shared" si="1"/>
        <v>OUI</v>
      </c>
      <c r="J1011" s="18">
        <f>IF(L1011="DS",DATE(RIGHT(B1011,4),VLOOKUP(LEFT(B1011,LEN(B1011)-5),Feuil1!$E$3:$F$19,2,FALSE)+1,10),DATE(RIGHT(B1011,4),VLOOKUP(LEFT(B1011,LEN(B1011)-5),Feuil1!$E$3:$F$19,2,FALSE)+1,7))</f>
        <v>45298</v>
      </c>
      <c r="K1011" s="19">
        <f t="shared" si="2"/>
        <v>1</v>
      </c>
      <c r="L1011" s="6" t="str">
        <f t="shared" si="3"/>
        <v>FS</v>
      </c>
    </row>
    <row r="1012" ht="14.25" customHeight="1">
      <c r="A1012" s="14" t="str">
        <f>Base_report!A1009</f>
        <v>ABIDJAN 2</v>
      </c>
      <c r="B1012" s="14" t="str">
        <f>Base_report!B1009</f>
        <v>DECEMBRE 2023</v>
      </c>
      <c r="C1012" s="15" t="str">
        <f>Base_report!C1009</f>
        <v>C1482</v>
      </c>
      <c r="D1012" s="14" t="str">
        <f>TRIM(IF(ISNUMBER(FIND("PNSME",Base_report!D1009,1)),SUBSTITUTE(Base_report!D1009,"PNSME",""),IF(ISNUMBER(FIND("PHG",Base_report!D1009,1)),SUBSTITUTE(Base_report!D1009,"PHG",""),IF(ISNUMBER(FIND("PCS",Base_report!D1009,1)),SUBSTITUTE(Base_report!D1009,"PCS",""),IF(ISNUMBER(FIND("CMU",Base_report!D1009,1)),SUBSTITUTE(Base_report!D1009,"CMU",""),Base_report!D1009)))))</f>
        <v>CENTRE NATIONAL DE TRANSFUSION SANGUINE</v>
      </c>
      <c r="E1012" s="14" t="str">
        <f>SUBSTITUTE(Base_report!E1009,"-","/")</f>
        <v>PNLS/ANTIRETROVIRAUX ET IO</v>
      </c>
      <c r="F1012" s="14" t="s">
        <v>788</v>
      </c>
      <c r="G1012" s="16">
        <f>DATE(YEAR(SUBSTITUTE(LEFT(Base_report!F1009,10),"-","/")),MONTH(SUBSTITUTE(LEFT(Base_report!F1009,10),"-","/")),DAY(SUBSTITUTE(LEFT(Base_report!F1009,10),"-","/")))</f>
        <v>45297</v>
      </c>
      <c r="H1012" s="16">
        <f>DATE(YEAR(SUBSTITUTE(LEFT(Base_report!G1009,10),"-","/")),MONTH(SUBSTITUTE(LEFT(Base_report!G1009,10),"-","/")),DAY(SUBSTITUTE(LEFT(Base_report!G1009,10),"-","/")))</f>
        <v>45298</v>
      </c>
      <c r="I1012" s="17" t="str">
        <f t="shared" si="1"/>
        <v>OUI</v>
      </c>
      <c r="J1012" s="18">
        <f>IF(L1012="DS",DATE(RIGHT(B1012,4),VLOOKUP(LEFT(B1012,LEN(B1012)-5),Feuil1!$E$3:$F$19,2,FALSE)+1,10),DATE(RIGHT(B1012,4),VLOOKUP(LEFT(B1012,LEN(B1012)-5),Feuil1!$E$3:$F$19,2,FALSE)+1,7))</f>
        <v>45298</v>
      </c>
      <c r="K1012" s="19">
        <f t="shared" si="2"/>
        <v>1</v>
      </c>
      <c r="L1012" s="6" t="str">
        <f t="shared" si="3"/>
        <v>FS</v>
      </c>
    </row>
    <row r="1013" ht="14.25" customHeight="1">
      <c r="A1013" s="14" t="str">
        <f>Base_report!A1010</f>
        <v>IFFOU</v>
      </c>
      <c r="B1013" s="14" t="str">
        <f>Base_report!B1010</f>
        <v>DECEMBRE 2023</v>
      </c>
      <c r="C1013" s="15" t="str">
        <f>Base_report!C1010</f>
        <v>C4024</v>
      </c>
      <c r="D1013" s="14" t="str">
        <f>TRIM(IF(ISNUMBER(FIND("PNSME",Base_report!D1010,1)),SUBSTITUTE(Base_report!D1010,"PNSME",""),IF(ISNUMBER(FIND("PHG",Base_report!D1010,1)),SUBSTITUTE(Base_report!D1010,"PHG",""),IF(ISNUMBER(FIND("PCS",Base_report!D1010,1)),SUBSTITUTE(Base_report!D1010,"PCS",""),IF(ISNUMBER(FIND("CMU",Base_report!D1010,1)),SUBSTITUTE(Base_report!D1010,"CMU",""),Base_report!D1010)))))</f>
        <v>CSU OUELLE</v>
      </c>
      <c r="E1013" s="14" t="str">
        <f>SUBSTITUTE(Base_report!E1010,"-","/")</f>
        <v>PNLP/MEDICAMENTS ET INTRANTS</v>
      </c>
      <c r="F1013" s="14" t="s">
        <v>788</v>
      </c>
      <c r="G1013" s="16">
        <f>DATE(YEAR(SUBSTITUTE(LEFT(Base_report!F1010,10),"-","/")),MONTH(SUBSTITUTE(LEFT(Base_report!F1010,10),"-","/")),DAY(SUBSTITUTE(LEFT(Base_report!F1010,10),"-","/")))</f>
        <v>45296</v>
      </c>
      <c r="H1013" s="16">
        <f>DATE(YEAR(SUBSTITUTE(LEFT(Base_report!G1010,10),"-","/")),MONTH(SUBSTITUTE(LEFT(Base_report!G1010,10),"-","/")),DAY(SUBSTITUTE(LEFT(Base_report!G1010,10),"-","/")))</f>
        <v>45298</v>
      </c>
      <c r="I1013" s="17" t="str">
        <f t="shared" si="1"/>
        <v>OUI</v>
      </c>
      <c r="J1013" s="18">
        <f>IF(L1013="DS",DATE(RIGHT(B1013,4),VLOOKUP(LEFT(B1013,LEN(B1013)-5),Feuil1!$E$3:$F$19,2,FALSE)+1,10),DATE(RIGHT(B1013,4),VLOOKUP(LEFT(B1013,LEN(B1013)-5),Feuil1!$E$3:$F$19,2,FALSE)+1,7))</f>
        <v>45298</v>
      </c>
      <c r="K1013" s="19">
        <f t="shared" si="2"/>
        <v>1</v>
      </c>
      <c r="L1013" s="6" t="str">
        <f t="shared" si="3"/>
        <v>FS</v>
      </c>
    </row>
    <row r="1014" ht="14.25" customHeight="1">
      <c r="A1014" s="14" t="str">
        <f>Base_report!A1011</f>
        <v>ABIDJAN 2</v>
      </c>
      <c r="B1014" s="14" t="str">
        <f>Base_report!B1011</f>
        <v>DECEMBRE 2023</v>
      </c>
      <c r="C1014" s="15" t="str">
        <f>Base_report!C1011</f>
        <v>C1106</v>
      </c>
      <c r="D1014" s="14" t="str">
        <f>TRIM(IF(ISNUMBER(FIND("PNSME",Base_report!D1011,1)),SUBSTITUTE(Base_report!D1011,"PNSME",""),IF(ISNUMBER(FIND("PHG",Base_report!D1011,1)),SUBSTITUTE(Base_report!D1011,"PHG",""),IF(ISNUMBER(FIND("PCS",Base_report!D1011,1)),SUBSTITUTE(Base_report!D1011,"PCS",""),IF(ISNUMBER(FIND("CMU",Base_report!D1011,1)),SUBSTITUTE(Base_report!D1011,"CMU",""),Base_report!D1011)))))</f>
        <v>INSTITUT NATIONAL DE LA SANTE PUBLIQUE</v>
      </c>
      <c r="E1014" s="14" t="str">
        <f>SUBSTITUTE(Base_report!E1011,"-","/")</f>
        <v>PNLS/PRODUITS DE LABORATOIRE</v>
      </c>
      <c r="F1014" s="14" t="s">
        <v>788</v>
      </c>
      <c r="G1014" s="16">
        <f>DATE(YEAR(SUBSTITUTE(LEFT(Base_report!F1011,10),"-","/")),MONTH(SUBSTITUTE(LEFT(Base_report!F1011,10),"-","/")),DAY(SUBSTITUTE(LEFT(Base_report!F1011,10),"-","/")))</f>
        <v>45296</v>
      </c>
      <c r="H1014" s="16">
        <f>DATE(YEAR(SUBSTITUTE(LEFT(Base_report!G1011,10),"-","/")),MONTH(SUBSTITUTE(LEFT(Base_report!G1011,10),"-","/")),DAY(SUBSTITUTE(LEFT(Base_report!G1011,10),"-","/")))</f>
        <v>45296</v>
      </c>
      <c r="I1014" s="17" t="str">
        <f t="shared" si="1"/>
        <v>OUI</v>
      </c>
      <c r="J1014" s="18">
        <f>IF(L1014="DS",DATE(RIGHT(B1014,4),VLOOKUP(LEFT(B1014,LEN(B1014)-5),Feuil1!$E$3:$F$19,2,FALSE)+1,10),DATE(RIGHT(B1014,4),VLOOKUP(LEFT(B1014,LEN(B1014)-5),Feuil1!$E$3:$F$19,2,FALSE)+1,7))</f>
        <v>45298</v>
      </c>
      <c r="K1014" s="19">
        <f t="shared" si="2"/>
        <v>1</v>
      </c>
      <c r="L1014" s="6" t="str">
        <f t="shared" si="3"/>
        <v>FS</v>
      </c>
    </row>
    <row r="1015" ht="14.25" customHeight="1">
      <c r="A1015" s="14" t="str">
        <f>Base_report!A1012</f>
        <v>ABIDJAN 1</v>
      </c>
      <c r="B1015" s="14" t="str">
        <f>Base_report!B1012</f>
        <v>DECEMBRE 2023</v>
      </c>
      <c r="C1015" s="15" t="str">
        <f>Base_report!C1012</f>
        <v>C1068</v>
      </c>
      <c r="D1015" s="14" t="str">
        <f>TRIM(IF(ISNUMBER(FIND("PNSME",Base_report!D1012,1)),SUBSTITUTE(Base_report!D1012,"PNSME",""),IF(ISNUMBER(FIND("PHG",Base_report!D1012,1)),SUBSTITUTE(Base_report!D1012,"PHG",""),IF(ISNUMBER(FIND("PCS",Base_report!D1012,1)),SUBSTITUTE(Base_report!D1012,"PCS",""),IF(ISNUMBER(FIND("CMU",Base_report!D1012,1)),SUBSTITUTE(Base_report!D1012,"CMU",""),Base_report!D1012)))))</f>
        <v>FSU COM ANONKOUA-KOUTE</v>
      </c>
      <c r="E1015" s="14" t="str">
        <f>SUBSTITUTE(Base_report!E1012,"-","/")</f>
        <v>PNLS/ANTIRETROVIRAUX ET IO</v>
      </c>
      <c r="F1015" s="14" t="s">
        <v>788</v>
      </c>
      <c r="G1015" s="16">
        <f>DATE(YEAR(SUBSTITUTE(LEFT(Base_report!F1012,10),"-","/")),MONTH(SUBSTITUTE(LEFT(Base_report!F1012,10),"-","/")),DAY(SUBSTITUTE(LEFT(Base_report!F1012,10),"-","/")))</f>
        <v>45296</v>
      </c>
      <c r="H1015" s="16">
        <f>DATE(YEAR(SUBSTITUTE(LEFT(Base_report!G1012,10),"-","/")),MONTH(SUBSTITUTE(LEFT(Base_report!G1012,10),"-","/")),DAY(SUBSTITUTE(LEFT(Base_report!G1012,10),"-","/")))</f>
        <v>45296</v>
      </c>
      <c r="I1015" s="17" t="str">
        <f t="shared" si="1"/>
        <v>OUI</v>
      </c>
      <c r="J1015" s="18">
        <f>IF(L1015="DS",DATE(RIGHT(B1015,4),VLOOKUP(LEFT(B1015,LEN(B1015)-5),Feuil1!$E$3:$F$19,2,FALSE)+1,10),DATE(RIGHT(B1015,4),VLOOKUP(LEFT(B1015,LEN(B1015)-5),Feuil1!$E$3:$F$19,2,FALSE)+1,7))</f>
        <v>45298</v>
      </c>
      <c r="K1015" s="19">
        <f t="shared" si="2"/>
        <v>1</v>
      </c>
      <c r="L1015" s="6" t="str">
        <f t="shared" si="3"/>
        <v>FS</v>
      </c>
    </row>
    <row r="1016" ht="14.25" customHeight="1">
      <c r="A1016" s="14" t="str">
        <f>Base_report!A1013</f>
        <v>ME</v>
      </c>
      <c r="B1016" s="14" t="str">
        <f>Base_report!B1013</f>
        <v>DECEMBRE 2023</v>
      </c>
      <c r="C1016" s="15" t="str">
        <f>Base_report!C1013</f>
        <v>C4090</v>
      </c>
      <c r="D1016" s="14" t="str">
        <f>TRIM(IF(ISNUMBER(FIND("PNSME",Base_report!D1013,1)),SUBSTITUTE(Base_report!D1013,"PNSME",""),IF(ISNUMBER(FIND("PHG",Base_report!D1013,1)),SUBSTITUTE(Base_report!D1013,"PHG",""),IF(ISNUMBER(FIND("PCS",Base_report!D1013,1)),SUBSTITUTE(Base_report!D1013,"PCS",""),IF(ISNUMBER(FIND("CMU",Base_report!D1013,1)),SUBSTITUTE(Base_report!D1013,"CMU",""),Base_report!D1013)))))</f>
        <v>CHR ADZOPE</v>
      </c>
      <c r="E1016" s="14" t="str">
        <f>SUBSTITUTE(Base_report!E1013,"-","/")</f>
        <v>PNSME/MEDICAMENTS ET INTRANTS</v>
      </c>
      <c r="F1016" s="14" t="s">
        <v>788</v>
      </c>
      <c r="G1016" s="16">
        <f>DATE(YEAR(SUBSTITUTE(LEFT(Base_report!F1013,10),"-","/")),MONTH(SUBSTITUTE(LEFT(Base_report!F1013,10),"-","/")),DAY(SUBSTITUTE(LEFT(Base_report!F1013,10),"-","/")))</f>
        <v>45296</v>
      </c>
      <c r="H1016" s="16">
        <f>DATE(YEAR(SUBSTITUTE(LEFT(Base_report!G1013,10),"-","/")),MONTH(SUBSTITUTE(LEFT(Base_report!G1013,10),"-","/")),DAY(SUBSTITUTE(LEFT(Base_report!G1013,10),"-","/")))</f>
        <v>45296</v>
      </c>
      <c r="I1016" s="17" t="str">
        <f t="shared" si="1"/>
        <v>OUI</v>
      </c>
      <c r="J1016" s="18">
        <f>IF(L1016="DS",DATE(RIGHT(B1016,4),VLOOKUP(LEFT(B1016,LEN(B1016)-5),Feuil1!$E$3:$F$19,2,FALSE)+1,10),DATE(RIGHT(B1016,4),VLOOKUP(LEFT(B1016,LEN(B1016)-5),Feuil1!$E$3:$F$19,2,FALSE)+1,7))</f>
        <v>45298</v>
      </c>
      <c r="K1016" s="19">
        <f t="shared" si="2"/>
        <v>1</v>
      </c>
      <c r="L1016" s="6" t="str">
        <f t="shared" si="3"/>
        <v>FS</v>
      </c>
    </row>
    <row r="1017" ht="14.25" customHeight="1">
      <c r="A1017" s="14" t="str">
        <f>Base_report!A1014</f>
        <v>ABIDJAN 2</v>
      </c>
      <c r="B1017" s="14" t="str">
        <f>Base_report!B1014</f>
        <v>DECEMBRE 2023</v>
      </c>
      <c r="C1017" s="15" t="str">
        <f>Base_report!C1014</f>
        <v>C1904</v>
      </c>
      <c r="D1017" s="14" t="str">
        <f>TRIM(IF(ISNUMBER(FIND("PNSME",Base_report!D1014,1)),SUBSTITUTE(Base_report!D1014,"PNSME",""),IF(ISNUMBER(FIND("PHG",Base_report!D1014,1)),SUBSTITUTE(Base_report!D1014,"PHG",""),IF(ISNUMBER(FIND("PCS",Base_report!D1014,1)),SUBSTITUTE(Base_report!D1014,"PCS",""),IF(ISNUMBER(FIND("CMU",Base_report!D1014,1)),SUBSTITUTE(Base_report!D1014,"CMU",""),Base_report!D1014)))))</f>
        <v>DISTRICT SANITAIRE KOUMASSI</v>
      </c>
      <c r="E1017" s="14" t="str">
        <f>SUBSTITUTE(Base_report!E1014,"-","/")</f>
        <v>PNLP/MEDICAMENTS ET INTRANTS</v>
      </c>
      <c r="F1017" s="14" t="s">
        <v>788</v>
      </c>
      <c r="G1017" s="16">
        <f>DATE(YEAR(SUBSTITUTE(LEFT(Base_report!F1014,10),"-","/")),MONTH(SUBSTITUTE(LEFT(Base_report!F1014,10),"-","/")),DAY(SUBSTITUTE(LEFT(Base_report!F1014,10),"-","/")))</f>
        <v>45301</v>
      </c>
      <c r="H1017" s="16">
        <f>DATE(YEAR(SUBSTITUTE(LEFT(Base_report!G1014,10),"-","/")),MONTH(SUBSTITUTE(LEFT(Base_report!G1014,10),"-","/")),DAY(SUBSTITUTE(LEFT(Base_report!G1014,10),"-","/")))</f>
        <v>45301</v>
      </c>
      <c r="I1017" s="17" t="str">
        <f t="shared" si="1"/>
        <v>OUI</v>
      </c>
      <c r="J1017" s="18">
        <f>IF(L1017="DS",DATE(RIGHT(B1017,4),VLOOKUP(LEFT(B1017,LEN(B1017)-5),Feuil1!$E$3:$F$19,2,FALSE)+1,10),DATE(RIGHT(B1017,4),VLOOKUP(LEFT(B1017,LEN(B1017)-5),Feuil1!$E$3:$F$19,2,FALSE)+1,7))</f>
        <v>45301</v>
      </c>
      <c r="K1017" s="19">
        <f t="shared" si="2"/>
        <v>1</v>
      </c>
      <c r="L1017" s="6" t="str">
        <f t="shared" si="3"/>
        <v>DS</v>
      </c>
    </row>
    <row r="1018" ht="14.25" customHeight="1">
      <c r="A1018" s="14" t="str">
        <f>Base_report!A1015</f>
        <v>HAMBOL</v>
      </c>
      <c r="B1018" s="14" t="str">
        <f>Base_report!B1015</f>
        <v>DECEMBRE 2023</v>
      </c>
      <c r="C1018" s="15" t="str">
        <f>Base_report!C1015</f>
        <v>C3011</v>
      </c>
      <c r="D1018" s="14" t="str">
        <f>TRIM(IF(ISNUMBER(FIND("PNSME",Base_report!D1015,1)),SUBSTITUTE(Base_report!D1015,"PNSME",""),IF(ISNUMBER(FIND("PHG",Base_report!D1015,1)),SUBSTITUTE(Base_report!D1015,"PHG",""),IF(ISNUMBER(FIND("PCS",Base_report!D1015,1)),SUBSTITUTE(Base_report!D1015,"PCS",""),IF(ISNUMBER(FIND("CMU",Base_report!D1015,1)),SUBSTITUTE(Base_report!D1015,"CMU",""),Base_report!D1015)))))</f>
        <v>HOPITAL GENERAL DABAKALA</v>
      </c>
      <c r="E1018" s="14" t="str">
        <f>SUBSTITUTE(Base_report!E1015,"-","/")</f>
        <v>PNLS/TESTS RAPIDES ET CONSOMMABLES</v>
      </c>
      <c r="F1018" s="14" t="s">
        <v>788</v>
      </c>
      <c r="G1018" s="16">
        <f>DATE(YEAR(SUBSTITUTE(LEFT(Base_report!F1015,10),"-","/")),MONTH(SUBSTITUTE(LEFT(Base_report!F1015,10),"-","/")),DAY(SUBSTITUTE(LEFT(Base_report!F1015,10),"-","/")))</f>
        <v>45298</v>
      </c>
      <c r="H1018" s="16">
        <f>DATE(YEAR(SUBSTITUTE(LEFT(Base_report!G1015,10),"-","/")),MONTH(SUBSTITUTE(LEFT(Base_report!G1015,10),"-","/")),DAY(SUBSTITUTE(LEFT(Base_report!G1015,10),"-","/")))</f>
        <v>45298</v>
      </c>
      <c r="I1018" s="17" t="str">
        <f t="shared" si="1"/>
        <v>OUI</v>
      </c>
      <c r="J1018" s="18">
        <f>IF(L1018="DS",DATE(RIGHT(B1018,4),VLOOKUP(LEFT(B1018,LEN(B1018)-5),Feuil1!$E$3:$F$19,2,FALSE)+1,10),DATE(RIGHT(B1018,4),VLOOKUP(LEFT(B1018,LEN(B1018)-5),Feuil1!$E$3:$F$19,2,FALSE)+1,7))</f>
        <v>45298</v>
      </c>
      <c r="K1018" s="19">
        <f t="shared" si="2"/>
        <v>1</v>
      </c>
      <c r="L1018" s="6" t="str">
        <f t="shared" si="3"/>
        <v>FS</v>
      </c>
    </row>
    <row r="1019" ht="14.25" customHeight="1">
      <c r="A1019" s="14" t="str">
        <f>Base_report!A1016</f>
        <v>MARAHOUE</v>
      </c>
      <c r="B1019" s="14" t="str">
        <f>Base_report!B1016</f>
        <v>DECEMBRE 2023</v>
      </c>
      <c r="C1019" s="15" t="str">
        <f>Base_report!C1016</f>
        <v>C2071</v>
      </c>
      <c r="D1019" s="14" t="str">
        <f>TRIM(IF(ISNUMBER(FIND("PNSME",Base_report!D1016,1)),SUBSTITUTE(Base_report!D1016,"PNSME",""),IF(ISNUMBER(FIND("PHG",Base_report!D1016,1)),SUBSTITUTE(Base_report!D1016,"PHG",""),IF(ISNUMBER(FIND("PCS",Base_report!D1016,1)),SUBSTITUTE(Base_report!D1016,"PCS",""),IF(ISNUMBER(FIND("CMU",Base_report!D1016,1)),SUBSTITUTE(Base_report!D1016,"CMU",""),Base_report!D1016)))))</f>
        <v>HOPITAL GENERAL ZUENOULA</v>
      </c>
      <c r="E1019" s="14" t="str">
        <f>SUBSTITUTE(Base_report!E1016,"-","/")</f>
        <v>PNLS/ANTIRETROVIRAUX ET IO</v>
      </c>
      <c r="F1019" s="14" t="s">
        <v>788</v>
      </c>
      <c r="G1019" s="16">
        <f>DATE(YEAR(SUBSTITUTE(LEFT(Base_report!F1016,10),"-","/")),MONTH(SUBSTITUTE(LEFT(Base_report!F1016,10),"-","/")),DAY(SUBSTITUTE(LEFT(Base_report!F1016,10),"-","/")))</f>
        <v>45298</v>
      </c>
      <c r="H1019" s="16">
        <f>DATE(YEAR(SUBSTITUTE(LEFT(Base_report!G1016,10),"-","/")),MONTH(SUBSTITUTE(LEFT(Base_report!G1016,10),"-","/")),DAY(SUBSTITUTE(LEFT(Base_report!G1016,10),"-","/")))</f>
        <v>45298</v>
      </c>
      <c r="I1019" s="17" t="str">
        <f t="shared" si="1"/>
        <v>OUI</v>
      </c>
      <c r="J1019" s="18">
        <f>IF(L1019="DS",DATE(RIGHT(B1019,4),VLOOKUP(LEFT(B1019,LEN(B1019)-5),Feuil1!$E$3:$F$19,2,FALSE)+1,10),DATE(RIGHT(B1019,4),VLOOKUP(LEFT(B1019,LEN(B1019)-5),Feuil1!$E$3:$F$19,2,FALSE)+1,7))</f>
        <v>45298</v>
      </c>
      <c r="K1019" s="19">
        <f t="shared" si="2"/>
        <v>1</v>
      </c>
      <c r="L1019" s="6" t="str">
        <f t="shared" si="3"/>
        <v>FS</v>
      </c>
    </row>
    <row r="1020" ht="14.25" customHeight="1">
      <c r="A1020" s="14" t="str">
        <f>Base_report!A1017</f>
        <v>WORODOUGOU</v>
      </c>
      <c r="B1020" s="14" t="str">
        <f>Base_report!B1017</f>
        <v>DECEMBRE 2023</v>
      </c>
      <c r="C1020" s="15" t="str">
        <f>Base_report!C1017</f>
        <v>C2008</v>
      </c>
      <c r="D1020" s="14" t="str">
        <f>TRIM(IF(ISNUMBER(FIND("PNSME",Base_report!D1017,1)),SUBSTITUTE(Base_report!D1017,"PNSME",""),IF(ISNUMBER(FIND("PHG",Base_report!D1017,1)),SUBSTITUTE(Base_report!D1017,"PHG",""),IF(ISNUMBER(FIND("PCS",Base_report!D1017,1)),SUBSTITUTE(Base_report!D1017,"PCS",""),IF(ISNUMBER(FIND("CMU",Base_report!D1017,1)),SUBSTITUTE(Base_report!D1017,"CMU",""),Base_report!D1017)))))</f>
        <v>CHR SEGUELA</v>
      </c>
      <c r="E1020" s="14" t="str">
        <f>SUBSTITUTE(Base_report!E1017,"-","/")</f>
        <v>PNLS/TESTS RAPIDES ET CONSOMMABLES</v>
      </c>
      <c r="F1020" s="14" t="s">
        <v>788</v>
      </c>
      <c r="G1020" s="16">
        <f>DATE(YEAR(SUBSTITUTE(LEFT(Base_report!F1017,10),"-","/")),MONTH(SUBSTITUTE(LEFT(Base_report!F1017,10),"-","/")),DAY(SUBSTITUTE(LEFT(Base_report!F1017,10),"-","/")))</f>
        <v>45296</v>
      </c>
      <c r="H1020" s="16">
        <f>DATE(YEAR(SUBSTITUTE(LEFT(Base_report!G1017,10),"-","/")),MONTH(SUBSTITUTE(LEFT(Base_report!G1017,10),"-","/")),DAY(SUBSTITUTE(LEFT(Base_report!G1017,10),"-","/")))</f>
        <v>45296</v>
      </c>
      <c r="I1020" s="17" t="str">
        <f t="shared" si="1"/>
        <v>OUI</v>
      </c>
      <c r="J1020" s="18">
        <f>IF(L1020="DS",DATE(RIGHT(B1020,4),VLOOKUP(LEFT(B1020,LEN(B1020)-5),Feuil1!$E$3:$F$19,2,FALSE)+1,10),DATE(RIGHT(B1020,4),VLOOKUP(LEFT(B1020,LEN(B1020)-5),Feuil1!$E$3:$F$19,2,FALSE)+1,7))</f>
        <v>45298</v>
      </c>
      <c r="K1020" s="19">
        <f t="shared" si="2"/>
        <v>1</v>
      </c>
      <c r="L1020" s="6" t="str">
        <f t="shared" si="3"/>
        <v>FS</v>
      </c>
    </row>
    <row r="1021" ht="14.25" customHeight="1">
      <c r="A1021" s="14" t="str">
        <f>Base_report!A1018</f>
        <v>HAMBOL</v>
      </c>
      <c r="B1021" s="14" t="str">
        <f>Base_report!B1018</f>
        <v>DECEMBRE 2023</v>
      </c>
      <c r="C1021" s="15" t="str">
        <f>Base_report!C1018</f>
        <v>C3013</v>
      </c>
      <c r="D1021" s="14" t="str">
        <f>TRIM(IF(ISNUMBER(FIND("PNSME",Base_report!D1018,1)),SUBSTITUTE(Base_report!D1018,"PNSME",""),IF(ISNUMBER(FIND("PHG",Base_report!D1018,1)),SUBSTITUTE(Base_report!D1018,"PHG",""),IF(ISNUMBER(FIND("PCS",Base_report!D1018,1)),SUBSTITUTE(Base_report!D1018,"PCS",""),IF(ISNUMBER(FIND("CMU",Base_report!D1018,1)),SUBSTITUTE(Base_report!D1018,"CMU",""),Base_report!D1018)))))</f>
        <v>CHR KATIOLA</v>
      </c>
      <c r="E1021" s="14" t="str">
        <f>SUBSTITUTE(Base_report!E1018,"-","/")</f>
        <v>PNLS/PRODUITS DE LABORATOIRE</v>
      </c>
      <c r="F1021" s="14" t="s">
        <v>788</v>
      </c>
      <c r="G1021" s="16">
        <f>DATE(YEAR(SUBSTITUTE(LEFT(Base_report!F1018,10),"-","/")),MONTH(SUBSTITUTE(LEFT(Base_report!F1018,10),"-","/")),DAY(SUBSTITUTE(LEFT(Base_report!F1018,10),"-","/")))</f>
        <v>45298</v>
      </c>
      <c r="H1021" s="16">
        <f>DATE(YEAR(SUBSTITUTE(LEFT(Base_report!G1018,10),"-","/")),MONTH(SUBSTITUTE(LEFT(Base_report!G1018,10),"-","/")),DAY(SUBSTITUTE(LEFT(Base_report!G1018,10),"-","/")))</f>
        <v>45298</v>
      </c>
      <c r="I1021" s="17" t="str">
        <f t="shared" si="1"/>
        <v>OUI</v>
      </c>
      <c r="J1021" s="18">
        <f>IF(L1021="DS",DATE(RIGHT(B1021,4),VLOOKUP(LEFT(B1021,LEN(B1021)-5),Feuil1!$E$3:$F$19,2,FALSE)+1,10),DATE(RIGHT(B1021,4),VLOOKUP(LEFT(B1021,LEN(B1021)-5),Feuil1!$E$3:$F$19,2,FALSE)+1,7))</f>
        <v>45298</v>
      </c>
      <c r="K1021" s="19">
        <f t="shared" si="2"/>
        <v>1</v>
      </c>
      <c r="L1021" s="6" t="str">
        <f t="shared" si="3"/>
        <v>FS</v>
      </c>
    </row>
    <row r="1022" ht="14.25" customHeight="1">
      <c r="A1022" s="14" t="str">
        <f>Base_report!A1019</f>
        <v>KABADOUGOU</v>
      </c>
      <c r="B1022" s="14" t="str">
        <f>Base_report!B1019</f>
        <v>DECEMBRE 2023</v>
      </c>
      <c r="C1022" s="15" t="str">
        <f>Base_report!C1019</f>
        <v>C5003</v>
      </c>
      <c r="D1022" s="14" t="str">
        <f>TRIM(IF(ISNUMBER(FIND("PNSME",Base_report!D1019,1)),SUBSTITUTE(Base_report!D1019,"PNSME",""),IF(ISNUMBER(FIND("PHG",Base_report!D1019,1)),SUBSTITUTE(Base_report!D1019,"PHG",""),IF(ISNUMBER(FIND("PCS",Base_report!D1019,1)),SUBSTITUTE(Base_report!D1019,"PCS",""),IF(ISNUMBER(FIND("CMU",Base_report!D1019,1)),SUBSTITUTE(Base_report!D1019,"CMU",""),Base_report!D1019)))))</f>
        <v>CHR ODIENNE</v>
      </c>
      <c r="E1022" s="14" t="str">
        <f>SUBSTITUTE(Base_report!E1019,"-","/")</f>
        <v>PNLS/PRODUITS DE LABORATOIRE</v>
      </c>
      <c r="F1022" s="14" t="s">
        <v>788</v>
      </c>
      <c r="G1022" s="16">
        <f>DATE(YEAR(SUBSTITUTE(LEFT(Base_report!F1019,10),"-","/")),MONTH(SUBSTITUTE(LEFT(Base_report!F1019,10),"-","/")),DAY(SUBSTITUTE(LEFT(Base_report!F1019,10),"-","/")))</f>
        <v>45297</v>
      </c>
      <c r="H1022" s="16">
        <f>DATE(YEAR(SUBSTITUTE(LEFT(Base_report!G1019,10),"-","/")),MONTH(SUBSTITUTE(LEFT(Base_report!G1019,10),"-","/")),DAY(SUBSTITUTE(LEFT(Base_report!G1019,10),"-","/")))</f>
        <v>45297</v>
      </c>
      <c r="I1022" s="17" t="str">
        <f t="shared" si="1"/>
        <v>OUI</v>
      </c>
      <c r="J1022" s="18">
        <f>IF(L1022="DS",DATE(RIGHT(B1022,4),VLOOKUP(LEFT(B1022,LEN(B1022)-5),Feuil1!$E$3:$F$19,2,FALSE)+1,10),DATE(RIGHT(B1022,4),VLOOKUP(LEFT(B1022,LEN(B1022)-5),Feuil1!$E$3:$F$19,2,FALSE)+1,7))</f>
        <v>45298</v>
      </c>
      <c r="K1022" s="19">
        <f t="shared" si="2"/>
        <v>1</v>
      </c>
      <c r="L1022" s="6" t="str">
        <f t="shared" si="3"/>
        <v>FS</v>
      </c>
    </row>
    <row r="1023" ht="14.25" customHeight="1">
      <c r="A1023" s="14" t="str">
        <f>Base_report!A1020</f>
        <v>GBOKLE</v>
      </c>
      <c r="B1023" s="14" t="str">
        <f>Base_report!B1020</f>
        <v>DECEMBRE 2023</v>
      </c>
      <c r="C1023" s="15" t="str">
        <f>Base_report!C1020</f>
        <v>C1095</v>
      </c>
      <c r="D1023" s="14" t="str">
        <f>TRIM(IF(ISNUMBER(FIND("PNSME",Base_report!D1020,1)),SUBSTITUTE(Base_report!D1020,"PNSME",""),IF(ISNUMBER(FIND("PHG",Base_report!D1020,1)),SUBSTITUTE(Base_report!D1020,"PHG",""),IF(ISNUMBER(FIND("PCS",Base_report!D1020,1)),SUBSTITUTE(Base_report!D1020,"PCS",""),IF(ISNUMBER(FIND("CMU",Base_report!D1020,1)),SUBSTITUTE(Base_report!D1020,"CMU",""),Base_report!D1020)))))</f>
        <v>HOPITAL GENERAL SASSANDRA</v>
      </c>
      <c r="E1023" s="14" t="str">
        <f>SUBSTITUTE(Base_report!E1020,"-","/")</f>
        <v>PNLS/ANTIRETROVIRAUX ET IO</v>
      </c>
      <c r="F1023" s="14" t="s">
        <v>788</v>
      </c>
      <c r="G1023" s="16">
        <f>DATE(YEAR(SUBSTITUTE(LEFT(Base_report!F1020,10),"-","/")),MONTH(SUBSTITUTE(LEFT(Base_report!F1020,10),"-","/")),DAY(SUBSTITUTE(LEFT(Base_report!F1020,10),"-","/")))</f>
        <v>45296</v>
      </c>
      <c r="H1023" s="16">
        <f>DATE(YEAR(SUBSTITUTE(LEFT(Base_report!G1020,10),"-","/")),MONTH(SUBSTITUTE(LEFT(Base_report!G1020,10),"-","/")),DAY(SUBSTITUTE(LEFT(Base_report!G1020,10),"-","/")))</f>
        <v>45297</v>
      </c>
      <c r="I1023" s="17" t="str">
        <f t="shared" si="1"/>
        <v>OUI</v>
      </c>
      <c r="J1023" s="18">
        <f>IF(L1023="DS",DATE(RIGHT(B1023,4),VLOOKUP(LEFT(B1023,LEN(B1023)-5),Feuil1!$E$3:$F$19,2,FALSE)+1,10),DATE(RIGHT(B1023,4),VLOOKUP(LEFT(B1023,LEN(B1023)-5),Feuil1!$E$3:$F$19,2,FALSE)+1,7))</f>
        <v>45298</v>
      </c>
      <c r="K1023" s="19">
        <f t="shared" si="2"/>
        <v>1</v>
      </c>
      <c r="L1023" s="6" t="str">
        <f t="shared" si="3"/>
        <v>FS</v>
      </c>
    </row>
    <row r="1024" ht="14.25" customHeight="1">
      <c r="A1024" s="14" t="str">
        <f>Base_report!A1021</f>
        <v>GBOKLE</v>
      </c>
      <c r="B1024" s="14" t="str">
        <f>Base_report!B1021</f>
        <v>DECEMBRE 2023</v>
      </c>
      <c r="C1024" s="15" t="str">
        <f>Base_report!C1021</f>
        <v>C1095</v>
      </c>
      <c r="D1024" s="14" t="str">
        <f>TRIM(IF(ISNUMBER(FIND("PNSME",Base_report!D1021,1)),SUBSTITUTE(Base_report!D1021,"PNSME",""),IF(ISNUMBER(FIND("PHG",Base_report!D1021,1)),SUBSTITUTE(Base_report!D1021,"PHG",""),IF(ISNUMBER(FIND("PCS",Base_report!D1021,1)),SUBSTITUTE(Base_report!D1021,"PCS",""),IF(ISNUMBER(FIND("CMU",Base_report!D1021,1)),SUBSTITUTE(Base_report!D1021,"CMU",""),Base_report!D1021)))))</f>
        <v>HOPITAL GENERAL SASSANDRA</v>
      </c>
      <c r="E1024" s="14" t="str">
        <f>SUBSTITUTE(Base_report!E1021,"-","/")</f>
        <v>PNLS/PRODUITS DE LABORATOIRE</v>
      </c>
      <c r="F1024" s="14" t="s">
        <v>788</v>
      </c>
      <c r="G1024" s="16">
        <f>DATE(YEAR(SUBSTITUTE(LEFT(Base_report!F1021,10),"-","/")),MONTH(SUBSTITUTE(LEFT(Base_report!F1021,10),"-","/")),DAY(SUBSTITUTE(LEFT(Base_report!F1021,10),"-","/")))</f>
        <v>45296</v>
      </c>
      <c r="H1024" s="16">
        <f>DATE(YEAR(SUBSTITUTE(LEFT(Base_report!G1021,10),"-","/")),MONTH(SUBSTITUTE(LEFT(Base_report!G1021,10),"-","/")),DAY(SUBSTITUTE(LEFT(Base_report!G1021,10),"-","/")))</f>
        <v>45297</v>
      </c>
      <c r="I1024" s="17" t="str">
        <f t="shared" si="1"/>
        <v>OUI</v>
      </c>
      <c r="J1024" s="18">
        <f>IF(L1024="DS",DATE(RIGHT(B1024,4),VLOOKUP(LEFT(B1024,LEN(B1024)-5),Feuil1!$E$3:$F$19,2,FALSE)+1,10),DATE(RIGHT(B1024,4),VLOOKUP(LEFT(B1024,LEN(B1024)-5),Feuil1!$E$3:$F$19,2,FALSE)+1,7))</f>
        <v>45298</v>
      </c>
      <c r="K1024" s="19">
        <f t="shared" si="2"/>
        <v>1</v>
      </c>
      <c r="L1024" s="6" t="str">
        <f t="shared" si="3"/>
        <v>FS</v>
      </c>
    </row>
    <row r="1025" ht="14.25" customHeight="1">
      <c r="A1025" s="14" t="str">
        <f>Base_report!A1022</f>
        <v>TCHOLOGO</v>
      </c>
      <c r="B1025" s="14" t="str">
        <f>Base_report!B1022</f>
        <v>DECEMBRE 2023</v>
      </c>
      <c r="C1025" s="15" t="str">
        <f>Base_report!C1022</f>
        <v>C3012</v>
      </c>
      <c r="D1025" s="14" t="str">
        <f>TRIM(IF(ISNUMBER(FIND("PNSME",Base_report!D1022,1)),SUBSTITUTE(Base_report!D1022,"PNSME",""),IF(ISNUMBER(FIND("PHG",Base_report!D1022,1)),SUBSTITUTE(Base_report!D1022,"PHG",""),IF(ISNUMBER(FIND("PCS",Base_report!D1022,1)),SUBSTITUTE(Base_report!D1022,"PCS",""),IF(ISNUMBER(FIND("CMU",Base_report!D1022,1)),SUBSTITUTE(Base_report!D1022,"CMU",""),Base_report!D1022)))))</f>
        <v>HOPITAL GENERAL FERKESEDOUGOU</v>
      </c>
      <c r="E1025" s="14" t="str">
        <f>SUBSTITUTE(Base_report!E1022,"-","/")</f>
        <v>PNLP/MEDICAMENTS ET INTRANTS</v>
      </c>
      <c r="F1025" s="14" t="s">
        <v>788</v>
      </c>
      <c r="G1025" s="16">
        <f>DATE(YEAR(SUBSTITUTE(LEFT(Base_report!F1022,10),"-","/")),MONTH(SUBSTITUTE(LEFT(Base_report!F1022,10),"-","/")),DAY(SUBSTITUTE(LEFT(Base_report!F1022,10),"-","/")))</f>
        <v>45296</v>
      </c>
      <c r="H1025" s="16">
        <f>DATE(YEAR(SUBSTITUTE(LEFT(Base_report!G1022,10),"-","/")),MONTH(SUBSTITUTE(LEFT(Base_report!G1022,10),"-","/")),DAY(SUBSTITUTE(LEFT(Base_report!G1022,10),"-","/")))</f>
        <v>45296</v>
      </c>
      <c r="I1025" s="17" t="str">
        <f t="shared" si="1"/>
        <v>OUI</v>
      </c>
      <c r="J1025" s="18">
        <f>IF(L1025="DS",DATE(RIGHT(B1025,4),VLOOKUP(LEFT(B1025,LEN(B1025)-5),Feuil1!$E$3:$F$19,2,FALSE)+1,10),DATE(RIGHT(B1025,4),VLOOKUP(LEFT(B1025,LEN(B1025)-5),Feuil1!$E$3:$F$19,2,FALSE)+1,7))</f>
        <v>45298</v>
      </c>
      <c r="K1025" s="19">
        <f t="shared" si="2"/>
        <v>1</v>
      </c>
      <c r="L1025" s="6" t="str">
        <f t="shared" si="3"/>
        <v>FS</v>
      </c>
    </row>
    <row r="1026" ht="14.25" customHeight="1">
      <c r="A1026" s="14" t="str">
        <f>Base_report!A1023</f>
        <v>HAUT-SASSANDRA</v>
      </c>
      <c r="B1026" s="14" t="str">
        <f>Base_report!B1023</f>
        <v>DECEMBRE 2023</v>
      </c>
      <c r="C1026" s="15" t="str">
        <f>Base_report!C1023</f>
        <v>C5060</v>
      </c>
      <c r="D1026" s="14" t="str">
        <f>TRIM(IF(ISNUMBER(FIND("PNSME",Base_report!D1023,1)),SUBSTITUTE(Base_report!D1023,"PNSME",""),IF(ISNUMBER(FIND("PHG",Base_report!D1023,1)),SUBSTITUTE(Base_report!D1023,"PHG",""),IF(ISNUMBER(FIND("PCS",Base_report!D1023,1)),SUBSTITUTE(Base_report!D1023,"PCS",""),IF(ISNUMBER(FIND("CMU",Base_report!D1023,1)),SUBSTITUTE(Base_report!D1023,"CMU",""),Base_report!D1023)))))</f>
        <v>HOPITAL GENERAL ZOUKOUGBEU</v>
      </c>
      <c r="E1026" s="14" t="str">
        <f>SUBSTITUTE(Base_report!E1023,"-","/")</f>
        <v>PNLS/PRODUITS DE LABORATOIRE</v>
      </c>
      <c r="F1026" s="14" t="s">
        <v>788</v>
      </c>
      <c r="G1026" s="16">
        <f>DATE(YEAR(SUBSTITUTE(LEFT(Base_report!F1023,10),"-","/")),MONTH(SUBSTITUTE(LEFT(Base_report!F1023,10),"-","/")),DAY(SUBSTITUTE(LEFT(Base_report!F1023,10),"-","/")))</f>
        <v>45296</v>
      </c>
      <c r="H1026" s="16">
        <f>DATE(YEAR(SUBSTITUTE(LEFT(Base_report!G1023,10),"-","/")),MONTH(SUBSTITUTE(LEFT(Base_report!G1023,10),"-","/")),DAY(SUBSTITUTE(LEFT(Base_report!G1023,10),"-","/")))</f>
        <v>45296</v>
      </c>
      <c r="I1026" s="17" t="str">
        <f t="shared" si="1"/>
        <v>OUI</v>
      </c>
      <c r="J1026" s="18">
        <f>IF(L1026="DS",DATE(RIGHT(B1026,4),VLOOKUP(LEFT(B1026,LEN(B1026)-5),Feuil1!$E$3:$F$19,2,FALSE)+1,10),DATE(RIGHT(B1026,4),VLOOKUP(LEFT(B1026,LEN(B1026)-5),Feuil1!$E$3:$F$19,2,FALSE)+1,7))</f>
        <v>45298</v>
      </c>
      <c r="K1026" s="19">
        <f t="shared" si="2"/>
        <v>1</v>
      </c>
      <c r="L1026" s="6" t="str">
        <f t="shared" si="3"/>
        <v>FS</v>
      </c>
    </row>
    <row r="1027" ht="14.25" customHeight="1">
      <c r="A1027" s="14" t="str">
        <f>Base_report!A1024</f>
        <v>PORO</v>
      </c>
      <c r="B1027" s="14" t="str">
        <f>Base_report!B1024</f>
        <v>DECEMBRE 2023</v>
      </c>
      <c r="C1027" s="15" t="str">
        <f>Base_report!C1024</f>
        <v>C3021</v>
      </c>
      <c r="D1027" s="14" t="str">
        <f>TRIM(IF(ISNUMBER(FIND("PNSME",Base_report!D1024,1)),SUBSTITUTE(Base_report!D1024,"PNSME",""),IF(ISNUMBER(FIND("PHG",Base_report!D1024,1)),SUBSTITUTE(Base_report!D1024,"PHG",""),IF(ISNUMBER(FIND("PCS",Base_report!D1024,1)),SUBSTITUTE(Base_report!D1024,"PCS",""),IF(ISNUMBER(FIND("CMU",Base_report!D1024,1)),SUBSTITUTE(Base_report!D1024,"CMU",""),Base_report!D1024)))))</f>
        <v>HOPITAL GENERAL SINEMATIALI</v>
      </c>
      <c r="E1027" s="14" t="str">
        <f>SUBSTITUTE(Base_report!E1024,"-","/")</f>
        <v>PNN/MEDICAMENTS ET INTRANTS</v>
      </c>
      <c r="F1027" s="14" t="s">
        <v>788</v>
      </c>
      <c r="G1027" s="16">
        <f>DATE(YEAR(SUBSTITUTE(LEFT(Base_report!F1024,10),"-","/")),MONTH(SUBSTITUTE(LEFT(Base_report!F1024,10),"-","/")),DAY(SUBSTITUTE(LEFT(Base_report!F1024,10),"-","/")))</f>
        <v>45296</v>
      </c>
      <c r="H1027" s="16">
        <f>DATE(YEAR(SUBSTITUTE(LEFT(Base_report!G1024,10),"-","/")),MONTH(SUBSTITUTE(LEFT(Base_report!G1024,10),"-","/")),DAY(SUBSTITUTE(LEFT(Base_report!G1024,10),"-","/")))</f>
        <v>45298</v>
      </c>
      <c r="I1027" s="17" t="str">
        <f t="shared" si="1"/>
        <v>OUI</v>
      </c>
      <c r="J1027" s="18">
        <f>IF(L1027="DS",DATE(RIGHT(B1027,4),VLOOKUP(LEFT(B1027,LEN(B1027)-5),Feuil1!$E$3:$F$19,2,FALSE)+1,10),DATE(RIGHT(B1027,4),VLOOKUP(LEFT(B1027,LEN(B1027)-5),Feuil1!$E$3:$F$19,2,FALSE)+1,7))</f>
        <v>45298</v>
      </c>
      <c r="K1027" s="19">
        <f t="shared" si="2"/>
        <v>1</v>
      </c>
      <c r="L1027" s="6" t="str">
        <f t="shared" si="3"/>
        <v>FS</v>
      </c>
    </row>
    <row r="1028" ht="14.25" customHeight="1">
      <c r="A1028" s="14" t="str">
        <f>Base_report!A1025</f>
        <v>ABIDJAN 1</v>
      </c>
      <c r="B1028" s="14" t="str">
        <f>Base_report!B1025</f>
        <v>DECEMBRE 2023</v>
      </c>
      <c r="C1028" s="15" t="str">
        <f>Base_report!C1025</f>
        <v>C1026</v>
      </c>
      <c r="D1028" s="14" t="str">
        <f>TRIM(IF(ISNUMBER(FIND("PNSME",Base_report!D1025,1)),SUBSTITUTE(Base_report!D1025,"PNSME",""),IF(ISNUMBER(FIND("PHG",Base_report!D1025,1)),SUBSTITUTE(Base_report!D1025,"PHG",""),IF(ISNUMBER(FIND("PCS",Base_report!D1025,1)),SUBSTITUTE(Base_report!D1025,"PCS",""),IF(ISNUMBER(FIND("CMU",Base_report!D1025,1)),SUBSTITUTE(Base_report!D1025,"CMU",""),Base_report!D1025)))))</f>
        <v>CSU COM KENNEDY</v>
      </c>
      <c r="E1028" s="14" t="str">
        <f>SUBSTITUTE(Base_report!E1025,"-","/")</f>
        <v>PNSME/MEDICAMENTS ET INTRANTS</v>
      </c>
      <c r="F1028" s="14" t="s">
        <v>788</v>
      </c>
      <c r="G1028" s="16">
        <f>DATE(YEAR(SUBSTITUTE(LEFT(Base_report!F1025,10),"-","/")),MONTH(SUBSTITUTE(LEFT(Base_report!F1025,10),"-","/")),DAY(SUBSTITUTE(LEFT(Base_report!F1025,10),"-","/")))</f>
        <v>45296</v>
      </c>
      <c r="H1028" s="16">
        <f>DATE(YEAR(SUBSTITUTE(LEFT(Base_report!G1025,10),"-","/")),MONTH(SUBSTITUTE(LEFT(Base_report!G1025,10),"-","/")),DAY(SUBSTITUTE(LEFT(Base_report!G1025,10),"-","/")))</f>
        <v>45296</v>
      </c>
      <c r="I1028" s="17" t="str">
        <f t="shared" si="1"/>
        <v>OUI</v>
      </c>
      <c r="J1028" s="18">
        <f>IF(L1028="DS",DATE(RIGHT(B1028,4),VLOOKUP(LEFT(B1028,LEN(B1028)-5),Feuil1!$E$3:$F$19,2,FALSE)+1,10),DATE(RIGHT(B1028,4),VLOOKUP(LEFT(B1028,LEN(B1028)-5),Feuil1!$E$3:$F$19,2,FALSE)+1,7))</f>
        <v>45298</v>
      </c>
      <c r="K1028" s="19">
        <f t="shared" si="2"/>
        <v>1</v>
      </c>
      <c r="L1028" s="6" t="str">
        <f t="shared" si="3"/>
        <v>FS</v>
      </c>
    </row>
    <row r="1029" ht="14.25" customHeight="1">
      <c r="A1029" s="14" t="str">
        <f>Base_report!A1026</f>
        <v>GUEMON</v>
      </c>
      <c r="B1029" s="14" t="str">
        <f>Base_report!B1026</f>
        <v>DECEMBRE 2023</v>
      </c>
      <c r="C1029" s="15" t="str">
        <f>Base_report!C1026</f>
        <v>C5019</v>
      </c>
      <c r="D1029" s="14" t="str">
        <f>TRIM(IF(ISNUMBER(FIND("PNSME",Base_report!D1026,1)),SUBSTITUTE(Base_report!D1026,"PNSME",""),IF(ISNUMBER(FIND("PHG",Base_report!D1026,1)),SUBSTITUTE(Base_report!D1026,"PHG",""),IF(ISNUMBER(FIND("PCS",Base_report!D1026,1)),SUBSTITUTE(Base_report!D1026,"PCS",""),IF(ISNUMBER(FIND("CMU",Base_report!D1026,1)),SUBSTITUTE(Base_report!D1026,"CMU",""),Base_report!D1026)))))</f>
        <v>HOPITAL GENERAL DUEKOUE</v>
      </c>
      <c r="E1029" s="14" t="str">
        <f>SUBSTITUTE(Base_report!E1026,"-","/")</f>
        <v>PNLS/ANTIRETROVIRAUX ET IO</v>
      </c>
      <c r="F1029" s="14" t="s">
        <v>788</v>
      </c>
      <c r="G1029" s="16">
        <f>DATE(YEAR(SUBSTITUTE(LEFT(Base_report!F1026,10),"-","/")),MONTH(SUBSTITUTE(LEFT(Base_report!F1026,10),"-","/")),DAY(SUBSTITUTE(LEFT(Base_report!F1026,10),"-","/")))</f>
        <v>45296</v>
      </c>
      <c r="H1029" s="16">
        <f>DATE(YEAR(SUBSTITUTE(LEFT(Base_report!G1026,10),"-","/")),MONTH(SUBSTITUTE(LEFT(Base_report!G1026,10),"-","/")),DAY(SUBSTITUTE(LEFT(Base_report!G1026,10),"-","/")))</f>
        <v>45297</v>
      </c>
      <c r="I1029" s="17" t="str">
        <f t="shared" si="1"/>
        <v>OUI</v>
      </c>
      <c r="J1029" s="18">
        <f>IF(L1029="DS",DATE(RIGHT(B1029,4),VLOOKUP(LEFT(B1029,LEN(B1029)-5),Feuil1!$E$3:$F$19,2,FALSE)+1,10),DATE(RIGHT(B1029,4),VLOOKUP(LEFT(B1029,LEN(B1029)-5),Feuil1!$E$3:$F$19,2,FALSE)+1,7))</f>
        <v>45298</v>
      </c>
      <c r="K1029" s="19">
        <f t="shared" si="2"/>
        <v>1</v>
      </c>
      <c r="L1029" s="6" t="str">
        <f t="shared" si="3"/>
        <v>FS</v>
      </c>
    </row>
    <row r="1030" ht="14.25" customHeight="1">
      <c r="A1030" s="14" t="str">
        <f>Base_report!A1027</f>
        <v>HAMBOL</v>
      </c>
      <c r="B1030" s="14" t="str">
        <f>Base_report!B1027</f>
        <v>DECEMBRE 2023</v>
      </c>
      <c r="C1030" s="15" t="str">
        <f>Base_report!C1027</f>
        <v>C3013</v>
      </c>
      <c r="D1030" s="14" t="str">
        <f>TRIM(IF(ISNUMBER(FIND("PNSME",Base_report!D1027,1)),SUBSTITUTE(Base_report!D1027,"PNSME",""),IF(ISNUMBER(FIND("PHG",Base_report!D1027,1)),SUBSTITUTE(Base_report!D1027,"PHG",""),IF(ISNUMBER(FIND("PCS",Base_report!D1027,1)),SUBSTITUTE(Base_report!D1027,"PCS",""),IF(ISNUMBER(FIND("CMU",Base_report!D1027,1)),SUBSTITUTE(Base_report!D1027,"CMU",""),Base_report!D1027)))))</f>
        <v>CHR KATIOLA</v>
      </c>
      <c r="E1030" s="14" t="str">
        <f>SUBSTITUTE(Base_report!E1027,"-","/")</f>
        <v>PNLS/TESTS RAPIDES ET CONSOMMABLES</v>
      </c>
      <c r="F1030" s="14" t="s">
        <v>788</v>
      </c>
      <c r="G1030" s="16">
        <f>DATE(YEAR(SUBSTITUTE(LEFT(Base_report!F1027,10),"-","/")),MONTH(SUBSTITUTE(LEFT(Base_report!F1027,10),"-","/")),DAY(SUBSTITUTE(LEFT(Base_report!F1027,10),"-","/")))</f>
        <v>45298</v>
      </c>
      <c r="H1030" s="16">
        <f>DATE(YEAR(SUBSTITUTE(LEFT(Base_report!G1027,10),"-","/")),MONTH(SUBSTITUTE(LEFT(Base_report!G1027,10),"-","/")),DAY(SUBSTITUTE(LEFT(Base_report!G1027,10),"-","/")))</f>
        <v>45298</v>
      </c>
      <c r="I1030" s="17" t="str">
        <f t="shared" si="1"/>
        <v>OUI</v>
      </c>
      <c r="J1030" s="18">
        <f>IF(L1030="DS",DATE(RIGHT(B1030,4),VLOOKUP(LEFT(B1030,LEN(B1030)-5),Feuil1!$E$3:$F$19,2,FALSE)+1,10),DATE(RIGHT(B1030,4),VLOOKUP(LEFT(B1030,LEN(B1030)-5),Feuil1!$E$3:$F$19,2,FALSE)+1,7))</f>
        <v>45298</v>
      </c>
      <c r="K1030" s="19">
        <f t="shared" si="2"/>
        <v>1</v>
      </c>
      <c r="L1030" s="6" t="str">
        <f t="shared" si="3"/>
        <v>FS</v>
      </c>
    </row>
    <row r="1031" ht="14.25" customHeight="1">
      <c r="A1031" s="14" t="str">
        <f>Base_report!A1028</f>
        <v>ABIDJAN 1</v>
      </c>
      <c r="B1031" s="14" t="str">
        <f>Base_report!B1028</f>
        <v>DECEMBRE 2023</v>
      </c>
      <c r="C1031" s="15" t="str">
        <f>Base_report!C1028</f>
        <v>C1026</v>
      </c>
      <c r="D1031" s="14" t="str">
        <f>TRIM(IF(ISNUMBER(FIND("PNSME",Base_report!D1028,1)),SUBSTITUTE(Base_report!D1028,"PNSME",""),IF(ISNUMBER(FIND("PHG",Base_report!D1028,1)),SUBSTITUTE(Base_report!D1028,"PHG",""),IF(ISNUMBER(FIND("PCS",Base_report!D1028,1)),SUBSTITUTE(Base_report!D1028,"PCS",""),IF(ISNUMBER(FIND("CMU",Base_report!D1028,1)),SUBSTITUTE(Base_report!D1028,"CMU",""),Base_report!D1028)))))</f>
        <v>CSU COM KENNEDY</v>
      </c>
      <c r="E1031" s="14" t="str">
        <f>SUBSTITUTE(Base_report!E1028,"-","/")</f>
        <v>PNLP/MEDICAMENTS ET INTRANTS</v>
      </c>
      <c r="F1031" s="14" t="s">
        <v>788</v>
      </c>
      <c r="G1031" s="16">
        <f>DATE(YEAR(SUBSTITUTE(LEFT(Base_report!F1028,10),"-","/")),MONTH(SUBSTITUTE(LEFT(Base_report!F1028,10),"-","/")),DAY(SUBSTITUTE(LEFT(Base_report!F1028,10),"-","/")))</f>
        <v>45296</v>
      </c>
      <c r="H1031" s="16">
        <f>DATE(YEAR(SUBSTITUTE(LEFT(Base_report!G1028,10),"-","/")),MONTH(SUBSTITUTE(LEFT(Base_report!G1028,10),"-","/")),DAY(SUBSTITUTE(LEFT(Base_report!G1028,10),"-","/")))</f>
        <v>45296</v>
      </c>
      <c r="I1031" s="17" t="str">
        <f t="shared" si="1"/>
        <v>OUI</v>
      </c>
      <c r="J1031" s="18">
        <f>IF(L1031="DS",DATE(RIGHT(B1031,4),VLOOKUP(LEFT(B1031,LEN(B1031)-5),Feuil1!$E$3:$F$19,2,FALSE)+1,10),DATE(RIGHT(B1031,4),VLOOKUP(LEFT(B1031,LEN(B1031)-5),Feuil1!$E$3:$F$19,2,FALSE)+1,7))</f>
        <v>45298</v>
      </c>
      <c r="K1031" s="19">
        <f t="shared" si="2"/>
        <v>1</v>
      </c>
      <c r="L1031" s="6" t="str">
        <f t="shared" si="3"/>
        <v>FS</v>
      </c>
    </row>
    <row r="1032" ht="14.25" customHeight="1">
      <c r="A1032" s="14" t="str">
        <f>Base_report!A1029</f>
        <v>ABIDJAN 2</v>
      </c>
      <c r="B1032" s="14" t="str">
        <f>Base_report!B1029</f>
        <v>DECEMBRE 2023</v>
      </c>
      <c r="C1032" s="15" t="str">
        <f>Base_report!C1029</f>
        <v>C1904</v>
      </c>
      <c r="D1032" s="14" t="str">
        <f>TRIM(IF(ISNUMBER(FIND("PNSME",Base_report!D1029,1)),SUBSTITUTE(Base_report!D1029,"PNSME",""),IF(ISNUMBER(FIND("PHG",Base_report!D1029,1)),SUBSTITUTE(Base_report!D1029,"PHG",""),IF(ISNUMBER(FIND("PCS",Base_report!D1029,1)),SUBSTITUTE(Base_report!D1029,"PCS",""),IF(ISNUMBER(FIND("CMU",Base_report!D1029,1)),SUBSTITUTE(Base_report!D1029,"CMU",""),Base_report!D1029)))))</f>
        <v>DISTRICT SANITAIRE KOUMASSI</v>
      </c>
      <c r="E1032" s="14" t="str">
        <f>SUBSTITUTE(Base_report!E1029,"-","/")</f>
        <v>PNLS/ANTIRETROVIRAUX ET IO</v>
      </c>
      <c r="F1032" s="14" t="s">
        <v>788</v>
      </c>
      <c r="G1032" s="16">
        <f>DATE(YEAR(SUBSTITUTE(LEFT(Base_report!F1029,10),"-","/")),MONTH(SUBSTITUTE(LEFT(Base_report!F1029,10),"-","/")),DAY(SUBSTITUTE(LEFT(Base_report!F1029,10),"-","/")))</f>
        <v>45301</v>
      </c>
      <c r="H1032" s="16">
        <f>DATE(YEAR(SUBSTITUTE(LEFT(Base_report!G1029,10),"-","/")),MONTH(SUBSTITUTE(LEFT(Base_report!G1029,10),"-","/")),DAY(SUBSTITUTE(LEFT(Base_report!G1029,10),"-","/")))</f>
        <v>45301</v>
      </c>
      <c r="I1032" s="17" t="str">
        <f t="shared" si="1"/>
        <v>OUI</v>
      </c>
      <c r="J1032" s="18">
        <f>IF(L1032="DS",DATE(RIGHT(B1032,4),VLOOKUP(LEFT(B1032,LEN(B1032)-5),Feuil1!$E$3:$F$19,2,FALSE)+1,10),DATE(RIGHT(B1032,4),VLOOKUP(LEFT(B1032,LEN(B1032)-5),Feuil1!$E$3:$F$19,2,FALSE)+1,7))</f>
        <v>45301</v>
      </c>
      <c r="K1032" s="19">
        <f t="shared" si="2"/>
        <v>1</v>
      </c>
      <c r="L1032" s="6" t="str">
        <f t="shared" si="3"/>
        <v>DS</v>
      </c>
    </row>
    <row r="1033" ht="14.25" customHeight="1">
      <c r="A1033" s="14" t="str">
        <f>Base_report!A1030</f>
        <v>MARAHOUE</v>
      </c>
      <c r="B1033" s="14" t="str">
        <f>Base_report!B1030</f>
        <v>DECEMBRE 2023</v>
      </c>
      <c r="C1033" s="15" t="str">
        <f>Base_report!C1030</f>
        <v>C2063</v>
      </c>
      <c r="D1033" s="14" t="str">
        <f>TRIM(IF(ISNUMBER(FIND("PNSME",Base_report!D1030,1)),SUBSTITUTE(Base_report!D1030,"PNSME",""),IF(ISNUMBER(FIND("PHG",Base_report!D1030,1)),SUBSTITUTE(Base_report!D1030,"PHG",""),IF(ISNUMBER(FIND("PCS",Base_report!D1030,1)),SUBSTITUTE(Base_report!D1030,"PCS",""),IF(ISNUMBER(FIND("CMU",Base_report!D1030,1)),SUBSTITUTE(Base_report!D1030,"CMU",""),Base_report!D1030)))))</f>
        <v>HOPITAL GENERAL SINFRA</v>
      </c>
      <c r="E1033" s="14" t="str">
        <f>SUBSTITUTE(Base_report!E1030,"-","/")</f>
        <v>PNN/MEDICAMENTS ET INTRANTS</v>
      </c>
      <c r="F1033" s="14" t="s">
        <v>788</v>
      </c>
      <c r="G1033" s="16">
        <f>DATE(YEAR(SUBSTITUTE(LEFT(Base_report!F1030,10),"-","/")),MONTH(SUBSTITUTE(LEFT(Base_report!F1030,10),"-","/")),DAY(SUBSTITUTE(LEFT(Base_report!F1030,10),"-","/")))</f>
        <v>45296</v>
      </c>
      <c r="H1033" s="16">
        <f>DATE(YEAR(SUBSTITUTE(LEFT(Base_report!G1030,10),"-","/")),MONTH(SUBSTITUTE(LEFT(Base_report!G1030,10),"-","/")),DAY(SUBSTITUTE(LEFT(Base_report!G1030,10),"-","/")))</f>
        <v>45296</v>
      </c>
      <c r="I1033" s="17" t="str">
        <f t="shared" si="1"/>
        <v>OUI</v>
      </c>
      <c r="J1033" s="18">
        <f>IF(L1033="DS",DATE(RIGHT(B1033,4),VLOOKUP(LEFT(B1033,LEN(B1033)-5),Feuil1!$E$3:$F$19,2,FALSE)+1,10),DATE(RIGHT(B1033,4),VLOOKUP(LEFT(B1033,LEN(B1033)-5),Feuil1!$E$3:$F$19,2,FALSE)+1,7))</f>
        <v>45298</v>
      </c>
      <c r="K1033" s="19">
        <f t="shared" si="2"/>
        <v>1</v>
      </c>
      <c r="L1033" s="6" t="str">
        <f t="shared" si="3"/>
        <v>FS</v>
      </c>
    </row>
    <row r="1034" ht="14.25" customHeight="1">
      <c r="A1034" s="14" t="str">
        <f>Base_report!A1031</f>
        <v>HAMBOL</v>
      </c>
      <c r="B1034" s="14" t="str">
        <f>Base_report!B1031</f>
        <v>DECEMBRE 2023</v>
      </c>
      <c r="C1034" s="15" t="str">
        <f>Base_report!C1031</f>
        <v>C3013</v>
      </c>
      <c r="D1034" s="14" t="str">
        <f>TRIM(IF(ISNUMBER(FIND("PNSME",Base_report!D1031,1)),SUBSTITUTE(Base_report!D1031,"PNSME",""),IF(ISNUMBER(FIND("PHG",Base_report!D1031,1)),SUBSTITUTE(Base_report!D1031,"PHG",""),IF(ISNUMBER(FIND("PCS",Base_report!D1031,1)),SUBSTITUTE(Base_report!D1031,"PCS",""),IF(ISNUMBER(FIND("CMU",Base_report!D1031,1)),SUBSTITUTE(Base_report!D1031,"CMU",""),Base_report!D1031)))))</f>
        <v>CHR KATIOLA</v>
      </c>
      <c r="E1034" s="14" t="str">
        <f>SUBSTITUTE(Base_report!E1031,"-","/")</f>
        <v>PNSME/MEDICAMENTS ET INTRANTS</v>
      </c>
      <c r="F1034" s="14" t="s">
        <v>788</v>
      </c>
      <c r="G1034" s="16">
        <f>DATE(YEAR(SUBSTITUTE(LEFT(Base_report!F1031,10),"-","/")),MONTH(SUBSTITUTE(LEFT(Base_report!F1031,10),"-","/")),DAY(SUBSTITUTE(LEFT(Base_report!F1031,10),"-","/")))</f>
        <v>45298</v>
      </c>
      <c r="H1034" s="16">
        <f>DATE(YEAR(SUBSTITUTE(LEFT(Base_report!G1031,10),"-","/")),MONTH(SUBSTITUTE(LEFT(Base_report!G1031,10),"-","/")),DAY(SUBSTITUTE(LEFT(Base_report!G1031,10),"-","/")))</f>
        <v>45298</v>
      </c>
      <c r="I1034" s="17" t="str">
        <f t="shared" si="1"/>
        <v>OUI</v>
      </c>
      <c r="J1034" s="18">
        <f>IF(L1034="DS",DATE(RIGHT(B1034,4),VLOOKUP(LEFT(B1034,LEN(B1034)-5),Feuil1!$E$3:$F$19,2,FALSE)+1,10),DATE(RIGHT(B1034,4),VLOOKUP(LEFT(B1034,LEN(B1034)-5),Feuil1!$E$3:$F$19,2,FALSE)+1,7))</f>
        <v>45298</v>
      </c>
      <c r="K1034" s="19">
        <f t="shared" si="2"/>
        <v>1</v>
      </c>
      <c r="L1034" s="6" t="str">
        <f t="shared" si="3"/>
        <v>FS</v>
      </c>
    </row>
    <row r="1035" ht="14.25" customHeight="1">
      <c r="A1035" s="14" t="str">
        <f>Base_report!A1032</f>
        <v>ABIDJAN 1</v>
      </c>
      <c r="B1035" s="14" t="str">
        <f>Base_report!B1032</f>
        <v>DECEMBRE 2023</v>
      </c>
      <c r="C1035" s="15" t="str">
        <f>Base_report!C1032</f>
        <v>C1026</v>
      </c>
      <c r="D1035" s="14" t="str">
        <f>TRIM(IF(ISNUMBER(FIND("PNSME",Base_report!D1032,1)),SUBSTITUTE(Base_report!D1032,"PNSME",""),IF(ISNUMBER(FIND("PHG",Base_report!D1032,1)),SUBSTITUTE(Base_report!D1032,"PHG",""),IF(ISNUMBER(FIND("PCS",Base_report!D1032,1)),SUBSTITUTE(Base_report!D1032,"PCS",""),IF(ISNUMBER(FIND("CMU",Base_report!D1032,1)),SUBSTITUTE(Base_report!D1032,"CMU",""),Base_report!D1032)))))</f>
        <v>CSU COM KENNEDY</v>
      </c>
      <c r="E1035" s="14" t="str">
        <f>SUBSTITUTE(Base_report!E1032,"-","/")</f>
        <v>PNLS/ANTIRETROVIRAUX ET IO</v>
      </c>
      <c r="F1035" s="14" t="s">
        <v>788</v>
      </c>
      <c r="G1035" s="16">
        <f>DATE(YEAR(SUBSTITUTE(LEFT(Base_report!F1032,10),"-","/")),MONTH(SUBSTITUTE(LEFT(Base_report!F1032,10),"-","/")),DAY(SUBSTITUTE(LEFT(Base_report!F1032,10),"-","/")))</f>
        <v>45296</v>
      </c>
      <c r="H1035" s="16">
        <f>DATE(YEAR(SUBSTITUTE(LEFT(Base_report!G1032,10),"-","/")),MONTH(SUBSTITUTE(LEFT(Base_report!G1032,10),"-","/")),DAY(SUBSTITUTE(LEFT(Base_report!G1032,10),"-","/")))</f>
        <v>45296</v>
      </c>
      <c r="I1035" s="17" t="str">
        <f t="shared" si="1"/>
        <v>OUI</v>
      </c>
      <c r="J1035" s="18">
        <f>IF(L1035="DS",DATE(RIGHT(B1035,4),VLOOKUP(LEFT(B1035,LEN(B1035)-5),Feuil1!$E$3:$F$19,2,FALSE)+1,10),DATE(RIGHT(B1035,4),VLOOKUP(LEFT(B1035,LEN(B1035)-5),Feuil1!$E$3:$F$19,2,FALSE)+1,7))</f>
        <v>45298</v>
      </c>
      <c r="K1035" s="19">
        <f t="shared" si="2"/>
        <v>1</v>
      </c>
      <c r="L1035" s="6" t="str">
        <f t="shared" si="3"/>
        <v>FS</v>
      </c>
    </row>
    <row r="1036" ht="14.25" customHeight="1">
      <c r="A1036" s="14" t="str">
        <f>Base_report!A1033</f>
        <v>IFFOU</v>
      </c>
      <c r="B1036" s="14" t="str">
        <f>Base_report!B1033</f>
        <v>DECEMBRE 2023</v>
      </c>
      <c r="C1036" s="15" t="str">
        <f>Base_report!C1033</f>
        <v>C4024</v>
      </c>
      <c r="D1036" s="14" t="str">
        <f>TRIM(IF(ISNUMBER(FIND("PNSME",Base_report!D1033,1)),SUBSTITUTE(Base_report!D1033,"PNSME",""),IF(ISNUMBER(FIND("PHG",Base_report!D1033,1)),SUBSTITUTE(Base_report!D1033,"PHG",""),IF(ISNUMBER(FIND("PCS",Base_report!D1033,1)),SUBSTITUTE(Base_report!D1033,"PCS",""),IF(ISNUMBER(FIND("CMU",Base_report!D1033,1)),SUBSTITUTE(Base_report!D1033,"CMU",""),Base_report!D1033)))))</f>
        <v>CSU OUELLE</v>
      </c>
      <c r="E1036" s="14" t="str">
        <f>SUBSTITUTE(Base_report!E1033,"-","/")</f>
        <v>PNSME/MEDICAMENTS ET INTRANTS</v>
      </c>
      <c r="F1036" s="14" t="s">
        <v>788</v>
      </c>
      <c r="G1036" s="16">
        <f>DATE(YEAR(SUBSTITUTE(LEFT(Base_report!F1033,10),"-","/")),MONTH(SUBSTITUTE(LEFT(Base_report!F1033,10),"-","/")),DAY(SUBSTITUTE(LEFT(Base_report!F1033,10),"-","/")))</f>
        <v>45296</v>
      </c>
      <c r="H1036" s="16">
        <f>DATE(YEAR(SUBSTITUTE(LEFT(Base_report!G1033,10),"-","/")),MONTH(SUBSTITUTE(LEFT(Base_report!G1033,10),"-","/")),DAY(SUBSTITUTE(LEFT(Base_report!G1033,10),"-","/")))</f>
        <v>45298</v>
      </c>
      <c r="I1036" s="17" t="str">
        <f t="shared" si="1"/>
        <v>OUI</v>
      </c>
      <c r="J1036" s="18">
        <f>IF(L1036="DS",DATE(RIGHT(B1036,4),VLOOKUP(LEFT(B1036,LEN(B1036)-5),Feuil1!$E$3:$F$19,2,FALSE)+1,10),DATE(RIGHT(B1036,4),VLOOKUP(LEFT(B1036,LEN(B1036)-5),Feuil1!$E$3:$F$19,2,FALSE)+1,7))</f>
        <v>45298</v>
      </c>
      <c r="K1036" s="19">
        <f t="shared" si="2"/>
        <v>1</v>
      </c>
      <c r="L1036" s="6" t="str">
        <f t="shared" si="3"/>
        <v>FS</v>
      </c>
    </row>
    <row r="1037" ht="14.25" customHeight="1">
      <c r="A1037" s="14" t="str">
        <f>Base_report!A1034</f>
        <v>TCHOLOGO</v>
      </c>
      <c r="B1037" s="14" t="str">
        <f>Base_report!B1034</f>
        <v>DECEMBRE 2023</v>
      </c>
      <c r="C1037" s="15" t="str">
        <f>Base_report!C1034</f>
        <v>C2225</v>
      </c>
      <c r="D1037" s="14" t="str">
        <f>TRIM(IF(ISNUMBER(FIND("PNSME",Base_report!D1034,1)),SUBSTITUTE(Base_report!D1034,"PNSME",""),IF(ISNUMBER(FIND("PHG",Base_report!D1034,1)),SUBSTITUTE(Base_report!D1034,"PHG",""),IF(ISNUMBER(FIND("PCS",Base_report!D1034,1)),SUBSTITUTE(Base_report!D1034,"PCS",""),IF(ISNUMBER(FIND("CMU",Base_report!D1034,1)),SUBSTITUTE(Base_report!D1034,"CMU",""),Base_report!D1034)))))</f>
        <v>HOPITAL GENERAL KONG</v>
      </c>
      <c r="E1037" s="14" t="str">
        <f>SUBSTITUTE(Base_report!E1034,"-","/")</f>
        <v>PNLP/MEDICAMENTS ET INTRANTS</v>
      </c>
      <c r="F1037" s="14" t="s">
        <v>788</v>
      </c>
      <c r="G1037" s="16">
        <f>DATE(YEAR(SUBSTITUTE(LEFT(Base_report!F1034,10),"-","/")),MONTH(SUBSTITUTE(LEFT(Base_report!F1034,10),"-","/")),DAY(SUBSTITUTE(LEFT(Base_report!F1034,10),"-","/")))</f>
        <v>45296</v>
      </c>
      <c r="H1037" s="16">
        <f>DATE(YEAR(SUBSTITUTE(LEFT(Base_report!G1034,10),"-","/")),MONTH(SUBSTITUTE(LEFT(Base_report!G1034,10),"-","/")),DAY(SUBSTITUTE(LEFT(Base_report!G1034,10),"-","/")))</f>
        <v>45298</v>
      </c>
      <c r="I1037" s="17" t="str">
        <f t="shared" si="1"/>
        <v>OUI</v>
      </c>
      <c r="J1037" s="18">
        <f>IF(L1037="DS",DATE(RIGHT(B1037,4),VLOOKUP(LEFT(B1037,LEN(B1037)-5),Feuil1!$E$3:$F$19,2,FALSE)+1,10),DATE(RIGHT(B1037,4),VLOOKUP(LEFT(B1037,LEN(B1037)-5),Feuil1!$E$3:$F$19,2,FALSE)+1,7))</f>
        <v>45298</v>
      </c>
      <c r="K1037" s="19">
        <f t="shared" si="2"/>
        <v>1</v>
      </c>
      <c r="L1037" s="6" t="str">
        <f t="shared" si="3"/>
        <v>FS</v>
      </c>
    </row>
    <row r="1038" ht="14.25" customHeight="1">
      <c r="A1038" s="14" t="str">
        <f>Base_report!A1035</f>
        <v>TCHOLOGO</v>
      </c>
      <c r="B1038" s="14" t="str">
        <f>Base_report!B1035</f>
        <v>DECEMBRE 2023</v>
      </c>
      <c r="C1038" s="15" t="str">
        <f>Base_report!C1035</f>
        <v>C3012</v>
      </c>
      <c r="D1038" s="14" t="str">
        <f>TRIM(IF(ISNUMBER(FIND("PNSME",Base_report!D1035,1)),SUBSTITUTE(Base_report!D1035,"PNSME",""),IF(ISNUMBER(FIND("PHG",Base_report!D1035,1)),SUBSTITUTE(Base_report!D1035,"PHG",""),IF(ISNUMBER(FIND("PCS",Base_report!D1035,1)),SUBSTITUTE(Base_report!D1035,"PCS",""),IF(ISNUMBER(FIND("CMU",Base_report!D1035,1)),SUBSTITUTE(Base_report!D1035,"CMU",""),Base_report!D1035)))))</f>
        <v>HOPITAL GENERAL FERKESEDOUGOU</v>
      </c>
      <c r="E1038" s="14" t="str">
        <f>SUBSTITUTE(Base_report!E1035,"-","/")</f>
        <v>PNLS/ANTIRETROVIRAUX ET IO</v>
      </c>
      <c r="F1038" s="14" t="s">
        <v>788</v>
      </c>
      <c r="G1038" s="16">
        <f>DATE(YEAR(SUBSTITUTE(LEFT(Base_report!F1035,10),"-","/")),MONTH(SUBSTITUTE(LEFT(Base_report!F1035,10),"-","/")),DAY(SUBSTITUTE(LEFT(Base_report!F1035,10),"-","/")))</f>
        <v>45296</v>
      </c>
      <c r="H1038" s="16">
        <f>DATE(YEAR(SUBSTITUTE(LEFT(Base_report!G1035,10),"-","/")),MONTH(SUBSTITUTE(LEFT(Base_report!G1035,10),"-","/")),DAY(SUBSTITUTE(LEFT(Base_report!G1035,10),"-","/")))</f>
        <v>45296</v>
      </c>
      <c r="I1038" s="17" t="str">
        <f t="shared" si="1"/>
        <v>OUI</v>
      </c>
      <c r="J1038" s="18">
        <f>IF(L1038="DS",DATE(RIGHT(B1038,4),VLOOKUP(LEFT(B1038,LEN(B1038)-5),Feuil1!$E$3:$F$19,2,FALSE)+1,10),DATE(RIGHT(B1038,4),VLOOKUP(LEFT(B1038,LEN(B1038)-5),Feuil1!$E$3:$F$19,2,FALSE)+1,7))</f>
        <v>45298</v>
      </c>
      <c r="K1038" s="19">
        <f t="shared" si="2"/>
        <v>1</v>
      </c>
      <c r="L1038" s="6" t="str">
        <f t="shared" si="3"/>
        <v>FS</v>
      </c>
    </row>
    <row r="1039" ht="14.25" customHeight="1">
      <c r="A1039" s="14" t="str">
        <f>Base_report!A1036</f>
        <v>GONTOUGO</v>
      </c>
      <c r="B1039" s="14" t="str">
        <f>Base_report!B1036</f>
        <v>DECEMBRE 2023</v>
      </c>
      <c r="C1039" s="15" t="str">
        <f>Base_report!C1036</f>
        <v>C4026</v>
      </c>
      <c r="D1039" s="14" t="str">
        <f>TRIM(IF(ISNUMBER(FIND("PNSME",Base_report!D1036,1)),SUBSTITUTE(Base_report!D1036,"PNSME",""),IF(ISNUMBER(FIND("PHG",Base_report!D1036,1)),SUBSTITUTE(Base_report!D1036,"PHG",""),IF(ISNUMBER(FIND("PCS",Base_report!D1036,1)),SUBSTITUTE(Base_report!D1036,"PCS",""),IF(ISNUMBER(FIND("CMU",Base_report!D1036,1)),SUBSTITUTE(Base_report!D1036,"CMU",""),Base_report!D1036)))))</f>
        <v>HOPITAL GENERAL TANDA</v>
      </c>
      <c r="E1039" s="14" t="str">
        <f>SUBSTITUTE(Base_report!E1036,"-","/")</f>
        <v>PNLS/ANTIRETROVIRAUX ET IO</v>
      </c>
      <c r="F1039" s="14" t="s">
        <v>788</v>
      </c>
      <c r="G1039" s="16">
        <f>DATE(YEAR(SUBSTITUTE(LEFT(Base_report!F1036,10),"-","/")),MONTH(SUBSTITUTE(LEFT(Base_report!F1036,10),"-","/")),DAY(SUBSTITUTE(LEFT(Base_report!F1036,10),"-","/")))</f>
        <v>45296</v>
      </c>
      <c r="H1039" s="16">
        <f>DATE(YEAR(SUBSTITUTE(LEFT(Base_report!G1036,10),"-","/")),MONTH(SUBSTITUTE(LEFT(Base_report!G1036,10),"-","/")),DAY(SUBSTITUTE(LEFT(Base_report!G1036,10),"-","/")))</f>
        <v>45298</v>
      </c>
      <c r="I1039" s="17" t="str">
        <f t="shared" si="1"/>
        <v>OUI</v>
      </c>
      <c r="J1039" s="18">
        <f>IF(L1039="DS",DATE(RIGHT(B1039,4),VLOOKUP(LEFT(B1039,LEN(B1039)-5),Feuil1!$E$3:$F$19,2,FALSE)+1,10),DATE(RIGHT(B1039,4),VLOOKUP(LEFT(B1039,LEN(B1039)-5),Feuil1!$E$3:$F$19,2,FALSE)+1,7))</f>
        <v>45298</v>
      </c>
      <c r="K1039" s="19">
        <f t="shared" si="2"/>
        <v>1</v>
      </c>
      <c r="L1039" s="6" t="str">
        <f t="shared" si="3"/>
        <v>FS</v>
      </c>
    </row>
    <row r="1040" ht="14.25" customHeight="1">
      <c r="A1040" s="14" t="str">
        <f>Base_report!A1037</f>
        <v>GBEKE</v>
      </c>
      <c r="B1040" s="14" t="str">
        <f>Base_report!B1037</f>
        <v>DECEMBRE 2023</v>
      </c>
      <c r="C1040" s="15" t="str">
        <f>Base_report!C1037</f>
        <v>C2062</v>
      </c>
      <c r="D1040" s="14" t="str">
        <f>TRIM(IF(ISNUMBER(FIND("PNSME",Base_report!D1037,1)),SUBSTITUTE(Base_report!D1037,"PNSME",""),IF(ISNUMBER(FIND("PHG",Base_report!D1037,1)),SUBSTITUTE(Base_report!D1037,"PHG",""),IF(ISNUMBER(FIND("PCS",Base_report!D1037,1)),SUBSTITUTE(Base_report!D1037,"PCS",""),IF(ISNUMBER(FIND("CMU",Base_report!D1037,1)),SUBSTITUTE(Base_report!D1037,"CMU",""),Base_report!D1037)))))</f>
        <v>HOPITAL GENERAL SAKASSOU</v>
      </c>
      <c r="E1040" s="14" t="str">
        <f>SUBSTITUTE(Base_report!E1037,"-","/")</f>
        <v>PNLS/ANTIRETROVIRAUX ET IO</v>
      </c>
      <c r="F1040" s="14" t="s">
        <v>788</v>
      </c>
      <c r="G1040" s="16">
        <f>DATE(YEAR(SUBSTITUTE(LEFT(Base_report!F1037,10),"-","/")),MONTH(SUBSTITUTE(LEFT(Base_report!F1037,10),"-","/")),DAY(SUBSTITUTE(LEFT(Base_report!F1037,10),"-","/")))</f>
        <v>45296</v>
      </c>
      <c r="H1040" s="16">
        <f>DATE(YEAR(SUBSTITUTE(LEFT(Base_report!G1037,10),"-","/")),MONTH(SUBSTITUTE(LEFT(Base_report!G1037,10),"-","/")),DAY(SUBSTITUTE(LEFT(Base_report!G1037,10),"-","/")))</f>
        <v>45296</v>
      </c>
      <c r="I1040" s="17" t="str">
        <f t="shared" si="1"/>
        <v>OUI</v>
      </c>
      <c r="J1040" s="18">
        <f>IF(L1040="DS",DATE(RIGHT(B1040,4),VLOOKUP(LEFT(B1040,LEN(B1040)-5),Feuil1!$E$3:$F$19,2,FALSE)+1,10),DATE(RIGHT(B1040,4),VLOOKUP(LEFT(B1040,LEN(B1040)-5),Feuil1!$E$3:$F$19,2,FALSE)+1,7))</f>
        <v>45298</v>
      </c>
      <c r="K1040" s="19">
        <f t="shared" si="2"/>
        <v>1</v>
      </c>
      <c r="L1040" s="6" t="str">
        <f t="shared" si="3"/>
        <v>FS</v>
      </c>
    </row>
    <row r="1041" ht="14.25" customHeight="1">
      <c r="A1041" s="14" t="str">
        <f>Base_report!A1038</f>
        <v>ABIDJAN 2</v>
      </c>
      <c r="B1041" s="14" t="str">
        <f>Base_report!B1038</f>
        <v>DECEMBRE 2023</v>
      </c>
      <c r="C1041" s="15" t="str">
        <f>Base_report!C1038</f>
        <v>C1106</v>
      </c>
      <c r="D1041" s="14" t="str">
        <f>TRIM(IF(ISNUMBER(FIND("PNSME",Base_report!D1038,1)),SUBSTITUTE(Base_report!D1038,"PNSME",""),IF(ISNUMBER(FIND("PHG",Base_report!D1038,1)),SUBSTITUTE(Base_report!D1038,"PHG",""),IF(ISNUMBER(FIND("PCS",Base_report!D1038,1)),SUBSTITUTE(Base_report!D1038,"PCS",""),IF(ISNUMBER(FIND("CMU",Base_report!D1038,1)),SUBSTITUTE(Base_report!D1038,"CMU",""),Base_report!D1038)))))</f>
        <v>INSTITUT NATIONAL DE LA SANTE PUBLIQUE</v>
      </c>
      <c r="E1041" s="14" t="str">
        <f>SUBSTITUTE(Base_report!E1038,"-","/")</f>
        <v>PNLS/CHARGES VIRALES</v>
      </c>
      <c r="F1041" s="14" t="s">
        <v>788</v>
      </c>
      <c r="G1041" s="16">
        <f>DATE(YEAR(SUBSTITUTE(LEFT(Base_report!F1038,10),"-","/")),MONTH(SUBSTITUTE(LEFT(Base_report!F1038,10),"-","/")),DAY(SUBSTITUTE(LEFT(Base_report!F1038,10),"-","/")))</f>
        <v>45296</v>
      </c>
      <c r="H1041" s="16">
        <f>DATE(YEAR(SUBSTITUTE(LEFT(Base_report!G1038,10),"-","/")),MONTH(SUBSTITUTE(LEFT(Base_report!G1038,10),"-","/")),DAY(SUBSTITUTE(LEFT(Base_report!G1038,10),"-","/")))</f>
        <v>45296</v>
      </c>
      <c r="I1041" s="17" t="str">
        <f t="shared" si="1"/>
        <v>OUI</v>
      </c>
      <c r="J1041" s="18">
        <f>IF(L1041="DS",DATE(RIGHT(B1041,4),VLOOKUP(LEFT(B1041,LEN(B1041)-5),Feuil1!$E$3:$F$19,2,FALSE)+1,10),DATE(RIGHT(B1041,4),VLOOKUP(LEFT(B1041,LEN(B1041)-5),Feuil1!$E$3:$F$19,2,FALSE)+1,7))</f>
        <v>45298</v>
      </c>
      <c r="K1041" s="19">
        <f t="shared" si="2"/>
        <v>1</v>
      </c>
      <c r="L1041" s="6" t="str">
        <f t="shared" si="3"/>
        <v>FS</v>
      </c>
    </row>
    <row r="1042" ht="14.25" customHeight="1">
      <c r="A1042" s="14" t="str">
        <f>Base_report!A1039</f>
        <v>BAFING</v>
      </c>
      <c r="B1042" s="14" t="str">
        <f>Base_report!B1039</f>
        <v>DECEMBRE 2023</v>
      </c>
      <c r="C1042" s="15" t="str">
        <f>Base_report!C1039</f>
        <v>C5004</v>
      </c>
      <c r="D1042" s="14" t="str">
        <f>TRIM(IF(ISNUMBER(FIND("PNSME",Base_report!D1039,1)),SUBSTITUTE(Base_report!D1039,"PNSME",""),IF(ISNUMBER(FIND("PHG",Base_report!D1039,1)),SUBSTITUTE(Base_report!D1039,"PHG",""),IF(ISNUMBER(FIND("PCS",Base_report!D1039,1)),SUBSTITUTE(Base_report!D1039,"PCS",""),IF(ISNUMBER(FIND("CMU",Base_report!D1039,1)),SUBSTITUTE(Base_report!D1039,"CMU",""),Base_report!D1039)))))</f>
        <v>CHR TOUBA</v>
      </c>
      <c r="E1042" s="14" t="str">
        <f>SUBSTITUTE(Base_report!E1039,"-","/")</f>
        <v>PNN/MEDICAMENTS ET INTRANTS</v>
      </c>
      <c r="F1042" s="14" t="s">
        <v>788</v>
      </c>
      <c r="G1042" s="16">
        <f>DATE(YEAR(SUBSTITUTE(LEFT(Base_report!F1039,10),"-","/")),MONTH(SUBSTITUTE(LEFT(Base_report!F1039,10),"-","/")),DAY(SUBSTITUTE(LEFT(Base_report!F1039,10),"-","/")))</f>
        <v>45299</v>
      </c>
      <c r="H1042" s="16">
        <f>DATE(YEAR(SUBSTITUTE(LEFT(Base_report!G1039,10),"-","/")),MONTH(SUBSTITUTE(LEFT(Base_report!G1039,10),"-","/")),DAY(SUBSTITUTE(LEFT(Base_report!G1039,10),"-","/")))</f>
        <v>45300</v>
      </c>
      <c r="I1042" s="17" t="str">
        <f t="shared" si="1"/>
        <v>OUI</v>
      </c>
      <c r="J1042" s="18">
        <f>IF(L1042="DS",DATE(RIGHT(B1042,4),VLOOKUP(LEFT(B1042,LEN(B1042)-5),Feuil1!$E$3:$F$19,2,FALSE)+1,10),DATE(RIGHT(B1042,4),VLOOKUP(LEFT(B1042,LEN(B1042)-5),Feuil1!$E$3:$F$19,2,FALSE)+1,7))</f>
        <v>45298</v>
      </c>
      <c r="K1042" s="19">
        <f t="shared" si="2"/>
        <v>0</v>
      </c>
      <c r="L1042" s="6" t="str">
        <f t="shared" si="3"/>
        <v>FS</v>
      </c>
    </row>
    <row r="1043" ht="14.25" customHeight="1">
      <c r="A1043" s="14" t="str">
        <f>Base_report!A1040</f>
        <v>ABIDJAN 2</v>
      </c>
      <c r="B1043" s="14" t="str">
        <f>Base_report!B1040</f>
        <v>DECEMBRE 2023</v>
      </c>
      <c r="C1043" s="15" t="str">
        <f>Base_report!C1040</f>
        <v>C1086</v>
      </c>
      <c r="D1043" s="14" t="str">
        <f>TRIM(IF(ISNUMBER(FIND("PNSME",Base_report!D1040,1)),SUBSTITUTE(Base_report!D1040,"PNSME",""),IF(ISNUMBER(FIND("PHG",Base_report!D1040,1)),SUBSTITUTE(Base_report!D1040,"PHG",""),IF(ISNUMBER(FIND("PCS",Base_report!D1040,1)),SUBSTITUTE(Base_report!D1040,"PCS",""),IF(ISNUMBER(FIND("CMU",Base_report!D1040,1)),SUBSTITUTE(Base_report!D1040,"CMU",""),Base_report!D1040)))))</f>
        <v>HOPITAL GENERAL BINGERVILLE</v>
      </c>
      <c r="E1043" s="14" t="str">
        <f>SUBSTITUTE(Base_report!E1040,"-","/")</f>
        <v>PNLS/ANTIRETROVIRAUX ET IO</v>
      </c>
      <c r="F1043" s="14" t="s">
        <v>788</v>
      </c>
      <c r="G1043" s="16">
        <f>DATE(YEAR(SUBSTITUTE(LEFT(Base_report!F1040,10),"-","/")),MONTH(SUBSTITUTE(LEFT(Base_report!F1040,10),"-","/")),DAY(SUBSTITUTE(LEFT(Base_report!F1040,10),"-","/")))</f>
        <v>45298</v>
      </c>
      <c r="H1043" s="16">
        <f>DATE(YEAR(SUBSTITUTE(LEFT(Base_report!G1040,10),"-","/")),MONTH(SUBSTITUTE(LEFT(Base_report!G1040,10),"-","/")),DAY(SUBSTITUTE(LEFT(Base_report!G1040,10),"-","/")))</f>
        <v>45298</v>
      </c>
      <c r="I1043" s="17" t="str">
        <f t="shared" si="1"/>
        <v>OUI</v>
      </c>
      <c r="J1043" s="18">
        <f>IF(L1043="DS",DATE(RIGHT(B1043,4),VLOOKUP(LEFT(B1043,LEN(B1043)-5),Feuil1!$E$3:$F$19,2,FALSE)+1,10),DATE(RIGHT(B1043,4),VLOOKUP(LEFT(B1043,LEN(B1043)-5),Feuil1!$E$3:$F$19,2,FALSE)+1,7))</f>
        <v>45298</v>
      </c>
      <c r="K1043" s="19">
        <f t="shared" si="2"/>
        <v>1</v>
      </c>
      <c r="L1043" s="6" t="str">
        <f t="shared" si="3"/>
        <v>FS</v>
      </c>
    </row>
    <row r="1044" ht="14.25" customHeight="1">
      <c r="A1044" s="14" t="str">
        <f>Base_report!A1041</f>
        <v>BAFING</v>
      </c>
      <c r="B1044" s="14" t="str">
        <f>Base_report!B1041</f>
        <v>DECEMBRE 2023</v>
      </c>
      <c r="C1044" s="15" t="str">
        <f>Base_report!C1041</f>
        <v>C5004</v>
      </c>
      <c r="D1044" s="14" t="str">
        <f>TRIM(IF(ISNUMBER(FIND("PNSME",Base_report!D1041,1)),SUBSTITUTE(Base_report!D1041,"PNSME",""),IF(ISNUMBER(FIND("PHG",Base_report!D1041,1)),SUBSTITUTE(Base_report!D1041,"PHG",""),IF(ISNUMBER(FIND("PCS",Base_report!D1041,1)),SUBSTITUTE(Base_report!D1041,"PCS",""),IF(ISNUMBER(FIND("CMU",Base_report!D1041,1)),SUBSTITUTE(Base_report!D1041,"CMU",""),Base_report!D1041)))))</f>
        <v>CHR TOUBA</v>
      </c>
      <c r="E1044" s="14" t="str">
        <f>SUBSTITUTE(Base_report!E1041,"-","/")</f>
        <v>PNLS/PRODUITS DE LABORATOIRE</v>
      </c>
      <c r="F1044" s="14" t="s">
        <v>788</v>
      </c>
      <c r="G1044" s="16">
        <f>DATE(YEAR(SUBSTITUTE(LEFT(Base_report!F1041,10),"-","/")),MONTH(SUBSTITUTE(LEFT(Base_report!F1041,10),"-","/")),DAY(SUBSTITUTE(LEFT(Base_report!F1041,10),"-","/")))</f>
        <v>45299</v>
      </c>
      <c r="H1044" s="16">
        <f>DATE(YEAR(SUBSTITUTE(LEFT(Base_report!G1041,10),"-","/")),MONTH(SUBSTITUTE(LEFT(Base_report!G1041,10),"-","/")),DAY(SUBSTITUTE(LEFT(Base_report!G1041,10),"-","/")))</f>
        <v>45300</v>
      </c>
      <c r="I1044" s="17" t="str">
        <f t="shared" si="1"/>
        <v>OUI</v>
      </c>
      <c r="J1044" s="18">
        <f>IF(L1044="DS",DATE(RIGHT(B1044,4),VLOOKUP(LEFT(B1044,LEN(B1044)-5),Feuil1!$E$3:$F$19,2,FALSE)+1,10),DATE(RIGHT(B1044,4),VLOOKUP(LEFT(B1044,LEN(B1044)-5),Feuil1!$E$3:$F$19,2,FALSE)+1,7))</f>
        <v>45298</v>
      </c>
      <c r="K1044" s="19">
        <f t="shared" si="2"/>
        <v>0</v>
      </c>
      <c r="L1044" s="6" t="str">
        <f t="shared" si="3"/>
        <v>FS</v>
      </c>
    </row>
    <row r="1045" ht="14.25" customHeight="1">
      <c r="A1045" s="14" t="str">
        <f>Base_report!A1042</f>
        <v>AGNEBY-TIASSA</v>
      </c>
      <c r="B1045" s="14" t="str">
        <f>Base_report!B1042</f>
        <v>DECEMBRE 2023</v>
      </c>
      <c r="C1045" s="15" t="str">
        <f>Base_report!C1042</f>
        <v>C1112</v>
      </c>
      <c r="D1045" s="14" t="str">
        <f>TRIM(IF(ISNUMBER(FIND("PNSME",Base_report!D1042,1)),SUBSTITUTE(Base_report!D1042,"PNSME",""),IF(ISNUMBER(FIND("PHG",Base_report!D1042,1)),SUBSTITUTE(Base_report!D1042,"PHG",""),IF(ISNUMBER(FIND("PCS",Base_report!D1042,1)),SUBSTITUTE(Base_report!D1042,"PCS",""),IF(ISNUMBER(FIND("CMU",Base_report!D1042,1)),SUBSTITUTE(Base_report!D1042,"CMU",""),Base_report!D1042)))))</f>
        <v>HOPITAL GENERAL TIASSALE</v>
      </c>
      <c r="E1045" s="14" t="str">
        <f>SUBSTITUTE(Base_report!E1042,"-","/")</f>
        <v>PNLS/ANTIRETROVIRAUX ET IO</v>
      </c>
      <c r="F1045" s="14" t="s">
        <v>788</v>
      </c>
      <c r="G1045" s="16">
        <f>DATE(YEAR(SUBSTITUTE(LEFT(Base_report!F1042,10),"-","/")),MONTH(SUBSTITUTE(LEFT(Base_report!F1042,10),"-","/")),DAY(SUBSTITUTE(LEFT(Base_report!F1042,10),"-","/")))</f>
        <v>45296</v>
      </c>
      <c r="H1045" s="16">
        <f>DATE(YEAR(SUBSTITUTE(LEFT(Base_report!G1042,10),"-","/")),MONTH(SUBSTITUTE(LEFT(Base_report!G1042,10),"-","/")),DAY(SUBSTITUTE(LEFT(Base_report!G1042,10),"-","/")))</f>
        <v>45296</v>
      </c>
      <c r="I1045" s="17" t="str">
        <f t="shared" si="1"/>
        <v>OUI</v>
      </c>
      <c r="J1045" s="18">
        <f>IF(L1045="DS",DATE(RIGHT(B1045,4),VLOOKUP(LEFT(B1045,LEN(B1045)-5),Feuil1!$E$3:$F$19,2,FALSE)+1,10),DATE(RIGHT(B1045,4),VLOOKUP(LEFT(B1045,LEN(B1045)-5),Feuil1!$E$3:$F$19,2,FALSE)+1,7))</f>
        <v>45298</v>
      </c>
      <c r="K1045" s="19">
        <f t="shared" si="2"/>
        <v>1</v>
      </c>
      <c r="L1045" s="6" t="str">
        <f t="shared" si="3"/>
        <v>FS</v>
      </c>
    </row>
    <row r="1046" ht="14.25" customHeight="1">
      <c r="A1046" s="14" t="str">
        <f>Base_report!A1043</f>
        <v>ABIDJAN 1</v>
      </c>
      <c r="B1046" s="14" t="str">
        <f>Base_report!B1043</f>
        <v>DECEMBRE 2023</v>
      </c>
      <c r="C1046" s="15" t="str">
        <f>Base_report!C1043</f>
        <v>C1026</v>
      </c>
      <c r="D1046" s="14" t="str">
        <f>TRIM(IF(ISNUMBER(FIND("PNSME",Base_report!D1043,1)),SUBSTITUTE(Base_report!D1043,"PNSME",""),IF(ISNUMBER(FIND("PHG",Base_report!D1043,1)),SUBSTITUTE(Base_report!D1043,"PHG",""),IF(ISNUMBER(FIND("PCS",Base_report!D1043,1)),SUBSTITUTE(Base_report!D1043,"PCS",""),IF(ISNUMBER(FIND("CMU",Base_report!D1043,1)),SUBSTITUTE(Base_report!D1043,"CMU",""),Base_report!D1043)))))</f>
        <v>CSU COM KENNEDY</v>
      </c>
      <c r="E1046" s="14" t="str">
        <f>SUBSTITUTE(Base_report!E1043,"-","/")</f>
        <v>PNLS/TESTS RAPIDES ET CONSOMMABLES</v>
      </c>
      <c r="F1046" s="14" t="s">
        <v>788</v>
      </c>
      <c r="G1046" s="16">
        <f>DATE(YEAR(SUBSTITUTE(LEFT(Base_report!F1043,10),"-","/")),MONTH(SUBSTITUTE(LEFT(Base_report!F1043,10),"-","/")),DAY(SUBSTITUTE(LEFT(Base_report!F1043,10),"-","/")))</f>
        <v>45296</v>
      </c>
      <c r="H1046" s="16">
        <f>DATE(YEAR(SUBSTITUTE(LEFT(Base_report!G1043,10),"-","/")),MONTH(SUBSTITUTE(LEFT(Base_report!G1043,10),"-","/")),DAY(SUBSTITUTE(LEFT(Base_report!G1043,10),"-","/")))</f>
        <v>45296</v>
      </c>
      <c r="I1046" s="17" t="str">
        <f t="shared" si="1"/>
        <v>OUI</v>
      </c>
      <c r="J1046" s="18">
        <f>IF(L1046="DS",DATE(RIGHT(B1046,4),VLOOKUP(LEFT(B1046,LEN(B1046)-5),Feuil1!$E$3:$F$19,2,FALSE)+1,10),DATE(RIGHT(B1046,4),VLOOKUP(LEFT(B1046,LEN(B1046)-5),Feuil1!$E$3:$F$19,2,FALSE)+1,7))</f>
        <v>45298</v>
      </c>
      <c r="K1046" s="19">
        <f t="shared" si="2"/>
        <v>1</v>
      </c>
      <c r="L1046" s="6" t="str">
        <f t="shared" si="3"/>
        <v>FS</v>
      </c>
    </row>
    <row r="1047" ht="14.25" customHeight="1">
      <c r="A1047" s="14" t="str">
        <f>Base_report!A1044</f>
        <v>N'ZI</v>
      </c>
      <c r="B1047" s="14" t="str">
        <f>Base_report!B1044</f>
        <v>DECEMBRE 2023</v>
      </c>
      <c r="C1047" s="15" t="str">
        <f>Base_report!C1044</f>
        <v>C2049</v>
      </c>
      <c r="D1047" s="14" t="str">
        <f>TRIM(IF(ISNUMBER(FIND("PNSME",Base_report!D1044,1)),SUBSTITUTE(Base_report!D1044,"PNSME",""),IF(ISNUMBER(FIND("PHG",Base_report!D1044,1)),SUBSTITUTE(Base_report!D1044,"PHG",""),IF(ISNUMBER(FIND("PCS",Base_report!D1044,1)),SUBSTITUTE(Base_report!D1044,"PCS",""),IF(ISNUMBER(FIND("CMU",Base_report!D1044,1)),SUBSTITUTE(Base_report!D1044,"CMU",""),Base_report!D1044)))))</f>
        <v>HOPITAL GENERAL BOCANDA</v>
      </c>
      <c r="E1047" s="14" t="str">
        <f>SUBSTITUTE(Base_report!E1044,"-","/")</f>
        <v>PNSME/MEDICAMENTS ET INTRANTS</v>
      </c>
      <c r="F1047" s="14" t="s">
        <v>788</v>
      </c>
      <c r="G1047" s="16">
        <f>DATE(YEAR(SUBSTITUTE(LEFT(Base_report!F1044,10),"-","/")),MONTH(SUBSTITUTE(LEFT(Base_report!F1044,10),"-","/")),DAY(SUBSTITUTE(LEFT(Base_report!F1044,10),"-","/")))</f>
        <v>45296</v>
      </c>
      <c r="H1047" s="16">
        <f>DATE(YEAR(SUBSTITUTE(LEFT(Base_report!G1044,10),"-","/")),MONTH(SUBSTITUTE(LEFT(Base_report!G1044,10),"-","/")),DAY(SUBSTITUTE(LEFT(Base_report!G1044,10),"-","/")))</f>
        <v>45297</v>
      </c>
      <c r="I1047" s="17" t="str">
        <f t="shared" si="1"/>
        <v>OUI</v>
      </c>
      <c r="J1047" s="18">
        <f>IF(L1047="DS",DATE(RIGHT(B1047,4),VLOOKUP(LEFT(B1047,LEN(B1047)-5),Feuil1!$E$3:$F$19,2,FALSE)+1,10),DATE(RIGHT(B1047,4),VLOOKUP(LEFT(B1047,LEN(B1047)-5),Feuil1!$E$3:$F$19,2,FALSE)+1,7))</f>
        <v>45298</v>
      </c>
      <c r="K1047" s="19">
        <f t="shared" si="2"/>
        <v>1</v>
      </c>
      <c r="L1047" s="6" t="str">
        <f t="shared" si="3"/>
        <v>FS</v>
      </c>
    </row>
    <row r="1048" ht="14.25" customHeight="1">
      <c r="A1048" s="14" t="str">
        <f>Base_report!A1045</f>
        <v>ABIDJAN 1</v>
      </c>
      <c r="B1048" s="14" t="str">
        <f>Base_report!B1045</f>
        <v>DECEMBRE 2023</v>
      </c>
      <c r="C1048" s="15" t="str">
        <f>Base_report!C1045</f>
        <v>C1026</v>
      </c>
      <c r="D1048" s="14" t="str">
        <f>TRIM(IF(ISNUMBER(FIND("PNSME",Base_report!D1045,1)),SUBSTITUTE(Base_report!D1045,"PNSME",""),IF(ISNUMBER(FIND("PHG",Base_report!D1045,1)),SUBSTITUTE(Base_report!D1045,"PHG",""),IF(ISNUMBER(FIND("PCS",Base_report!D1045,1)),SUBSTITUTE(Base_report!D1045,"PCS",""),IF(ISNUMBER(FIND("CMU",Base_report!D1045,1)),SUBSTITUTE(Base_report!D1045,"CMU",""),Base_report!D1045)))))</f>
        <v>CSU COM KENNEDY</v>
      </c>
      <c r="E1048" s="14" t="str">
        <f>SUBSTITUTE(Base_report!E1045,"-","/")</f>
        <v>PNLS/PRODUITS DE LABORATOIRE</v>
      </c>
      <c r="F1048" s="14" t="s">
        <v>788</v>
      </c>
      <c r="G1048" s="16">
        <f>DATE(YEAR(SUBSTITUTE(LEFT(Base_report!F1045,10),"-","/")),MONTH(SUBSTITUTE(LEFT(Base_report!F1045,10),"-","/")),DAY(SUBSTITUTE(LEFT(Base_report!F1045,10),"-","/")))</f>
        <v>45296</v>
      </c>
      <c r="H1048" s="16">
        <f>DATE(YEAR(SUBSTITUTE(LEFT(Base_report!G1045,10),"-","/")),MONTH(SUBSTITUTE(LEFT(Base_report!G1045,10),"-","/")),DAY(SUBSTITUTE(LEFT(Base_report!G1045,10),"-","/")))</f>
        <v>45296</v>
      </c>
      <c r="I1048" s="17" t="str">
        <f t="shared" si="1"/>
        <v>OUI</v>
      </c>
      <c r="J1048" s="18">
        <f>IF(L1048="DS",DATE(RIGHT(B1048,4),VLOOKUP(LEFT(B1048,LEN(B1048)-5),Feuil1!$E$3:$F$19,2,FALSE)+1,10),DATE(RIGHT(B1048,4),VLOOKUP(LEFT(B1048,LEN(B1048)-5),Feuil1!$E$3:$F$19,2,FALSE)+1,7))</f>
        <v>45298</v>
      </c>
      <c r="K1048" s="19">
        <f t="shared" si="2"/>
        <v>1</v>
      </c>
      <c r="L1048" s="6" t="str">
        <f t="shared" si="3"/>
        <v>FS</v>
      </c>
    </row>
    <row r="1049" ht="14.25" customHeight="1">
      <c r="A1049" s="14" t="str">
        <f>Base_report!A1046</f>
        <v>ABIDJAN 2</v>
      </c>
      <c r="B1049" s="14" t="str">
        <f>Base_report!B1046</f>
        <v>DECEMBRE 2023</v>
      </c>
      <c r="C1049" s="15" t="str">
        <f>Base_report!C1046</f>
        <v>C1904</v>
      </c>
      <c r="D1049" s="14" t="str">
        <f>TRIM(IF(ISNUMBER(FIND("PNSME",Base_report!D1046,1)),SUBSTITUTE(Base_report!D1046,"PNSME",""),IF(ISNUMBER(FIND("PHG",Base_report!D1046,1)),SUBSTITUTE(Base_report!D1046,"PHG",""),IF(ISNUMBER(FIND("PCS",Base_report!D1046,1)),SUBSTITUTE(Base_report!D1046,"PCS",""),IF(ISNUMBER(FIND("CMU",Base_report!D1046,1)),SUBSTITUTE(Base_report!D1046,"CMU",""),Base_report!D1046)))))</f>
        <v>DISTRICT SANITAIRE KOUMASSI</v>
      </c>
      <c r="E1049" s="14" t="str">
        <f>SUBSTITUTE(Base_report!E1046,"-","/")</f>
        <v>PNLS/TESTS RAPIDES ET CONSOMMABLES</v>
      </c>
      <c r="F1049" s="14" t="s">
        <v>788</v>
      </c>
      <c r="G1049" s="16">
        <f>DATE(YEAR(SUBSTITUTE(LEFT(Base_report!F1046,10),"-","/")),MONTH(SUBSTITUTE(LEFT(Base_report!F1046,10),"-","/")),DAY(SUBSTITUTE(LEFT(Base_report!F1046,10),"-","/")))</f>
        <v>45301</v>
      </c>
      <c r="H1049" s="16">
        <f>DATE(YEAR(SUBSTITUTE(LEFT(Base_report!G1046,10),"-","/")),MONTH(SUBSTITUTE(LEFT(Base_report!G1046,10),"-","/")),DAY(SUBSTITUTE(LEFT(Base_report!G1046,10),"-","/")))</f>
        <v>45301</v>
      </c>
      <c r="I1049" s="17" t="str">
        <f t="shared" si="1"/>
        <v>OUI</v>
      </c>
      <c r="J1049" s="18">
        <f>IF(L1049="DS",DATE(RIGHT(B1049,4),VLOOKUP(LEFT(B1049,LEN(B1049)-5),Feuil1!$E$3:$F$19,2,FALSE)+1,10),DATE(RIGHT(B1049,4),VLOOKUP(LEFT(B1049,LEN(B1049)-5),Feuil1!$E$3:$F$19,2,FALSE)+1,7))</f>
        <v>45301</v>
      </c>
      <c r="K1049" s="19">
        <f t="shared" si="2"/>
        <v>1</v>
      </c>
      <c r="L1049" s="6" t="str">
        <f t="shared" si="3"/>
        <v>DS</v>
      </c>
    </row>
    <row r="1050" ht="14.25" customHeight="1">
      <c r="A1050" s="14" t="str">
        <f>Base_report!A1047</f>
        <v>GBOKLE</v>
      </c>
      <c r="B1050" s="14" t="str">
        <f>Base_report!B1047</f>
        <v>DECEMBRE 2023</v>
      </c>
      <c r="C1050" s="15" t="str">
        <f>Base_report!C1047</f>
        <v>C1089</v>
      </c>
      <c r="D1050" s="14" t="str">
        <f>TRIM(IF(ISNUMBER(FIND("PNSME",Base_report!D1047,1)),SUBSTITUTE(Base_report!D1047,"PNSME",""),IF(ISNUMBER(FIND("PHG",Base_report!D1047,1)),SUBSTITUTE(Base_report!D1047,"PHG",""),IF(ISNUMBER(FIND("PCS",Base_report!D1047,1)),SUBSTITUTE(Base_report!D1047,"PCS",""),IF(ISNUMBER(FIND("CMU",Base_report!D1047,1)),SUBSTITUTE(Base_report!D1047,"CMU",""),Base_report!D1047)))))</f>
        <v>HOPITAL GENERAL FRESCO</v>
      </c>
      <c r="E1050" s="14" t="str">
        <f>SUBSTITUTE(Base_report!E1047,"-","/")</f>
        <v>PNLP/MEDICAMENTS ET INTRANTS</v>
      </c>
      <c r="F1050" s="14" t="s">
        <v>788</v>
      </c>
      <c r="G1050" s="16">
        <f>DATE(YEAR(SUBSTITUTE(LEFT(Base_report!F1047,10),"-","/")),MONTH(SUBSTITUTE(LEFT(Base_report!F1047,10),"-","/")),DAY(SUBSTITUTE(LEFT(Base_report!F1047,10),"-","/")))</f>
        <v>45296</v>
      </c>
      <c r="H1050" s="16">
        <f>DATE(YEAR(SUBSTITUTE(LEFT(Base_report!G1047,10),"-","/")),MONTH(SUBSTITUTE(LEFT(Base_report!G1047,10),"-","/")),DAY(SUBSTITUTE(LEFT(Base_report!G1047,10),"-","/")))</f>
        <v>45297</v>
      </c>
      <c r="I1050" s="17" t="str">
        <f t="shared" si="1"/>
        <v>OUI</v>
      </c>
      <c r="J1050" s="18">
        <f>IF(L1050="DS",DATE(RIGHT(B1050,4),VLOOKUP(LEFT(B1050,LEN(B1050)-5),Feuil1!$E$3:$F$19,2,FALSE)+1,10),DATE(RIGHT(B1050,4),VLOOKUP(LEFT(B1050,LEN(B1050)-5),Feuil1!$E$3:$F$19,2,FALSE)+1,7))</f>
        <v>45298</v>
      </c>
      <c r="K1050" s="19">
        <f t="shared" si="2"/>
        <v>1</v>
      </c>
      <c r="L1050" s="6" t="str">
        <f t="shared" si="3"/>
        <v>FS</v>
      </c>
    </row>
    <row r="1051" ht="14.25" customHeight="1">
      <c r="A1051" s="14" t="str">
        <f>Base_report!A1048</f>
        <v>MARAHOUE</v>
      </c>
      <c r="B1051" s="14" t="str">
        <f>Base_report!B1048</f>
        <v>DECEMBRE 2023</v>
      </c>
      <c r="C1051" s="15" t="str">
        <f>Base_report!C1048</f>
        <v>C2071</v>
      </c>
      <c r="D1051" s="14" t="str">
        <f>TRIM(IF(ISNUMBER(FIND("PNSME",Base_report!D1048,1)),SUBSTITUTE(Base_report!D1048,"PNSME",""),IF(ISNUMBER(FIND("PHG",Base_report!D1048,1)),SUBSTITUTE(Base_report!D1048,"PHG",""),IF(ISNUMBER(FIND("PCS",Base_report!D1048,1)),SUBSTITUTE(Base_report!D1048,"PCS",""),IF(ISNUMBER(FIND("CMU",Base_report!D1048,1)),SUBSTITUTE(Base_report!D1048,"CMU",""),Base_report!D1048)))))</f>
        <v>HOPITAL GENERAL ZUENOULA</v>
      </c>
      <c r="E1051" s="14" t="str">
        <f>SUBSTITUTE(Base_report!E1048,"-","/")</f>
        <v>PNLS/PRODUITS DE LABORATOIRE</v>
      </c>
      <c r="F1051" s="14" t="s">
        <v>788</v>
      </c>
      <c r="G1051" s="16">
        <f>DATE(YEAR(SUBSTITUTE(LEFT(Base_report!F1048,10),"-","/")),MONTH(SUBSTITUTE(LEFT(Base_report!F1048,10),"-","/")),DAY(SUBSTITUTE(LEFT(Base_report!F1048,10),"-","/")))</f>
        <v>45298</v>
      </c>
      <c r="H1051" s="16">
        <f>DATE(YEAR(SUBSTITUTE(LEFT(Base_report!G1048,10),"-","/")),MONTH(SUBSTITUTE(LEFT(Base_report!G1048,10),"-","/")),DAY(SUBSTITUTE(LEFT(Base_report!G1048,10),"-","/")))</f>
        <v>45298</v>
      </c>
      <c r="I1051" s="17" t="str">
        <f t="shared" si="1"/>
        <v>OUI</v>
      </c>
      <c r="J1051" s="18">
        <f>IF(L1051="DS",DATE(RIGHT(B1051,4),VLOOKUP(LEFT(B1051,LEN(B1051)-5),Feuil1!$E$3:$F$19,2,FALSE)+1,10),DATE(RIGHT(B1051,4),VLOOKUP(LEFT(B1051,LEN(B1051)-5),Feuil1!$E$3:$F$19,2,FALSE)+1,7))</f>
        <v>45298</v>
      </c>
      <c r="K1051" s="19">
        <f t="shared" si="2"/>
        <v>1</v>
      </c>
      <c r="L1051" s="6" t="str">
        <f t="shared" si="3"/>
        <v>FS</v>
      </c>
    </row>
    <row r="1052" ht="14.25" customHeight="1">
      <c r="A1052" s="14" t="str">
        <f>Base_report!A1049</f>
        <v>ABIDJAN 2</v>
      </c>
      <c r="B1052" s="14" t="str">
        <f>Base_report!B1049</f>
        <v>DECEMBRE 2023</v>
      </c>
      <c r="C1052" s="15" t="str">
        <f>Base_report!C1049</f>
        <v>C1106</v>
      </c>
      <c r="D1052" s="14" t="str">
        <f>TRIM(IF(ISNUMBER(FIND("PNSME",Base_report!D1049,1)),SUBSTITUTE(Base_report!D1049,"PNSME",""),IF(ISNUMBER(FIND("PHG",Base_report!D1049,1)),SUBSTITUTE(Base_report!D1049,"PHG",""),IF(ISNUMBER(FIND("PCS",Base_report!D1049,1)),SUBSTITUTE(Base_report!D1049,"PCS",""),IF(ISNUMBER(FIND("CMU",Base_report!D1049,1)),SUBSTITUTE(Base_report!D1049,"CMU",""),Base_report!D1049)))))</f>
        <v>INSTITUT NATIONAL DE LA SANTE PUBLIQUE</v>
      </c>
      <c r="E1052" s="14" t="str">
        <f>SUBSTITUTE(Base_report!E1049,"-","/")</f>
        <v>PNLS/TESTS RAPIDES ET CONSOMMABLES</v>
      </c>
      <c r="F1052" s="14" t="s">
        <v>788</v>
      </c>
      <c r="G1052" s="16">
        <f>DATE(YEAR(SUBSTITUTE(LEFT(Base_report!F1049,10),"-","/")),MONTH(SUBSTITUTE(LEFT(Base_report!F1049,10),"-","/")),DAY(SUBSTITUTE(LEFT(Base_report!F1049,10),"-","/")))</f>
        <v>45296</v>
      </c>
      <c r="H1052" s="16">
        <f>DATE(YEAR(SUBSTITUTE(LEFT(Base_report!G1049,10),"-","/")),MONTH(SUBSTITUTE(LEFT(Base_report!G1049,10),"-","/")),DAY(SUBSTITUTE(LEFT(Base_report!G1049,10),"-","/")))</f>
        <v>45296</v>
      </c>
      <c r="I1052" s="17" t="str">
        <f t="shared" si="1"/>
        <v>OUI</v>
      </c>
      <c r="J1052" s="18">
        <f>IF(L1052="DS",DATE(RIGHT(B1052,4),VLOOKUP(LEFT(B1052,LEN(B1052)-5),Feuil1!$E$3:$F$19,2,FALSE)+1,10),DATE(RIGHT(B1052,4),VLOOKUP(LEFT(B1052,LEN(B1052)-5),Feuil1!$E$3:$F$19,2,FALSE)+1,7))</f>
        <v>45298</v>
      </c>
      <c r="K1052" s="19">
        <f t="shared" si="2"/>
        <v>1</v>
      </c>
      <c r="L1052" s="6" t="str">
        <f t="shared" si="3"/>
        <v>FS</v>
      </c>
    </row>
    <row r="1053" ht="14.25" customHeight="1">
      <c r="A1053" s="14" t="str">
        <f>Base_report!A1050</f>
        <v>ABIDJAN 1</v>
      </c>
      <c r="B1053" s="14" t="str">
        <f>Base_report!B1050</f>
        <v>DECEMBRE 2023</v>
      </c>
      <c r="C1053" s="15" t="str">
        <f>Base_report!C1050</f>
        <v>C1068</v>
      </c>
      <c r="D1053" s="14" t="str">
        <f>TRIM(IF(ISNUMBER(FIND("PNSME",Base_report!D1050,1)),SUBSTITUTE(Base_report!D1050,"PNSME",""),IF(ISNUMBER(FIND("PHG",Base_report!D1050,1)),SUBSTITUTE(Base_report!D1050,"PHG",""),IF(ISNUMBER(FIND("PCS",Base_report!D1050,1)),SUBSTITUTE(Base_report!D1050,"PCS",""),IF(ISNUMBER(FIND("CMU",Base_report!D1050,1)),SUBSTITUTE(Base_report!D1050,"CMU",""),Base_report!D1050)))))</f>
        <v>FSU COM ANONKOUA-KOUTE</v>
      </c>
      <c r="E1053" s="14" t="str">
        <f>SUBSTITUTE(Base_report!E1050,"-","/")</f>
        <v>PNLP/MEDICAMENTS ET INTRANTS</v>
      </c>
      <c r="F1053" s="14" t="s">
        <v>788</v>
      </c>
      <c r="G1053" s="16">
        <f>DATE(YEAR(SUBSTITUTE(LEFT(Base_report!F1050,10),"-","/")),MONTH(SUBSTITUTE(LEFT(Base_report!F1050,10),"-","/")),DAY(SUBSTITUTE(LEFT(Base_report!F1050,10),"-","/")))</f>
        <v>45296</v>
      </c>
      <c r="H1053" s="16">
        <f>DATE(YEAR(SUBSTITUTE(LEFT(Base_report!G1050,10),"-","/")),MONTH(SUBSTITUTE(LEFT(Base_report!G1050,10),"-","/")),DAY(SUBSTITUTE(LEFT(Base_report!G1050,10),"-","/")))</f>
        <v>45296</v>
      </c>
      <c r="I1053" s="17" t="str">
        <f t="shared" si="1"/>
        <v>OUI</v>
      </c>
      <c r="J1053" s="18">
        <f>IF(L1053="DS",DATE(RIGHT(B1053,4),VLOOKUP(LEFT(B1053,LEN(B1053)-5),Feuil1!$E$3:$F$19,2,FALSE)+1,10),DATE(RIGHT(B1053,4),VLOOKUP(LEFT(B1053,LEN(B1053)-5),Feuil1!$E$3:$F$19,2,FALSE)+1,7))</f>
        <v>45298</v>
      </c>
      <c r="K1053" s="19">
        <f t="shared" si="2"/>
        <v>1</v>
      </c>
      <c r="L1053" s="6" t="str">
        <f t="shared" si="3"/>
        <v>FS</v>
      </c>
    </row>
    <row r="1054" ht="14.25" customHeight="1">
      <c r="A1054" s="14" t="str">
        <f>Base_report!A1051</f>
        <v>GUEMON</v>
      </c>
      <c r="B1054" s="14" t="str">
        <f>Base_report!B1051</f>
        <v>DECEMBRE 2023</v>
      </c>
      <c r="C1054" s="15" t="str">
        <f>Base_report!C1051</f>
        <v>C5019</v>
      </c>
      <c r="D1054" s="14" t="str">
        <f>TRIM(IF(ISNUMBER(FIND("PNSME",Base_report!D1051,1)),SUBSTITUTE(Base_report!D1051,"PNSME",""),IF(ISNUMBER(FIND("PHG",Base_report!D1051,1)),SUBSTITUTE(Base_report!D1051,"PHG",""),IF(ISNUMBER(FIND("PCS",Base_report!D1051,1)),SUBSTITUTE(Base_report!D1051,"PCS",""),IF(ISNUMBER(FIND("CMU",Base_report!D1051,1)),SUBSTITUTE(Base_report!D1051,"CMU",""),Base_report!D1051)))))</f>
        <v>HOPITAL GENERAL DUEKOUE</v>
      </c>
      <c r="E1054" s="14" t="str">
        <f>SUBSTITUTE(Base_report!E1051,"-","/")</f>
        <v>PNLS/CHARGES VIRALES</v>
      </c>
      <c r="F1054" s="14" t="s">
        <v>788</v>
      </c>
      <c r="G1054" s="16">
        <f>DATE(YEAR(SUBSTITUTE(LEFT(Base_report!F1051,10),"-","/")),MONTH(SUBSTITUTE(LEFT(Base_report!F1051,10),"-","/")),DAY(SUBSTITUTE(LEFT(Base_report!F1051,10),"-","/")))</f>
        <v>45296</v>
      </c>
      <c r="H1054" s="16">
        <f>DATE(YEAR(SUBSTITUTE(LEFT(Base_report!G1051,10),"-","/")),MONTH(SUBSTITUTE(LEFT(Base_report!G1051,10),"-","/")),DAY(SUBSTITUTE(LEFT(Base_report!G1051,10),"-","/")))</f>
        <v>45297</v>
      </c>
      <c r="I1054" s="17" t="str">
        <f t="shared" si="1"/>
        <v>OUI</v>
      </c>
      <c r="J1054" s="18">
        <f>IF(L1054="DS",DATE(RIGHT(B1054,4),VLOOKUP(LEFT(B1054,LEN(B1054)-5),Feuil1!$E$3:$F$19,2,FALSE)+1,10),DATE(RIGHT(B1054,4),VLOOKUP(LEFT(B1054,LEN(B1054)-5),Feuil1!$E$3:$F$19,2,FALSE)+1,7))</f>
        <v>45298</v>
      </c>
      <c r="K1054" s="19">
        <f t="shared" si="2"/>
        <v>1</v>
      </c>
      <c r="L1054" s="6" t="str">
        <f t="shared" si="3"/>
        <v>FS</v>
      </c>
    </row>
    <row r="1055" ht="14.25" customHeight="1">
      <c r="A1055" s="14" t="str">
        <f>Base_report!A1052</f>
        <v>ABIDJAN 2</v>
      </c>
      <c r="B1055" s="14" t="str">
        <f>Base_report!B1052</f>
        <v>DECEMBRE 2023</v>
      </c>
      <c r="C1055" s="15" t="str">
        <f>Base_report!C1052</f>
        <v>C1904</v>
      </c>
      <c r="D1055" s="14" t="str">
        <f>TRIM(IF(ISNUMBER(FIND("PNSME",Base_report!D1052,1)),SUBSTITUTE(Base_report!D1052,"PNSME",""),IF(ISNUMBER(FIND("PHG",Base_report!D1052,1)),SUBSTITUTE(Base_report!D1052,"PHG",""),IF(ISNUMBER(FIND("PCS",Base_report!D1052,1)),SUBSTITUTE(Base_report!D1052,"PCS",""),IF(ISNUMBER(FIND("CMU",Base_report!D1052,1)),SUBSTITUTE(Base_report!D1052,"CMU",""),Base_report!D1052)))))</f>
        <v>DISTRICT SANITAIRE KOUMASSI</v>
      </c>
      <c r="E1055" s="14" t="str">
        <f>SUBSTITUTE(Base_report!E1052,"-","/")</f>
        <v>PNLS/PRODUITS DE LABORATOIRE</v>
      </c>
      <c r="F1055" s="14" t="s">
        <v>788</v>
      </c>
      <c r="G1055" s="16">
        <f>DATE(YEAR(SUBSTITUTE(LEFT(Base_report!F1052,10),"-","/")),MONTH(SUBSTITUTE(LEFT(Base_report!F1052,10),"-","/")),DAY(SUBSTITUTE(LEFT(Base_report!F1052,10),"-","/")))</f>
        <v>45301</v>
      </c>
      <c r="H1055" s="16">
        <f>DATE(YEAR(SUBSTITUTE(LEFT(Base_report!G1052,10),"-","/")),MONTH(SUBSTITUTE(LEFT(Base_report!G1052,10),"-","/")),DAY(SUBSTITUTE(LEFT(Base_report!G1052,10),"-","/")))</f>
        <v>45301</v>
      </c>
      <c r="I1055" s="17" t="str">
        <f t="shared" si="1"/>
        <v>OUI</v>
      </c>
      <c r="J1055" s="18">
        <f>IF(L1055="DS",DATE(RIGHT(B1055,4),VLOOKUP(LEFT(B1055,LEN(B1055)-5),Feuil1!$E$3:$F$19,2,FALSE)+1,10),DATE(RIGHT(B1055,4),VLOOKUP(LEFT(B1055,LEN(B1055)-5),Feuil1!$E$3:$F$19,2,FALSE)+1,7))</f>
        <v>45301</v>
      </c>
      <c r="K1055" s="19">
        <f t="shared" si="2"/>
        <v>1</v>
      </c>
      <c r="L1055" s="6" t="str">
        <f t="shared" si="3"/>
        <v>DS</v>
      </c>
    </row>
    <row r="1056" ht="14.25" customHeight="1">
      <c r="A1056" s="14" t="str">
        <f>Base_report!A1053</f>
        <v>LOH-DJIBOUA</v>
      </c>
      <c r="B1056" s="14" t="str">
        <f>Base_report!B1053</f>
        <v>DECEMBRE 2023</v>
      </c>
      <c r="C1056" s="15" t="str">
        <f>Base_report!C1053</f>
        <v>C2005</v>
      </c>
      <c r="D1056" s="14" t="str">
        <f>TRIM(IF(ISNUMBER(FIND("PNSME",Base_report!D1053,1)),SUBSTITUTE(Base_report!D1053,"PNSME",""),IF(ISNUMBER(FIND("PHG",Base_report!D1053,1)),SUBSTITUTE(Base_report!D1053,"PHG",""),IF(ISNUMBER(FIND("PCS",Base_report!D1053,1)),SUBSTITUTE(Base_report!D1053,"PCS",""),IF(ISNUMBER(FIND("CMU",Base_report!D1053,1)),SUBSTITUTE(Base_report!D1053,"CMU",""),Base_report!D1053)))))</f>
        <v>CHR DIVO</v>
      </c>
      <c r="E1056" s="14" t="str">
        <f>SUBSTITUTE(Base_report!E1053,"-","/")</f>
        <v>PNSME/MEDICAMENTS ET INTRANTS</v>
      </c>
      <c r="F1056" s="14" t="s">
        <v>788</v>
      </c>
      <c r="G1056" s="16">
        <f>DATE(YEAR(SUBSTITUTE(LEFT(Base_report!F1053,10),"-","/")),MONTH(SUBSTITUTE(LEFT(Base_report!F1053,10),"-","/")),DAY(SUBSTITUTE(LEFT(Base_report!F1053,10),"-","/")))</f>
        <v>45296</v>
      </c>
      <c r="H1056" s="16">
        <f>DATE(YEAR(SUBSTITUTE(LEFT(Base_report!G1053,10),"-","/")),MONTH(SUBSTITUTE(LEFT(Base_report!G1053,10),"-","/")),DAY(SUBSTITUTE(LEFT(Base_report!G1053,10),"-","/")))</f>
        <v>45298</v>
      </c>
      <c r="I1056" s="17" t="str">
        <f t="shared" si="1"/>
        <v>OUI</v>
      </c>
      <c r="J1056" s="18">
        <f>IF(L1056="DS",DATE(RIGHT(B1056,4),VLOOKUP(LEFT(B1056,LEN(B1056)-5),Feuil1!$E$3:$F$19,2,FALSE)+1,10),DATE(RIGHT(B1056,4),VLOOKUP(LEFT(B1056,LEN(B1056)-5),Feuil1!$E$3:$F$19,2,FALSE)+1,7))</f>
        <v>45298</v>
      </c>
      <c r="K1056" s="19">
        <f t="shared" si="2"/>
        <v>1</v>
      </c>
      <c r="L1056" s="6" t="str">
        <f t="shared" si="3"/>
        <v>FS</v>
      </c>
    </row>
    <row r="1057" ht="14.25" customHeight="1">
      <c r="A1057" s="14" t="str">
        <f>Base_report!A1054</f>
        <v>BELIER</v>
      </c>
      <c r="B1057" s="14" t="str">
        <f>Base_report!B1054</f>
        <v>DECEMBRE 2023</v>
      </c>
      <c r="C1057" s="15" t="str">
        <f>Base_report!C1054</f>
        <v>C2051</v>
      </c>
      <c r="D1057" s="14" t="str">
        <f>TRIM(IF(ISNUMBER(FIND("PNSME",Base_report!D1054,1)),SUBSTITUTE(Base_report!D1054,"PNSME",""),IF(ISNUMBER(FIND("PHG",Base_report!D1054,1)),SUBSTITUTE(Base_report!D1054,"PHG",""),IF(ISNUMBER(FIND("PCS",Base_report!D1054,1)),SUBSTITUTE(Base_report!D1054,"PCS",""),IF(ISNUMBER(FIND("CMU",Base_report!D1054,1)),SUBSTITUTE(Base_report!D1054,"CMU",""),Base_report!D1054)))))</f>
        <v>HOPITAL GENERAL DIDIEVI</v>
      </c>
      <c r="E1057" s="14" t="str">
        <f>SUBSTITUTE(Base_report!E1054,"-","/")</f>
        <v>PNN/MEDICAMENTS ET INTRANTS</v>
      </c>
      <c r="F1057" s="14" t="s">
        <v>788</v>
      </c>
      <c r="G1057" s="16">
        <f>DATE(YEAR(SUBSTITUTE(LEFT(Base_report!F1054,10),"-","/")),MONTH(SUBSTITUTE(LEFT(Base_report!F1054,10),"-","/")),DAY(SUBSTITUTE(LEFT(Base_report!F1054,10),"-","/")))</f>
        <v>45296</v>
      </c>
      <c r="H1057" s="16">
        <f>DATE(YEAR(SUBSTITUTE(LEFT(Base_report!G1054,10),"-","/")),MONTH(SUBSTITUTE(LEFT(Base_report!G1054,10),"-","/")),DAY(SUBSTITUTE(LEFT(Base_report!G1054,10),"-","/")))</f>
        <v>45296</v>
      </c>
      <c r="I1057" s="17" t="str">
        <f t="shared" si="1"/>
        <v>OUI</v>
      </c>
      <c r="J1057" s="18">
        <f>IF(L1057="DS",DATE(RIGHT(B1057,4),VLOOKUP(LEFT(B1057,LEN(B1057)-5),Feuil1!$E$3:$F$19,2,FALSE)+1,10),DATE(RIGHT(B1057,4),VLOOKUP(LEFT(B1057,LEN(B1057)-5),Feuil1!$E$3:$F$19,2,FALSE)+1,7))</f>
        <v>45298</v>
      </c>
      <c r="K1057" s="19">
        <f t="shared" si="2"/>
        <v>1</v>
      </c>
      <c r="L1057" s="6" t="str">
        <f t="shared" si="3"/>
        <v>FS</v>
      </c>
    </row>
    <row r="1058" ht="14.25" customHeight="1">
      <c r="A1058" s="14" t="str">
        <f>Base_report!A1055</f>
        <v>GBEKE</v>
      </c>
      <c r="B1058" s="14" t="str">
        <f>Base_report!B1055</f>
        <v>DECEMBRE 2023</v>
      </c>
      <c r="C1058" s="15" t="str">
        <f>Base_report!C1055</f>
        <v>C2047</v>
      </c>
      <c r="D1058" s="14" t="str">
        <f>TRIM(IF(ISNUMBER(FIND("PNSME",Base_report!D1055,1)),SUBSTITUTE(Base_report!D1055,"PNSME",""),IF(ISNUMBER(FIND("PHG",Base_report!D1055,1)),SUBSTITUTE(Base_report!D1055,"PHG",""),IF(ISNUMBER(FIND("PCS",Base_report!D1055,1)),SUBSTITUTE(Base_report!D1055,"PCS",""),IF(ISNUMBER(FIND("CMU",Base_report!D1055,1)),SUBSTITUTE(Base_report!D1055,"CMU",""),Base_report!D1055)))))</f>
        <v>HOPITAL GENERAL BEOUMI</v>
      </c>
      <c r="E1058" s="14" t="str">
        <f>SUBSTITUTE(Base_report!E1055,"-","/")</f>
        <v>PNLS/TESTS RAPIDES ET CONSOMMABLES</v>
      </c>
      <c r="F1058" s="14" t="s">
        <v>788</v>
      </c>
      <c r="G1058" s="16">
        <f>DATE(YEAR(SUBSTITUTE(LEFT(Base_report!F1055,10),"-","/")),MONTH(SUBSTITUTE(LEFT(Base_report!F1055,10),"-","/")),DAY(SUBSTITUTE(LEFT(Base_report!F1055,10),"-","/")))</f>
        <v>45297</v>
      </c>
      <c r="H1058" s="16">
        <f>DATE(YEAR(SUBSTITUTE(LEFT(Base_report!G1055,10),"-","/")),MONTH(SUBSTITUTE(LEFT(Base_report!G1055,10),"-","/")),DAY(SUBSTITUTE(LEFT(Base_report!G1055,10),"-","/")))</f>
        <v>45297</v>
      </c>
      <c r="I1058" s="17" t="str">
        <f t="shared" si="1"/>
        <v>OUI</v>
      </c>
      <c r="J1058" s="18">
        <f>IF(L1058="DS",DATE(RIGHT(B1058,4),VLOOKUP(LEFT(B1058,LEN(B1058)-5),Feuil1!$E$3:$F$19,2,FALSE)+1,10),DATE(RIGHT(B1058,4),VLOOKUP(LEFT(B1058,LEN(B1058)-5),Feuil1!$E$3:$F$19,2,FALSE)+1,7))</f>
        <v>45298</v>
      </c>
      <c r="K1058" s="19">
        <f t="shared" si="2"/>
        <v>1</v>
      </c>
      <c r="L1058" s="6" t="str">
        <f t="shared" si="3"/>
        <v>FS</v>
      </c>
    </row>
    <row r="1059" ht="14.25" customHeight="1">
      <c r="A1059" s="14" t="str">
        <f>Base_report!A1056</f>
        <v>PORO</v>
      </c>
      <c r="B1059" s="14" t="str">
        <f>Base_report!B1056</f>
        <v>DECEMBRE 2023</v>
      </c>
      <c r="C1059" s="15" t="str">
        <f>Base_report!C1056</f>
        <v>C3021</v>
      </c>
      <c r="D1059" s="14" t="str">
        <f>TRIM(IF(ISNUMBER(FIND("PNSME",Base_report!D1056,1)),SUBSTITUTE(Base_report!D1056,"PNSME",""),IF(ISNUMBER(FIND("PHG",Base_report!D1056,1)),SUBSTITUTE(Base_report!D1056,"PHG",""),IF(ISNUMBER(FIND("PCS",Base_report!D1056,1)),SUBSTITUTE(Base_report!D1056,"PCS",""),IF(ISNUMBER(FIND("CMU",Base_report!D1056,1)),SUBSTITUTE(Base_report!D1056,"CMU",""),Base_report!D1056)))))</f>
        <v>HOPITAL GENERAL SINEMATIALI</v>
      </c>
      <c r="E1059" s="14" t="str">
        <f>SUBSTITUTE(Base_report!E1056,"-","/")</f>
        <v>PNLP/MEDICAMENTS ET INTRANTS</v>
      </c>
      <c r="F1059" s="14" t="s">
        <v>788</v>
      </c>
      <c r="G1059" s="16">
        <f>DATE(YEAR(SUBSTITUTE(LEFT(Base_report!F1056,10),"-","/")),MONTH(SUBSTITUTE(LEFT(Base_report!F1056,10),"-","/")),DAY(SUBSTITUTE(LEFT(Base_report!F1056,10),"-","/")))</f>
        <v>45297</v>
      </c>
      <c r="H1059" s="16">
        <f>DATE(YEAR(SUBSTITUTE(LEFT(Base_report!G1056,10),"-","/")),MONTH(SUBSTITUTE(LEFT(Base_report!G1056,10),"-","/")),DAY(SUBSTITUTE(LEFT(Base_report!G1056,10),"-","/")))</f>
        <v>45298</v>
      </c>
      <c r="I1059" s="17" t="str">
        <f t="shared" si="1"/>
        <v>OUI</v>
      </c>
      <c r="J1059" s="18">
        <f>IF(L1059="DS",DATE(RIGHT(B1059,4),VLOOKUP(LEFT(B1059,LEN(B1059)-5),Feuil1!$E$3:$F$19,2,FALSE)+1,10),DATE(RIGHT(B1059,4),VLOOKUP(LEFT(B1059,LEN(B1059)-5),Feuil1!$E$3:$F$19,2,FALSE)+1,7))</f>
        <v>45298</v>
      </c>
      <c r="K1059" s="19">
        <f t="shared" si="2"/>
        <v>1</v>
      </c>
      <c r="L1059" s="6" t="str">
        <f t="shared" si="3"/>
        <v>FS</v>
      </c>
    </row>
    <row r="1060" ht="14.25" customHeight="1">
      <c r="A1060" s="14" t="str">
        <f>Base_report!A1057</f>
        <v>ABIDJAN 1</v>
      </c>
      <c r="B1060" s="14" t="str">
        <f>Base_report!B1057</f>
        <v>DECEMBRE 2023</v>
      </c>
      <c r="C1060" s="15" t="str">
        <f>Base_report!C1057</f>
        <v>C1905</v>
      </c>
      <c r="D1060" s="14" t="str">
        <f>TRIM(IF(ISNUMBER(FIND("PNSME",Base_report!D1057,1)),SUBSTITUTE(Base_report!D1057,"PNSME",""),IF(ISNUMBER(FIND("PHG",Base_report!D1057,1)),SUBSTITUTE(Base_report!D1057,"PHG",""),IF(ISNUMBER(FIND("PCS",Base_report!D1057,1)),SUBSTITUTE(Base_report!D1057,"PCS",""),IF(ISNUMBER(FIND("CMU",Base_report!D1057,1)),SUBSTITUTE(Base_report!D1057,"CMU",""),Base_report!D1057)))))</f>
        <v>CSU SONGON KASSEMBLE</v>
      </c>
      <c r="E1060" s="14" t="str">
        <f>SUBSTITUTE(Base_report!E1057,"-","/")</f>
        <v>PNLS/ANTIRETROVIRAUX ET IO</v>
      </c>
      <c r="F1060" s="14" t="s">
        <v>788</v>
      </c>
      <c r="G1060" s="16">
        <f>DATE(YEAR(SUBSTITUTE(LEFT(Base_report!F1057,10),"-","/")),MONTH(SUBSTITUTE(LEFT(Base_report!F1057,10),"-","/")),DAY(SUBSTITUTE(LEFT(Base_report!F1057,10),"-","/")))</f>
        <v>45297</v>
      </c>
      <c r="H1060" s="16">
        <f>DATE(YEAR(SUBSTITUTE(LEFT(Base_report!G1057,10),"-","/")),MONTH(SUBSTITUTE(LEFT(Base_report!G1057,10),"-","/")),DAY(SUBSTITUTE(LEFT(Base_report!G1057,10),"-","/")))</f>
        <v>45298</v>
      </c>
      <c r="I1060" s="17" t="str">
        <f t="shared" si="1"/>
        <v>OUI</v>
      </c>
      <c r="J1060" s="18">
        <f>IF(L1060="DS",DATE(RIGHT(B1060,4),VLOOKUP(LEFT(B1060,LEN(B1060)-5),Feuil1!$E$3:$F$19,2,FALSE)+1,10),DATE(RIGHT(B1060,4),VLOOKUP(LEFT(B1060,LEN(B1060)-5),Feuil1!$E$3:$F$19,2,FALSE)+1,7))</f>
        <v>45298</v>
      </c>
      <c r="K1060" s="19">
        <f t="shared" si="2"/>
        <v>1</v>
      </c>
      <c r="L1060" s="6" t="str">
        <f t="shared" si="3"/>
        <v>FS</v>
      </c>
    </row>
    <row r="1061" ht="14.25" customHeight="1">
      <c r="A1061" s="14" t="str">
        <f>Base_report!A1058</f>
        <v>AGNEBY-TIASSA</v>
      </c>
      <c r="B1061" s="14" t="str">
        <f>Base_report!B1058</f>
        <v>DECEMBRE 2023</v>
      </c>
      <c r="C1061" s="15" t="str">
        <f>Base_report!C1058</f>
        <v>C1112</v>
      </c>
      <c r="D1061" s="14" t="str">
        <f>TRIM(IF(ISNUMBER(FIND("PNSME",Base_report!D1058,1)),SUBSTITUTE(Base_report!D1058,"PNSME",""),IF(ISNUMBER(FIND("PHG",Base_report!D1058,1)),SUBSTITUTE(Base_report!D1058,"PHG",""),IF(ISNUMBER(FIND("PCS",Base_report!D1058,1)),SUBSTITUTE(Base_report!D1058,"PCS",""),IF(ISNUMBER(FIND("CMU",Base_report!D1058,1)),SUBSTITUTE(Base_report!D1058,"CMU",""),Base_report!D1058)))))</f>
        <v>HOPITAL GENERAL TIASSALE</v>
      </c>
      <c r="E1061" s="14" t="str">
        <f>SUBSTITUTE(Base_report!E1058,"-","/")</f>
        <v>PNLS/PRODUITS DE LABORATOIRE</v>
      </c>
      <c r="F1061" s="14" t="s">
        <v>788</v>
      </c>
      <c r="G1061" s="16">
        <f>DATE(YEAR(SUBSTITUTE(LEFT(Base_report!F1058,10),"-","/")),MONTH(SUBSTITUTE(LEFT(Base_report!F1058,10),"-","/")),DAY(SUBSTITUTE(LEFT(Base_report!F1058,10),"-","/")))</f>
        <v>45296</v>
      </c>
      <c r="H1061" s="16">
        <f>DATE(YEAR(SUBSTITUTE(LEFT(Base_report!G1058,10),"-","/")),MONTH(SUBSTITUTE(LEFT(Base_report!G1058,10),"-","/")),DAY(SUBSTITUTE(LEFT(Base_report!G1058,10),"-","/")))</f>
        <v>45296</v>
      </c>
      <c r="I1061" s="17" t="str">
        <f t="shared" si="1"/>
        <v>OUI</v>
      </c>
      <c r="J1061" s="18">
        <f>IF(L1061="DS",DATE(RIGHT(B1061,4),VLOOKUP(LEFT(B1061,LEN(B1061)-5),Feuil1!$E$3:$F$19,2,FALSE)+1,10),DATE(RIGHT(B1061,4),VLOOKUP(LEFT(B1061,LEN(B1061)-5),Feuil1!$E$3:$F$19,2,FALSE)+1,7))</f>
        <v>45298</v>
      </c>
      <c r="K1061" s="19">
        <f t="shared" si="2"/>
        <v>1</v>
      </c>
      <c r="L1061" s="6" t="str">
        <f t="shared" si="3"/>
        <v>FS</v>
      </c>
    </row>
    <row r="1062" ht="14.25" customHeight="1">
      <c r="A1062" s="14" t="str">
        <f>Base_report!A1059</f>
        <v>GBOKLE</v>
      </c>
      <c r="B1062" s="14" t="str">
        <f>Base_report!B1059</f>
        <v>DECEMBRE 2023</v>
      </c>
      <c r="C1062" s="15" t="str">
        <f>Base_report!C1059</f>
        <v>C1089</v>
      </c>
      <c r="D1062" s="14" t="str">
        <f>TRIM(IF(ISNUMBER(FIND("PNSME",Base_report!D1059,1)),SUBSTITUTE(Base_report!D1059,"PNSME",""),IF(ISNUMBER(FIND("PHG",Base_report!D1059,1)),SUBSTITUTE(Base_report!D1059,"PHG",""),IF(ISNUMBER(FIND("PCS",Base_report!D1059,1)),SUBSTITUTE(Base_report!D1059,"PCS",""),IF(ISNUMBER(FIND("CMU",Base_report!D1059,1)),SUBSTITUTE(Base_report!D1059,"CMU",""),Base_report!D1059)))))</f>
        <v>HOPITAL GENERAL FRESCO</v>
      </c>
      <c r="E1062" s="14" t="str">
        <f>SUBSTITUTE(Base_report!E1059,"-","/")</f>
        <v>PNLS/ANTIRETROVIRAUX ET IO</v>
      </c>
      <c r="F1062" s="14" t="s">
        <v>788</v>
      </c>
      <c r="G1062" s="16">
        <f>DATE(YEAR(SUBSTITUTE(LEFT(Base_report!F1059,10),"-","/")),MONTH(SUBSTITUTE(LEFT(Base_report!F1059,10),"-","/")),DAY(SUBSTITUTE(LEFT(Base_report!F1059,10),"-","/")))</f>
        <v>45297</v>
      </c>
      <c r="H1062" s="16">
        <f>DATE(YEAR(SUBSTITUTE(LEFT(Base_report!G1059,10),"-","/")),MONTH(SUBSTITUTE(LEFT(Base_report!G1059,10),"-","/")),DAY(SUBSTITUTE(LEFT(Base_report!G1059,10),"-","/")))</f>
        <v>45297</v>
      </c>
      <c r="I1062" s="17" t="str">
        <f t="shared" si="1"/>
        <v>OUI</v>
      </c>
      <c r="J1062" s="18">
        <f>IF(L1062="DS",DATE(RIGHT(B1062,4),VLOOKUP(LEFT(B1062,LEN(B1062)-5),Feuil1!$E$3:$F$19,2,FALSE)+1,10),DATE(RIGHT(B1062,4),VLOOKUP(LEFT(B1062,LEN(B1062)-5),Feuil1!$E$3:$F$19,2,FALSE)+1,7))</f>
        <v>45298</v>
      </c>
      <c r="K1062" s="19">
        <f t="shared" si="2"/>
        <v>1</v>
      </c>
      <c r="L1062" s="6" t="str">
        <f t="shared" si="3"/>
        <v>FS</v>
      </c>
    </row>
    <row r="1063" ht="14.25" customHeight="1">
      <c r="A1063" s="14" t="str">
        <f>Base_report!A1060</f>
        <v>GBEKE</v>
      </c>
      <c r="B1063" s="14" t="str">
        <f>Base_report!B1060</f>
        <v>DECEMBRE 2023</v>
      </c>
      <c r="C1063" s="15" t="str">
        <f>Base_report!C1060</f>
        <v>C2062</v>
      </c>
      <c r="D1063" s="14" t="str">
        <f>TRIM(IF(ISNUMBER(FIND("PNSME",Base_report!D1060,1)),SUBSTITUTE(Base_report!D1060,"PNSME",""),IF(ISNUMBER(FIND("PHG",Base_report!D1060,1)),SUBSTITUTE(Base_report!D1060,"PHG",""),IF(ISNUMBER(FIND("PCS",Base_report!D1060,1)),SUBSTITUTE(Base_report!D1060,"PCS",""),IF(ISNUMBER(FIND("CMU",Base_report!D1060,1)),SUBSTITUTE(Base_report!D1060,"CMU",""),Base_report!D1060)))))</f>
        <v>HOPITAL GENERAL SAKASSOU</v>
      </c>
      <c r="E1063" s="14" t="str">
        <f>SUBSTITUTE(Base_report!E1060,"-","/")</f>
        <v>PNLS/TESTS RAPIDES ET CONSOMMABLES</v>
      </c>
      <c r="F1063" s="14" t="s">
        <v>788</v>
      </c>
      <c r="G1063" s="16">
        <f>DATE(YEAR(SUBSTITUTE(LEFT(Base_report!F1060,10),"-","/")),MONTH(SUBSTITUTE(LEFT(Base_report!F1060,10),"-","/")),DAY(SUBSTITUTE(LEFT(Base_report!F1060,10),"-","/")))</f>
        <v>45296</v>
      </c>
      <c r="H1063" s="16">
        <f>DATE(YEAR(SUBSTITUTE(LEFT(Base_report!G1060,10),"-","/")),MONTH(SUBSTITUTE(LEFT(Base_report!G1060,10),"-","/")),DAY(SUBSTITUTE(LEFT(Base_report!G1060,10),"-","/")))</f>
        <v>45296</v>
      </c>
      <c r="I1063" s="17" t="str">
        <f t="shared" si="1"/>
        <v>OUI</v>
      </c>
      <c r="J1063" s="18">
        <f>IF(L1063="DS",DATE(RIGHT(B1063,4),VLOOKUP(LEFT(B1063,LEN(B1063)-5),Feuil1!$E$3:$F$19,2,FALSE)+1,10),DATE(RIGHT(B1063,4),VLOOKUP(LEFT(B1063,LEN(B1063)-5),Feuil1!$E$3:$F$19,2,FALSE)+1,7))</f>
        <v>45298</v>
      </c>
      <c r="K1063" s="19">
        <f t="shared" si="2"/>
        <v>1</v>
      </c>
      <c r="L1063" s="6" t="str">
        <f t="shared" si="3"/>
        <v>FS</v>
      </c>
    </row>
    <row r="1064" ht="14.25" customHeight="1">
      <c r="A1064" s="14" t="str">
        <f>Base_report!A1061</f>
        <v>ABIDJAN 1</v>
      </c>
      <c r="B1064" s="14" t="str">
        <f>Base_report!B1061</f>
        <v>DECEMBRE 2023</v>
      </c>
      <c r="C1064" s="15" t="str">
        <f>Base_report!C1061</f>
        <v>C1068</v>
      </c>
      <c r="D1064" s="14" t="str">
        <f>TRIM(IF(ISNUMBER(FIND("PNSME",Base_report!D1061,1)),SUBSTITUTE(Base_report!D1061,"PNSME",""),IF(ISNUMBER(FIND("PHG",Base_report!D1061,1)),SUBSTITUTE(Base_report!D1061,"PHG",""),IF(ISNUMBER(FIND("PCS",Base_report!D1061,1)),SUBSTITUTE(Base_report!D1061,"PCS",""),IF(ISNUMBER(FIND("CMU",Base_report!D1061,1)),SUBSTITUTE(Base_report!D1061,"CMU",""),Base_report!D1061)))))</f>
        <v>FSU COM ANONKOUA-KOUTE</v>
      </c>
      <c r="E1064" s="14" t="str">
        <f>SUBSTITUTE(Base_report!E1061,"-","/")</f>
        <v>PNLS/PRODUITS DE LABORATOIRE</v>
      </c>
      <c r="F1064" s="14" t="s">
        <v>788</v>
      </c>
      <c r="G1064" s="16">
        <f>DATE(YEAR(SUBSTITUTE(LEFT(Base_report!F1061,10),"-","/")),MONTH(SUBSTITUTE(LEFT(Base_report!F1061,10),"-","/")),DAY(SUBSTITUTE(LEFT(Base_report!F1061,10),"-","/")))</f>
        <v>45296</v>
      </c>
      <c r="H1064" s="16">
        <f>DATE(YEAR(SUBSTITUTE(LEFT(Base_report!G1061,10),"-","/")),MONTH(SUBSTITUTE(LEFT(Base_report!G1061,10),"-","/")),DAY(SUBSTITUTE(LEFT(Base_report!G1061,10),"-","/")))</f>
        <v>45296</v>
      </c>
      <c r="I1064" s="17" t="str">
        <f t="shared" si="1"/>
        <v>OUI</v>
      </c>
      <c r="J1064" s="18">
        <f>IF(L1064="DS",DATE(RIGHT(B1064,4),VLOOKUP(LEFT(B1064,LEN(B1064)-5),Feuil1!$E$3:$F$19,2,FALSE)+1,10),DATE(RIGHT(B1064,4),VLOOKUP(LEFT(B1064,LEN(B1064)-5),Feuil1!$E$3:$F$19,2,FALSE)+1,7))</f>
        <v>45298</v>
      </c>
      <c r="K1064" s="19">
        <f t="shared" si="2"/>
        <v>1</v>
      </c>
      <c r="L1064" s="6" t="str">
        <f t="shared" si="3"/>
        <v>FS</v>
      </c>
    </row>
    <row r="1065" ht="14.25" customHeight="1">
      <c r="A1065" s="14" t="str">
        <f>Base_report!#REF!</f>
        <v>#ERROR!</v>
      </c>
      <c r="B1065" s="14" t="str">
        <f>Base_report!#REF!</f>
        <v>#ERROR!</v>
      </c>
      <c r="C1065" s="15" t="str">
        <f>Base_report!#REF!</f>
        <v>#ERROR!</v>
      </c>
      <c r="D1065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065" s="14" t="str">
        <f>SUBSTITUTE(Base_report!#REF!,"-","/")</f>
        <v>#ERROR!</v>
      </c>
      <c r="F1065" s="14" t="s">
        <v>788</v>
      </c>
      <c r="G1065" s="16" t="str">
        <f>DATE(YEAR(SUBSTITUTE(LEFT(Base_report!#REF!,10),"-","/")),MONTH(SUBSTITUTE(LEFT(Base_report!#REF!,10),"-","/")),DAY(SUBSTITUTE(LEFT(Base_report!#REF!,10),"-","/")))</f>
        <v>#ERROR!</v>
      </c>
      <c r="H1065" s="16" t="str">
        <f>DATE(YEAR(SUBSTITUTE(LEFT(Base_report!#REF!,10),"-","/")),MONTH(SUBSTITUTE(LEFT(Base_report!#REF!,10),"-","/")),DAY(SUBSTITUTE(LEFT(Base_report!#REF!,10),"-","/")))</f>
        <v>#ERROR!</v>
      </c>
      <c r="I1065" s="17" t="str">
        <f t="shared" si="1"/>
        <v>OUI</v>
      </c>
      <c r="J1065" s="18" t="str">
        <f>IF(L1065="DS",DATE(RIGHT(B1065,4),VLOOKUP(LEFT(B1065,LEN(B1065)-5),Feuil1!$E$3:$F$19,2,FALSE)+1,10),DATE(RIGHT(B1065,4),VLOOKUP(LEFT(B1065,LEN(B1065)-5),Feuil1!$E$3:$F$19,2,FALSE)+1,7))</f>
        <v>#ERROR!</v>
      </c>
      <c r="K1065" s="19" t="str">
        <f t="shared" si="2"/>
        <v>#ERROR!</v>
      </c>
      <c r="L1065" s="6" t="str">
        <f t="shared" si="3"/>
        <v>FS</v>
      </c>
    </row>
    <row r="1066" ht="14.25" customHeight="1">
      <c r="A1066" s="14" t="str">
        <f>Base_report!A1062</f>
        <v>TCHOLOGO</v>
      </c>
      <c r="B1066" s="14" t="str">
        <f>Base_report!B1062</f>
        <v>DECEMBRE 2023</v>
      </c>
      <c r="C1066" s="15" t="str">
        <f>Base_report!C1062</f>
        <v>C2225</v>
      </c>
      <c r="D1066" s="14" t="str">
        <f>TRIM(IF(ISNUMBER(FIND("PNSME",Base_report!D1062,1)),SUBSTITUTE(Base_report!D1062,"PNSME",""),IF(ISNUMBER(FIND("PHG",Base_report!D1062,1)),SUBSTITUTE(Base_report!D1062,"PHG",""),IF(ISNUMBER(FIND("PCS",Base_report!D1062,1)),SUBSTITUTE(Base_report!D1062,"PCS",""),IF(ISNUMBER(FIND("CMU",Base_report!D1062,1)),SUBSTITUTE(Base_report!D1062,"CMU",""),Base_report!D1062)))))</f>
        <v>HOPITAL GENERAL KONG</v>
      </c>
      <c r="E1066" s="14" t="str">
        <f>SUBSTITUTE(Base_report!E1062,"-","/")</f>
        <v>PNLS/ANTIRETROVIRAUX ET IO</v>
      </c>
      <c r="F1066" s="14" t="s">
        <v>788</v>
      </c>
      <c r="G1066" s="16">
        <f>DATE(YEAR(SUBSTITUTE(LEFT(Base_report!F1062,10),"-","/")),MONTH(SUBSTITUTE(LEFT(Base_report!F1062,10),"-","/")),DAY(SUBSTITUTE(LEFT(Base_report!F1062,10),"-","/")))</f>
        <v>45296</v>
      </c>
      <c r="H1066" s="16">
        <f>DATE(YEAR(SUBSTITUTE(LEFT(Base_report!G1062,10),"-","/")),MONTH(SUBSTITUTE(LEFT(Base_report!G1062,10),"-","/")),DAY(SUBSTITUTE(LEFT(Base_report!G1062,10),"-","/")))</f>
        <v>45298</v>
      </c>
      <c r="I1066" s="17" t="str">
        <f t="shared" si="1"/>
        <v>OUI</v>
      </c>
      <c r="J1066" s="18">
        <f>IF(L1066="DS",DATE(RIGHT(B1066,4),VLOOKUP(LEFT(B1066,LEN(B1066)-5),Feuil1!$E$3:$F$19,2,FALSE)+1,10),DATE(RIGHT(B1066,4),VLOOKUP(LEFT(B1066,LEN(B1066)-5),Feuil1!$E$3:$F$19,2,FALSE)+1,7))</f>
        <v>45298</v>
      </c>
      <c r="K1066" s="19">
        <f t="shared" si="2"/>
        <v>1</v>
      </c>
      <c r="L1066" s="6" t="str">
        <f t="shared" si="3"/>
        <v>FS</v>
      </c>
    </row>
    <row r="1067" ht="14.25" customHeight="1">
      <c r="A1067" s="14" t="str">
        <f>Base_report!A1063</f>
        <v>GBOKLE</v>
      </c>
      <c r="B1067" s="14" t="str">
        <f>Base_report!B1063</f>
        <v>DECEMBRE 2023</v>
      </c>
      <c r="C1067" s="15" t="str">
        <f>Base_report!C1063</f>
        <v>C1095</v>
      </c>
      <c r="D1067" s="14" t="str">
        <f>TRIM(IF(ISNUMBER(FIND("PNSME",Base_report!D1063,1)),SUBSTITUTE(Base_report!D1063,"PNSME",""),IF(ISNUMBER(FIND("PHG",Base_report!D1063,1)),SUBSTITUTE(Base_report!D1063,"PHG",""),IF(ISNUMBER(FIND("PCS",Base_report!D1063,1)),SUBSTITUTE(Base_report!D1063,"PCS",""),IF(ISNUMBER(FIND("CMU",Base_report!D1063,1)),SUBSTITUTE(Base_report!D1063,"CMU",""),Base_report!D1063)))))</f>
        <v>HOPITAL GENERAL SASSANDRA</v>
      </c>
      <c r="E1067" s="14" t="str">
        <f>SUBSTITUTE(Base_report!E1063,"-","/")</f>
        <v>PNLS/TESTS RAPIDES ET CONSOMMABLES</v>
      </c>
      <c r="F1067" s="14" t="s">
        <v>788</v>
      </c>
      <c r="G1067" s="16">
        <f>DATE(YEAR(SUBSTITUTE(LEFT(Base_report!F1063,10),"-","/")),MONTH(SUBSTITUTE(LEFT(Base_report!F1063,10),"-","/")),DAY(SUBSTITUTE(LEFT(Base_report!F1063,10),"-","/")))</f>
        <v>45296</v>
      </c>
      <c r="H1067" s="16">
        <f>DATE(YEAR(SUBSTITUTE(LEFT(Base_report!G1063,10),"-","/")),MONTH(SUBSTITUTE(LEFT(Base_report!G1063,10),"-","/")),DAY(SUBSTITUTE(LEFT(Base_report!G1063,10),"-","/")))</f>
        <v>45297</v>
      </c>
      <c r="I1067" s="17" t="str">
        <f t="shared" si="1"/>
        <v>OUI</v>
      </c>
      <c r="J1067" s="18">
        <f>IF(L1067="DS",DATE(RIGHT(B1067,4),VLOOKUP(LEFT(B1067,LEN(B1067)-5),Feuil1!$E$3:$F$19,2,FALSE)+1,10),DATE(RIGHT(B1067,4),VLOOKUP(LEFT(B1067,LEN(B1067)-5),Feuil1!$E$3:$F$19,2,FALSE)+1,7))</f>
        <v>45298</v>
      </c>
      <c r="K1067" s="19">
        <f t="shared" si="2"/>
        <v>1</v>
      </c>
      <c r="L1067" s="6" t="str">
        <f t="shared" si="3"/>
        <v>FS</v>
      </c>
    </row>
    <row r="1068" ht="14.25" customHeight="1">
      <c r="A1068" s="14" t="str">
        <f>Base_report!A1064</f>
        <v>TCHOLOGO</v>
      </c>
      <c r="B1068" s="14" t="str">
        <f>Base_report!B1064</f>
        <v>DECEMBRE 2023</v>
      </c>
      <c r="C1068" s="15" t="str">
        <f>Base_report!C1064</f>
        <v>C3012</v>
      </c>
      <c r="D1068" s="14" t="str">
        <f>TRIM(IF(ISNUMBER(FIND("PNSME",Base_report!D1064,1)),SUBSTITUTE(Base_report!D1064,"PNSME",""),IF(ISNUMBER(FIND("PHG",Base_report!D1064,1)),SUBSTITUTE(Base_report!D1064,"PHG",""),IF(ISNUMBER(FIND("PCS",Base_report!D1064,1)),SUBSTITUTE(Base_report!D1064,"PCS",""),IF(ISNUMBER(FIND("CMU",Base_report!D1064,1)),SUBSTITUTE(Base_report!D1064,"CMU",""),Base_report!D1064)))))</f>
        <v>HOPITAL GENERAL FERKESEDOUGOU</v>
      </c>
      <c r="E1068" s="14" t="str">
        <f>SUBSTITUTE(Base_report!E1064,"-","/")</f>
        <v>PNLS/CHARGES VIRALES</v>
      </c>
      <c r="F1068" s="14" t="s">
        <v>788</v>
      </c>
      <c r="G1068" s="16">
        <f>DATE(YEAR(SUBSTITUTE(LEFT(Base_report!F1064,10),"-","/")),MONTH(SUBSTITUTE(LEFT(Base_report!F1064,10),"-","/")),DAY(SUBSTITUTE(LEFT(Base_report!F1064,10),"-","/")))</f>
        <v>45296</v>
      </c>
      <c r="H1068" s="16">
        <f>DATE(YEAR(SUBSTITUTE(LEFT(Base_report!G1064,10),"-","/")),MONTH(SUBSTITUTE(LEFT(Base_report!G1064,10),"-","/")),DAY(SUBSTITUTE(LEFT(Base_report!G1064,10),"-","/")))</f>
        <v>45296</v>
      </c>
      <c r="I1068" s="17" t="str">
        <f t="shared" si="1"/>
        <v>OUI</v>
      </c>
      <c r="J1068" s="18">
        <f>IF(L1068="DS",DATE(RIGHT(B1068,4),VLOOKUP(LEFT(B1068,LEN(B1068)-5),Feuil1!$E$3:$F$19,2,FALSE)+1,10),DATE(RIGHT(B1068,4),VLOOKUP(LEFT(B1068,LEN(B1068)-5),Feuil1!$E$3:$F$19,2,FALSE)+1,7))</f>
        <v>45298</v>
      </c>
      <c r="K1068" s="19">
        <f t="shared" si="2"/>
        <v>1</v>
      </c>
      <c r="L1068" s="6" t="str">
        <f t="shared" si="3"/>
        <v>FS</v>
      </c>
    </row>
    <row r="1069" ht="14.25" customHeight="1">
      <c r="A1069" s="14" t="str">
        <f>Base_report!A1065</f>
        <v>HAUT-SASSANDRA</v>
      </c>
      <c r="B1069" s="14" t="str">
        <f>Base_report!B1065</f>
        <v>DECEMBRE 2023</v>
      </c>
      <c r="C1069" s="15" t="str">
        <f>Base_report!C1065</f>
        <v>C2003</v>
      </c>
      <c r="D1069" s="14" t="str">
        <f>TRIM(IF(ISNUMBER(FIND("PNSME",Base_report!D1065,1)),SUBSTITUTE(Base_report!D1065,"PNSME",""),IF(ISNUMBER(FIND("PHG",Base_report!D1065,1)),SUBSTITUTE(Base_report!D1065,"PHG",""),IF(ISNUMBER(FIND("PCS",Base_report!D1065,1)),SUBSTITUTE(Base_report!D1065,"PCS",""),IF(ISNUMBER(FIND("CMU",Base_report!D1065,1)),SUBSTITUTE(Base_report!D1065,"CMU",""),Base_report!D1065)))))</f>
        <v>CHR DALOA</v>
      </c>
      <c r="E1069" s="14" t="str">
        <f>SUBSTITUTE(Base_report!E1065,"-","/")</f>
        <v>PNLS/PRODUITS DE LABORATOIRE</v>
      </c>
      <c r="F1069" s="14" t="s">
        <v>788</v>
      </c>
      <c r="G1069" s="16">
        <f>DATE(YEAR(SUBSTITUTE(LEFT(Base_report!F1065,10),"-","/")),MONTH(SUBSTITUTE(LEFT(Base_report!F1065,10),"-","/")),DAY(SUBSTITUTE(LEFT(Base_report!F1065,10),"-","/")))</f>
        <v>45297</v>
      </c>
      <c r="H1069" s="16">
        <f>DATE(YEAR(SUBSTITUTE(LEFT(Base_report!G1065,10),"-","/")),MONTH(SUBSTITUTE(LEFT(Base_report!G1065,10),"-","/")),DAY(SUBSTITUTE(LEFT(Base_report!G1065,10),"-","/")))</f>
        <v>45298</v>
      </c>
      <c r="I1069" s="17" t="str">
        <f t="shared" si="1"/>
        <v>OUI</v>
      </c>
      <c r="J1069" s="18">
        <f>IF(L1069="DS",DATE(RIGHT(B1069,4),VLOOKUP(LEFT(B1069,LEN(B1069)-5),Feuil1!$E$3:$F$19,2,FALSE)+1,10),DATE(RIGHT(B1069,4),VLOOKUP(LEFT(B1069,LEN(B1069)-5),Feuil1!$E$3:$F$19,2,FALSE)+1,7))</f>
        <v>45298</v>
      </c>
      <c r="K1069" s="19">
        <f t="shared" si="2"/>
        <v>1</v>
      </c>
      <c r="L1069" s="6" t="str">
        <f t="shared" si="3"/>
        <v>FS</v>
      </c>
    </row>
    <row r="1070" ht="14.25" customHeight="1">
      <c r="A1070" s="14" t="str">
        <f>Base_report!A1066</f>
        <v>TCHOLOGO</v>
      </c>
      <c r="B1070" s="14" t="str">
        <f>Base_report!B1066</f>
        <v>DECEMBRE 2023</v>
      </c>
      <c r="C1070" s="15" t="str">
        <f>Base_report!C1066</f>
        <v>C3012</v>
      </c>
      <c r="D1070" s="14" t="str">
        <f>TRIM(IF(ISNUMBER(FIND("PNSME",Base_report!D1066,1)),SUBSTITUTE(Base_report!D1066,"PNSME",""),IF(ISNUMBER(FIND("PHG",Base_report!D1066,1)),SUBSTITUTE(Base_report!D1066,"PHG",""),IF(ISNUMBER(FIND("PCS",Base_report!D1066,1)),SUBSTITUTE(Base_report!D1066,"PCS",""),IF(ISNUMBER(FIND("CMU",Base_report!D1066,1)),SUBSTITUTE(Base_report!D1066,"CMU",""),Base_report!D1066)))))</f>
        <v>HOPITAL GENERAL FERKESEDOUGOU</v>
      </c>
      <c r="E1070" s="14" t="str">
        <f>SUBSTITUTE(Base_report!E1066,"-","/")</f>
        <v>PNLS/PRODUITS DE LABORATOIRE</v>
      </c>
      <c r="F1070" s="14" t="s">
        <v>788</v>
      </c>
      <c r="G1070" s="16">
        <f>DATE(YEAR(SUBSTITUTE(LEFT(Base_report!F1066,10),"-","/")),MONTH(SUBSTITUTE(LEFT(Base_report!F1066,10),"-","/")),DAY(SUBSTITUTE(LEFT(Base_report!F1066,10),"-","/")))</f>
        <v>45296</v>
      </c>
      <c r="H1070" s="16">
        <f>DATE(YEAR(SUBSTITUTE(LEFT(Base_report!G1066,10),"-","/")),MONTH(SUBSTITUTE(LEFT(Base_report!G1066,10),"-","/")),DAY(SUBSTITUTE(LEFT(Base_report!G1066,10),"-","/")))</f>
        <v>45296</v>
      </c>
      <c r="I1070" s="17" t="str">
        <f t="shared" si="1"/>
        <v>OUI</v>
      </c>
      <c r="J1070" s="18">
        <f>IF(L1070="DS",DATE(RIGHT(B1070,4),VLOOKUP(LEFT(B1070,LEN(B1070)-5),Feuil1!$E$3:$F$19,2,FALSE)+1,10),DATE(RIGHT(B1070,4),VLOOKUP(LEFT(B1070,LEN(B1070)-5),Feuil1!$E$3:$F$19,2,FALSE)+1,7))</f>
        <v>45298</v>
      </c>
      <c r="K1070" s="19">
        <f t="shared" si="2"/>
        <v>1</v>
      </c>
      <c r="L1070" s="6" t="str">
        <f t="shared" si="3"/>
        <v>FS</v>
      </c>
    </row>
    <row r="1071" ht="14.25" customHeight="1">
      <c r="A1071" s="14" t="str">
        <f>Base_report!A1067</f>
        <v>ABIDJAN 2</v>
      </c>
      <c r="B1071" s="14" t="str">
        <f>Base_report!B1067</f>
        <v>DECEMBRE 2023</v>
      </c>
      <c r="C1071" s="15" t="str">
        <f>Base_report!C1067</f>
        <v>C1426</v>
      </c>
      <c r="D1071" s="14" t="str">
        <f>TRIM(IF(ISNUMBER(FIND("PNSME",Base_report!D1067,1)),SUBSTITUTE(Base_report!D1067,"PNSME",""),IF(ISNUMBER(FIND("PHG",Base_report!D1067,1)),SUBSTITUTE(Base_report!D1067,"PHG",""),IF(ISNUMBER(FIND("PCS",Base_report!D1067,1)),SUBSTITUTE(Base_report!D1067,"PCS",""),IF(ISNUMBER(FIND("CMU",Base_report!D1067,1)),SUBSTITUTE(Base_report!D1067,"CMU",""),Base_report!D1067)))))</f>
        <v>CEDRES (PROJET FAC-SIDA CHU TREICHVILLE)</v>
      </c>
      <c r="E1071" s="14" t="str">
        <f>SUBSTITUTE(Base_report!E1067,"-","/")</f>
        <v>PNLS/PRODUITS DE LABORATOIRE</v>
      </c>
      <c r="F1071" s="14" t="s">
        <v>788</v>
      </c>
      <c r="G1071" s="16">
        <f>DATE(YEAR(SUBSTITUTE(LEFT(Base_report!F1067,10),"-","/")),MONTH(SUBSTITUTE(LEFT(Base_report!F1067,10),"-","/")),DAY(SUBSTITUTE(LEFT(Base_report!F1067,10),"-","/")))</f>
        <v>45296</v>
      </c>
      <c r="H1071" s="16">
        <f>DATE(YEAR(SUBSTITUTE(LEFT(Base_report!G1067,10),"-","/")),MONTH(SUBSTITUTE(LEFT(Base_report!G1067,10),"-","/")),DAY(SUBSTITUTE(LEFT(Base_report!G1067,10),"-","/")))</f>
        <v>45296</v>
      </c>
      <c r="I1071" s="17" t="str">
        <f t="shared" si="1"/>
        <v>OUI</v>
      </c>
      <c r="J1071" s="18">
        <f>IF(L1071="DS",DATE(RIGHT(B1071,4),VLOOKUP(LEFT(B1071,LEN(B1071)-5),Feuil1!$E$3:$F$19,2,FALSE)+1,10),DATE(RIGHT(B1071,4),VLOOKUP(LEFT(B1071,LEN(B1071)-5),Feuil1!$E$3:$F$19,2,FALSE)+1,7))</f>
        <v>45298</v>
      </c>
      <c r="K1071" s="19">
        <f t="shared" si="2"/>
        <v>1</v>
      </c>
      <c r="L1071" s="6" t="str">
        <f t="shared" si="3"/>
        <v>FS</v>
      </c>
    </row>
    <row r="1072" ht="14.25" customHeight="1">
      <c r="A1072" s="14" t="str">
        <f>Base_report!A1068</f>
        <v>SUD-COMOE</v>
      </c>
      <c r="B1072" s="14" t="str">
        <f>Base_report!B1068</f>
        <v>DECEMBRE 2023</v>
      </c>
      <c r="C1072" s="15" t="str">
        <f>Base_report!C1068</f>
        <v>C1082</v>
      </c>
      <c r="D1072" s="14" t="str">
        <f>TRIM(IF(ISNUMBER(FIND("PNSME",Base_report!D1068,1)),SUBSTITUTE(Base_report!D1068,"PNSME",""),IF(ISNUMBER(FIND("PHG",Base_report!D1068,1)),SUBSTITUTE(Base_report!D1068,"PHG",""),IF(ISNUMBER(FIND("PCS",Base_report!D1068,1)),SUBSTITUTE(Base_report!D1068,"PCS",""),IF(ISNUMBER(FIND("CMU",Base_report!D1068,1)),SUBSTITUTE(Base_report!D1068,"CMU",""),Base_report!D1068)))))</f>
        <v>HOPITAL GENERAL ADIAKE</v>
      </c>
      <c r="E1072" s="14" t="str">
        <f>SUBSTITUTE(Base_report!E1068,"-","/")</f>
        <v>PNLS/ANTIRETROVIRAUX ET IO</v>
      </c>
      <c r="F1072" s="14" t="s">
        <v>788</v>
      </c>
      <c r="G1072" s="16">
        <f>DATE(YEAR(SUBSTITUTE(LEFT(Base_report!F1068,10),"-","/")),MONTH(SUBSTITUTE(LEFT(Base_report!F1068,10),"-","/")),DAY(SUBSTITUTE(LEFT(Base_report!F1068,10),"-","/")))</f>
        <v>45297</v>
      </c>
      <c r="H1072" s="16">
        <f>DATE(YEAR(SUBSTITUTE(LEFT(Base_report!G1068,10),"-","/")),MONTH(SUBSTITUTE(LEFT(Base_report!G1068,10),"-","/")),DAY(SUBSTITUTE(LEFT(Base_report!G1068,10),"-","/")))</f>
        <v>45297</v>
      </c>
      <c r="I1072" s="17" t="str">
        <f t="shared" si="1"/>
        <v>OUI</v>
      </c>
      <c r="J1072" s="18">
        <f>IF(L1072="DS",DATE(RIGHT(B1072,4),VLOOKUP(LEFT(B1072,LEN(B1072)-5),Feuil1!$E$3:$F$19,2,FALSE)+1,10),DATE(RIGHT(B1072,4),VLOOKUP(LEFT(B1072,LEN(B1072)-5),Feuil1!$E$3:$F$19,2,FALSE)+1,7))</f>
        <v>45298</v>
      </c>
      <c r="K1072" s="19">
        <f t="shared" si="2"/>
        <v>1</v>
      </c>
      <c r="L1072" s="6" t="str">
        <f t="shared" si="3"/>
        <v>FS</v>
      </c>
    </row>
    <row r="1073" ht="14.25" customHeight="1">
      <c r="A1073" s="14" t="str">
        <f>Base_report!A1069</f>
        <v>SUD-COMOE</v>
      </c>
      <c r="B1073" s="14" t="str">
        <f>Base_report!B1069</f>
        <v>DECEMBRE 2023</v>
      </c>
      <c r="C1073" s="15" t="str">
        <f>Base_report!C1069</f>
        <v>C1082</v>
      </c>
      <c r="D1073" s="14" t="str">
        <f>TRIM(IF(ISNUMBER(FIND("PNSME",Base_report!D1069,1)),SUBSTITUTE(Base_report!D1069,"PNSME",""),IF(ISNUMBER(FIND("PHG",Base_report!D1069,1)),SUBSTITUTE(Base_report!D1069,"PHG",""),IF(ISNUMBER(FIND("PCS",Base_report!D1069,1)),SUBSTITUTE(Base_report!D1069,"PCS",""),IF(ISNUMBER(FIND("CMU",Base_report!D1069,1)),SUBSTITUTE(Base_report!D1069,"CMU",""),Base_report!D1069)))))</f>
        <v>HOPITAL GENERAL ADIAKE</v>
      </c>
      <c r="E1073" s="14" t="str">
        <f>SUBSTITUTE(Base_report!E1069,"-","/")</f>
        <v>PNLS/PRODUITS DE LABORATOIRE</v>
      </c>
      <c r="F1073" s="14" t="s">
        <v>788</v>
      </c>
      <c r="G1073" s="16">
        <f>DATE(YEAR(SUBSTITUTE(LEFT(Base_report!F1069,10),"-","/")),MONTH(SUBSTITUTE(LEFT(Base_report!F1069,10),"-","/")),DAY(SUBSTITUTE(LEFT(Base_report!F1069,10),"-","/")))</f>
        <v>45296</v>
      </c>
      <c r="H1073" s="16">
        <f>DATE(YEAR(SUBSTITUTE(LEFT(Base_report!G1069,10),"-","/")),MONTH(SUBSTITUTE(LEFT(Base_report!G1069,10),"-","/")),DAY(SUBSTITUTE(LEFT(Base_report!G1069,10),"-","/")))</f>
        <v>45297</v>
      </c>
      <c r="I1073" s="17" t="str">
        <f t="shared" si="1"/>
        <v>OUI</v>
      </c>
      <c r="J1073" s="18">
        <f>IF(L1073="DS",DATE(RIGHT(B1073,4),VLOOKUP(LEFT(B1073,LEN(B1073)-5),Feuil1!$E$3:$F$19,2,FALSE)+1,10),DATE(RIGHT(B1073,4),VLOOKUP(LEFT(B1073,LEN(B1073)-5),Feuil1!$E$3:$F$19,2,FALSE)+1,7))</f>
        <v>45298</v>
      </c>
      <c r="K1073" s="19">
        <f t="shared" si="2"/>
        <v>1</v>
      </c>
      <c r="L1073" s="6" t="str">
        <f t="shared" si="3"/>
        <v>FS</v>
      </c>
    </row>
    <row r="1074" ht="14.25" customHeight="1">
      <c r="A1074" s="14" t="str">
        <f>Base_report!A1070</f>
        <v>TCHOLOGO</v>
      </c>
      <c r="B1074" s="14" t="str">
        <f>Base_report!B1070</f>
        <v>DECEMBRE 2023</v>
      </c>
      <c r="C1074" s="15" t="str">
        <f>Base_report!C1070</f>
        <v>C3012</v>
      </c>
      <c r="D1074" s="14" t="str">
        <f>TRIM(IF(ISNUMBER(FIND("PNSME",Base_report!D1070,1)),SUBSTITUTE(Base_report!D1070,"PNSME",""),IF(ISNUMBER(FIND("PHG",Base_report!D1070,1)),SUBSTITUTE(Base_report!D1070,"PHG",""),IF(ISNUMBER(FIND("PCS",Base_report!D1070,1)),SUBSTITUTE(Base_report!D1070,"PCS",""),IF(ISNUMBER(FIND("CMU",Base_report!D1070,1)),SUBSTITUTE(Base_report!D1070,"CMU",""),Base_report!D1070)))))</f>
        <v>HOPITAL GENERAL FERKESEDOUGOU</v>
      </c>
      <c r="E1074" s="14" t="str">
        <f>SUBSTITUTE(Base_report!E1070,"-","/")</f>
        <v>PNLS/TESTS RAPIDES ET CONSOMMABLES</v>
      </c>
      <c r="F1074" s="14" t="s">
        <v>788</v>
      </c>
      <c r="G1074" s="16">
        <f>DATE(YEAR(SUBSTITUTE(LEFT(Base_report!F1070,10),"-","/")),MONTH(SUBSTITUTE(LEFT(Base_report!F1070,10),"-","/")),DAY(SUBSTITUTE(LEFT(Base_report!F1070,10),"-","/")))</f>
        <v>45296</v>
      </c>
      <c r="H1074" s="16">
        <f>DATE(YEAR(SUBSTITUTE(LEFT(Base_report!G1070,10),"-","/")),MONTH(SUBSTITUTE(LEFT(Base_report!G1070,10),"-","/")),DAY(SUBSTITUTE(LEFT(Base_report!G1070,10),"-","/")))</f>
        <v>45296</v>
      </c>
      <c r="I1074" s="17" t="str">
        <f t="shared" si="1"/>
        <v>OUI</v>
      </c>
      <c r="J1074" s="18">
        <f>IF(L1074="DS",DATE(RIGHT(B1074,4),VLOOKUP(LEFT(B1074,LEN(B1074)-5),Feuil1!$E$3:$F$19,2,FALSE)+1,10),DATE(RIGHT(B1074,4),VLOOKUP(LEFT(B1074,LEN(B1074)-5),Feuil1!$E$3:$F$19,2,FALSE)+1,7))</f>
        <v>45298</v>
      </c>
      <c r="K1074" s="19">
        <f t="shared" si="2"/>
        <v>1</v>
      </c>
      <c r="L1074" s="6" t="str">
        <f t="shared" si="3"/>
        <v>FS</v>
      </c>
    </row>
    <row r="1075" ht="14.25" customHeight="1">
      <c r="A1075" s="14" t="str">
        <f>Base_report!A1071</f>
        <v>PORO</v>
      </c>
      <c r="B1075" s="14" t="str">
        <f>Base_report!B1071</f>
        <v>DECEMBRE 2023</v>
      </c>
      <c r="C1075" s="15" t="str">
        <f>Base_report!C1071</f>
        <v>C3059</v>
      </c>
      <c r="D1075" s="14" t="str">
        <f>TRIM(IF(ISNUMBER(FIND("PNSME",Base_report!D1071,1)),SUBSTITUTE(Base_report!D1071,"PNSME",""),IF(ISNUMBER(FIND("PHG",Base_report!D1071,1)),SUBSTITUTE(Base_report!D1071,"PHG",""),IF(ISNUMBER(FIND("PCS",Base_report!D1071,1)),SUBSTITUTE(Base_report!D1071,"PCS",""),IF(ISNUMBER(FIND("CMU",Base_report!D1071,1)),SUBSTITUTE(Base_report!D1071,"CMU",""),Base_report!D1071)))))</f>
        <v>CSU DELAFOSSE KORHOGO</v>
      </c>
      <c r="E1075" s="14" t="str">
        <f>SUBSTITUTE(Base_report!E1071,"-","/")</f>
        <v>PNLP/MEDICAMENTS ET INTRANTS</v>
      </c>
      <c r="F1075" s="14" t="s">
        <v>788</v>
      </c>
      <c r="G1075" s="16">
        <f>DATE(YEAR(SUBSTITUTE(LEFT(Base_report!F1071,10),"-","/")),MONTH(SUBSTITUTE(LEFT(Base_report!F1071,10),"-","/")),DAY(SUBSTITUTE(LEFT(Base_report!F1071,10),"-","/")))</f>
        <v>45296</v>
      </c>
      <c r="H1075" s="16">
        <f>DATE(YEAR(SUBSTITUTE(LEFT(Base_report!G1071,10),"-","/")),MONTH(SUBSTITUTE(LEFT(Base_report!G1071,10),"-","/")),DAY(SUBSTITUTE(LEFT(Base_report!G1071,10),"-","/")))</f>
        <v>45296</v>
      </c>
      <c r="I1075" s="17" t="str">
        <f t="shared" si="1"/>
        <v>OUI</v>
      </c>
      <c r="J1075" s="18">
        <f>IF(L1075="DS",DATE(RIGHT(B1075,4),VLOOKUP(LEFT(B1075,LEN(B1075)-5),Feuil1!$E$3:$F$19,2,FALSE)+1,10),DATE(RIGHT(B1075,4),VLOOKUP(LEFT(B1075,LEN(B1075)-5),Feuil1!$E$3:$F$19,2,FALSE)+1,7))</f>
        <v>45298</v>
      </c>
      <c r="K1075" s="19">
        <f t="shared" si="2"/>
        <v>1</v>
      </c>
      <c r="L1075" s="6" t="str">
        <f t="shared" si="3"/>
        <v>FS</v>
      </c>
    </row>
    <row r="1076" ht="14.25" customHeight="1">
      <c r="A1076" s="14" t="str">
        <f>Base_report!A1072</f>
        <v>TCHOLOGO</v>
      </c>
      <c r="B1076" s="14" t="str">
        <f>Base_report!B1072</f>
        <v>DECEMBRE 2023</v>
      </c>
      <c r="C1076" s="15" t="str">
        <f>Base_report!C1072</f>
        <v>C3012</v>
      </c>
      <c r="D1076" s="14" t="str">
        <f>TRIM(IF(ISNUMBER(FIND("PNSME",Base_report!D1072,1)),SUBSTITUTE(Base_report!D1072,"PNSME",""),IF(ISNUMBER(FIND("PHG",Base_report!D1072,1)),SUBSTITUTE(Base_report!D1072,"PHG",""),IF(ISNUMBER(FIND("PCS",Base_report!D1072,1)),SUBSTITUTE(Base_report!D1072,"PCS",""),IF(ISNUMBER(FIND("CMU",Base_report!D1072,1)),SUBSTITUTE(Base_report!D1072,"CMU",""),Base_report!D1072)))))</f>
        <v>HOPITAL GENERAL FERKESEDOUGOU</v>
      </c>
      <c r="E1076" s="14" t="str">
        <f>SUBSTITUTE(Base_report!E1072,"-","/")</f>
        <v>PNN/MEDICAMENTS ET INTRANTS</v>
      </c>
      <c r="F1076" s="14" t="s">
        <v>788</v>
      </c>
      <c r="G1076" s="16">
        <f>DATE(YEAR(SUBSTITUTE(LEFT(Base_report!F1072,10),"-","/")),MONTH(SUBSTITUTE(LEFT(Base_report!F1072,10),"-","/")),DAY(SUBSTITUTE(LEFT(Base_report!F1072,10),"-","/")))</f>
        <v>45296</v>
      </c>
      <c r="H1076" s="16">
        <f>DATE(YEAR(SUBSTITUTE(LEFT(Base_report!G1072,10),"-","/")),MONTH(SUBSTITUTE(LEFT(Base_report!G1072,10),"-","/")),DAY(SUBSTITUTE(LEFT(Base_report!G1072,10),"-","/")))</f>
        <v>45296</v>
      </c>
      <c r="I1076" s="17" t="str">
        <f t="shared" si="1"/>
        <v>OUI</v>
      </c>
      <c r="J1076" s="18">
        <f>IF(L1076="DS",DATE(RIGHT(B1076,4),VLOOKUP(LEFT(B1076,LEN(B1076)-5),Feuil1!$E$3:$F$19,2,FALSE)+1,10),DATE(RIGHT(B1076,4),VLOOKUP(LEFT(B1076,LEN(B1076)-5),Feuil1!$E$3:$F$19,2,FALSE)+1,7))</f>
        <v>45298</v>
      </c>
      <c r="K1076" s="19">
        <f t="shared" si="2"/>
        <v>1</v>
      </c>
      <c r="L1076" s="6" t="str">
        <f t="shared" si="3"/>
        <v>FS</v>
      </c>
    </row>
    <row r="1077" ht="14.25" customHeight="1">
      <c r="A1077" s="14" t="str">
        <f>Base_report!A1073</f>
        <v>BELIER</v>
      </c>
      <c r="B1077" s="14" t="str">
        <f>Base_report!B1073</f>
        <v>DECEMBRE 2023</v>
      </c>
      <c r="C1077" s="15" t="str">
        <f>Base_report!C1073</f>
        <v>C2051</v>
      </c>
      <c r="D1077" s="14" t="str">
        <f>TRIM(IF(ISNUMBER(FIND("PNSME",Base_report!D1073,1)),SUBSTITUTE(Base_report!D1073,"PNSME",""),IF(ISNUMBER(FIND("PHG",Base_report!D1073,1)),SUBSTITUTE(Base_report!D1073,"PHG",""),IF(ISNUMBER(FIND("PCS",Base_report!D1073,1)),SUBSTITUTE(Base_report!D1073,"PCS",""),IF(ISNUMBER(FIND("CMU",Base_report!D1073,1)),SUBSTITUTE(Base_report!D1073,"CMU",""),Base_report!D1073)))))</f>
        <v>HOPITAL GENERAL DIDIEVI</v>
      </c>
      <c r="E1077" s="14" t="str">
        <f>SUBSTITUTE(Base_report!E1073,"-","/")</f>
        <v>PNLS/ANTIRETROVIRAUX ET IO</v>
      </c>
      <c r="F1077" s="14" t="s">
        <v>788</v>
      </c>
      <c r="G1077" s="16">
        <f>DATE(YEAR(SUBSTITUTE(LEFT(Base_report!F1073,10),"-","/")),MONTH(SUBSTITUTE(LEFT(Base_report!F1073,10),"-","/")),DAY(SUBSTITUTE(LEFT(Base_report!F1073,10),"-","/")))</f>
        <v>45298</v>
      </c>
      <c r="H1077" s="16">
        <f>DATE(YEAR(SUBSTITUTE(LEFT(Base_report!G1073,10),"-","/")),MONTH(SUBSTITUTE(LEFT(Base_report!G1073,10),"-","/")),DAY(SUBSTITUTE(LEFT(Base_report!G1073,10),"-","/")))</f>
        <v>45298</v>
      </c>
      <c r="I1077" s="17" t="str">
        <f t="shared" si="1"/>
        <v>OUI</v>
      </c>
      <c r="J1077" s="18">
        <f>IF(L1077="DS",DATE(RIGHT(B1077,4),VLOOKUP(LEFT(B1077,LEN(B1077)-5),Feuil1!$E$3:$F$19,2,FALSE)+1,10),DATE(RIGHT(B1077,4),VLOOKUP(LEFT(B1077,LEN(B1077)-5),Feuil1!$E$3:$F$19,2,FALSE)+1,7))</f>
        <v>45298</v>
      </c>
      <c r="K1077" s="19">
        <f t="shared" si="2"/>
        <v>1</v>
      </c>
      <c r="L1077" s="6" t="str">
        <f t="shared" si="3"/>
        <v>FS</v>
      </c>
    </row>
    <row r="1078" ht="14.25" customHeight="1">
      <c r="A1078" s="14" t="str">
        <f>Base_report!A1074</f>
        <v>PORO</v>
      </c>
      <c r="B1078" s="14" t="str">
        <f>Base_report!B1074</f>
        <v>DECEMBRE 2023</v>
      </c>
      <c r="C1078" s="15" t="str">
        <f>Base_report!C1074</f>
        <v>C3059</v>
      </c>
      <c r="D1078" s="14" t="str">
        <f>TRIM(IF(ISNUMBER(FIND("PNSME",Base_report!D1074,1)),SUBSTITUTE(Base_report!D1074,"PNSME",""),IF(ISNUMBER(FIND("PHG",Base_report!D1074,1)),SUBSTITUTE(Base_report!D1074,"PHG",""),IF(ISNUMBER(FIND("PCS",Base_report!D1074,1)),SUBSTITUTE(Base_report!D1074,"PCS",""),IF(ISNUMBER(FIND("CMU",Base_report!D1074,1)),SUBSTITUTE(Base_report!D1074,"CMU",""),Base_report!D1074)))))</f>
        <v>CSU DELAFOSSE KORHOGO</v>
      </c>
      <c r="E1078" s="14" t="str">
        <f>SUBSTITUTE(Base_report!E1074,"-","/")</f>
        <v>PNSME/MEDICAMENTS ET INTRANTS</v>
      </c>
      <c r="F1078" s="14" t="s">
        <v>788</v>
      </c>
      <c r="G1078" s="16">
        <f>DATE(YEAR(SUBSTITUTE(LEFT(Base_report!F1074,10),"-","/")),MONTH(SUBSTITUTE(LEFT(Base_report!F1074,10),"-","/")),DAY(SUBSTITUTE(LEFT(Base_report!F1074,10),"-","/")))</f>
        <v>45296</v>
      </c>
      <c r="H1078" s="16">
        <f>DATE(YEAR(SUBSTITUTE(LEFT(Base_report!G1074,10),"-","/")),MONTH(SUBSTITUTE(LEFT(Base_report!G1074,10),"-","/")),DAY(SUBSTITUTE(LEFT(Base_report!G1074,10),"-","/")))</f>
        <v>45296</v>
      </c>
      <c r="I1078" s="17" t="str">
        <f t="shared" si="1"/>
        <v>OUI</v>
      </c>
      <c r="J1078" s="18">
        <f>IF(L1078="DS",DATE(RIGHT(B1078,4),VLOOKUP(LEFT(B1078,LEN(B1078)-5),Feuil1!$E$3:$F$19,2,FALSE)+1,10),DATE(RIGHT(B1078,4),VLOOKUP(LEFT(B1078,LEN(B1078)-5),Feuil1!$E$3:$F$19,2,FALSE)+1,7))</f>
        <v>45298</v>
      </c>
      <c r="K1078" s="19">
        <f t="shared" si="2"/>
        <v>1</v>
      </c>
      <c r="L1078" s="6" t="str">
        <f t="shared" si="3"/>
        <v>FS</v>
      </c>
    </row>
    <row r="1079" ht="14.25" customHeight="1">
      <c r="A1079" s="14" t="str">
        <f>Base_report!A1075</f>
        <v>TCHOLOGO</v>
      </c>
      <c r="B1079" s="14" t="str">
        <f>Base_report!B1075</f>
        <v>DECEMBRE 2023</v>
      </c>
      <c r="C1079" s="15" t="str">
        <f>Base_report!C1075</f>
        <v>C3012</v>
      </c>
      <c r="D1079" s="14" t="str">
        <f>TRIM(IF(ISNUMBER(FIND("PNSME",Base_report!D1075,1)),SUBSTITUTE(Base_report!D1075,"PNSME",""),IF(ISNUMBER(FIND("PHG",Base_report!D1075,1)),SUBSTITUTE(Base_report!D1075,"PHG",""),IF(ISNUMBER(FIND("PCS",Base_report!D1075,1)),SUBSTITUTE(Base_report!D1075,"PCS",""),IF(ISNUMBER(FIND("CMU",Base_report!D1075,1)),SUBSTITUTE(Base_report!D1075,"CMU",""),Base_report!D1075)))))</f>
        <v>HOPITAL GENERAL FERKESEDOUGOU</v>
      </c>
      <c r="E1079" s="14" t="str">
        <f>SUBSTITUTE(Base_report!E1075,"-","/")</f>
        <v>PNSME/MEDICAMENTS ET INTRANTS</v>
      </c>
      <c r="F1079" s="14" t="s">
        <v>788</v>
      </c>
      <c r="G1079" s="16">
        <f>DATE(YEAR(SUBSTITUTE(LEFT(Base_report!F1075,10),"-","/")),MONTH(SUBSTITUTE(LEFT(Base_report!F1075,10),"-","/")),DAY(SUBSTITUTE(LEFT(Base_report!F1075,10),"-","/")))</f>
        <v>45296</v>
      </c>
      <c r="H1079" s="16">
        <f>DATE(YEAR(SUBSTITUTE(LEFT(Base_report!G1075,10),"-","/")),MONTH(SUBSTITUTE(LEFT(Base_report!G1075,10),"-","/")),DAY(SUBSTITUTE(LEFT(Base_report!G1075,10),"-","/")))</f>
        <v>45296</v>
      </c>
      <c r="I1079" s="17" t="str">
        <f t="shared" si="1"/>
        <v>OUI</v>
      </c>
      <c r="J1079" s="18">
        <f>IF(L1079="DS",DATE(RIGHT(B1079,4),VLOOKUP(LEFT(B1079,LEN(B1079)-5),Feuil1!$E$3:$F$19,2,FALSE)+1,10),DATE(RIGHT(B1079,4),VLOOKUP(LEFT(B1079,LEN(B1079)-5),Feuil1!$E$3:$F$19,2,FALSE)+1,7))</f>
        <v>45298</v>
      </c>
      <c r="K1079" s="19">
        <f t="shared" si="2"/>
        <v>1</v>
      </c>
      <c r="L1079" s="6" t="str">
        <f t="shared" si="3"/>
        <v>FS</v>
      </c>
    </row>
    <row r="1080" ht="14.25" customHeight="1">
      <c r="A1080" s="14" t="str">
        <f>Base_report!A1076</f>
        <v>GBEKE</v>
      </c>
      <c r="B1080" s="14" t="str">
        <f>Base_report!B1076</f>
        <v>DECEMBRE 2023</v>
      </c>
      <c r="C1080" s="15" t="str">
        <f>Base_report!C1076</f>
        <v>C2062</v>
      </c>
      <c r="D1080" s="14" t="str">
        <f>TRIM(IF(ISNUMBER(FIND("PNSME",Base_report!D1076,1)),SUBSTITUTE(Base_report!D1076,"PNSME",""),IF(ISNUMBER(FIND("PHG",Base_report!D1076,1)),SUBSTITUTE(Base_report!D1076,"PHG",""),IF(ISNUMBER(FIND("PCS",Base_report!D1076,1)),SUBSTITUTE(Base_report!D1076,"PCS",""),IF(ISNUMBER(FIND("CMU",Base_report!D1076,1)),SUBSTITUTE(Base_report!D1076,"CMU",""),Base_report!D1076)))))</f>
        <v>HOPITAL GENERAL SAKASSOU</v>
      </c>
      <c r="E1080" s="14" t="str">
        <f>SUBSTITUTE(Base_report!E1076,"-","/")</f>
        <v>PNLP/MEDICAMENTS ET INTRANTS</v>
      </c>
      <c r="F1080" s="14" t="s">
        <v>788</v>
      </c>
      <c r="G1080" s="16">
        <f>DATE(YEAR(SUBSTITUTE(LEFT(Base_report!F1076,10),"-","/")),MONTH(SUBSTITUTE(LEFT(Base_report!F1076,10),"-","/")),DAY(SUBSTITUTE(LEFT(Base_report!F1076,10),"-","/")))</f>
        <v>45297</v>
      </c>
      <c r="H1080" s="16">
        <f>DATE(YEAR(SUBSTITUTE(LEFT(Base_report!G1076,10),"-","/")),MONTH(SUBSTITUTE(LEFT(Base_report!G1076,10),"-","/")),DAY(SUBSTITUTE(LEFT(Base_report!G1076,10),"-","/")))</f>
        <v>45297</v>
      </c>
      <c r="I1080" s="17" t="str">
        <f t="shared" si="1"/>
        <v>OUI</v>
      </c>
      <c r="J1080" s="18">
        <f>IF(L1080="DS",DATE(RIGHT(B1080,4),VLOOKUP(LEFT(B1080,LEN(B1080)-5),Feuil1!$E$3:$F$19,2,FALSE)+1,10),DATE(RIGHT(B1080,4),VLOOKUP(LEFT(B1080,LEN(B1080)-5),Feuil1!$E$3:$F$19,2,FALSE)+1,7))</f>
        <v>45298</v>
      </c>
      <c r="K1080" s="19">
        <f t="shared" si="2"/>
        <v>1</v>
      </c>
      <c r="L1080" s="6" t="str">
        <f t="shared" si="3"/>
        <v>FS</v>
      </c>
    </row>
    <row r="1081" ht="14.25" customHeight="1">
      <c r="A1081" s="14" t="str">
        <f>Base_report!A1077</f>
        <v>GBEKE</v>
      </c>
      <c r="B1081" s="14" t="str">
        <f>Base_report!B1077</f>
        <v>DECEMBRE 2023</v>
      </c>
      <c r="C1081" s="15" t="str">
        <f>Base_report!C1077</f>
        <v>C2062</v>
      </c>
      <c r="D1081" s="14" t="str">
        <f>TRIM(IF(ISNUMBER(FIND("PNSME",Base_report!D1077,1)),SUBSTITUTE(Base_report!D1077,"PNSME",""),IF(ISNUMBER(FIND("PHG",Base_report!D1077,1)),SUBSTITUTE(Base_report!D1077,"PHG",""),IF(ISNUMBER(FIND("PCS",Base_report!D1077,1)),SUBSTITUTE(Base_report!D1077,"PCS",""),IF(ISNUMBER(FIND("CMU",Base_report!D1077,1)),SUBSTITUTE(Base_report!D1077,"CMU",""),Base_report!D1077)))))</f>
        <v>HOPITAL GENERAL SAKASSOU</v>
      </c>
      <c r="E1081" s="14" t="str">
        <f>SUBSTITUTE(Base_report!E1077,"-","/")</f>
        <v>PNLS/PRODUITS DE LABORATOIRE</v>
      </c>
      <c r="F1081" s="14" t="s">
        <v>788</v>
      </c>
      <c r="G1081" s="16">
        <f>DATE(YEAR(SUBSTITUTE(LEFT(Base_report!F1077,10),"-","/")),MONTH(SUBSTITUTE(LEFT(Base_report!F1077,10),"-","/")),DAY(SUBSTITUTE(LEFT(Base_report!F1077,10),"-","/")))</f>
        <v>45296</v>
      </c>
      <c r="H1081" s="16">
        <f>DATE(YEAR(SUBSTITUTE(LEFT(Base_report!G1077,10),"-","/")),MONTH(SUBSTITUTE(LEFT(Base_report!G1077,10),"-","/")),DAY(SUBSTITUTE(LEFT(Base_report!G1077,10),"-","/")))</f>
        <v>45296</v>
      </c>
      <c r="I1081" s="17" t="str">
        <f t="shared" si="1"/>
        <v>OUI</v>
      </c>
      <c r="J1081" s="18">
        <f>IF(L1081="DS",DATE(RIGHT(B1081,4),VLOOKUP(LEFT(B1081,LEN(B1081)-5),Feuil1!$E$3:$F$19,2,FALSE)+1,10),DATE(RIGHT(B1081,4),VLOOKUP(LEFT(B1081,LEN(B1081)-5),Feuil1!$E$3:$F$19,2,FALSE)+1,7))</f>
        <v>45298</v>
      </c>
      <c r="K1081" s="19">
        <f t="shared" si="2"/>
        <v>1</v>
      </c>
      <c r="L1081" s="6" t="str">
        <f t="shared" si="3"/>
        <v>FS</v>
      </c>
    </row>
    <row r="1082" ht="14.25" customHeight="1">
      <c r="A1082" s="14" t="str">
        <f>Base_report!A1078</f>
        <v>TCHOLOGO</v>
      </c>
      <c r="B1082" s="14" t="str">
        <f>Base_report!B1078</f>
        <v>DECEMBRE 2023</v>
      </c>
      <c r="C1082" s="15" t="str">
        <f>Base_report!C1078</f>
        <v>C2225</v>
      </c>
      <c r="D1082" s="14" t="str">
        <f>TRIM(IF(ISNUMBER(FIND("PNSME",Base_report!D1078,1)),SUBSTITUTE(Base_report!D1078,"PNSME",""),IF(ISNUMBER(FIND("PHG",Base_report!D1078,1)),SUBSTITUTE(Base_report!D1078,"PHG",""),IF(ISNUMBER(FIND("PCS",Base_report!D1078,1)),SUBSTITUTE(Base_report!D1078,"PCS",""),IF(ISNUMBER(FIND("CMU",Base_report!D1078,1)),SUBSTITUTE(Base_report!D1078,"CMU",""),Base_report!D1078)))))</f>
        <v>HOPITAL GENERAL KONG</v>
      </c>
      <c r="E1082" s="14" t="str">
        <f>SUBSTITUTE(Base_report!E1078,"-","/")</f>
        <v>PNLS/TESTS RAPIDES ET CONSOMMABLES</v>
      </c>
      <c r="F1082" s="14" t="s">
        <v>788</v>
      </c>
      <c r="G1082" s="16">
        <f>DATE(YEAR(SUBSTITUTE(LEFT(Base_report!F1078,10),"-","/")),MONTH(SUBSTITUTE(LEFT(Base_report!F1078,10),"-","/")),DAY(SUBSTITUTE(LEFT(Base_report!F1078,10),"-","/")))</f>
        <v>45296</v>
      </c>
      <c r="H1082" s="16">
        <f>DATE(YEAR(SUBSTITUTE(LEFT(Base_report!G1078,10),"-","/")),MONTH(SUBSTITUTE(LEFT(Base_report!G1078,10),"-","/")),DAY(SUBSTITUTE(LEFT(Base_report!G1078,10),"-","/")))</f>
        <v>45298</v>
      </c>
      <c r="I1082" s="17" t="str">
        <f t="shared" si="1"/>
        <v>OUI</v>
      </c>
      <c r="J1082" s="18">
        <f>IF(L1082="DS",DATE(RIGHT(B1082,4),VLOOKUP(LEFT(B1082,LEN(B1082)-5),Feuil1!$E$3:$F$19,2,FALSE)+1,10),DATE(RIGHT(B1082,4),VLOOKUP(LEFT(B1082,LEN(B1082)-5),Feuil1!$E$3:$F$19,2,FALSE)+1,7))</f>
        <v>45298</v>
      </c>
      <c r="K1082" s="19">
        <f t="shared" si="2"/>
        <v>1</v>
      </c>
      <c r="L1082" s="6" t="str">
        <f t="shared" si="3"/>
        <v>FS</v>
      </c>
    </row>
    <row r="1083" ht="14.25" customHeight="1">
      <c r="A1083" s="14" t="str">
        <f>Base_report!A1079</f>
        <v>GOH</v>
      </c>
      <c r="B1083" s="14" t="str">
        <f>Base_report!B1079</f>
        <v>DECEMBRE 2023</v>
      </c>
      <c r="C1083" s="15" t="str">
        <f>Base_report!C1079</f>
        <v>C2006</v>
      </c>
      <c r="D1083" s="14" t="str">
        <f>TRIM(IF(ISNUMBER(FIND("PNSME",Base_report!D1079,1)),SUBSTITUTE(Base_report!D1079,"PNSME",""),IF(ISNUMBER(FIND("PHG",Base_report!D1079,1)),SUBSTITUTE(Base_report!D1079,"PHG",""),IF(ISNUMBER(FIND("PCS",Base_report!D1079,1)),SUBSTITUTE(Base_report!D1079,"PCS",""),IF(ISNUMBER(FIND("CMU",Base_report!D1079,1)),SUBSTITUTE(Base_report!D1079,"CMU",""),Base_report!D1079)))))</f>
        <v>CHR GAGNOA</v>
      </c>
      <c r="E1083" s="14" t="str">
        <f>SUBSTITUTE(Base_report!E1079,"-","/")</f>
        <v>PNLS/ANTIRETROVIRAUX ET IO</v>
      </c>
      <c r="F1083" s="14" t="s">
        <v>788</v>
      </c>
      <c r="G1083" s="16">
        <f>DATE(YEAR(SUBSTITUTE(LEFT(Base_report!F1079,10),"-","/")),MONTH(SUBSTITUTE(LEFT(Base_report!F1079,10),"-","/")),DAY(SUBSTITUTE(LEFT(Base_report!F1079,10),"-","/")))</f>
        <v>45298</v>
      </c>
      <c r="H1083" s="16">
        <f>DATE(YEAR(SUBSTITUTE(LEFT(Base_report!G1079,10),"-","/")),MONTH(SUBSTITUTE(LEFT(Base_report!G1079,10),"-","/")),DAY(SUBSTITUTE(LEFT(Base_report!G1079,10),"-","/")))</f>
        <v>45298</v>
      </c>
      <c r="I1083" s="17" t="str">
        <f t="shared" si="1"/>
        <v>OUI</v>
      </c>
      <c r="J1083" s="18">
        <f>IF(L1083="DS",DATE(RIGHT(B1083,4),VLOOKUP(LEFT(B1083,LEN(B1083)-5),Feuil1!$E$3:$F$19,2,FALSE)+1,10),DATE(RIGHT(B1083,4),VLOOKUP(LEFT(B1083,LEN(B1083)-5),Feuil1!$E$3:$F$19,2,FALSE)+1,7))</f>
        <v>45298</v>
      </c>
      <c r="K1083" s="19">
        <f t="shared" si="2"/>
        <v>1</v>
      </c>
      <c r="L1083" s="6" t="str">
        <f t="shared" si="3"/>
        <v>FS</v>
      </c>
    </row>
    <row r="1084" ht="14.25" customHeight="1">
      <c r="A1084" s="14" t="str">
        <f>Base_report!A1080</f>
        <v>ABIDJAN 2</v>
      </c>
      <c r="B1084" s="14" t="str">
        <f>Base_report!B1080</f>
        <v>DECEMBRE 2023</v>
      </c>
      <c r="C1084" s="15" t="str">
        <f>Base_report!C1080</f>
        <v>C1106</v>
      </c>
      <c r="D1084" s="14" t="str">
        <f>TRIM(IF(ISNUMBER(FIND("PNSME",Base_report!D1080,1)),SUBSTITUTE(Base_report!D1080,"PNSME",""),IF(ISNUMBER(FIND("PHG",Base_report!D1080,1)),SUBSTITUTE(Base_report!D1080,"PHG",""),IF(ISNUMBER(FIND("PCS",Base_report!D1080,1)),SUBSTITUTE(Base_report!D1080,"PCS",""),IF(ISNUMBER(FIND("CMU",Base_report!D1080,1)),SUBSTITUTE(Base_report!D1080,"CMU",""),Base_report!D1080)))))</f>
        <v>INSTITUT NATIONAL DE LA SANTE PUBLIQUE</v>
      </c>
      <c r="E1084" s="14" t="str">
        <f>SUBSTITUTE(Base_report!E1080,"-","/")</f>
        <v>PNN/MEDICAMENTS ET INTRANTS</v>
      </c>
      <c r="F1084" s="14" t="s">
        <v>788</v>
      </c>
      <c r="G1084" s="16">
        <f>DATE(YEAR(SUBSTITUTE(LEFT(Base_report!F1080,10),"-","/")),MONTH(SUBSTITUTE(LEFT(Base_report!F1080,10),"-","/")),DAY(SUBSTITUTE(LEFT(Base_report!F1080,10),"-","/")))</f>
        <v>45296</v>
      </c>
      <c r="H1084" s="16">
        <f>DATE(YEAR(SUBSTITUTE(LEFT(Base_report!G1080,10),"-","/")),MONTH(SUBSTITUTE(LEFT(Base_report!G1080,10),"-","/")),DAY(SUBSTITUTE(LEFT(Base_report!G1080,10),"-","/")))</f>
        <v>45296</v>
      </c>
      <c r="I1084" s="17" t="str">
        <f t="shared" si="1"/>
        <v>OUI</v>
      </c>
      <c r="J1084" s="18">
        <f>IF(L1084="DS",DATE(RIGHT(B1084,4),VLOOKUP(LEFT(B1084,LEN(B1084)-5),Feuil1!$E$3:$F$19,2,FALSE)+1,10),DATE(RIGHT(B1084,4),VLOOKUP(LEFT(B1084,LEN(B1084)-5),Feuil1!$E$3:$F$19,2,FALSE)+1,7))</f>
        <v>45298</v>
      </c>
      <c r="K1084" s="19">
        <f t="shared" si="2"/>
        <v>1</v>
      </c>
      <c r="L1084" s="6" t="str">
        <f t="shared" si="3"/>
        <v>FS</v>
      </c>
    </row>
    <row r="1085" ht="14.25" customHeight="1">
      <c r="A1085" s="14" t="str">
        <f>Base_report!A1081</f>
        <v>ABIDJAN 2</v>
      </c>
      <c r="B1085" s="14" t="str">
        <f>Base_report!B1081</f>
        <v>DECEMBRE 2023</v>
      </c>
      <c r="C1085" s="15" t="str">
        <f>Base_report!C1081</f>
        <v>C1426</v>
      </c>
      <c r="D1085" s="14" t="str">
        <f>TRIM(IF(ISNUMBER(FIND("PNSME",Base_report!D1081,1)),SUBSTITUTE(Base_report!D1081,"PNSME",""),IF(ISNUMBER(FIND("PHG",Base_report!D1081,1)),SUBSTITUTE(Base_report!D1081,"PHG",""),IF(ISNUMBER(FIND("PCS",Base_report!D1081,1)),SUBSTITUTE(Base_report!D1081,"PCS",""),IF(ISNUMBER(FIND("CMU",Base_report!D1081,1)),SUBSTITUTE(Base_report!D1081,"CMU",""),Base_report!D1081)))))</f>
        <v>CEDRES (PROJET FAC-SIDA CHU TREICHVILLE)</v>
      </c>
      <c r="E1085" s="14" t="str">
        <f>SUBSTITUTE(Base_report!E1081,"-","/")</f>
        <v>PNLS/TESTS RAPIDES ET CONSOMMABLES</v>
      </c>
      <c r="F1085" s="14" t="s">
        <v>788</v>
      </c>
      <c r="G1085" s="16">
        <f>DATE(YEAR(SUBSTITUTE(LEFT(Base_report!F1081,10),"-","/")),MONTH(SUBSTITUTE(LEFT(Base_report!F1081,10),"-","/")),DAY(SUBSTITUTE(LEFT(Base_report!F1081,10),"-","/")))</f>
        <v>45296</v>
      </c>
      <c r="H1085" s="16">
        <f>DATE(YEAR(SUBSTITUTE(LEFT(Base_report!G1081,10),"-","/")),MONTH(SUBSTITUTE(LEFT(Base_report!G1081,10),"-","/")),DAY(SUBSTITUTE(LEFT(Base_report!G1081,10),"-","/")))</f>
        <v>45296</v>
      </c>
      <c r="I1085" s="17" t="str">
        <f t="shared" si="1"/>
        <v>OUI</v>
      </c>
      <c r="J1085" s="18">
        <f>IF(L1085="DS",DATE(RIGHT(B1085,4),VLOOKUP(LEFT(B1085,LEN(B1085)-5),Feuil1!$E$3:$F$19,2,FALSE)+1,10),DATE(RIGHT(B1085,4),VLOOKUP(LEFT(B1085,LEN(B1085)-5),Feuil1!$E$3:$F$19,2,FALSE)+1,7))</f>
        <v>45298</v>
      </c>
      <c r="K1085" s="19">
        <f t="shared" si="2"/>
        <v>1</v>
      </c>
      <c r="L1085" s="6" t="str">
        <f t="shared" si="3"/>
        <v>FS</v>
      </c>
    </row>
    <row r="1086" ht="14.25" customHeight="1">
      <c r="A1086" s="14" t="str">
        <f>Base_report!A1082</f>
        <v>ABIDJAN 2</v>
      </c>
      <c r="B1086" s="14" t="str">
        <f>Base_report!B1082</f>
        <v>DECEMBRE 2023</v>
      </c>
      <c r="C1086" s="15" t="str">
        <f>Base_report!C1082</f>
        <v>C1106</v>
      </c>
      <c r="D1086" s="14" t="str">
        <f>TRIM(IF(ISNUMBER(FIND("PNSME",Base_report!D1082,1)),SUBSTITUTE(Base_report!D1082,"PNSME",""),IF(ISNUMBER(FIND("PHG",Base_report!D1082,1)),SUBSTITUTE(Base_report!D1082,"PHG",""),IF(ISNUMBER(FIND("PCS",Base_report!D1082,1)),SUBSTITUTE(Base_report!D1082,"PCS",""),IF(ISNUMBER(FIND("CMU",Base_report!D1082,1)),SUBSTITUTE(Base_report!D1082,"CMU",""),Base_report!D1082)))))</f>
        <v>INSTITUT NATIONAL DE LA SANTE PUBLIQUE</v>
      </c>
      <c r="E1086" s="14" t="str">
        <f>SUBSTITUTE(Base_report!E1082,"-","/")</f>
        <v>PNSME/MEDICAMENTS ET INTRANTS</v>
      </c>
      <c r="F1086" s="14" t="s">
        <v>788</v>
      </c>
      <c r="G1086" s="16">
        <f>DATE(YEAR(SUBSTITUTE(LEFT(Base_report!F1082,10),"-","/")),MONTH(SUBSTITUTE(LEFT(Base_report!F1082,10),"-","/")),DAY(SUBSTITUTE(LEFT(Base_report!F1082,10),"-","/")))</f>
        <v>45296</v>
      </c>
      <c r="H1086" s="16">
        <f>DATE(YEAR(SUBSTITUTE(LEFT(Base_report!G1082,10),"-","/")),MONTH(SUBSTITUTE(LEFT(Base_report!G1082,10),"-","/")),DAY(SUBSTITUTE(LEFT(Base_report!G1082,10),"-","/")))</f>
        <v>45296</v>
      </c>
      <c r="I1086" s="17" t="str">
        <f t="shared" si="1"/>
        <v>OUI</v>
      </c>
      <c r="J1086" s="18">
        <f>IF(L1086="DS",DATE(RIGHT(B1086,4),VLOOKUP(LEFT(B1086,LEN(B1086)-5),Feuil1!$E$3:$F$19,2,FALSE)+1,10),DATE(RIGHT(B1086,4),VLOOKUP(LEFT(B1086,LEN(B1086)-5),Feuil1!$E$3:$F$19,2,FALSE)+1,7))</f>
        <v>45298</v>
      </c>
      <c r="K1086" s="19">
        <f t="shared" si="2"/>
        <v>1</v>
      </c>
      <c r="L1086" s="6" t="str">
        <f t="shared" si="3"/>
        <v>FS</v>
      </c>
    </row>
    <row r="1087" ht="14.25" customHeight="1">
      <c r="A1087" s="14" t="str">
        <f>Base_report!A1083</f>
        <v>KABADOUGOU</v>
      </c>
      <c r="B1087" s="14" t="str">
        <f>Base_report!B1083</f>
        <v>DECEMBRE 2023</v>
      </c>
      <c r="C1087" s="15" t="str">
        <f>Base_report!C1083</f>
        <v>C5077</v>
      </c>
      <c r="D1087" s="14" t="str">
        <f>TRIM(IF(ISNUMBER(FIND("PNSME",Base_report!D1083,1)),SUBSTITUTE(Base_report!D1083,"PNSME",""),IF(ISNUMBER(FIND("PHG",Base_report!D1083,1)),SUBSTITUTE(Base_report!D1083,"PHG",""),IF(ISNUMBER(FIND("PCS",Base_report!D1083,1)),SUBSTITUTE(Base_report!D1083,"PCS",""),IF(ISNUMBER(FIND("CMU",Base_report!D1083,1)),SUBSTITUTE(Base_report!D1083,"CMU",""),Base_report!D1083)))))</f>
        <v>HOPITAL GENERAL SEGUELON</v>
      </c>
      <c r="E1087" s="14" t="str">
        <f>SUBSTITUTE(Base_report!E1083,"-","/")</f>
        <v>PNLS/TESTS RAPIDES ET CONSOMMABLES</v>
      </c>
      <c r="F1087" s="14" t="s">
        <v>788</v>
      </c>
      <c r="G1087" s="16">
        <f>DATE(YEAR(SUBSTITUTE(LEFT(Base_report!F1083,10),"-","/")),MONTH(SUBSTITUTE(LEFT(Base_report!F1083,10),"-","/")),DAY(SUBSTITUTE(LEFT(Base_report!F1083,10),"-","/")))</f>
        <v>45296</v>
      </c>
      <c r="H1087" s="16">
        <f>DATE(YEAR(SUBSTITUTE(LEFT(Base_report!G1083,10),"-","/")),MONTH(SUBSTITUTE(LEFT(Base_report!G1083,10),"-","/")),DAY(SUBSTITUTE(LEFT(Base_report!G1083,10),"-","/")))</f>
        <v>45296</v>
      </c>
      <c r="I1087" s="17" t="str">
        <f t="shared" si="1"/>
        <v>OUI</v>
      </c>
      <c r="J1087" s="18">
        <f>IF(L1087="DS",DATE(RIGHT(B1087,4),VLOOKUP(LEFT(B1087,LEN(B1087)-5),Feuil1!$E$3:$F$19,2,FALSE)+1,10),DATE(RIGHT(B1087,4),VLOOKUP(LEFT(B1087,LEN(B1087)-5),Feuil1!$E$3:$F$19,2,FALSE)+1,7))</f>
        <v>45298</v>
      </c>
      <c r="K1087" s="19">
        <f t="shared" si="2"/>
        <v>1</v>
      </c>
      <c r="L1087" s="6" t="str">
        <f t="shared" si="3"/>
        <v>FS</v>
      </c>
    </row>
    <row r="1088" ht="14.25" customHeight="1">
      <c r="A1088" s="14" t="str">
        <f>Base_report!A1084</f>
        <v>ABIDJAN 2</v>
      </c>
      <c r="B1088" s="14" t="str">
        <f>Base_report!B1084</f>
        <v>DECEMBRE 2023</v>
      </c>
      <c r="C1088" s="15" t="str">
        <f>Base_report!C1084</f>
        <v>C1106</v>
      </c>
      <c r="D1088" s="14" t="str">
        <f>TRIM(IF(ISNUMBER(FIND("PNSME",Base_report!D1084,1)),SUBSTITUTE(Base_report!D1084,"PNSME",""),IF(ISNUMBER(FIND("PHG",Base_report!D1084,1)),SUBSTITUTE(Base_report!D1084,"PHG",""),IF(ISNUMBER(FIND("PCS",Base_report!D1084,1)),SUBSTITUTE(Base_report!D1084,"PCS",""),IF(ISNUMBER(FIND("CMU",Base_report!D1084,1)),SUBSTITUTE(Base_report!D1084,"CMU",""),Base_report!D1084)))))</f>
        <v>INSTITUT NATIONAL DE LA SANTE PUBLIQUE</v>
      </c>
      <c r="E1088" s="14" t="str">
        <f>SUBSTITUTE(Base_report!E1084,"-","/")</f>
        <v>PNLP/MEDICAMENTS ET INTRANTS</v>
      </c>
      <c r="F1088" s="14" t="s">
        <v>788</v>
      </c>
      <c r="G1088" s="16">
        <f>DATE(YEAR(SUBSTITUTE(LEFT(Base_report!F1084,10),"-","/")),MONTH(SUBSTITUTE(LEFT(Base_report!F1084,10),"-","/")),DAY(SUBSTITUTE(LEFT(Base_report!F1084,10),"-","/")))</f>
        <v>45296</v>
      </c>
      <c r="H1088" s="16">
        <f>DATE(YEAR(SUBSTITUTE(LEFT(Base_report!G1084,10),"-","/")),MONTH(SUBSTITUTE(LEFT(Base_report!G1084,10),"-","/")),DAY(SUBSTITUTE(LEFT(Base_report!G1084,10),"-","/")))</f>
        <v>45296</v>
      </c>
      <c r="I1088" s="17" t="str">
        <f t="shared" si="1"/>
        <v>OUI</v>
      </c>
      <c r="J1088" s="18">
        <f>IF(L1088="DS",DATE(RIGHT(B1088,4),VLOOKUP(LEFT(B1088,LEN(B1088)-5),Feuil1!$E$3:$F$19,2,FALSE)+1,10),DATE(RIGHT(B1088,4),VLOOKUP(LEFT(B1088,LEN(B1088)-5),Feuil1!$E$3:$F$19,2,FALSE)+1,7))</f>
        <v>45298</v>
      </c>
      <c r="K1088" s="19">
        <f t="shared" si="2"/>
        <v>1</v>
      </c>
      <c r="L1088" s="6" t="str">
        <f t="shared" si="3"/>
        <v>FS</v>
      </c>
    </row>
    <row r="1089" ht="14.25" customHeight="1">
      <c r="A1089" s="14" t="str">
        <f>Base_report!A1085</f>
        <v>ABIDJAN 1</v>
      </c>
      <c r="B1089" s="14" t="str">
        <f>Base_report!B1085</f>
        <v>DECEMBRE 2023</v>
      </c>
      <c r="C1089" s="15" t="str">
        <f>Base_report!C1085</f>
        <v>C1068</v>
      </c>
      <c r="D1089" s="14" t="str">
        <f>TRIM(IF(ISNUMBER(FIND("PNSME",Base_report!D1085,1)),SUBSTITUTE(Base_report!D1085,"PNSME",""),IF(ISNUMBER(FIND("PHG",Base_report!D1085,1)),SUBSTITUTE(Base_report!D1085,"PHG",""),IF(ISNUMBER(FIND("PCS",Base_report!D1085,1)),SUBSTITUTE(Base_report!D1085,"PCS",""),IF(ISNUMBER(FIND("CMU",Base_report!D1085,1)),SUBSTITUTE(Base_report!D1085,"CMU",""),Base_report!D1085)))))</f>
        <v>FSU COM ANONKOUA-KOUTE</v>
      </c>
      <c r="E1089" s="14" t="str">
        <f>SUBSTITUTE(Base_report!E1085,"-","/")</f>
        <v>PNLS/CHARGES VIRALES</v>
      </c>
      <c r="F1089" s="14" t="s">
        <v>788</v>
      </c>
      <c r="G1089" s="16">
        <f>DATE(YEAR(SUBSTITUTE(LEFT(Base_report!F1085,10),"-","/")),MONTH(SUBSTITUTE(LEFT(Base_report!F1085,10),"-","/")),DAY(SUBSTITUTE(LEFT(Base_report!F1085,10),"-","/")))</f>
        <v>45296</v>
      </c>
      <c r="H1089" s="16">
        <f>DATE(YEAR(SUBSTITUTE(LEFT(Base_report!G1085,10),"-","/")),MONTH(SUBSTITUTE(LEFT(Base_report!G1085,10),"-","/")),DAY(SUBSTITUTE(LEFT(Base_report!G1085,10),"-","/")))</f>
        <v>45296</v>
      </c>
      <c r="I1089" s="17" t="str">
        <f t="shared" si="1"/>
        <v>OUI</v>
      </c>
      <c r="J1089" s="18">
        <f>IF(L1089="DS",DATE(RIGHT(B1089,4),VLOOKUP(LEFT(B1089,LEN(B1089)-5),Feuil1!$E$3:$F$19,2,FALSE)+1,10),DATE(RIGHT(B1089,4),VLOOKUP(LEFT(B1089,LEN(B1089)-5),Feuil1!$E$3:$F$19,2,FALSE)+1,7))</f>
        <v>45298</v>
      </c>
      <c r="K1089" s="19">
        <f t="shared" si="2"/>
        <v>1</v>
      </c>
      <c r="L1089" s="6" t="str">
        <f t="shared" si="3"/>
        <v>FS</v>
      </c>
    </row>
    <row r="1090" ht="14.25" customHeight="1">
      <c r="A1090" s="14" t="str">
        <f>Base_report!A1086</f>
        <v>GOH</v>
      </c>
      <c r="B1090" s="14" t="str">
        <f>Base_report!B1086</f>
        <v>DECEMBRE 2023</v>
      </c>
      <c r="C1090" s="15" t="str">
        <f>Base_report!C1086</f>
        <v>C2006</v>
      </c>
      <c r="D1090" s="14" t="str">
        <f>TRIM(IF(ISNUMBER(FIND("PNSME",Base_report!D1086,1)),SUBSTITUTE(Base_report!D1086,"PNSME",""),IF(ISNUMBER(FIND("PHG",Base_report!D1086,1)),SUBSTITUTE(Base_report!D1086,"PHG",""),IF(ISNUMBER(FIND("PCS",Base_report!D1086,1)),SUBSTITUTE(Base_report!D1086,"PCS",""),IF(ISNUMBER(FIND("CMU",Base_report!D1086,1)),SUBSTITUTE(Base_report!D1086,"CMU",""),Base_report!D1086)))))</f>
        <v>CHR GAGNOA</v>
      </c>
      <c r="E1090" s="14" t="str">
        <f>SUBSTITUTE(Base_report!E1086,"-","/")</f>
        <v>PNLS/TESTS RAPIDES ET CONSOMMABLES</v>
      </c>
      <c r="F1090" s="14" t="s">
        <v>788</v>
      </c>
      <c r="G1090" s="16">
        <f>DATE(YEAR(SUBSTITUTE(LEFT(Base_report!F1086,10),"-","/")),MONTH(SUBSTITUTE(LEFT(Base_report!F1086,10),"-","/")),DAY(SUBSTITUTE(LEFT(Base_report!F1086,10),"-","/")))</f>
        <v>45298</v>
      </c>
      <c r="H1090" s="16">
        <f>DATE(YEAR(SUBSTITUTE(LEFT(Base_report!G1086,10),"-","/")),MONTH(SUBSTITUTE(LEFT(Base_report!G1086,10),"-","/")),DAY(SUBSTITUTE(LEFT(Base_report!G1086,10),"-","/")))</f>
        <v>45298</v>
      </c>
      <c r="I1090" s="17" t="str">
        <f t="shared" si="1"/>
        <v>OUI</v>
      </c>
      <c r="J1090" s="18">
        <f>IF(L1090="DS",DATE(RIGHT(B1090,4),VLOOKUP(LEFT(B1090,LEN(B1090)-5),Feuil1!$E$3:$F$19,2,FALSE)+1,10),DATE(RIGHT(B1090,4),VLOOKUP(LEFT(B1090,LEN(B1090)-5),Feuil1!$E$3:$F$19,2,FALSE)+1,7))</f>
        <v>45298</v>
      </c>
      <c r="K1090" s="19">
        <f t="shared" si="2"/>
        <v>1</v>
      </c>
      <c r="L1090" s="6" t="str">
        <f t="shared" si="3"/>
        <v>FS</v>
      </c>
    </row>
    <row r="1091" ht="14.25" customHeight="1">
      <c r="A1091" s="14" t="str">
        <f>Base_report!A1087</f>
        <v>GUEMON</v>
      </c>
      <c r="B1091" s="14" t="str">
        <f>Base_report!B1087</f>
        <v>DECEMBRE 2023</v>
      </c>
      <c r="C1091" s="15" t="str">
        <f>Base_report!C1087</f>
        <v>C5019</v>
      </c>
      <c r="D1091" s="14" t="str">
        <f>TRIM(IF(ISNUMBER(FIND("PNSME",Base_report!D1087,1)),SUBSTITUTE(Base_report!D1087,"PNSME",""),IF(ISNUMBER(FIND("PHG",Base_report!D1087,1)),SUBSTITUTE(Base_report!D1087,"PHG",""),IF(ISNUMBER(FIND("PCS",Base_report!D1087,1)),SUBSTITUTE(Base_report!D1087,"PCS",""),IF(ISNUMBER(FIND("CMU",Base_report!D1087,1)),SUBSTITUTE(Base_report!D1087,"CMU",""),Base_report!D1087)))))</f>
        <v>HOPITAL GENERAL DUEKOUE</v>
      </c>
      <c r="E1091" s="14" t="str">
        <f>SUBSTITUTE(Base_report!E1087,"-","/")</f>
        <v>PNLS/PRODUITS DE LABORATOIRE</v>
      </c>
      <c r="F1091" s="14" t="s">
        <v>788</v>
      </c>
      <c r="G1091" s="16">
        <f>DATE(YEAR(SUBSTITUTE(LEFT(Base_report!F1087,10),"-","/")),MONTH(SUBSTITUTE(LEFT(Base_report!F1087,10),"-","/")),DAY(SUBSTITUTE(LEFT(Base_report!F1087,10),"-","/")))</f>
        <v>45296</v>
      </c>
      <c r="H1091" s="16">
        <f>DATE(YEAR(SUBSTITUTE(LEFT(Base_report!G1087,10),"-","/")),MONTH(SUBSTITUTE(LEFT(Base_report!G1087,10),"-","/")),DAY(SUBSTITUTE(LEFT(Base_report!G1087,10),"-","/")))</f>
        <v>45297</v>
      </c>
      <c r="I1091" s="17" t="str">
        <f t="shared" si="1"/>
        <v>OUI</v>
      </c>
      <c r="J1091" s="18">
        <f>IF(L1091="DS",DATE(RIGHT(B1091,4),VLOOKUP(LEFT(B1091,LEN(B1091)-5),Feuil1!$E$3:$F$19,2,FALSE)+1,10),DATE(RIGHT(B1091,4),VLOOKUP(LEFT(B1091,LEN(B1091)-5),Feuil1!$E$3:$F$19,2,FALSE)+1,7))</f>
        <v>45298</v>
      </c>
      <c r="K1091" s="19">
        <f t="shared" si="2"/>
        <v>1</v>
      </c>
      <c r="L1091" s="6" t="str">
        <f t="shared" si="3"/>
        <v>FS</v>
      </c>
    </row>
    <row r="1092" ht="14.25" customHeight="1">
      <c r="A1092" s="14" t="str">
        <f>Base_report!A1088</f>
        <v>ABIDJAN 2</v>
      </c>
      <c r="B1092" s="14" t="str">
        <f>Base_report!B1088</f>
        <v>DECEMBRE 2023</v>
      </c>
      <c r="C1092" s="15" t="str">
        <f>Base_report!C1088</f>
        <v>C1055</v>
      </c>
      <c r="D1092" s="14" t="str">
        <f>TRIM(IF(ISNUMBER(FIND("PNSME",Base_report!D1088,1)),SUBSTITUTE(Base_report!D1088,"PNSME",""),IF(ISNUMBER(FIND("PHG",Base_report!D1088,1)),SUBSTITUTE(Base_report!D1088,"PHG",""),IF(ISNUMBER(FIND("PCS",Base_report!D1088,1)),SUBSTITUTE(Base_report!D1088,"PCS",""),IF(ISNUMBER(FIND("CMU",Base_report!D1088,1)),SUBSTITUTE(Base_report!D1088,"CMU",""),Base_report!D1088)))))</f>
        <v>FSU BLOCKHAUSS</v>
      </c>
      <c r="E1092" s="14" t="str">
        <f>SUBSTITUTE(Base_report!E1088,"-","/")</f>
        <v>PNLP/MEDICAMENTS ET INTRANTS</v>
      </c>
      <c r="F1092" s="14" t="s">
        <v>788</v>
      </c>
      <c r="G1092" s="16">
        <f>DATE(YEAR(SUBSTITUTE(LEFT(Base_report!F1088,10),"-","/")),MONTH(SUBSTITUTE(LEFT(Base_report!F1088,10),"-","/")),DAY(SUBSTITUTE(LEFT(Base_report!F1088,10),"-","/")))</f>
        <v>45296</v>
      </c>
      <c r="H1092" s="16">
        <f>DATE(YEAR(SUBSTITUTE(LEFT(Base_report!G1088,10),"-","/")),MONTH(SUBSTITUTE(LEFT(Base_report!G1088,10),"-","/")),DAY(SUBSTITUTE(LEFT(Base_report!G1088,10),"-","/")))</f>
        <v>45297</v>
      </c>
      <c r="I1092" s="17" t="str">
        <f t="shared" si="1"/>
        <v>OUI</v>
      </c>
      <c r="J1092" s="18">
        <f>IF(L1092="DS",DATE(RIGHT(B1092,4),VLOOKUP(LEFT(B1092,LEN(B1092)-5),Feuil1!$E$3:$F$19,2,FALSE)+1,10),DATE(RIGHT(B1092,4),VLOOKUP(LEFT(B1092,LEN(B1092)-5),Feuil1!$E$3:$F$19,2,FALSE)+1,7))</f>
        <v>45298</v>
      </c>
      <c r="K1092" s="19">
        <f t="shared" si="2"/>
        <v>1</v>
      </c>
      <c r="L1092" s="6" t="str">
        <f t="shared" si="3"/>
        <v>FS</v>
      </c>
    </row>
    <row r="1093" ht="14.25" customHeight="1">
      <c r="A1093" s="14" t="str">
        <f>Base_report!A1089</f>
        <v>GBOKLE</v>
      </c>
      <c r="B1093" s="14" t="str">
        <f>Base_report!B1089</f>
        <v>DECEMBRE 2023</v>
      </c>
      <c r="C1093" s="15" t="str">
        <f>Base_report!C1089</f>
        <v>C1095</v>
      </c>
      <c r="D1093" s="14" t="str">
        <f>TRIM(IF(ISNUMBER(FIND("PNSME",Base_report!D1089,1)),SUBSTITUTE(Base_report!D1089,"PNSME",""),IF(ISNUMBER(FIND("PHG",Base_report!D1089,1)),SUBSTITUTE(Base_report!D1089,"PHG",""),IF(ISNUMBER(FIND("PCS",Base_report!D1089,1)),SUBSTITUTE(Base_report!D1089,"PCS",""),IF(ISNUMBER(FIND("CMU",Base_report!D1089,1)),SUBSTITUTE(Base_report!D1089,"CMU",""),Base_report!D1089)))))</f>
        <v>HOPITAL GENERAL SASSANDRA</v>
      </c>
      <c r="E1093" s="14" t="str">
        <f>SUBSTITUTE(Base_report!E1089,"-","/")</f>
        <v>PNLS/CHARGES VIRALES</v>
      </c>
      <c r="F1093" s="14" t="s">
        <v>788</v>
      </c>
      <c r="G1093" s="16">
        <f>DATE(YEAR(SUBSTITUTE(LEFT(Base_report!F1089,10),"-","/")),MONTH(SUBSTITUTE(LEFT(Base_report!F1089,10),"-","/")),DAY(SUBSTITUTE(LEFT(Base_report!F1089,10),"-","/")))</f>
        <v>45296</v>
      </c>
      <c r="H1093" s="16">
        <f>DATE(YEAR(SUBSTITUTE(LEFT(Base_report!G1089,10),"-","/")),MONTH(SUBSTITUTE(LEFT(Base_report!G1089,10),"-","/")),DAY(SUBSTITUTE(LEFT(Base_report!G1089,10),"-","/")))</f>
        <v>45297</v>
      </c>
      <c r="I1093" s="17" t="str">
        <f t="shared" si="1"/>
        <v>OUI</v>
      </c>
      <c r="J1093" s="18">
        <f>IF(L1093="DS",DATE(RIGHT(B1093,4),VLOOKUP(LEFT(B1093,LEN(B1093)-5),Feuil1!$E$3:$F$19,2,FALSE)+1,10),DATE(RIGHT(B1093,4),VLOOKUP(LEFT(B1093,LEN(B1093)-5),Feuil1!$E$3:$F$19,2,FALSE)+1,7))</f>
        <v>45298</v>
      </c>
      <c r="K1093" s="19">
        <f t="shared" si="2"/>
        <v>1</v>
      </c>
      <c r="L1093" s="6" t="str">
        <f t="shared" si="3"/>
        <v>FS</v>
      </c>
    </row>
    <row r="1094" ht="14.25" customHeight="1">
      <c r="A1094" s="14" t="str">
        <f>Base_report!A1090</f>
        <v>ME</v>
      </c>
      <c r="B1094" s="14" t="str">
        <f>Base_report!B1090</f>
        <v>DECEMBRE 2023</v>
      </c>
      <c r="C1094" s="15" t="str">
        <f>Base_report!C1090</f>
        <v>C1083</v>
      </c>
      <c r="D1094" s="14" t="str">
        <f>TRIM(IF(ISNUMBER(FIND("PNSME",Base_report!D1090,1)),SUBSTITUTE(Base_report!D1090,"PNSME",""),IF(ISNUMBER(FIND("PHG",Base_report!D1090,1)),SUBSTITUTE(Base_report!D1090,"PHG",""),IF(ISNUMBER(FIND("PCS",Base_report!D1090,1)),SUBSTITUTE(Base_report!D1090,"PCS",""),IF(ISNUMBER(FIND("CMU",Base_report!D1090,1)),SUBSTITUTE(Base_report!D1090,"CMU",""),Base_report!D1090)))))</f>
        <v>HOPITAL GENERAL ALEPE</v>
      </c>
      <c r="E1094" s="14" t="str">
        <f>SUBSTITUTE(Base_report!E1090,"-","/")</f>
        <v>PNLS/CHARGES VIRALES</v>
      </c>
      <c r="F1094" s="14" t="s">
        <v>788</v>
      </c>
      <c r="G1094" s="16">
        <f>DATE(YEAR(SUBSTITUTE(LEFT(Base_report!F1090,10),"-","/")),MONTH(SUBSTITUTE(LEFT(Base_report!F1090,10),"-","/")),DAY(SUBSTITUTE(LEFT(Base_report!F1090,10),"-","/")))</f>
        <v>45296</v>
      </c>
      <c r="H1094" s="16">
        <f>DATE(YEAR(SUBSTITUTE(LEFT(Base_report!G1090,10),"-","/")),MONTH(SUBSTITUTE(LEFT(Base_report!G1090,10),"-","/")),DAY(SUBSTITUTE(LEFT(Base_report!G1090,10),"-","/")))</f>
        <v>45296</v>
      </c>
      <c r="I1094" s="17" t="str">
        <f t="shared" si="1"/>
        <v>OUI</v>
      </c>
      <c r="J1094" s="18">
        <f>IF(L1094="DS",DATE(RIGHT(B1094,4),VLOOKUP(LEFT(B1094,LEN(B1094)-5),Feuil1!$E$3:$F$19,2,FALSE)+1,10),DATE(RIGHT(B1094,4),VLOOKUP(LEFT(B1094,LEN(B1094)-5),Feuil1!$E$3:$F$19,2,FALSE)+1,7))</f>
        <v>45298</v>
      </c>
      <c r="K1094" s="19">
        <f t="shared" si="2"/>
        <v>1</v>
      </c>
      <c r="L1094" s="6" t="str">
        <f t="shared" si="3"/>
        <v>FS</v>
      </c>
    </row>
    <row r="1095" ht="14.25" customHeight="1">
      <c r="A1095" s="14" t="str">
        <f>Base_report!A1091</f>
        <v>ABIDJAN 2</v>
      </c>
      <c r="B1095" s="14" t="str">
        <f>Base_report!B1091</f>
        <v>DECEMBRE 2023</v>
      </c>
      <c r="C1095" s="15" t="str">
        <f>Base_report!C1091</f>
        <v>C1005</v>
      </c>
      <c r="D1095" s="14" t="str">
        <f>TRIM(IF(ISNUMBER(FIND("PNSME",Base_report!D1091,1)),SUBSTITUTE(Base_report!D1091,"PNSME",""),IF(ISNUMBER(FIND("PHG",Base_report!D1091,1)),SUBSTITUTE(Base_report!D1091,"PHG",""),IF(ISNUMBER(FIND("PCS",Base_report!D1091,1)),SUBSTITUTE(Base_report!D1091,"PCS",""),IF(ISNUMBER(FIND("CMU",Base_report!D1091,1)),SUBSTITUTE(Base_report!D1091,"CMU",""),Base_report!D1091)))))</f>
        <v>CHU COCODY</v>
      </c>
      <c r="E1095" s="14" t="str">
        <f>SUBSTITUTE(Base_report!E1091,"-","/")</f>
        <v>PNLS/TESTS RAPIDES ET CONSOMMABLES</v>
      </c>
      <c r="F1095" s="14" t="s">
        <v>788</v>
      </c>
      <c r="G1095" s="16">
        <f>DATE(YEAR(SUBSTITUTE(LEFT(Base_report!F1091,10),"-","/")),MONTH(SUBSTITUTE(LEFT(Base_report!F1091,10),"-","/")),DAY(SUBSTITUTE(LEFT(Base_report!F1091,10),"-","/")))</f>
        <v>45298</v>
      </c>
      <c r="H1095" s="16">
        <f>DATE(YEAR(SUBSTITUTE(LEFT(Base_report!G1091,10),"-","/")),MONTH(SUBSTITUTE(LEFT(Base_report!G1091,10),"-","/")),DAY(SUBSTITUTE(LEFT(Base_report!G1091,10),"-","/")))</f>
        <v>45299</v>
      </c>
      <c r="I1095" s="17" t="str">
        <f t="shared" si="1"/>
        <v>OUI</v>
      </c>
      <c r="J1095" s="18">
        <f>IF(L1095="DS",DATE(RIGHT(B1095,4),VLOOKUP(LEFT(B1095,LEN(B1095)-5),Feuil1!$E$3:$F$19,2,FALSE)+1,10),DATE(RIGHT(B1095,4),VLOOKUP(LEFT(B1095,LEN(B1095)-5),Feuil1!$E$3:$F$19,2,FALSE)+1,7))</f>
        <v>45298</v>
      </c>
      <c r="K1095" s="19">
        <f t="shared" si="2"/>
        <v>0</v>
      </c>
      <c r="L1095" s="6" t="str">
        <f t="shared" si="3"/>
        <v>FS</v>
      </c>
    </row>
    <row r="1096" ht="14.25" customHeight="1">
      <c r="A1096" s="14" t="str">
        <f>Base_report!A1092</f>
        <v>ABIDJAN 1</v>
      </c>
      <c r="B1096" s="14" t="str">
        <f>Base_report!B1092</f>
        <v>DECEMBRE 2023</v>
      </c>
      <c r="C1096" s="15" t="str">
        <f>Base_report!C1092</f>
        <v>C1068</v>
      </c>
      <c r="D1096" s="14" t="str">
        <f>TRIM(IF(ISNUMBER(FIND("PNSME",Base_report!D1092,1)),SUBSTITUTE(Base_report!D1092,"PNSME",""),IF(ISNUMBER(FIND("PHG",Base_report!D1092,1)),SUBSTITUTE(Base_report!D1092,"PHG",""),IF(ISNUMBER(FIND("PCS",Base_report!D1092,1)),SUBSTITUTE(Base_report!D1092,"PCS",""),IF(ISNUMBER(FIND("CMU",Base_report!D1092,1)),SUBSTITUTE(Base_report!D1092,"CMU",""),Base_report!D1092)))))</f>
        <v>FSU COM ANONKOUA-KOUTE</v>
      </c>
      <c r="E1096" s="14" t="str">
        <f>SUBSTITUTE(Base_report!E1092,"-","/")</f>
        <v>PNLS/TESTS RAPIDES ET CONSOMMABLES</v>
      </c>
      <c r="F1096" s="14" t="s">
        <v>788</v>
      </c>
      <c r="G1096" s="16">
        <f>DATE(YEAR(SUBSTITUTE(LEFT(Base_report!F1092,10),"-","/")),MONTH(SUBSTITUTE(LEFT(Base_report!F1092,10),"-","/")),DAY(SUBSTITUTE(LEFT(Base_report!F1092,10),"-","/")))</f>
        <v>45296</v>
      </c>
      <c r="H1096" s="16">
        <f>DATE(YEAR(SUBSTITUTE(LEFT(Base_report!G1092,10),"-","/")),MONTH(SUBSTITUTE(LEFT(Base_report!G1092,10),"-","/")),DAY(SUBSTITUTE(LEFT(Base_report!G1092,10),"-","/")))</f>
        <v>45296</v>
      </c>
      <c r="I1096" s="17" t="str">
        <f t="shared" si="1"/>
        <v>OUI</v>
      </c>
      <c r="J1096" s="18">
        <f>IF(L1096="DS",DATE(RIGHT(B1096,4),VLOOKUP(LEFT(B1096,LEN(B1096)-5),Feuil1!$E$3:$F$19,2,FALSE)+1,10),DATE(RIGHT(B1096,4),VLOOKUP(LEFT(B1096,LEN(B1096)-5),Feuil1!$E$3:$F$19,2,FALSE)+1,7))</f>
        <v>45298</v>
      </c>
      <c r="K1096" s="19">
        <f t="shared" si="2"/>
        <v>1</v>
      </c>
      <c r="L1096" s="6" t="str">
        <f t="shared" si="3"/>
        <v>FS</v>
      </c>
    </row>
    <row r="1097" ht="14.25" customHeight="1">
      <c r="A1097" s="14" t="str">
        <f>Base_report!A1093</f>
        <v>GUEMON</v>
      </c>
      <c r="B1097" s="14" t="str">
        <f>Base_report!B1093</f>
        <v>DECEMBRE 2023</v>
      </c>
      <c r="C1097" s="15" t="str">
        <f>Base_report!C1093</f>
        <v>C5019</v>
      </c>
      <c r="D1097" s="14" t="str">
        <f>TRIM(IF(ISNUMBER(FIND("PNSME",Base_report!D1093,1)),SUBSTITUTE(Base_report!D1093,"PNSME",""),IF(ISNUMBER(FIND("PHG",Base_report!D1093,1)),SUBSTITUTE(Base_report!D1093,"PHG",""),IF(ISNUMBER(FIND("PCS",Base_report!D1093,1)),SUBSTITUTE(Base_report!D1093,"PCS",""),IF(ISNUMBER(FIND("CMU",Base_report!D1093,1)),SUBSTITUTE(Base_report!D1093,"CMU",""),Base_report!D1093)))))</f>
        <v>HOPITAL GENERAL DUEKOUE</v>
      </c>
      <c r="E1097" s="14" t="str">
        <f>SUBSTITUTE(Base_report!E1093,"-","/")</f>
        <v>PNLS/TESTS RAPIDES ET CONSOMMABLES</v>
      </c>
      <c r="F1097" s="14" t="s">
        <v>788</v>
      </c>
      <c r="G1097" s="16">
        <f>DATE(YEAR(SUBSTITUTE(LEFT(Base_report!F1093,10),"-","/")),MONTH(SUBSTITUTE(LEFT(Base_report!F1093,10),"-","/")),DAY(SUBSTITUTE(LEFT(Base_report!F1093,10),"-","/")))</f>
        <v>45296</v>
      </c>
      <c r="H1097" s="16">
        <f>DATE(YEAR(SUBSTITUTE(LEFT(Base_report!G1093,10),"-","/")),MONTH(SUBSTITUTE(LEFT(Base_report!G1093,10),"-","/")),DAY(SUBSTITUTE(LEFT(Base_report!G1093,10),"-","/")))</f>
        <v>45297</v>
      </c>
      <c r="I1097" s="17" t="str">
        <f t="shared" si="1"/>
        <v>OUI</v>
      </c>
      <c r="J1097" s="18">
        <f>IF(L1097="DS",DATE(RIGHT(B1097,4),VLOOKUP(LEFT(B1097,LEN(B1097)-5),Feuil1!$E$3:$F$19,2,FALSE)+1,10),DATE(RIGHT(B1097,4),VLOOKUP(LEFT(B1097,LEN(B1097)-5),Feuil1!$E$3:$F$19,2,FALSE)+1,7))</f>
        <v>45298</v>
      </c>
      <c r="K1097" s="19">
        <f t="shared" si="2"/>
        <v>1</v>
      </c>
      <c r="L1097" s="6" t="str">
        <f t="shared" si="3"/>
        <v>FS</v>
      </c>
    </row>
    <row r="1098" ht="14.25" customHeight="1">
      <c r="A1098" s="14" t="str">
        <f>Base_report!A1094</f>
        <v>ABIDJAN 1</v>
      </c>
      <c r="B1098" s="14" t="str">
        <f>Base_report!B1094</f>
        <v>DECEMBRE 2023</v>
      </c>
      <c r="C1098" s="15" t="str">
        <f>Base_report!C1094</f>
        <v>C1405</v>
      </c>
      <c r="D1098" s="14" t="str">
        <f>TRIM(IF(ISNUMBER(FIND("PNSME",Base_report!D1094,1)),SUBSTITUTE(Base_report!D1094,"PNSME",""),IF(ISNUMBER(FIND("PHG",Base_report!D1094,1)),SUBSTITUTE(Base_report!D1094,"PHG",""),IF(ISNUMBER(FIND("PCS",Base_report!D1094,1)),SUBSTITUTE(Base_report!D1094,"PCS",""),IF(ISNUMBER(FIND("CMU",Base_report!D1094,1)),SUBSTITUTE(Base_report!D1094,"CMU",""),Base_report!D1094)))))</f>
        <v>CENTRE SOCIO-SANI SR ANGE GARDIEN</v>
      </c>
      <c r="E1098" s="14" t="str">
        <f>SUBSTITUTE(Base_report!E1094,"-","/")</f>
        <v>PNLP/MEDICAMENTS ET INTRANTS</v>
      </c>
      <c r="F1098" s="14" t="s">
        <v>788</v>
      </c>
      <c r="G1098" s="16">
        <f>DATE(YEAR(SUBSTITUTE(LEFT(Base_report!F1094,10),"-","/")),MONTH(SUBSTITUTE(LEFT(Base_report!F1094,10),"-","/")),DAY(SUBSTITUTE(LEFT(Base_report!F1094,10),"-","/")))</f>
        <v>45296</v>
      </c>
      <c r="H1098" s="16">
        <f>DATE(YEAR(SUBSTITUTE(LEFT(Base_report!G1094,10),"-","/")),MONTH(SUBSTITUTE(LEFT(Base_report!G1094,10),"-","/")),DAY(SUBSTITUTE(LEFT(Base_report!G1094,10),"-","/")))</f>
        <v>45296</v>
      </c>
      <c r="I1098" s="17" t="str">
        <f t="shared" si="1"/>
        <v>OUI</v>
      </c>
      <c r="J1098" s="18">
        <f>IF(L1098="DS",DATE(RIGHT(B1098,4),VLOOKUP(LEFT(B1098,LEN(B1098)-5),Feuil1!$E$3:$F$19,2,FALSE)+1,10),DATE(RIGHT(B1098,4),VLOOKUP(LEFT(B1098,LEN(B1098)-5),Feuil1!$E$3:$F$19,2,FALSE)+1,7))</f>
        <v>45298</v>
      </c>
      <c r="K1098" s="19">
        <f t="shared" si="2"/>
        <v>1</v>
      </c>
      <c r="L1098" s="6" t="str">
        <f t="shared" si="3"/>
        <v>FS</v>
      </c>
    </row>
    <row r="1099" ht="14.25" customHeight="1">
      <c r="A1099" s="14" t="str">
        <f>Base_report!A1095</f>
        <v>GONTOUGO</v>
      </c>
      <c r="B1099" s="14" t="str">
        <f>Base_report!B1095</f>
        <v>DECEMBRE 2023</v>
      </c>
      <c r="C1099" s="15" t="str">
        <f>Base_report!C1095</f>
        <v>C4026</v>
      </c>
      <c r="D1099" s="14" t="str">
        <f>TRIM(IF(ISNUMBER(FIND("PNSME",Base_report!D1095,1)),SUBSTITUTE(Base_report!D1095,"PNSME",""),IF(ISNUMBER(FIND("PHG",Base_report!D1095,1)),SUBSTITUTE(Base_report!D1095,"PHG",""),IF(ISNUMBER(FIND("PCS",Base_report!D1095,1)),SUBSTITUTE(Base_report!D1095,"PCS",""),IF(ISNUMBER(FIND("CMU",Base_report!D1095,1)),SUBSTITUTE(Base_report!D1095,"CMU",""),Base_report!D1095)))))</f>
        <v>HOPITAL GENERAL TANDA</v>
      </c>
      <c r="E1099" s="14" t="str">
        <f>SUBSTITUTE(Base_report!E1095,"-","/")</f>
        <v>PNLS/PRODUITS DE LABORATOIRE</v>
      </c>
      <c r="F1099" s="14" t="s">
        <v>788</v>
      </c>
      <c r="G1099" s="16">
        <f>DATE(YEAR(SUBSTITUTE(LEFT(Base_report!F1095,10),"-","/")),MONTH(SUBSTITUTE(LEFT(Base_report!F1095,10),"-","/")),DAY(SUBSTITUTE(LEFT(Base_report!F1095,10),"-","/")))</f>
        <v>45296</v>
      </c>
      <c r="H1099" s="16">
        <f>DATE(YEAR(SUBSTITUTE(LEFT(Base_report!G1095,10),"-","/")),MONTH(SUBSTITUTE(LEFT(Base_report!G1095,10),"-","/")),DAY(SUBSTITUTE(LEFT(Base_report!G1095,10),"-","/")))</f>
        <v>45298</v>
      </c>
      <c r="I1099" s="17" t="str">
        <f t="shared" si="1"/>
        <v>OUI</v>
      </c>
      <c r="J1099" s="18">
        <f>IF(L1099="DS",DATE(RIGHT(B1099,4),VLOOKUP(LEFT(B1099,LEN(B1099)-5),Feuil1!$E$3:$F$19,2,FALSE)+1,10),DATE(RIGHT(B1099,4),VLOOKUP(LEFT(B1099,LEN(B1099)-5),Feuil1!$E$3:$F$19,2,FALSE)+1,7))</f>
        <v>45298</v>
      </c>
      <c r="K1099" s="19">
        <f t="shared" si="2"/>
        <v>1</v>
      </c>
      <c r="L1099" s="6" t="str">
        <f t="shared" si="3"/>
        <v>FS</v>
      </c>
    </row>
    <row r="1100" ht="14.25" customHeight="1">
      <c r="A1100" s="14" t="str">
        <f>Base_report!A1096</f>
        <v>GONTOUGO</v>
      </c>
      <c r="B1100" s="14" t="str">
        <f>Base_report!B1096</f>
        <v>DECEMBRE 2023</v>
      </c>
      <c r="C1100" s="15" t="str">
        <f>Base_report!C1096</f>
        <v>C4026</v>
      </c>
      <c r="D1100" s="14" t="str">
        <f>TRIM(IF(ISNUMBER(FIND("PNSME",Base_report!D1096,1)),SUBSTITUTE(Base_report!D1096,"PNSME",""),IF(ISNUMBER(FIND("PHG",Base_report!D1096,1)),SUBSTITUTE(Base_report!D1096,"PHG",""),IF(ISNUMBER(FIND("PCS",Base_report!D1096,1)),SUBSTITUTE(Base_report!D1096,"PCS",""),IF(ISNUMBER(FIND("CMU",Base_report!D1096,1)),SUBSTITUTE(Base_report!D1096,"CMU",""),Base_report!D1096)))))</f>
        <v>HOPITAL GENERAL TANDA</v>
      </c>
      <c r="E1100" s="14" t="str">
        <f>SUBSTITUTE(Base_report!E1096,"-","/")</f>
        <v>PNLS/TESTS RAPIDES ET CONSOMMABLES</v>
      </c>
      <c r="F1100" s="14" t="s">
        <v>788</v>
      </c>
      <c r="G1100" s="16">
        <f>DATE(YEAR(SUBSTITUTE(LEFT(Base_report!F1096,10),"-","/")),MONTH(SUBSTITUTE(LEFT(Base_report!F1096,10),"-","/")),DAY(SUBSTITUTE(LEFT(Base_report!F1096,10),"-","/")))</f>
        <v>45296</v>
      </c>
      <c r="H1100" s="16">
        <f>DATE(YEAR(SUBSTITUTE(LEFT(Base_report!G1096,10),"-","/")),MONTH(SUBSTITUTE(LEFT(Base_report!G1096,10),"-","/")),DAY(SUBSTITUTE(LEFT(Base_report!G1096,10),"-","/")))</f>
        <v>45298</v>
      </c>
      <c r="I1100" s="17" t="str">
        <f t="shared" si="1"/>
        <v>OUI</v>
      </c>
      <c r="J1100" s="18">
        <f>IF(L1100="DS",DATE(RIGHT(B1100,4),VLOOKUP(LEFT(B1100,LEN(B1100)-5),Feuil1!$E$3:$F$19,2,FALSE)+1,10),DATE(RIGHT(B1100,4),VLOOKUP(LEFT(B1100,LEN(B1100)-5),Feuil1!$E$3:$F$19,2,FALSE)+1,7))</f>
        <v>45298</v>
      </c>
      <c r="K1100" s="19">
        <f t="shared" si="2"/>
        <v>1</v>
      </c>
      <c r="L1100" s="6" t="str">
        <f t="shared" si="3"/>
        <v>FS</v>
      </c>
    </row>
    <row r="1101" ht="14.25" customHeight="1">
      <c r="A1101" s="14" t="str">
        <f>Base_report!A1097</f>
        <v>AGNEBY-TIASSA</v>
      </c>
      <c r="B1101" s="14" t="str">
        <f>Base_report!B1097</f>
        <v>DECEMBRE 2023</v>
      </c>
      <c r="C1101" s="15" t="str">
        <f>Base_report!C1097</f>
        <v>C1112</v>
      </c>
      <c r="D1101" s="14" t="str">
        <f>TRIM(IF(ISNUMBER(FIND("PNSME",Base_report!D1097,1)),SUBSTITUTE(Base_report!D1097,"PNSME",""),IF(ISNUMBER(FIND("PHG",Base_report!D1097,1)),SUBSTITUTE(Base_report!D1097,"PHG",""),IF(ISNUMBER(FIND("PCS",Base_report!D1097,1)),SUBSTITUTE(Base_report!D1097,"PCS",""),IF(ISNUMBER(FIND("CMU",Base_report!D1097,1)),SUBSTITUTE(Base_report!D1097,"CMU",""),Base_report!D1097)))))</f>
        <v>HOPITAL GENERAL TIASSALE</v>
      </c>
      <c r="E1101" s="14" t="str">
        <f>SUBSTITUTE(Base_report!E1097,"-","/")</f>
        <v>PNSME/MEDICAMENTS ET INTRANTS</v>
      </c>
      <c r="F1101" s="14" t="s">
        <v>788</v>
      </c>
      <c r="G1101" s="16">
        <f>DATE(YEAR(SUBSTITUTE(LEFT(Base_report!F1097,10),"-","/")),MONTH(SUBSTITUTE(LEFT(Base_report!F1097,10),"-","/")),DAY(SUBSTITUTE(LEFT(Base_report!F1097,10),"-","/")))</f>
        <v>45296</v>
      </c>
      <c r="H1101" s="16">
        <f>DATE(YEAR(SUBSTITUTE(LEFT(Base_report!G1097,10),"-","/")),MONTH(SUBSTITUTE(LEFT(Base_report!G1097,10),"-","/")),DAY(SUBSTITUTE(LEFT(Base_report!G1097,10),"-","/")))</f>
        <v>45297</v>
      </c>
      <c r="I1101" s="17" t="str">
        <f t="shared" si="1"/>
        <v>OUI</v>
      </c>
      <c r="J1101" s="18">
        <f>IF(L1101="DS",DATE(RIGHT(B1101,4),VLOOKUP(LEFT(B1101,LEN(B1101)-5),Feuil1!$E$3:$F$19,2,FALSE)+1,10),DATE(RIGHT(B1101,4),VLOOKUP(LEFT(B1101,LEN(B1101)-5),Feuil1!$E$3:$F$19,2,FALSE)+1,7))</f>
        <v>45298</v>
      </c>
      <c r="K1101" s="19">
        <f t="shared" si="2"/>
        <v>1</v>
      </c>
      <c r="L1101" s="6" t="str">
        <f t="shared" si="3"/>
        <v>FS</v>
      </c>
    </row>
    <row r="1102" ht="14.25" customHeight="1">
      <c r="A1102" s="14" t="str">
        <f>Base_report!A1098</f>
        <v>AGNEBY-TIASSA</v>
      </c>
      <c r="B1102" s="14" t="str">
        <f>Base_report!B1098</f>
        <v>DECEMBRE 2023</v>
      </c>
      <c r="C1102" s="15" t="str">
        <f>Base_report!C1098</f>
        <v>C1112</v>
      </c>
      <c r="D1102" s="14" t="str">
        <f>TRIM(IF(ISNUMBER(FIND("PNSME",Base_report!D1098,1)),SUBSTITUTE(Base_report!D1098,"PNSME",""),IF(ISNUMBER(FIND("PHG",Base_report!D1098,1)),SUBSTITUTE(Base_report!D1098,"PHG",""),IF(ISNUMBER(FIND("PCS",Base_report!D1098,1)),SUBSTITUTE(Base_report!D1098,"PCS",""),IF(ISNUMBER(FIND("CMU",Base_report!D1098,1)),SUBSTITUTE(Base_report!D1098,"CMU",""),Base_report!D1098)))))</f>
        <v>HOPITAL GENERAL TIASSALE</v>
      </c>
      <c r="E1102" s="14" t="str">
        <f>SUBSTITUTE(Base_report!E1098,"-","/")</f>
        <v>PNSME_GRATUITE:MEDICAMENTS ET INTRANTS</v>
      </c>
      <c r="F1102" s="14" t="s">
        <v>788</v>
      </c>
      <c r="G1102" s="16">
        <f>DATE(YEAR(SUBSTITUTE(LEFT(Base_report!F1098,10),"-","/")),MONTH(SUBSTITUTE(LEFT(Base_report!F1098,10),"-","/")),DAY(SUBSTITUTE(LEFT(Base_report!F1098,10),"-","/")))</f>
        <v>45296</v>
      </c>
      <c r="H1102" s="16">
        <f>DATE(YEAR(SUBSTITUTE(LEFT(Base_report!G1098,10),"-","/")),MONTH(SUBSTITUTE(LEFT(Base_report!G1098,10),"-","/")),DAY(SUBSTITUTE(LEFT(Base_report!G1098,10),"-","/")))</f>
        <v>45297</v>
      </c>
      <c r="I1102" s="17" t="str">
        <f t="shared" si="1"/>
        <v>OUI</v>
      </c>
      <c r="J1102" s="18">
        <f>IF(L1102="DS",DATE(RIGHT(B1102,4),VLOOKUP(LEFT(B1102,LEN(B1102)-5),Feuil1!$E$3:$F$19,2,FALSE)+1,10),DATE(RIGHT(B1102,4),VLOOKUP(LEFT(B1102,LEN(B1102)-5),Feuil1!$E$3:$F$19,2,FALSE)+1,7))</f>
        <v>45298</v>
      </c>
      <c r="K1102" s="19">
        <f t="shared" si="2"/>
        <v>1</v>
      </c>
      <c r="L1102" s="6" t="str">
        <f t="shared" si="3"/>
        <v>FS</v>
      </c>
    </row>
    <row r="1103" ht="14.25" customHeight="1">
      <c r="A1103" s="14" t="str">
        <f>Base_report!A1099</f>
        <v>BAFING</v>
      </c>
      <c r="B1103" s="14" t="str">
        <f>Base_report!B1099</f>
        <v>DECEMBRE 2023</v>
      </c>
      <c r="C1103" s="15" t="str">
        <f>Base_report!C1099</f>
        <v>C5004</v>
      </c>
      <c r="D1103" s="14" t="str">
        <f>TRIM(IF(ISNUMBER(FIND("PNSME",Base_report!D1099,1)),SUBSTITUTE(Base_report!D1099,"PNSME",""),IF(ISNUMBER(FIND("PHG",Base_report!D1099,1)),SUBSTITUTE(Base_report!D1099,"PHG",""),IF(ISNUMBER(FIND("PCS",Base_report!D1099,1)),SUBSTITUTE(Base_report!D1099,"PCS",""),IF(ISNUMBER(FIND("CMU",Base_report!D1099,1)),SUBSTITUTE(Base_report!D1099,"CMU",""),Base_report!D1099)))))</f>
        <v>CHR TOUBA</v>
      </c>
      <c r="E1103" s="14" t="str">
        <f>SUBSTITUTE(Base_report!E1099,"-","/")</f>
        <v>PNSME/MEDICAMENTS ET INTRANTS</v>
      </c>
      <c r="F1103" s="14" t="s">
        <v>788</v>
      </c>
      <c r="G1103" s="16">
        <f>DATE(YEAR(SUBSTITUTE(LEFT(Base_report!F1099,10),"-","/")),MONTH(SUBSTITUTE(LEFT(Base_report!F1099,10),"-","/")),DAY(SUBSTITUTE(LEFT(Base_report!F1099,10),"-","/")))</f>
        <v>45299</v>
      </c>
      <c r="H1103" s="16">
        <f>DATE(YEAR(SUBSTITUTE(LEFT(Base_report!G1099,10),"-","/")),MONTH(SUBSTITUTE(LEFT(Base_report!G1099,10),"-","/")),DAY(SUBSTITUTE(LEFT(Base_report!G1099,10),"-","/")))</f>
        <v>45300</v>
      </c>
      <c r="I1103" s="17" t="str">
        <f t="shared" si="1"/>
        <v>OUI</v>
      </c>
      <c r="J1103" s="18">
        <f>IF(L1103="DS",DATE(RIGHT(B1103,4),VLOOKUP(LEFT(B1103,LEN(B1103)-5),Feuil1!$E$3:$F$19,2,FALSE)+1,10),DATE(RIGHT(B1103,4),VLOOKUP(LEFT(B1103,LEN(B1103)-5),Feuil1!$E$3:$F$19,2,FALSE)+1,7))</f>
        <v>45298</v>
      </c>
      <c r="K1103" s="19">
        <f t="shared" si="2"/>
        <v>0</v>
      </c>
      <c r="L1103" s="6" t="str">
        <f t="shared" si="3"/>
        <v>FS</v>
      </c>
    </row>
    <row r="1104" ht="14.25" customHeight="1">
      <c r="A1104" s="14" t="str">
        <f>Base_report!A1100</f>
        <v>TCHOLOGO</v>
      </c>
      <c r="B1104" s="14" t="str">
        <f>Base_report!B1100</f>
        <v>DECEMBRE 2023</v>
      </c>
      <c r="C1104" s="15" t="str">
        <f>Base_report!C1100</f>
        <v>C2225</v>
      </c>
      <c r="D1104" s="14" t="str">
        <f>TRIM(IF(ISNUMBER(FIND("PNSME",Base_report!D1100,1)),SUBSTITUTE(Base_report!D1100,"PNSME",""),IF(ISNUMBER(FIND("PHG",Base_report!D1100,1)),SUBSTITUTE(Base_report!D1100,"PHG",""),IF(ISNUMBER(FIND("PCS",Base_report!D1100,1)),SUBSTITUTE(Base_report!D1100,"PCS",""),IF(ISNUMBER(FIND("CMU",Base_report!D1100,1)),SUBSTITUTE(Base_report!D1100,"CMU",""),Base_report!D1100)))))</f>
        <v>HOPITAL GENERAL KONG</v>
      </c>
      <c r="E1104" s="14" t="str">
        <f>SUBSTITUTE(Base_report!E1100,"-","/")</f>
        <v>PNLS/PRODUITS DE LABORATOIRE</v>
      </c>
      <c r="F1104" s="14" t="s">
        <v>788</v>
      </c>
      <c r="G1104" s="16">
        <f>DATE(YEAR(SUBSTITUTE(LEFT(Base_report!F1100,10),"-","/")),MONTH(SUBSTITUTE(LEFT(Base_report!F1100,10),"-","/")),DAY(SUBSTITUTE(LEFT(Base_report!F1100,10),"-","/")))</f>
        <v>45296</v>
      </c>
      <c r="H1104" s="16">
        <f>DATE(YEAR(SUBSTITUTE(LEFT(Base_report!G1100,10),"-","/")),MONTH(SUBSTITUTE(LEFT(Base_report!G1100,10),"-","/")),DAY(SUBSTITUTE(LEFT(Base_report!G1100,10),"-","/")))</f>
        <v>45298</v>
      </c>
      <c r="I1104" s="17" t="str">
        <f t="shared" si="1"/>
        <v>OUI</v>
      </c>
      <c r="J1104" s="18">
        <f>IF(L1104="DS",DATE(RIGHT(B1104,4),VLOOKUP(LEFT(B1104,LEN(B1104)-5),Feuil1!$E$3:$F$19,2,FALSE)+1,10),DATE(RIGHT(B1104,4),VLOOKUP(LEFT(B1104,LEN(B1104)-5),Feuil1!$E$3:$F$19,2,FALSE)+1,7))</f>
        <v>45298</v>
      </c>
      <c r="K1104" s="19">
        <f t="shared" si="2"/>
        <v>1</v>
      </c>
      <c r="L1104" s="6" t="str">
        <f t="shared" si="3"/>
        <v>FS</v>
      </c>
    </row>
    <row r="1105" ht="14.25" customHeight="1">
      <c r="A1105" s="14" t="str">
        <f>Base_report!A1101</f>
        <v>N'ZI</v>
      </c>
      <c r="B1105" s="14" t="str">
        <f>Base_report!B1101</f>
        <v>DECEMBRE 2023</v>
      </c>
      <c r="C1105" s="15" t="str">
        <f>Base_report!C1101</f>
        <v>C4087</v>
      </c>
      <c r="D1105" s="14" t="str">
        <f>TRIM(IF(ISNUMBER(FIND("PNSME",Base_report!D1101,1)),SUBSTITUTE(Base_report!D1101,"PNSME",""),IF(ISNUMBER(FIND("PHG",Base_report!D1101,1)),SUBSTITUTE(Base_report!D1101,"PHG",""),IF(ISNUMBER(FIND("PCS",Base_report!D1101,1)),SUBSTITUTE(Base_report!D1101,"PCS",""),IF(ISNUMBER(FIND("CMU",Base_report!D1101,1)),SUBSTITUTE(Base_report!D1101,"CMU",""),Base_report!D1101)))))</f>
        <v>HOPITAL GENERAL KOUASSI-KOUASSIKRO</v>
      </c>
      <c r="E1105" s="14" t="str">
        <f>SUBSTITUTE(Base_report!E1101,"-","/")</f>
        <v>PNN/MEDICAMENTS ET INTRANTS</v>
      </c>
      <c r="F1105" s="14" t="s">
        <v>788</v>
      </c>
      <c r="G1105" s="16">
        <f>DATE(YEAR(SUBSTITUTE(LEFT(Base_report!F1101,10),"-","/")),MONTH(SUBSTITUTE(LEFT(Base_report!F1101,10),"-","/")),DAY(SUBSTITUTE(LEFT(Base_report!F1101,10),"-","/")))</f>
        <v>45296</v>
      </c>
      <c r="H1105" s="16">
        <f>DATE(YEAR(SUBSTITUTE(LEFT(Base_report!G1101,10),"-","/")),MONTH(SUBSTITUTE(LEFT(Base_report!G1101,10),"-","/")),DAY(SUBSTITUTE(LEFT(Base_report!G1101,10),"-","/")))</f>
        <v>45297</v>
      </c>
      <c r="I1105" s="17" t="str">
        <f t="shared" si="1"/>
        <v>OUI</v>
      </c>
      <c r="J1105" s="18">
        <f>IF(L1105="DS",DATE(RIGHT(B1105,4),VLOOKUP(LEFT(B1105,LEN(B1105)-5),Feuil1!$E$3:$F$19,2,FALSE)+1,10),DATE(RIGHT(B1105,4),VLOOKUP(LEFT(B1105,LEN(B1105)-5),Feuil1!$E$3:$F$19,2,FALSE)+1,7))</f>
        <v>45298</v>
      </c>
      <c r="K1105" s="19">
        <f t="shared" si="2"/>
        <v>1</v>
      </c>
      <c r="L1105" s="6" t="str">
        <f t="shared" si="3"/>
        <v>FS</v>
      </c>
    </row>
    <row r="1106" ht="14.25" customHeight="1">
      <c r="A1106" s="14" t="str">
        <f>Base_report!A1102</f>
        <v>SAN PEDRO</v>
      </c>
      <c r="B1106" s="14" t="str">
        <f>Base_report!B1102</f>
        <v>DECEMBRE 2023</v>
      </c>
      <c r="C1106" s="15" t="str">
        <f>Base_report!C1102</f>
        <v>C2066</v>
      </c>
      <c r="D1106" s="14" t="str">
        <f>TRIM(IF(ISNUMBER(FIND("PNSME",Base_report!D1102,1)),SUBSTITUTE(Base_report!D1102,"PNSME",""),IF(ISNUMBER(FIND("PHG",Base_report!D1102,1)),SUBSTITUTE(Base_report!D1102,"PHG",""),IF(ISNUMBER(FIND("PCS",Base_report!D1102,1)),SUBSTITUTE(Base_report!D1102,"PCS",""),IF(ISNUMBER(FIND("CMU",Base_report!D1102,1)),SUBSTITUTE(Base_report!D1102,"CMU",""),Base_report!D1102)))))</f>
        <v>HOPITAL GENERAL TABOU</v>
      </c>
      <c r="E1106" s="14" t="str">
        <f>SUBSTITUTE(Base_report!E1102,"-","/")</f>
        <v>PNLS/PRODUITS DE LABORATOIRE</v>
      </c>
      <c r="F1106" s="14" t="s">
        <v>788</v>
      </c>
      <c r="G1106" s="16">
        <f>DATE(YEAR(SUBSTITUTE(LEFT(Base_report!F1102,10),"-","/")),MONTH(SUBSTITUTE(LEFT(Base_report!F1102,10),"-","/")),DAY(SUBSTITUTE(LEFT(Base_report!F1102,10),"-","/")))</f>
        <v>45296</v>
      </c>
      <c r="H1106" s="16">
        <f>DATE(YEAR(SUBSTITUTE(LEFT(Base_report!G1102,10),"-","/")),MONTH(SUBSTITUTE(LEFT(Base_report!G1102,10),"-","/")),DAY(SUBSTITUTE(LEFT(Base_report!G1102,10),"-","/")))</f>
        <v>45298</v>
      </c>
      <c r="I1106" s="17" t="str">
        <f t="shared" si="1"/>
        <v>OUI</v>
      </c>
      <c r="J1106" s="18">
        <f>IF(L1106="DS",DATE(RIGHT(B1106,4),VLOOKUP(LEFT(B1106,LEN(B1106)-5),Feuil1!$E$3:$F$19,2,FALSE)+1,10),DATE(RIGHT(B1106,4),VLOOKUP(LEFT(B1106,LEN(B1106)-5),Feuil1!$E$3:$F$19,2,FALSE)+1,7))</f>
        <v>45298</v>
      </c>
      <c r="K1106" s="19">
        <f t="shared" si="2"/>
        <v>1</v>
      </c>
      <c r="L1106" s="6" t="str">
        <f t="shared" si="3"/>
        <v>FS</v>
      </c>
    </row>
    <row r="1107" ht="14.25" customHeight="1">
      <c r="A1107" s="14" t="str">
        <f>Base_report!A1103</f>
        <v>SAN PEDRO</v>
      </c>
      <c r="B1107" s="14" t="str">
        <f>Base_report!B1103</f>
        <v>DECEMBRE 2023</v>
      </c>
      <c r="C1107" s="15" t="str">
        <f>Base_report!C1103</f>
        <v>C2066</v>
      </c>
      <c r="D1107" s="14" t="str">
        <f>TRIM(IF(ISNUMBER(FIND("PNSME",Base_report!D1103,1)),SUBSTITUTE(Base_report!D1103,"PNSME",""),IF(ISNUMBER(FIND("PHG",Base_report!D1103,1)),SUBSTITUTE(Base_report!D1103,"PHG",""),IF(ISNUMBER(FIND("PCS",Base_report!D1103,1)),SUBSTITUTE(Base_report!D1103,"PCS",""),IF(ISNUMBER(FIND("CMU",Base_report!D1103,1)),SUBSTITUTE(Base_report!D1103,"CMU",""),Base_report!D1103)))))</f>
        <v>HOPITAL GENERAL TABOU</v>
      </c>
      <c r="E1107" s="14" t="str">
        <f>SUBSTITUTE(Base_report!E1103,"-","/")</f>
        <v>PNLS/CHARGES VIRALES</v>
      </c>
      <c r="F1107" s="14" t="s">
        <v>788</v>
      </c>
      <c r="G1107" s="16">
        <f>DATE(YEAR(SUBSTITUTE(LEFT(Base_report!F1103,10),"-","/")),MONTH(SUBSTITUTE(LEFT(Base_report!F1103,10),"-","/")),DAY(SUBSTITUTE(LEFT(Base_report!F1103,10),"-","/")))</f>
        <v>45296</v>
      </c>
      <c r="H1107" s="16">
        <f>DATE(YEAR(SUBSTITUTE(LEFT(Base_report!G1103,10),"-","/")),MONTH(SUBSTITUTE(LEFT(Base_report!G1103,10),"-","/")),DAY(SUBSTITUTE(LEFT(Base_report!G1103,10),"-","/")))</f>
        <v>45298</v>
      </c>
      <c r="I1107" s="17" t="str">
        <f t="shared" si="1"/>
        <v>OUI</v>
      </c>
      <c r="J1107" s="18">
        <f>IF(L1107="DS",DATE(RIGHT(B1107,4),VLOOKUP(LEFT(B1107,LEN(B1107)-5),Feuil1!$E$3:$F$19,2,FALSE)+1,10),DATE(RIGHT(B1107,4),VLOOKUP(LEFT(B1107,LEN(B1107)-5),Feuil1!$E$3:$F$19,2,FALSE)+1,7))</f>
        <v>45298</v>
      </c>
      <c r="K1107" s="19">
        <f t="shared" si="2"/>
        <v>1</v>
      </c>
      <c r="L1107" s="6" t="str">
        <f t="shared" si="3"/>
        <v>FS</v>
      </c>
    </row>
    <row r="1108" ht="14.25" customHeight="1">
      <c r="A1108" s="14" t="str">
        <f>Base_report!A1104</f>
        <v>GONTOUGO</v>
      </c>
      <c r="B1108" s="14" t="str">
        <f>Base_report!B1104</f>
        <v>DECEMBRE 2023</v>
      </c>
      <c r="C1108" s="15" t="str">
        <f>Base_report!C1104</f>
        <v>C4026</v>
      </c>
      <c r="D1108" s="14" t="str">
        <f>TRIM(IF(ISNUMBER(FIND("PNSME",Base_report!D1104,1)),SUBSTITUTE(Base_report!D1104,"PNSME",""),IF(ISNUMBER(FIND("PHG",Base_report!D1104,1)),SUBSTITUTE(Base_report!D1104,"PHG",""),IF(ISNUMBER(FIND("PCS",Base_report!D1104,1)),SUBSTITUTE(Base_report!D1104,"PCS",""),IF(ISNUMBER(FIND("CMU",Base_report!D1104,1)),SUBSTITUTE(Base_report!D1104,"CMU",""),Base_report!D1104)))))</f>
        <v>HOPITAL GENERAL TANDA</v>
      </c>
      <c r="E1108" s="14" t="str">
        <f>SUBSTITUTE(Base_report!E1104,"-","/")</f>
        <v>PNSME/MEDICAMENTS ET INTRANTS</v>
      </c>
      <c r="F1108" s="14" t="s">
        <v>788</v>
      </c>
      <c r="G1108" s="16">
        <f>DATE(YEAR(SUBSTITUTE(LEFT(Base_report!F1104,10),"-","/")),MONTH(SUBSTITUTE(LEFT(Base_report!F1104,10),"-","/")),DAY(SUBSTITUTE(LEFT(Base_report!F1104,10),"-","/")))</f>
        <v>45296</v>
      </c>
      <c r="H1108" s="16">
        <f>DATE(YEAR(SUBSTITUTE(LEFT(Base_report!G1104,10),"-","/")),MONTH(SUBSTITUTE(LEFT(Base_report!G1104,10),"-","/")),DAY(SUBSTITUTE(LEFT(Base_report!G1104,10),"-","/")))</f>
        <v>45298</v>
      </c>
      <c r="I1108" s="17" t="str">
        <f t="shared" si="1"/>
        <v>OUI</v>
      </c>
      <c r="J1108" s="18">
        <f>IF(L1108="DS",DATE(RIGHT(B1108,4),VLOOKUP(LEFT(B1108,LEN(B1108)-5),Feuil1!$E$3:$F$19,2,FALSE)+1,10),DATE(RIGHT(B1108,4),VLOOKUP(LEFT(B1108,LEN(B1108)-5),Feuil1!$E$3:$F$19,2,FALSE)+1,7))</f>
        <v>45298</v>
      </c>
      <c r="K1108" s="19">
        <f t="shared" si="2"/>
        <v>1</v>
      </c>
      <c r="L1108" s="6" t="str">
        <f t="shared" si="3"/>
        <v>FS</v>
      </c>
    </row>
    <row r="1109" ht="14.25" customHeight="1">
      <c r="A1109" s="14" t="str">
        <f>Base_report!A1105</f>
        <v>CAVALLY</v>
      </c>
      <c r="B1109" s="14" t="str">
        <f>Base_report!B1105</f>
        <v>DECEMBRE 2023</v>
      </c>
      <c r="C1109" s="15" t="str">
        <f>Base_report!C1105</f>
        <v>C5002</v>
      </c>
      <c r="D1109" s="14" t="str">
        <f>TRIM(IF(ISNUMBER(FIND("PNSME",Base_report!D1105,1)),SUBSTITUTE(Base_report!D1105,"PNSME",""),IF(ISNUMBER(FIND("PHG",Base_report!D1105,1)),SUBSTITUTE(Base_report!D1105,"PHG",""),IF(ISNUMBER(FIND("PCS",Base_report!D1105,1)),SUBSTITUTE(Base_report!D1105,"PCS",""),IF(ISNUMBER(FIND("CMU",Base_report!D1105,1)),SUBSTITUTE(Base_report!D1105,"CMU",""),Base_report!D1105)))))</f>
        <v>CHR GUIGLO</v>
      </c>
      <c r="E1109" s="14" t="str">
        <f>SUBSTITUTE(Base_report!E1105,"-","/")</f>
        <v>PNLP/MEDICAMENTS ET INTRANTS</v>
      </c>
      <c r="F1109" s="14" t="s">
        <v>788</v>
      </c>
      <c r="G1109" s="16">
        <f>DATE(YEAR(SUBSTITUTE(LEFT(Base_report!F1105,10),"-","/")),MONTH(SUBSTITUTE(LEFT(Base_report!F1105,10),"-","/")),DAY(SUBSTITUTE(LEFT(Base_report!F1105,10),"-","/")))</f>
        <v>45299</v>
      </c>
      <c r="H1109" s="16">
        <f>DATE(YEAR(SUBSTITUTE(LEFT(Base_report!G1105,10),"-","/")),MONTH(SUBSTITUTE(LEFT(Base_report!G1105,10),"-","/")),DAY(SUBSTITUTE(LEFT(Base_report!G1105,10),"-","/")))</f>
        <v>45299</v>
      </c>
      <c r="I1109" s="17" t="str">
        <f t="shared" si="1"/>
        <v>OUI</v>
      </c>
      <c r="J1109" s="18">
        <f>IF(L1109="DS",DATE(RIGHT(B1109,4),VLOOKUP(LEFT(B1109,LEN(B1109)-5),Feuil1!$E$3:$F$19,2,FALSE)+1,10),DATE(RIGHT(B1109,4),VLOOKUP(LEFT(B1109,LEN(B1109)-5),Feuil1!$E$3:$F$19,2,FALSE)+1,7))</f>
        <v>45298</v>
      </c>
      <c r="K1109" s="19">
        <f t="shared" si="2"/>
        <v>0</v>
      </c>
      <c r="L1109" s="6" t="str">
        <f t="shared" si="3"/>
        <v>FS</v>
      </c>
    </row>
    <row r="1110" ht="14.25" customHeight="1">
      <c r="A1110" s="14" t="str">
        <f>Base_report!A1106</f>
        <v>ABIDJAN 2</v>
      </c>
      <c r="B1110" s="14" t="str">
        <f>Base_report!B1106</f>
        <v>DECEMBRE 2023</v>
      </c>
      <c r="C1110" s="15" t="str">
        <f>Base_report!C1106</f>
        <v>C1055</v>
      </c>
      <c r="D1110" s="14" t="str">
        <f>TRIM(IF(ISNUMBER(FIND("PNSME",Base_report!D1106,1)),SUBSTITUTE(Base_report!D1106,"PNSME",""),IF(ISNUMBER(FIND("PHG",Base_report!D1106,1)),SUBSTITUTE(Base_report!D1106,"PHG",""),IF(ISNUMBER(FIND("PCS",Base_report!D1106,1)),SUBSTITUTE(Base_report!D1106,"PCS",""),IF(ISNUMBER(FIND("CMU",Base_report!D1106,1)),SUBSTITUTE(Base_report!D1106,"CMU",""),Base_report!D1106)))))</f>
        <v>FSU BLOCKHAUSS</v>
      </c>
      <c r="E1110" s="14" t="str">
        <f>SUBSTITUTE(Base_report!E1106,"-","/")</f>
        <v>PNSME/MEDICAMENTS ET INTRANTS</v>
      </c>
      <c r="F1110" s="14" t="s">
        <v>788</v>
      </c>
      <c r="G1110" s="16">
        <f>DATE(YEAR(SUBSTITUTE(LEFT(Base_report!F1106,10),"-","/")),MONTH(SUBSTITUTE(LEFT(Base_report!F1106,10),"-","/")),DAY(SUBSTITUTE(LEFT(Base_report!F1106,10),"-","/")))</f>
        <v>45298</v>
      </c>
      <c r="H1110" s="16">
        <f>DATE(YEAR(SUBSTITUTE(LEFT(Base_report!G1106,10),"-","/")),MONTH(SUBSTITUTE(LEFT(Base_report!G1106,10),"-","/")),DAY(SUBSTITUTE(LEFT(Base_report!G1106,10),"-","/")))</f>
        <v>45299</v>
      </c>
      <c r="I1110" s="17" t="str">
        <f t="shared" si="1"/>
        <v>OUI</v>
      </c>
      <c r="J1110" s="18">
        <f>IF(L1110="DS",DATE(RIGHT(B1110,4),VLOOKUP(LEFT(B1110,LEN(B1110)-5),Feuil1!$E$3:$F$19,2,FALSE)+1,10),DATE(RIGHT(B1110,4),VLOOKUP(LEFT(B1110,LEN(B1110)-5),Feuil1!$E$3:$F$19,2,FALSE)+1,7))</f>
        <v>45298</v>
      </c>
      <c r="K1110" s="19">
        <f t="shared" si="2"/>
        <v>0</v>
      </c>
      <c r="L1110" s="6" t="str">
        <f t="shared" si="3"/>
        <v>FS</v>
      </c>
    </row>
    <row r="1111" ht="14.25" customHeight="1">
      <c r="A1111" s="14" t="str">
        <f>Base_report!A1107</f>
        <v>GOH</v>
      </c>
      <c r="B1111" s="14" t="str">
        <f>Base_report!B1107</f>
        <v>DECEMBRE 2023</v>
      </c>
      <c r="C1111" s="15" t="str">
        <f>Base_report!C1107</f>
        <v>C2006</v>
      </c>
      <c r="D1111" s="14" t="str">
        <f>TRIM(IF(ISNUMBER(FIND("PNSME",Base_report!D1107,1)),SUBSTITUTE(Base_report!D1107,"PNSME",""),IF(ISNUMBER(FIND("PHG",Base_report!D1107,1)),SUBSTITUTE(Base_report!D1107,"PHG",""),IF(ISNUMBER(FIND("PCS",Base_report!D1107,1)),SUBSTITUTE(Base_report!D1107,"PCS",""),IF(ISNUMBER(FIND("CMU",Base_report!D1107,1)),SUBSTITUTE(Base_report!D1107,"CMU",""),Base_report!D1107)))))</f>
        <v>CHR GAGNOA</v>
      </c>
      <c r="E1111" s="14" t="str">
        <f>SUBSTITUTE(Base_report!E1107,"-","/")</f>
        <v>PNSME/MEDICAMENTS ET INTRANTS</v>
      </c>
      <c r="F1111" s="14" t="s">
        <v>788</v>
      </c>
      <c r="G1111" s="16">
        <f>DATE(YEAR(SUBSTITUTE(LEFT(Base_report!F1107,10),"-","/")),MONTH(SUBSTITUTE(LEFT(Base_report!F1107,10),"-","/")),DAY(SUBSTITUTE(LEFT(Base_report!F1107,10),"-","/")))</f>
        <v>45296</v>
      </c>
      <c r="H1111" s="16">
        <f>DATE(YEAR(SUBSTITUTE(LEFT(Base_report!G1107,10),"-","/")),MONTH(SUBSTITUTE(LEFT(Base_report!G1107,10),"-","/")),DAY(SUBSTITUTE(LEFT(Base_report!G1107,10),"-","/")))</f>
        <v>45298</v>
      </c>
      <c r="I1111" s="17" t="str">
        <f t="shared" si="1"/>
        <v>OUI</v>
      </c>
      <c r="J1111" s="18">
        <f>IF(L1111="DS",DATE(RIGHT(B1111,4),VLOOKUP(LEFT(B1111,LEN(B1111)-5),Feuil1!$E$3:$F$19,2,FALSE)+1,10),DATE(RIGHT(B1111,4),VLOOKUP(LEFT(B1111,LEN(B1111)-5),Feuil1!$E$3:$F$19,2,FALSE)+1,7))</f>
        <v>45298</v>
      </c>
      <c r="K1111" s="19">
        <f t="shared" si="2"/>
        <v>1</v>
      </c>
      <c r="L1111" s="6" t="str">
        <f t="shared" si="3"/>
        <v>FS</v>
      </c>
    </row>
    <row r="1112" ht="14.25" customHeight="1">
      <c r="A1112" s="14" t="str">
        <f>Base_report!A1108</f>
        <v>GUEMON</v>
      </c>
      <c r="B1112" s="14" t="str">
        <f>Base_report!B1108</f>
        <v>DECEMBRE 2023</v>
      </c>
      <c r="C1112" s="15" t="str">
        <f>Base_report!C1108</f>
        <v>C5020</v>
      </c>
      <c r="D1112" s="14" t="str">
        <f>TRIM(IF(ISNUMBER(FIND("PNSME",Base_report!D1108,1)),SUBSTITUTE(Base_report!D1108,"PNSME",""),IF(ISNUMBER(FIND("PHG",Base_report!D1108,1)),SUBSTITUTE(Base_report!D1108,"PHG",""),IF(ISNUMBER(FIND("PCS",Base_report!D1108,1)),SUBSTITUTE(Base_report!D1108,"PCS",""),IF(ISNUMBER(FIND("CMU",Base_report!D1108,1)),SUBSTITUTE(Base_report!D1108,"CMU",""),Base_report!D1108)))))</f>
        <v>HOPITAL GENERAL KOUIBLY</v>
      </c>
      <c r="E1112" s="14" t="str">
        <f>SUBSTITUTE(Base_report!E1108,"-","/")</f>
        <v>PNLS/TESTS RAPIDES ET CONSOMMABLES</v>
      </c>
      <c r="F1112" s="14" t="s">
        <v>788</v>
      </c>
      <c r="G1112" s="16">
        <f>DATE(YEAR(SUBSTITUTE(LEFT(Base_report!F1108,10),"-","/")),MONTH(SUBSTITUTE(LEFT(Base_report!F1108,10),"-","/")),DAY(SUBSTITUTE(LEFT(Base_report!F1108,10),"-","/")))</f>
        <v>45296</v>
      </c>
      <c r="H1112" s="16">
        <f>DATE(YEAR(SUBSTITUTE(LEFT(Base_report!G1108,10),"-","/")),MONTH(SUBSTITUTE(LEFT(Base_report!G1108,10),"-","/")),DAY(SUBSTITUTE(LEFT(Base_report!G1108,10),"-","/")))</f>
        <v>45297</v>
      </c>
      <c r="I1112" s="17" t="str">
        <f t="shared" si="1"/>
        <v>OUI</v>
      </c>
      <c r="J1112" s="18">
        <f>IF(L1112="DS",DATE(RIGHT(B1112,4),VLOOKUP(LEFT(B1112,LEN(B1112)-5),Feuil1!$E$3:$F$19,2,FALSE)+1,10),DATE(RIGHT(B1112,4),VLOOKUP(LEFT(B1112,LEN(B1112)-5),Feuil1!$E$3:$F$19,2,FALSE)+1,7))</f>
        <v>45298</v>
      </c>
      <c r="K1112" s="19">
        <f t="shared" si="2"/>
        <v>1</v>
      </c>
      <c r="L1112" s="6" t="str">
        <f t="shared" si="3"/>
        <v>FS</v>
      </c>
    </row>
    <row r="1113" ht="14.25" customHeight="1">
      <c r="A1113" s="14" t="str">
        <f>Base_report!#REF!</f>
        <v>#ERROR!</v>
      </c>
      <c r="B1113" s="14" t="str">
        <f>Base_report!#REF!</f>
        <v>#ERROR!</v>
      </c>
      <c r="C1113" s="15" t="str">
        <f>Base_report!#REF!</f>
        <v>#ERROR!</v>
      </c>
      <c r="D1113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113" s="14" t="str">
        <f>SUBSTITUTE(Base_report!#REF!,"-","/")</f>
        <v>#ERROR!</v>
      </c>
      <c r="F1113" s="14" t="s">
        <v>788</v>
      </c>
      <c r="G1113" s="16" t="str">
        <f>DATE(YEAR(SUBSTITUTE(LEFT(Base_report!#REF!,10),"-","/")),MONTH(SUBSTITUTE(LEFT(Base_report!#REF!,10),"-","/")),DAY(SUBSTITUTE(LEFT(Base_report!#REF!,10),"-","/")))</f>
        <v>#ERROR!</v>
      </c>
      <c r="H1113" s="16" t="str">
        <f>DATE(YEAR(SUBSTITUTE(LEFT(Base_report!#REF!,10),"-","/")),MONTH(SUBSTITUTE(LEFT(Base_report!#REF!,10),"-","/")),DAY(SUBSTITUTE(LEFT(Base_report!#REF!,10),"-","/")))</f>
        <v>#ERROR!</v>
      </c>
      <c r="I1113" s="17" t="str">
        <f t="shared" si="1"/>
        <v>OUI</v>
      </c>
      <c r="J1113" s="18" t="str">
        <f>IF(L1113="DS",DATE(RIGHT(B1113,4),VLOOKUP(LEFT(B1113,LEN(B1113)-5),Feuil1!$E$3:$F$19,2,FALSE)+1,10),DATE(RIGHT(B1113,4),VLOOKUP(LEFT(B1113,LEN(B1113)-5),Feuil1!$E$3:$F$19,2,FALSE)+1,7))</f>
        <v>#ERROR!</v>
      </c>
      <c r="K1113" s="19" t="str">
        <f t="shared" si="2"/>
        <v>#ERROR!</v>
      </c>
      <c r="L1113" s="6" t="str">
        <f t="shared" si="3"/>
        <v>FS</v>
      </c>
    </row>
    <row r="1114" ht="14.25" customHeight="1">
      <c r="A1114" s="14" t="str">
        <f>Base_report!A1109</f>
        <v>ABIDJAN 2</v>
      </c>
      <c r="B1114" s="14" t="str">
        <f>Base_report!B1109</f>
        <v>DECEMBRE 2023</v>
      </c>
      <c r="C1114" s="15" t="str">
        <f>Base_report!C1109</f>
        <v>C1482</v>
      </c>
      <c r="D1114" s="14" t="str">
        <f>TRIM(IF(ISNUMBER(FIND("PNSME",Base_report!D1109,1)),SUBSTITUTE(Base_report!D1109,"PNSME",""),IF(ISNUMBER(FIND("PHG",Base_report!D1109,1)),SUBSTITUTE(Base_report!D1109,"PHG",""),IF(ISNUMBER(FIND("PCS",Base_report!D1109,1)),SUBSTITUTE(Base_report!D1109,"PCS",""),IF(ISNUMBER(FIND("CMU",Base_report!D1109,1)),SUBSTITUTE(Base_report!D1109,"CMU",""),Base_report!D1109)))))</f>
        <v>CENTRE NATIONAL DE TRANSFUSION SANGUINE</v>
      </c>
      <c r="E1114" s="14" t="str">
        <f>SUBSTITUTE(Base_report!E1109,"-","/")</f>
        <v>PNLP/MEDICAMENTS ET INTRANTS</v>
      </c>
      <c r="F1114" s="14" t="s">
        <v>788</v>
      </c>
      <c r="G1114" s="16">
        <f>DATE(YEAR(SUBSTITUTE(LEFT(Base_report!F1109,10),"-","/")),MONTH(SUBSTITUTE(LEFT(Base_report!F1109,10),"-","/")),DAY(SUBSTITUTE(LEFT(Base_report!F1109,10),"-","/")))</f>
        <v>45297</v>
      </c>
      <c r="H1114" s="16">
        <f>DATE(YEAR(SUBSTITUTE(LEFT(Base_report!G1109,10),"-","/")),MONTH(SUBSTITUTE(LEFT(Base_report!G1109,10),"-","/")),DAY(SUBSTITUTE(LEFT(Base_report!G1109,10),"-","/")))</f>
        <v>45298</v>
      </c>
      <c r="I1114" s="17" t="str">
        <f t="shared" si="1"/>
        <v>OUI</v>
      </c>
      <c r="J1114" s="18">
        <f>IF(L1114="DS",DATE(RIGHT(B1114,4),VLOOKUP(LEFT(B1114,LEN(B1114)-5),Feuil1!$E$3:$F$19,2,FALSE)+1,10),DATE(RIGHT(B1114,4),VLOOKUP(LEFT(B1114,LEN(B1114)-5),Feuil1!$E$3:$F$19,2,FALSE)+1,7))</f>
        <v>45298</v>
      </c>
      <c r="K1114" s="19">
        <f t="shared" si="2"/>
        <v>1</v>
      </c>
      <c r="L1114" s="6" t="str">
        <f t="shared" si="3"/>
        <v>FS</v>
      </c>
    </row>
    <row r="1115" ht="14.25" customHeight="1">
      <c r="A1115" s="14" t="str">
        <f>Base_report!A1110</f>
        <v>WORODOUGOU</v>
      </c>
      <c r="B1115" s="14" t="str">
        <f>Base_report!B1110</f>
        <v>DECEMBRE 2023</v>
      </c>
      <c r="C1115" s="15" t="str">
        <f>Base_report!C1110</f>
        <v>C2041</v>
      </c>
      <c r="D1115" s="14" t="str">
        <f>TRIM(IF(ISNUMBER(FIND("PNSME",Base_report!D1110,1)),SUBSTITUTE(Base_report!D1110,"PNSME",""),IF(ISNUMBER(FIND("PHG",Base_report!D1110,1)),SUBSTITUTE(Base_report!D1110,"PHG",""),IF(ISNUMBER(FIND("PCS",Base_report!D1110,1)),SUBSTITUTE(Base_report!D1110,"PCS",""),IF(ISNUMBER(FIND("CMU",Base_report!D1110,1)),SUBSTITUTE(Base_report!D1110,"CMU",""),Base_report!D1110)))))</f>
        <v>HOPITAL GENERAL KANI</v>
      </c>
      <c r="E1115" s="14" t="str">
        <f>SUBSTITUTE(Base_report!E1110,"-","/")</f>
        <v>PNLS/PRODUITS DE LABORATOIRE</v>
      </c>
      <c r="F1115" s="14" t="s">
        <v>788</v>
      </c>
      <c r="G1115" s="16">
        <f>DATE(YEAR(SUBSTITUTE(LEFT(Base_report!F1110,10),"-","/")),MONTH(SUBSTITUTE(LEFT(Base_report!F1110,10),"-","/")),DAY(SUBSTITUTE(LEFT(Base_report!F1110,10),"-","/")))</f>
        <v>45296</v>
      </c>
      <c r="H1115" s="16">
        <f>DATE(YEAR(SUBSTITUTE(LEFT(Base_report!G1110,10),"-","/")),MONTH(SUBSTITUTE(LEFT(Base_report!G1110,10),"-","/")),DAY(SUBSTITUTE(LEFT(Base_report!G1110,10),"-","/")))</f>
        <v>45296</v>
      </c>
      <c r="I1115" s="17" t="str">
        <f t="shared" si="1"/>
        <v>OUI</v>
      </c>
      <c r="J1115" s="18">
        <f>IF(L1115="DS",DATE(RIGHT(B1115,4),VLOOKUP(LEFT(B1115,LEN(B1115)-5),Feuil1!$E$3:$F$19,2,FALSE)+1,10),DATE(RIGHT(B1115,4),VLOOKUP(LEFT(B1115,LEN(B1115)-5),Feuil1!$E$3:$F$19,2,FALSE)+1,7))</f>
        <v>45298</v>
      </c>
      <c r="K1115" s="19">
        <f t="shared" si="2"/>
        <v>1</v>
      </c>
      <c r="L1115" s="6" t="str">
        <f t="shared" si="3"/>
        <v>FS</v>
      </c>
    </row>
    <row r="1116" ht="14.25" customHeight="1">
      <c r="A1116" s="14" t="str">
        <f>Base_report!A1111</f>
        <v>ME</v>
      </c>
      <c r="B1116" s="14" t="str">
        <f>Base_report!B1111</f>
        <v>DECEMBRE 2023</v>
      </c>
      <c r="C1116" s="15" t="str">
        <f>Base_report!C1111</f>
        <v>C4090</v>
      </c>
      <c r="D1116" s="14" t="str">
        <f>TRIM(IF(ISNUMBER(FIND("PNSME",Base_report!D1111,1)),SUBSTITUTE(Base_report!D1111,"PNSME",""),IF(ISNUMBER(FIND("PHG",Base_report!D1111,1)),SUBSTITUTE(Base_report!D1111,"PHG",""),IF(ISNUMBER(FIND("PCS",Base_report!D1111,1)),SUBSTITUTE(Base_report!D1111,"PCS",""),IF(ISNUMBER(FIND("CMU",Base_report!D1111,1)),SUBSTITUTE(Base_report!D1111,"CMU",""),Base_report!D1111)))))</f>
        <v>CHR ADZOPE</v>
      </c>
      <c r="E1116" s="14" t="str">
        <f>SUBSTITUTE(Base_report!E1111,"-","/")</f>
        <v>PNN/MEDICAMENTS ET INTRANTS</v>
      </c>
      <c r="F1116" s="14" t="s">
        <v>788</v>
      </c>
      <c r="G1116" s="16">
        <f>DATE(YEAR(SUBSTITUTE(LEFT(Base_report!F1111,10),"-","/")),MONTH(SUBSTITUTE(LEFT(Base_report!F1111,10),"-","/")),DAY(SUBSTITUTE(LEFT(Base_report!F1111,10),"-","/")))</f>
        <v>45296</v>
      </c>
      <c r="H1116" s="16">
        <f>DATE(YEAR(SUBSTITUTE(LEFT(Base_report!G1111,10),"-","/")),MONTH(SUBSTITUTE(LEFT(Base_report!G1111,10),"-","/")),DAY(SUBSTITUTE(LEFT(Base_report!G1111,10),"-","/")))</f>
        <v>45296</v>
      </c>
      <c r="I1116" s="17" t="str">
        <f t="shared" si="1"/>
        <v>OUI</v>
      </c>
      <c r="J1116" s="18">
        <f>IF(L1116="DS",DATE(RIGHT(B1116,4),VLOOKUP(LEFT(B1116,LEN(B1116)-5),Feuil1!$E$3:$F$19,2,FALSE)+1,10),DATE(RIGHT(B1116,4),VLOOKUP(LEFT(B1116,LEN(B1116)-5),Feuil1!$E$3:$F$19,2,FALSE)+1,7))</f>
        <v>45298</v>
      </c>
      <c r="K1116" s="19">
        <f t="shared" si="2"/>
        <v>1</v>
      </c>
      <c r="L1116" s="6" t="str">
        <f t="shared" si="3"/>
        <v>FS</v>
      </c>
    </row>
    <row r="1117" ht="14.25" customHeight="1">
      <c r="A1117" s="14" t="str">
        <f>Base_report!A1112</f>
        <v>GONTOUGO</v>
      </c>
      <c r="B1117" s="14" t="str">
        <f>Base_report!B1112</f>
        <v>DECEMBRE 2023</v>
      </c>
      <c r="C1117" s="15" t="str">
        <f>Base_report!C1112</f>
        <v>C4026</v>
      </c>
      <c r="D1117" s="14" t="str">
        <f>TRIM(IF(ISNUMBER(FIND("PNSME",Base_report!D1112,1)),SUBSTITUTE(Base_report!D1112,"PNSME",""),IF(ISNUMBER(FIND("PHG",Base_report!D1112,1)),SUBSTITUTE(Base_report!D1112,"PHG",""),IF(ISNUMBER(FIND("PCS",Base_report!D1112,1)),SUBSTITUTE(Base_report!D1112,"PCS",""),IF(ISNUMBER(FIND("CMU",Base_report!D1112,1)),SUBSTITUTE(Base_report!D1112,"CMU",""),Base_report!D1112)))))</f>
        <v>HOPITAL GENERAL TANDA</v>
      </c>
      <c r="E1117" s="14" t="str">
        <f>SUBSTITUTE(Base_report!E1112,"-","/")</f>
        <v>PNLP/MEDICAMENTS ET INTRANTS</v>
      </c>
      <c r="F1117" s="14" t="s">
        <v>788</v>
      </c>
      <c r="G1117" s="16">
        <f>DATE(YEAR(SUBSTITUTE(LEFT(Base_report!F1112,10),"-","/")),MONTH(SUBSTITUTE(LEFT(Base_report!F1112,10),"-","/")),DAY(SUBSTITUTE(LEFT(Base_report!F1112,10),"-","/")))</f>
        <v>45296</v>
      </c>
      <c r="H1117" s="16">
        <f>DATE(YEAR(SUBSTITUTE(LEFT(Base_report!G1112,10),"-","/")),MONTH(SUBSTITUTE(LEFT(Base_report!G1112,10),"-","/")),DAY(SUBSTITUTE(LEFT(Base_report!G1112,10),"-","/")))</f>
        <v>45298</v>
      </c>
      <c r="I1117" s="17" t="str">
        <f t="shared" si="1"/>
        <v>OUI</v>
      </c>
      <c r="J1117" s="18">
        <f>IF(L1117="DS",DATE(RIGHT(B1117,4),VLOOKUP(LEFT(B1117,LEN(B1117)-5),Feuil1!$E$3:$F$19,2,FALSE)+1,10),DATE(RIGHT(B1117,4),VLOOKUP(LEFT(B1117,LEN(B1117)-5),Feuil1!$E$3:$F$19,2,FALSE)+1,7))</f>
        <v>45298</v>
      </c>
      <c r="K1117" s="19">
        <f t="shared" si="2"/>
        <v>1</v>
      </c>
      <c r="L1117" s="6" t="str">
        <f t="shared" si="3"/>
        <v>FS</v>
      </c>
    </row>
    <row r="1118" ht="14.25" customHeight="1">
      <c r="A1118" s="14" t="str">
        <f>Base_report!A1113</f>
        <v>ABIDJAN 2</v>
      </c>
      <c r="B1118" s="14" t="str">
        <f>Base_report!B1113</f>
        <v>DECEMBRE 2023</v>
      </c>
      <c r="C1118" s="15" t="str">
        <f>Base_report!C1113</f>
        <v>C1482</v>
      </c>
      <c r="D1118" s="14" t="str">
        <f>TRIM(IF(ISNUMBER(FIND("PNSME",Base_report!D1113,1)),SUBSTITUTE(Base_report!D1113,"PNSME",""),IF(ISNUMBER(FIND("PHG",Base_report!D1113,1)),SUBSTITUTE(Base_report!D1113,"PHG",""),IF(ISNUMBER(FIND("PCS",Base_report!D1113,1)),SUBSTITUTE(Base_report!D1113,"PCS",""),IF(ISNUMBER(FIND("CMU",Base_report!D1113,1)),SUBSTITUTE(Base_report!D1113,"CMU",""),Base_report!D1113)))))</f>
        <v>CENTRE NATIONAL DE TRANSFUSION SANGUINE</v>
      </c>
      <c r="E1118" s="14" t="str">
        <f>SUBSTITUTE(Base_report!E1113,"-","/")</f>
        <v>PNLS/PRODUITS DE LABORATOIRE</v>
      </c>
      <c r="F1118" s="14" t="s">
        <v>788</v>
      </c>
      <c r="G1118" s="16">
        <f>DATE(YEAR(SUBSTITUTE(LEFT(Base_report!F1113,10),"-","/")),MONTH(SUBSTITUTE(LEFT(Base_report!F1113,10),"-","/")),DAY(SUBSTITUTE(LEFT(Base_report!F1113,10),"-","/")))</f>
        <v>45297</v>
      </c>
      <c r="H1118" s="16">
        <f>DATE(YEAR(SUBSTITUTE(LEFT(Base_report!G1113,10),"-","/")),MONTH(SUBSTITUTE(LEFT(Base_report!G1113,10),"-","/")),DAY(SUBSTITUTE(LEFT(Base_report!G1113,10),"-","/")))</f>
        <v>45298</v>
      </c>
      <c r="I1118" s="17" t="str">
        <f t="shared" si="1"/>
        <v>OUI</v>
      </c>
      <c r="J1118" s="18">
        <f>IF(L1118="DS",DATE(RIGHT(B1118,4),VLOOKUP(LEFT(B1118,LEN(B1118)-5),Feuil1!$E$3:$F$19,2,FALSE)+1,10),DATE(RIGHT(B1118,4),VLOOKUP(LEFT(B1118,LEN(B1118)-5),Feuil1!$E$3:$F$19,2,FALSE)+1,7))</f>
        <v>45298</v>
      </c>
      <c r="K1118" s="19">
        <f t="shared" si="2"/>
        <v>1</v>
      </c>
      <c r="L1118" s="6" t="str">
        <f t="shared" si="3"/>
        <v>FS</v>
      </c>
    </row>
    <row r="1119" ht="14.25" customHeight="1">
      <c r="A1119" s="14" t="str">
        <f>Base_report!A1114</f>
        <v>MARAHOUE</v>
      </c>
      <c r="B1119" s="14" t="str">
        <f>Base_report!B1114</f>
        <v>DECEMBRE 2023</v>
      </c>
      <c r="C1119" s="15" t="str">
        <f>Base_report!C1114</f>
        <v>C2002</v>
      </c>
      <c r="D1119" s="14" t="str">
        <f>TRIM(IF(ISNUMBER(FIND("PNSME",Base_report!D1114,1)),SUBSTITUTE(Base_report!D1114,"PNSME",""),IF(ISNUMBER(FIND("PHG",Base_report!D1114,1)),SUBSTITUTE(Base_report!D1114,"PHG",""),IF(ISNUMBER(FIND("PCS",Base_report!D1114,1)),SUBSTITUTE(Base_report!D1114,"PCS",""),IF(ISNUMBER(FIND("CMU",Base_report!D1114,1)),SUBSTITUTE(Base_report!D1114,"CMU",""),Base_report!D1114)))))</f>
        <v>CHR BOUAFLE</v>
      </c>
      <c r="E1119" s="14" t="str">
        <f>SUBSTITUTE(Base_report!E1114,"-","/")</f>
        <v>PNLS/ANTIRETROVIRAUX ET IO</v>
      </c>
      <c r="F1119" s="14" t="s">
        <v>788</v>
      </c>
      <c r="G1119" s="16">
        <f>DATE(YEAR(SUBSTITUTE(LEFT(Base_report!F1114,10),"-","/")),MONTH(SUBSTITUTE(LEFT(Base_report!F1114,10),"-","/")),DAY(SUBSTITUTE(LEFT(Base_report!F1114,10),"-","/")))</f>
        <v>45296</v>
      </c>
      <c r="H1119" s="16">
        <f>DATE(YEAR(SUBSTITUTE(LEFT(Base_report!G1114,10),"-","/")),MONTH(SUBSTITUTE(LEFT(Base_report!G1114,10),"-","/")),DAY(SUBSTITUTE(LEFT(Base_report!G1114,10),"-","/")))</f>
        <v>45296</v>
      </c>
      <c r="I1119" s="17" t="str">
        <f t="shared" si="1"/>
        <v>OUI</v>
      </c>
      <c r="J1119" s="18">
        <f>IF(L1119="DS",DATE(RIGHT(B1119,4),VLOOKUP(LEFT(B1119,LEN(B1119)-5),Feuil1!$E$3:$F$19,2,FALSE)+1,10),DATE(RIGHT(B1119,4),VLOOKUP(LEFT(B1119,LEN(B1119)-5),Feuil1!$E$3:$F$19,2,FALSE)+1,7))</f>
        <v>45298</v>
      </c>
      <c r="K1119" s="19">
        <f t="shared" si="2"/>
        <v>1</v>
      </c>
      <c r="L1119" s="6" t="str">
        <f t="shared" si="3"/>
        <v>FS</v>
      </c>
    </row>
    <row r="1120" ht="14.25" customHeight="1">
      <c r="A1120" s="14" t="str">
        <f>Base_report!A1115</f>
        <v>WORODOUGOU</v>
      </c>
      <c r="B1120" s="14" t="str">
        <f>Base_report!B1115</f>
        <v>DECEMBRE 2023</v>
      </c>
      <c r="C1120" s="15" t="str">
        <f>Base_report!C1115</f>
        <v>C2041</v>
      </c>
      <c r="D1120" s="14" t="str">
        <f>TRIM(IF(ISNUMBER(FIND("PNSME",Base_report!D1115,1)),SUBSTITUTE(Base_report!D1115,"PNSME",""),IF(ISNUMBER(FIND("PHG",Base_report!D1115,1)),SUBSTITUTE(Base_report!D1115,"PHG",""),IF(ISNUMBER(FIND("PCS",Base_report!D1115,1)),SUBSTITUTE(Base_report!D1115,"PCS",""),IF(ISNUMBER(FIND("CMU",Base_report!D1115,1)),SUBSTITUTE(Base_report!D1115,"CMU",""),Base_report!D1115)))))</f>
        <v>HOPITAL GENERAL KANI</v>
      </c>
      <c r="E1120" s="14" t="str">
        <f>SUBSTITUTE(Base_report!E1115,"-","/")</f>
        <v>PNLS/TESTS RAPIDES ET CONSOMMABLES</v>
      </c>
      <c r="F1120" s="14" t="s">
        <v>788</v>
      </c>
      <c r="G1120" s="16">
        <f>DATE(YEAR(SUBSTITUTE(LEFT(Base_report!F1115,10),"-","/")),MONTH(SUBSTITUTE(LEFT(Base_report!F1115,10),"-","/")),DAY(SUBSTITUTE(LEFT(Base_report!F1115,10),"-","/")))</f>
        <v>45296</v>
      </c>
      <c r="H1120" s="16">
        <f>DATE(YEAR(SUBSTITUTE(LEFT(Base_report!G1115,10),"-","/")),MONTH(SUBSTITUTE(LEFT(Base_report!G1115,10),"-","/")),DAY(SUBSTITUTE(LEFT(Base_report!G1115,10),"-","/")))</f>
        <v>45296</v>
      </c>
      <c r="I1120" s="17" t="str">
        <f t="shared" si="1"/>
        <v>OUI</v>
      </c>
      <c r="J1120" s="18">
        <f>IF(L1120="DS",DATE(RIGHT(B1120,4),VLOOKUP(LEFT(B1120,LEN(B1120)-5),Feuil1!$E$3:$F$19,2,FALSE)+1,10),DATE(RIGHT(B1120,4),VLOOKUP(LEFT(B1120,LEN(B1120)-5),Feuil1!$E$3:$F$19,2,FALSE)+1,7))</f>
        <v>45298</v>
      </c>
      <c r="K1120" s="19">
        <f t="shared" si="2"/>
        <v>1</v>
      </c>
      <c r="L1120" s="6" t="str">
        <f t="shared" si="3"/>
        <v>FS</v>
      </c>
    </row>
    <row r="1121" ht="14.25" customHeight="1">
      <c r="A1121" s="14" t="str">
        <f>Base_report!A1116</f>
        <v>N'ZI</v>
      </c>
      <c r="B1121" s="14" t="str">
        <f>Base_report!B1116</f>
        <v>DECEMBRE 2023</v>
      </c>
      <c r="C1121" s="15" t="str">
        <f>Base_report!C1116</f>
        <v>C4087</v>
      </c>
      <c r="D1121" s="14" t="str">
        <f>TRIM(IF(ISNUMBER(FIND("PNSME",Base_report!D1116,1)),SUBSTITUTE(Base_report!D1116,"PNSME",""),IF(ISNUMBER(FIND("PHG",Base_report!D1116,1)),SUBSTITUTE(Base_report!D1116,"PHG",""),IF(ISNUMBER(FIND("PCS",Base_report!D1116,1)),SUBSTITUTE(Base_report!D1116,"PCS",""),IF(ISNUMBER(FIND("CMU",Base_report!D1116,1)),SUBSTITUTE(Base_report!D1116,"CMU",""),Base_report!D1116)))))</f>
        <v>HOPITAL GENERAL KOUASSI-KOUASSIKRO</v>
      </c>
      <c r="E1121" s="14" t="str">
        <f>SUBSTITUTE(Base_report!E1116,"-","/")</f>
        <v>PNLS/TESTS RAPIDES ET CONSOMMABLES</v>
      </c>
      <c r="F1121" s="14" t="s">
        <v>788</v>
      </c>
      <c r="G1121" s="16">
        <f>DATE(YEAR(SUBSTITUTE(LEFT(Base_report!F1116,10),"-","/")),MONTH(SUBSTITUTE(LEFT(Base_report!F1116,10),"-","/")),DAY(SUBSTITUTE(LEFT(Base_report!F1116,10),"-","/")))</f>
        <v>45296</v>
      </c>
      <c r="H1121" s="16">
        <f>DATE(YEAR(SUBSTITUTE(LEFT(Base_report!G1116,10),"-","/")),MONTH(SUBSTITUTE(LEFT(Base_report!G1116,10),"-","/")),DAY(SUBSTITUTE(LEFT(Base_report!G1116,10),"-","/")))</f>
        <v>45297</v>
      </c>
      <c r="I1121" s="17" t="str">
        <f t="shared" si="1"/>
        <v>OUI</v>
      </c>
      <c r="J1121" s="18">
        <f>IF(L1121="DS",DATE(RIGHT(B1121,4),VLOOKUP(LEFT(B1121,LEN(B1121)-5),Feuil1!$E$3:$F$19,2,FALSE)+1,10),DATE(RIGHT(B1121,4),VLOOKUP(LEFT(B1121,LEN(B1121)-5),Feuil1!$E$3:$F$19,2,FALSE)+1,7))</f>
        <v>45298</v>
      </c>
      <c r="K1121" s="19">
        <f t="shared" si="2"/>
        <v>1</v>
      </c>
      <c r="L1121" s="6" t="str">
        <f t="shared" si="3"/>
        <v>FS</v>
      </c>
    </row>
    <row r="1122" ht="14.25" customHeight="1">
      <c r="A1122" s="14" t="str">
        <f>Base_report!A1117</f>
        <v>ABIDJAN 2</v>
      </c>
      <c r="B1122" s="14" t="str">
        <f>Base_report!B1117</f>
        <v>DECEMBRE 2023</v>
      </c>
      <c r="C1122" s="15" t="str">
        <f>Base_report!C1117</f>
        <v>C1482</v>
      </c>
      <c r="D1122" s="14" t="str">
        <f>TRIM(IF(ISNUMBER(FIND("PNSME",Base_report!D1117,1)),SUBSTITUTE(Base_report!D1117,"PNSME",""),IF(ISNUMBER(FIND("PHG",Base_report!D1117,1)),SUBSTITUTE(Base_report!D1117,"PHG",""),IF(ISNUMBER(FIND("PCS",Base_report!D1117,1)),SUBSTITUTE(Base_report!D1117,"PCS",""),IF(ISNUMBER(FIND("CMU",Base_report!D1117,1)),SUBSTITUTE(Base_report!D1117,"CMU",""),Base_report!D1117)))))</f>
        <v>CENTRE NATIONAL DE TRANSFUSION SANGUINE</v>
      </c>
      <c r="E1122" s="14" t="str">
        <f>SUBSTITUTE(Base_report!E1117,"-","/")</f>
        <v>PNLS/TESTS RAPIDES ET CONSOMMABLES</v>
      </c>
      <c r="F1122" s="14" t="s">
        <v>788</v>
      </c>
      <c r="G1122" s="16">
        <f>DATE(YEAR(SUBSTITUTE(LEFT(Base_report!F1117,10),"-","/")),MONTH(SUBSTITUTE(LEFT(Base_report!F1117,10),"-","/")),DAY(SUBSTITUTE(LEFT(Base_report!F1117,10),"-","/")))</f>
        <v>45298</v>
      </c>
      <c r="H1122" s="16">
        <f>DATE(YEAR(SUBSTITUTE(LEFT(Base_report!G1117,10),"-","/")),MONTH(SUBSTITUTE(LEFT(Base_report!G1117,10),"-","/")),DAY(SUBSTITUTE(LEFT(Base_report!G1117,10),"-","/")))</f>
        <v>45298</v>
      </c>
      <c r="I1122" s="17" t="str">
        <f t="shared" si="1"/>
        <v>OUI</v>
      </c>
      <c r="J1122" s="18">
        <f>IF(L1122="DS",DATE(RIGHT(B1122,4),VLOOKUP(LEFT(B1122,LEN(B1122)-5),Feuil1!$E$3:$F$19,2,FALSE)+1,10),DATE(RIGHT(B1122,4),VLOOKUP(LEFT(B1122,LEN(B1122)-5),Feuil1!$E$3:$F$19,2,FALSE)+1,7))</f>
        <v>45298</v>
      </c>
      <c r="K1122" s="19">
        <f t="shared" si="2"/>
        <v>1</v>
      </c>
      <c r="L1122" s="6" t="str">
        <f t="shared" si="3"/>
        <v>FS</v>
      </c>
    </row>
    <row r="1123" ht="14.25" customHeight="1">
      <c r="A1123" s="14" t="str">
        <f>Base_report!A1118</f>
        <v>HAUT-SASSANDRA</v>
      </c>
      <c r="B1123" s="14" t="str">
        <f>Base_report!B1118</f>
        <v>DECEMBRE 2023</v>
      </c>
      <c r="C1123" s="15" t="str">
        <f>Base_report!C1118</f>
        <v>C2003</v>
      </c>
      <c r="D1123" s="14" t="str">
        <f>TRIM(IF(ISNUMBER(FIND("PNSME",Base_report!D1118,1)),SUBSTITUTE(Base_report!D1118,"PNSME",""),IF(ISNUMBER(FIND("PHG",Base_report!D1118,1)),SUBSTITUTE(Base_report!D1118,"PHG",""),IF(ISNUMBER(FIND("PCS",Base_report!D1118,1)),SUBSTITUTE(Base_report!D1118,"PCS",""),IF(ISNUMBER(FIND("CMU",Base_report!D1118,1)),SUBSTITUTE(Base_report!D1118,"CMU",""),Base_report!D1118)))))</f>
        <v>CHR DALOA</v>
      </c>
      <c r="E1123" s="14" t="str">
        <f>SUBSTITUTE(Base_report!E1118,"-","/")</f>
        <v>PNSME_GRATUITE:MEDICAMENTS ET INTRANTS</v>
      </c>
      <c r="F1123" s="14" t="s">
        <v>788</v>
      </c>
      <c r="G1123" s="16">
        <f>DATE(YEAR(SUBSTITUTE(LEFT(Base_report!F1118,10),"-","/")),MONTH(SUBSTITUTE(LEFT(Base_report!F1118,10),"-","/")),DAY(SUBSTITUTE(LEFT(Base_report!F1118,10),"-","/")))</f>
        <v>45296</v>
      </c>
      <c r="H1123" s="16">
        <f>DATE(YEAR(SUBSTITUTE(LEFT(Base_report!G1118,10),"-","/")),MONTH(SUBSTITUTE(LEFT(Base_report!G1118,10),"-","/")),DAY(SUBSTITUTE(LEFT(Base_report!G1118,10),"-","/")))</f>
        <v>45298</v>
      </c>
      <c r="I1123" s="17" t="str">
        <f t="shared" si="1"/>
        <v>OUI</v>
      </c>
      <c r="J1123" s="18">
        <f>IF(L1123="DS",DATE(RIGHT(B1123,4),VLOOKUP(LEFT(B1123,LEN(B1123)-5),Feuil1!$E$3:$F$19,2,FALSE)+1,10),DATE(RIGHT(B1123,4),VLOOKUP(LEFT(B1123,LEN(B1123)-5),Feuil1!$E$3:$F$19,2,FALSE)+1,7))</f>
        <v>45298</v>
      </c>
      <c r="K1123" s="19">
        <f t="shared" si="2"/>
        <v>1</v>
      </c>
      <c r="L1123" s="6" t="str">
        <f t="shared" si="3"/>
        <v>FS</v>
      </c>
    </row>
    <row r="1124" ht="14.25" customHeight="1">
      <c r="A1124" s="14" t="str">
        <f>Base_report!A1119</f>
        <v>AGNEBY-TIASSA</v>
      </c>
      <c r="B1124" s="14" t="str">
        <f>Base_report!B1119</f>
        <v>DECEMBRE 2023</v>
      </c>
      <c r="C1124" s="15" t="str">
        <f>Base_report!C1119</f>
        <v>C2065</v>
      </c>
      <c r="D1124" s="14" t="str">
        <f>TRIM(IF(ISNUMBER(FIND("PNSME",Base_report!D1119,1)),SUBSTITUTE(Base_report!D1119,"PNSME",""),IF(ISNUMBER(FIND("PHG",Base_report!D1119,1)),SUBSTITUTE(Base_report!D1119,"PHG",""),IF(ISNUMBER(FIND("PCS",Base_report!D1119,1)),SUBSTITUTE(Base_report!D1119,"PCS",""),IF(ISNUMBER(FIND("CMU",Base_report!D1119,1)),SUBSTITUTE(Base_report!D1119,"CMU",""),Base_report!D1119)))))</f>
        <v>HOPITAL GENERAL TAABO</v>
      </c>
      <c r="E1124" s="14" t="str">
        <f>SUBSTITUTE(Base_report!E1119,"-","/")</f>
        <v>PNLS/TESTS RAPIDES ET CONSOMMABLES</v>
      </c>
      <c r="F1124" s="14" t="s">
        <v>788</v>
      </c>
      <c r="G1124" s="16">
        <f>DATE(YEAR(SUBSTITUTE(LEFT(Base_report!F1119,10),"-","/")),MONTH(SUBSTITUTE(LEFT(Base_report!F1119,10),"-","/")),DAY(SUBSTITUTE(LEFT(Base_report!F1119,10),"-","/")))</f>
        <v>45296</v>
      </c>
      <c r="H1124" s="16">
        <f>DATE(YEAR(SUBSTITUTE(LEFT(Base_report!G1119,10),"-","/")),MONTH(SUBSTITUTE(LEFT(Base_report!G1119,10),"-","/")),DAY(SUBSTITUTE(LEFT(Base_report!G1119,10),"-","/")))</f>
        <v>45299</v>
      </c>
      <c r="I1124" s="17" t="str">
        <f t="shared" si="1"/>
        <v>OUI</v>
      </c>
      <c r="J1124" s="18">
        <f>IF(L1124="DS",DATE(RIGHT(B1124,4),VLOOKUP(LEFT(B1124,LEN(B1124)-5),Feuil1!$E$3:$F$19,2,FALSE)+1,10),DATE(RIGHT(B1124,4),VLOOKUP(LEFT(B1124,LEN(B1124)-5),Feuil1!$E$3:$F$19,2,FALSE)+1,7))</f>
        <v>45298</v>
      </c>
      <c r="K1124" s="19">
        <f t="shared" si="2"/>
        <v>0</v>
      </c>
      <c r="L1124" s="6" t="str">
        <f t="shared" si="3"/>
        <v>FS</v>
      </c>
    </row>
    <row r="1125" ht="14.25" customHeight="1">
      <c r="A1125" s="14" t="str">
        <f>Base_report!A1120</f>
        <v>MARAHOUE</v>
      </c>
      <c r="B1125" s="14" t="str">
        <f>Base_report!B1120</f>
        <v>DECEMBRE 2023</v>
      </c>
      <c r="C1125" s="15" t="str">
        <f>Base_report!C1120</f>
        <v>C2002</v>
      </c>
      <c r="D1125" s="14" t="str">
        <f>TRIM(IF(ISNUMBER(FIND("PNSME",Base_report!D1120,1)),SUBSTITUTE(Base_report!D1120,"PNSME",""),IF(ISNUMBER(FIND("PHG",Base_report!D1120,1)),SUBSTITUTE(Base_report!D1120,"PHG",""),IF(ISNUMBER(FIND("PCS",Base_report!D1120,1)),SUBSTITUTE(Base_report!D1120,"PCS",""),IF(ISNUMBER(FIND("CMU",Base_report!D1120,1)),SUBSTITUTE(Base_report!D1120,"CMU",""),Base_report!D1120)))))</f>
        <v>CHR BOUAFLE</v>
      </c>
      <c r="E1125" s="14" t="str">
        <f>SUBSTITUTE(Base_report!E1120,"-","/")</f>
        <v>PNN/MEDICAMENTS ET INTRANTS</v>
      </c>
      <c r="F1125" s="14" t="s">
        <v>788</v>
      </c>
      <c r="G1125" s="16">
        <f>DATE(YEAR(SUBSTITUTE(LEFT(Base_report!F1120,10),"-","/")),MONTH(SUBSTITUTE(LEFT(Base_report!F1120,10),"-","/")),DAY(SUBSTITUTE(LEFT(Base_report!F1120,10),"-","/")))</f>
        <v>45296</v>
      </c>
      <c r="H1125" s="16">
        <f>DATE(YEAR(SUBSTITUTE(LEFT(Base_report!G1120,10),"-","/")),MONTH(SUBSTITUTE(LEFT(Base_report!G1120,10),"-","/")),DAY(SUBSTITUTE(LEFT(Base_report!G1120,10),"-","/")))</f>
        <v>45296</v>
      </c>
      <c r="I1125" s="17" t="str">
        <f t="shared" si="1"/>
        <v>OUI</v>
      </c>
      <c r="J1125" s="18">
        <f>IF(L1125="DS",DATE(RIGHT(B1125,4),VLOOKUP(LEFT(B1125,LEN(B1125)-5),Feuil1!$E$3:$F$19,2,FALSE)+1,10),DATE(RIGHT(B1125,4),VLOOKUP(LEFT(B1125,LEN(B1125)-5),Feuil1!$E$3:$F$19,2,FALSE)+1,7))</f>
        <v>45298</v>
      </c>
      <c r="K1125" s="19">
        <f t="shared" si="2"/>
        <v>1</v>
      </c>
      <c r="L1125" s="6" t="str">
        <f t="shared" si="3"/>
        <v>FS</v>
      </c>
    </row>
    <row r="1126" ht="14.25" customHeight="1">
      <c r="A1126" s="14" t="str">
        <f>Base_report!A1121</f>
        <v>AGNEBY-TIASSA</v>
      </c>
      <c r="B1126" s="14" t="str">
        <f>Base_report!B1121</f>
        <v>DECEMBRE 2023</v>
      </c>
      <c r="C1126" s="15" t="str">
        <f>Base_report!C1121</f>
        <v>C2141</v>
      </c>
      <c r="D1126" s="14" t="str">
        <f>TRIM(IF(ISNUMBER(FIND("PNSME",Base_report!D1121,1)),SUBSTITUTE(Base_report!D1121,"PNSME",""),IF(ISNUMBER(FIND("PHG",Base_report!D1121,1)),SUBSTITUTE(Base_report!D1121,"PHG",""),IF(ISNUMBER(FIND("PCS",Base_report!D1121,1)),SUBSTITUTE(Base_report!D1121,"PCS",""),IF(ISNUMBER(FIND("CMU",Base_report!D1121,1)),SUBSTITUTE(Base_report!D1121,"CMU",""),Base_report!D1121)))))</f>
        <v>DISTRICT SANITAIRE SIKENSI</v>
      </c>
      <c r="E1126" s="14" t="str">
        <f>SUBSTITUTE(Base_report!E1121,"-","/")</f>
        <v>PNLS/ANTIRETROVIRAUX ET IO</v>
      </c>
      <c r="F1126" s="14" t="s">
        <v>788</v>
      </c>
      <c r="G1126" s="16">
        <f>DATE(YEAR(SUBSTITUTE(LEFT(Base_report!F1121,10),"-","/")),MONTH(SUBSTITUTE(LEFT(Base_report!F1121,10),"-","/")),DAY(SUBSTITUTE(LEFT(Base_report!F1121,10),"-","/")))</f>
        <v>45300</v>
      </c>
      <c r="H1126" s="16">
        <f>DATE(YEAR(SUBSTITUTE(LEFT(Base_report!G1121,10),"-","/")),MONTH(SUBSTITUTE(LEFT(Base_report!G1121,10),"-","/")),DAY(SUBSTITUTE(LEFT(Base_report!G1121,10),"-","/")))</f>
        <v>45301</v>
      </c>
      <c r="I1126" s="17" t="str">
        <f t="shared" si="1"/>
        <v>OUI</v>
      </c>
      <c r="J1126" s="18">
        <f>IF(L1126="DS",DATE(RIGHT(B1126,4),VLOOKUP(LEFT(B1126,LEN(B1126)-5),Feuil1!$E$3:$F$19,2,FALSE)+1,10),DATE(RIGHT(B1126,4),VLOOKUP(LEFT(B1126,LEN(B1126)-5),Feuil1!$E$3:$F$19,2,FALSE)+1,7))</f>
        <v>45301</v>
      </c>
      <c r="K1126" s="19">
        <f t="shared" si="2"/>
        <v>1</v>
      </c>
      <c r="L1126" s="6" t="str">
        <f t="shared" si="3"/>
        <v>DS</v>
      </c>
    </row>
    <row r="1127" ht="14.25" customHeight="1">
      <c r="A1127" s="14" t="str">
        <f>Base_report!A1122</f>
        <v>BOUNKANI</v>
      </c>
      <c r="B1127" s="14" t="str">
        <f>Base_report!B1122</f>
        <v>DECEMBRE 2023</v>
      </c>
      <c r="C1127" s="15" t="str">
        <f>Base_report!C1122</f>
        <v>C4018</v>
      </c>
      <c r="D1127" s="14" t="str">
        <f>TRIM(IF(ISNUMBER(FIND("PNSME",Base_report!D1122,1)),SUBSTITUTE(Base_report!D1122,"PNSME",""),IF(ISNUMBER(FIND("PHG",Base_report!D1122,1)),SUBSTITUTE(Base_report!D1122,"PHG",""),IF(ISNUMBER(FIND("PCS",Base_report!D1122,1)),SUBSTITUTE(Base_report!D1122,"PCS",""),IF(ISNUMBER(FIND("CMU",Base_report!D1122,1)),SUBSTITUTE(Base_report!D1122,"CMU",""),Base_report!D1122)))))</f>
        <v>HOPITAL GENERAL BOUNA</v>
      </c>
      <c r="E1127" s="14" t="str">
        <f>SUBSTITUTE(Base_report!E1122,"-","/")</f>
        <v>PNLP/MEDICAMENTS ET INTRANTS</v>
      </c>
      <c r="F1127" s="14" t="s">
        <v>788</v>
      </c>
      <c r="G1127" s="16">
        <f>DATE(YEAR(SUBSTITUTE(LEFT(Base_report!F1122,10),"-","/")),MONTH(SUBSTITUTE(LEFT(Base_report!F1122,10),"-","/")),DAY(SUBSTITUTE(LEFT(Base_report!F1122,10),"-","/")))</f>
        <v>45296</v>
      </c>
      <c r="H1127" s="16">
        <f>DATE(YEAR(SUBSTITUTE(LEFT(Base_report!G1122,10),"-","/")),MONTH(SUBSTITUTE(LEFT(Base_report!G1122,10),"-","/")),DAY(SUBSTITUTE(LEFT(Base_report!G1122,10),"-","/")))</f>
        <v>45296</v>
      </c>
      <c r="I1127" s="17" t="str">
        <f t="shared" si="1"/>
        <v>OUI</v>
      </c>
      <c r="J1127" s="18">
        <f>IF(L1127="DS",DATE(RIGHT(B1127,4),VLOOKUP(LEFT(B1127,LEN(B1127)-5),Feuil1!$E$3:$F$19,2,FALSE)+1,10),DATE(RIGHT(B1127,4),VLOOKUP(LEFT(B1127,LEN(B1127)-5),Feuil1!$E$3:$F$19,2,FALSE)+1,7))</f>
        <v>45298</v>
      </c>
      <c r="K1127" s="19">
        <f t="shared" si="2"/>
        <v>1</v>
      </c>
      <c r="L1127" s="6" t="str">
        <f t="shared" si="3"/>
        <v>FS</v>
      </c>
    </row>
    <row r="1128" ht="14.25" customHeight="1">
      <c r="A1128" s="14" t="str">
        <f>Base_report!A1123</f>
        <v>ABIDJAN 2</v>
      </c>
      <c r="B1128" s="14" t="str">
        <f>Base_report!B1123</f>
        <v>DECEMBRE 2023</v>
      </c>
      <c r="C1128" s="15" t="str">
        <f>Base_report!C1123</f>
        <v>C1676</v>
      </c>
      <c r="D1128" s="14" t="str">
        <f>TRIM(IF(ISNUMBER(FIND("PNSME",Base_report!D1123,1)),SUBSTITUTE(Base_report!D1123,"PNSME",""),IF(ISNUMBER(FIND("PHG",Base_report!D1123,1)),SUBSTITUTE(Base_report!D1123,"PHG",""),IF(ISNUMBER(FIND("PCS",Base_report!D1123,1)),SUBSTITUTE(Base_report!D1123,"PCS",""),IF(ISNUMBER(FIND("CMU",Base_report!D1123,1)),SUBSTITUTE(Base_report!D1123,"CMU",""),Base_report!D1123)))))</f>
        <v>DISTRICT SANITAIRE TREICHVILLE MARCORY</v>
      </c>
      <c r="E1128" s="14" t="str">
        <f>SUBSTITUTE(Base_report!E1123,"-","/")</f>
        <v>PNLS/PRODUITS DE LABORATOIRE</v>
      </c>
      <c r="F1128" s="14" t="s">
        <v>788</v>
      </c>
      <c r="G1128" s="16">
        <f>DATE(YEAR(SUBSTITUTE(LEFT(Base_report!F1123,10),"-","/")),MONTH(SUBSTITUTE(LEFT(Base_report!F1123,10),"-","/")),DAY(SUBSTITUTE(LEFT(Base_report!F1123,10),"-","/")))</f>
        <v>45296</v>
      </c>
      <c r="H1128" s="16">
        <f>DATE(YEAR(SUBSTITUTE(LEFT(Base_report!G1123,10),"-","/")),MONTH(SUBSTITUTE(LEFT(Base_report!G1123,10),"-","/")),DAY(SUBSTITUTE(LEFT(Base_report!G1123,10),"-","/")))</f>
        <v>45300</v>
      </c>
      <c r="I1128" s="17" t="str">
        <f t="shared" si="1"/>
        <v>OUI</v>
      </c>
      <c r="J1128" s="18">
        <f>IF(L1128="DS",DATE(RIGHT(B1128,4),VLOOKUP(LEFT(B1128,LEN(B1128)-5),Feuil1!$E$3:$F$19,2,FALSE)+1,10),DATE(RIGHT(B1128,4),VLOOKUP(LEFT(B1128,LEN(B1128)-5),Feuil1!$E$3:$F$19,2,FALSE)+1,7))</f>
        <v>45301</v>
      </c>
      <c r="K1128" s="19">
        <f t="shared" si="2"/>
        <v>1</v>
      </c>
      <c r="L1128" s="6" t="str">
        <f t="shared" si="3"/>
        <v>DS</v>
      </c>
    </row>
    <row r="1129" ht="14.25" customHeight="1">
      <c r="A1129" s="14" t="str">
        <f>Base_report!A1124</f>
        <v>MARAHOUE</v>
      </c>
      <c r="B1129" s="14" t="str">
        <f>Base_report!B1124</f>
        <v>DECEMBRE 2023</v>
      </c>
      <c r="C1129" s="15" t="str">
        <f>Base_report!C1124</f>
        <v>C2063</v>
      </c>
      <c r="D1129" s="14" t="str">
        <f>TRIM(IF(ISNUMBER(FIND("PNSME",Base_report!D1124,1)),SUBSTITUTE(Base_report!D1124,"PNSME",""),IF(ISNUMBER(FIND("PHG",Base_report!D1124,1)),SUBSTITUTE(Base_report!D1124,"PHG",""),IF(ISNUMBER(FIND("PCS",Base_report!D1124,1)),SUBSTITUTE(Base_report!D1124,"PCS",""),IF(ISNUMBER(FIND("CMU",Base_report!D1124,1)),SUBSTITUTE(Base_report!D1124,"CMU",""),Base_report!D1124)))))</f>
        <v>HOPITAL GENERAL SINFRA</v>
      </c>
      <c r="E1129" s="14" t="str">
        <f>SUBSTITUTE(Base_report!E1124,"-","/")</f>
        <v>PNLS/PRODUITS DE LABORATOIRE</v>
      </c>
      <c r="F1129" s="14" t="s">
        <v>788</v>
      </c>
      <c r="G1129" s="16">
        <f>DATE(YEAR(SUBSTITUTE(LEFT(Base_report!F1124,10),"-","/")),MONTH(SUBSTITUTE(LEFT(Base_report!F1124,10),"-","/")),DAY(SUBSTITUTE(LEFT(Base_report!F1124,10),"-","/")))</f>
        <v>45296</v>
      </c>
      <c r="H1129" s="16">
        <f>DATE(YEAR(SUBSTITUTE(LEFT(Base_report!G1124,10),"-","/")),MONTH(SUBSTITUTE(LEFT(Base_report!G1124,10),"-","/")),DAY(SUBSTITUTE(LEFT(Base_report!G1124,10),"-","/")))</f>
        <v>45296</v>
      </c>
      <c r="I1129" s="17" t="str">
        <f t="shared" si="1"/>
        <v>OUI</v>
      </c>
      <c r="J1129" s="18">
        <f>IF(L1129="DS",DATE(RIGHT(B1129,4),VLOOKUP(LEFT(B1129,LEN(B1129)-5),Feuil1!$E$3:$F$19,2,FALSE)+1,10),DATE(RIGHT(B1129,4),VLOOKUP(LEFT(B1129,LEN(B1129)-5),Feuil1!$E$3:$F$19,2,FALSE)+1,7))</f>
        <v>45298</v>
      </c>
      <c r="K1129" s="19">
        <f t="shared" si="2"/>
        <v>1</v>
      </c>
      <c r="L1129" s="6" t="str">
        <f t="shared" si="3"/>
        <v>FS</v>
      </c>
    </row>
    <row r="1130" ht="14.25" customHeight="1">
      <c r="A1130" s="14" t="str">
        <f>Base_report!A1125</f>
        <v>ABIDJAN 2</v>
      </c>
      <c r="B1130" s="14" t="str">
        <f>Base_report!B1125</f>
        <v>DECEMBRE 2023</v>
      </c>
      <c r="C1130" s="15" t="str">
        <f>Base_report!C1125</f>
        <v>C1107</v>
      </c>
      <c r="D1130" s="14" t="str">
        <f>TRIM(IF(ISNUMBER(FIND("PNSME",Base_report!D1125,1)),SUBSTITUTE(Base_report!D1125,"PNSME",""),IF(ISNUMBER(FIND("PHG",Base_report!D1125,1)),SUBSTITUTE(Base_report!D1125,"PHG",""),IF(ISNUMBER(FIND("PCS",Base_report!D1125,1)),SUBSTITUTE(Base_report!D1125,"PCS",""),IF(ISNUMBER(FIND("CMU",Base_report!D1125,1)),SUBSTITUTE(Base_report!D1125,"CMU",""),Base_report!D1125)))))</f>
        <v>INSTITUT PASTEUR COTE D'IVOIRE</v>
      </c>
      <c r="E1130" s="14" t="str">
        <f>SUBSTITUTE(Base_report!E1125,"-","/")</f>
        <v>PNLS/ANTIRETROVIRAUX ET IO</v>
      </c>
      <c r="F1130" s="14" t="s">
        <v>788</v>
      </c>
      <c r="G1130" s="16">
        <f>DATE(YEAR(SUBSTITUTE(LEFT(Base_report!F1125,10),"-","/")),MONTH(SUBSTITUTE(LEFT(Base_report!F1125,10),"-","/")),DAY(SUBSTITUTE(LEFT(Base_report!F1125,10),"-","/")))</f>
        <v>45296</v>
      </c>
      <c r="H1130" s="16">
        <f>DATE(YEAR(SUBSTITUTE(LEFT(Base_report!G1125,10),"-","/")),MONTH(SUBSTITUTE(LEFT(Base_report!G1125,10),"-","/")),DAY(SUBSTITUTE(LEFT(Base_report!G1125,10),"-","/")))</f>
        <v>45297</v>
      </c>
      <c r="I1130" s="17" t="str">
        <f t="shared" si="1"/>
        <v>OUI</v>
      </c>
      <c r="J1130" s="18">
        <f>IF(L1130="DS",DATE(RIGHT(B1130,4),VLOOKUP(LEFT(B1130,LEN(B1130)-5),Feuil1!$E$3:$F$19,2,FALSE)+1,10),DATE(RIGHT(B1130,4),VLOOKUP(LEFT(B1130,LEN(B1130)-5),Feuil1!$E$3:$F$19,2,FALSE)+1,7))</f>
        <v>45298</v>
      </c>
      <c r="K1130" s="19">
        <f t="shared" si="2"/>
        <v>1</v>
      </c>
      <c r="L1130" s="6" t="str">
        <f t="shared" si="3"/>
        <v>FS</v>
      </c>
    </row>
    <row r="1131" ht="14.25" customHeight="1">
      <c r="A1131" s="14" t="str">
        <f>Base_report!A1126</f>
        <v>ABIDJAN 1</v>
      </c>
      <c r="B1131" s="14" t="str">
        <f>Base_report!B1126</f>
        <v>DECEMBRE 2023</v>
      </c>
      <c r="C1131" s="15" t="str">
        <f>Base_report!C1126</f>
        <v>C1077</v>
      </c>
      <c r="D1131" s="14" t="str">
        <f>TRIM(IF(ISNUMBER(FIND("PNSME",Base_report!D1126,1)),SUBSTITUTE(Base_report!D1126,"PNSME",""),IF(ISNUMBER(FIND("PHG",Base_report!D1126,1)),SUBSTITUTE(Base_report!D1126,"PHG",""),IF(ISNUMBER(FIND("PCS",Base_report!D1126,1)),SUBSTITUTE(Base_report!D1126,"PCS",""),IF(ISNUMBER(FIND("CMU",Base_report!D1126,1)),SUBSTITUTE(Base_report!D1126,"CMU",""),Base_report!D1126)))))</f>
        <v>FSU COM YOPOUGON PORT-BOUET 2</v>
      </c>
      <c r="E1131" s="14" t="str">
        <f>SUBSTITUTE(Base_report!E1126,"-","/")</f>
        <v>PNLS/TESTS RAPIDES ET CONSOMMABLES</v>
      </c>
      <c r="F1131" s="14" t="s">
        <v>788</v>
      </c>
      <c r="G1131" s="16">
        <f>DATE(YEAR(SUBSTITUTE(LEFT(Base_report!F1126,10),"-","/")),MONTH(SUBSTITUTE(LEFT(Base_report!F1126,10),"-","/")),DAY(SUBSTITUTE(LEFT(Base_report!F1126,10),"-","/")))</f>
        <v>45296</v>
      </c>
      <c r="H1131" s="16">
        <f>DATE(YEAR(SUBSTITUTE(LEFT(Base_report!G1126,10),"-","/")),MONTH(SUBSTITUTE(LEFT(Base_report!G1126,10),"-","/")),DAY(SUBSTITUTE(LEFT(Base_report!G1126,10),"-","/")))</f>
        <v>45296</v>
      </c>
      <c r="I1131" s="17" t="str">
        <f t="shared" si="1"/>
        <v>OUI</v>
      </c>
      <c r="J1131" s="18">
        <f>IF(L1131="DS",DATE(RIGHT(B1131,4),VLOOKUP(LEFT(B1131,LEN(B1131)-5),Feuil1!$E$3:$F$19,2,FALSE)+1,10),DATE(RIGHT(B1131,4),VLOOKUP(LEFT(B1131,LEN(B1131)-5),Feuil1!$E$3:$F$19,2,FALSE)+1,7))</f>
        <v>45298</v>
      </c>
      <c r="K1131" s="19">
        <f t="shared" si="2"/>
        <v>1</v>
      </c>
      <c r="L1131" s="6" t="str">
        <f t="shared" si="3"/>
        <v>FS</v>
      </c>
    </row>
    <row r="1132" ht="14.25" customHeight="1">
      <c r="A1132" s="14" t="str">
        <f>Base_report!A1127</f>
        <v>ABIDJAN 2</v>
      </c>
      <c r="B1132" s="14" t="str">
        <f>Base_report!B1127</f>
        <v>DECEMBRE 2023</v>
      </c>
      <c r="C1132" s="15" t="str">
        <f>Base_report!C1127</f>
        <v>C1745</v>
      </c>
      <c r="D1132" s="14" t="str">
        <f>TRIM(IF(ISNUMBER(FIND("PNSME",Base_report!D1127,1)),SUBSTITUTE(Base_report!D1127,"PNSME",""),IF(ISNUMBER(FIND("PHG",Base_report!D1127,1)),SUBSTITUTE(Base_report!D1127,"PHG",""),IF(ISNUMBER(FIND("PCS",Base_report!D1127,1)),SUBSTITUTE(Base_report!D1127,"PCS",""),IF(ISNUMBER(FIND("CMU",Base_report!D1127,1)),SUBSTITUTE(Base_report!D1127,"CMU",""),Base_report!D1127)))))</f>
        <v>CHU ANGRE</v>
      </c>
      <c r="E1132" s="14" t="str">
        <f>SUBSTITUTE(Base_report!E1127,"-","/")</f>
        <v>PNLP/MEDICAMENTS ET INTRANTS</v>
      </c>
      <c r="F1132" s="14" t="s">
        <v>788</v>
      </c>
      <c r="G1132" s="16">
        <f>DATE(YEAR(SUBSTITUTE(LEFT(Base_report!F1127,10),"-","/")),MONTH(SUBSTITUTE(LEFT(Base_report!F1127,10),"-","/")),DAY(SUBSTITUTE(LEFT(Base_report!F1127,10),"-","/")))</f>
        <v>45296</v>
      </c>
      <c r="H1132" s="16">
        <f>DATE(YEAR(SUBSTITUTE(LEFT(Base_report!G1127,10),"-","/")),MONTH(SUBSTITUTE(LEFT(Base_report!G1127,10),"-","/")),DAY(SUBSTITUTE(LEFT(Base_report!G1127,10),"-","/")))</f>
        <v>45297</v>
      </c>
      <c r="I1132" s="17" t="str">
        <f t="shared" si="1"/>
        <v>OUI</v>
      </c>
      <c r="J1132" s="18">
        <f>IF(L1132="DS",DATE(RIGHT(B1132,4),VLOOKUP(LEFT(B1132,LEN(B1132)-5),Feuil1!$E$3:$F$19,2,FALSE)+1,10),DATE(RIGHT(B1132,4),VLOOKUP(LEFT(B1132,LEN(B1132)-5),Feuil1!$E$3:$F$19,2,FALSE)+1,7))</f>
        <v>45298</v>
      </c>
      <c r="K1132" s="19">
        <f t="shared" si="2"/>
        <v>1</v>
      </c>
      <c r="L1132" s="6" t="str">
        <f t="shared" si="3"/>
        <v>FS</v>
      </c>
    </row>
    <row r="1133" ht="14.25" customHeight="1">
      <c r="A1133" s="14" t="str">
        <f>Base_report!A1128</f>
        <v>GBOKLE</v>
      </c>
      <c r="B1133" s="14" t="str">
        <f>Base_report!B1128</f>
        <v>DECEMBRE 2023</v>
      </c>
      <c r="C1133" s="15" t="str">
        <f>Base_report!C1128</f>
        <v>C1089</v>
      </c>
      <c r="D1133" s="14" t="str">
        <f>TRIM(IF(ISNUMBER(FIND("PNSME",Base_report!D1128,1)),SUBSTITUTE(Base_report!D1128,"PNSME",""),IF(ISNUMBER(FIND("PHG",Base_report!D1128,1)),SUBSTITUTE(Base_report!D1128,"PHG",""),IF(ISNUMBER(FIND("PCS",Base_report!D1128,1)),SUBSTITUTE(Base_report!D1128,"PCS",""),IF(ISNUMBER(FIND("CMU",Base_report!D1128,1)),SUBSTITUTE(Base_report!D1128,"CMU",""),Base_report!D1128)))))</f>
        <v>HOPITAL GENERAL FRESCO</v>
      </c>
      <c r="E1133" s="14" t="str">
        <f>SUBSTITUTE(Base_report!E1128,"-","/")</f>
        <v>PNLS/CHARGES VIRALES</v>
      </c>
      <c r="F1133" s="14" t="s">
        <v>788</v>
      </c>
      <c r="G1133" s="16">
        <f>DATE(YEAR(SUBSTITUTE(LEFT(Base_report!F1128,10),"-","/")),MONTH(SUBSTITUTE(LEFT(Base_report!F1128,10),"-","/")),DAY(SUBSTITUTE(LEFT(Base_report!F1128,10),"-","/")))</f>
        <v>45296</v>
      </c>
      <c r="H1133" s="16">
        <f>DATE(YEAR(SUBSTITUTE(LEFT(Base_report!G1128,10),"-","/")),MONTH(SUBSTITUTE(LEFT(Base_report!G1128,10),"-","/")),DAY(SUBSTITUTE(LEFT(Base_report!G1128,10),"-","/")))</f>
        <v>45297</v>
      </c>
      <c r="I1133" s="17" t="str">
        <f t="shared" si="1"/>
        <v>OUI</v>
      </c>
      <c r="J1133" s="18">
        <f>IF(L1133="DS",DATE(RIGHT(B1133,4),VLOOKUP(LEFT(B1133,LEN(B1133)-5),Feuil1!$E$3:$F$19,2,FALSE)+1,10),DATE(RIGHT(B1133,4),VLOOKUP(LEFT(B1133,LEN(B1133)-5),Feuil1!$E$3:$F$19,2,FALSE)+1,7))</f>
        <v>45298</v>
      </c>
      <c r="K1133" s="19">
        <f t="shared" si="2"/>
        <v>1</v>
      </c>
      <c r="L1133" s="6" t="str">
        <f t="shared" si="3"/>
        <v>FS</v>
      </c>
    </row>
    <row r="1134" ht="14.25" customHeight="1">
      <c r="A1134" s="14" t="str">
        <f>Base_report!A1129</f>
        <v>BERE</v>
      </c>
      <c r="B1134" s="14" t="str">
        <f>Base_report!B1129</f>
        <v>DECEMBRE 2023</v>
      </c>
      <c r="C1134" s="15" t="str">
        <f>Base_report!C1129</f>
        <v>C3017</v>
      </c>
      <c r="D1134" s="14" t="str">
        <f>TRIM(IF(ISNUMBER(FIND("PNSME",Base_report!D1129,1)),SUBSTITUTE(Base_report!D1129,"PNSME",""),IF(ISNUMBER(FIND("PHG",Base_report!D1129,1)),SUBSTITUTE(Base_report!D1129,"PHG",""),IF(ISNUMBER(FIND("PCS",Base_report!D1129,1)),SUBSTITUTE(Base_report!D1129,"PCS",""),IF(ISNUMBER(FIND("CMU",Base_report!D1129,1)),SUBSTITUTE(Base_report!D1129,"CMU",""),Base_report!D1129)))))</f>
        <v>HOPITAL GENERAL MANKONO</v>
      </c>
      <c r="E1134" s="14" t="str">
        <f>SUBSTITUTE(Base_report!E1129,"-","/")</f>
        <v>PNN/MEDICAMENTS ET INTRANTS</v>
      </c>
      <c r="F1134" s="14" t="s">
        <v>788</v>
      </c>
      <c r="G1134" s="16">
        <f>DATE(YEAR(SUBSTITUTE(LEFT(Base_report!F1129,10),"-","/")),MONTH(SUBSTITUTE(LEFT(Base_report!F1129,10),"-","/")),DAY(SUBSTITUTE(LEFT(Base_report!F1129,10),"-","/")))</f>
        <v>45297</v>
      </c>
      <c r="H1134" s="16">
        <f>DATE(YEAR(SUBSTITUTE(LEFT(Base_report!G1129,10),"-","/")),MONTH(SUBSTITUTE(LEFT(Base_report!G1129,10),"-","/")),DAY(SUBSTITUTE(LEFT(Base_report!G1129,10),"-","/")))</f>
        <v>45298</v>
      </c>
      <c r="I1134" s="17" t="str">
        <f t="shared" si="1"/>
        <v>OUI</v>
      </c>
      <c r="J1134" s="18">
        <f>IF(L1134="DS",DATE(RIGHT(B1134,4),VLOOKUP(LEFT(B1134,LEN(B1134)-5),Feuil1!$E$3:$F$19,2,FALSE)+1,10),DATE(RIGHT(B1134,4),VLOOKUP(LEFT(B1134,LEN(B1134)-5),Feuil1!$E$3:$F$19,2,FALSE)+1,7))</f>
        <v>45298</v>
      </c>
      <c r="K1134" s="19">
        <f t="shared" si="2"/>
        <v>1</v>
      </c>
      <c r="L1134" s="6" t="str">
        <f t="shared" si="3"/>
        <v>FS</v>
      </c>
    </row>
    <row r="1135" ht="14.25" customHeight="1">
      <c r="A1135" s="14" t="str">
        <f>Base_report!A1130</f>
        <v>LOH-DJIBOUA</v>
      </c>
      <c r="B1135" s="14" t="str">
        <f>Base_report!B1130</f>
        <v>DECEMBRE 2023</v>
      </c>
      <c r="C1135" s="15" t="str">
        <f>Base_report!C1130</f>
        <v>C21880</v>
      </c>
      <c r="D1135" s="14" t="str">
        <f>TRIM(IF(ISNUMBER(FIND("PNSME",Base_report!D1130,1)),SUBSTITUTE(Base_report!D1130,"PNSME",""),IF(ISNUMBER(FIND("PHG",Base_report!D1130,1)),SUBSTITUTE(Base_report!D1130,"PHG",""),IF(ISNUMBER(FIND("PCS",Base_report!D1130,1)),SUBSTITUTE(Base_report!D1130,"PCS",""),IF(ISNUMBER(FIND("CMU",Base_report!D1130,1)),SUBSTITUTE(Base_report!D1130,"CMU",""),Base_report!D1130)))))</f>
        <v>DISTRICT SANITAIRE DE GUITRY</v>
      </c>
      <c r="E1135" s="14" t="str">
        <f>SUBSTITUTE(Base_report!E1130,"-","/")</f>
        <v>PNSME/MEDICAMENTS ET INTRANTS</v>
      </c>
      <c r="F1135" s="14" t="s">
        <v>788</v>
      </c>
      <c r="G1135" s="16">
        <f>DATE(YEAR(SUBSTITUTE(LEFT(Base_report!F1130,10),"-","/")),MONTH(SUBSTITUTE(LEFT(Base_report!F1130,10),"-","/")),DAY(SUBSTITUTE(LEFT(Base_report!F1130,10),"-","/")))</f>
        <v>45296</v>
      </c>
      <c r="H1135" s="16">
        <f>DATE(YEAR(SUBSTITUTE(LEFT(Base_report!G1130,10),"-","/")),MONTH(SUBSTITUTE(LEFT(Base_report!G1130,10),"-","/")),DAY(SUBSTITUTE(LEFT(Base_report!G1130,10),"-","/")))</f>
        <v>45299</v>
      </c>
      <c r="I1135" s="17" t="str">
        <f t="shared" si="1"/>
        <v>OUI</v>
      </c>
      <c r="J1135" s="18">
        <f>IF(L1135="DS",DATE(RIGHT(B1135,4),VLOOKUP(LEFT(B1135,LEN(B1135)-5),Feuil1!$E$3:$F$19,2,FALSE)+1,10),DATE(RIGHT(B1135,4),VLOOKUP(LEFT(B1135,LEN(B1135)-5),Feuil1!$E$3:$F$19,2,FALSE)+1,7))</f>
        <v>45301</v>
      </c>
      <c r="K1135" s="19">
        <f t="shared" si="2"/>
        <v>1</v>
      </c>
      <c r="L1135" s="6" t="str">
        <f t="shared" si="3"/>
        <v>DS</v>
      </c>
    </row>
    <row r="1136" ht="14.25" customHeight="1">
      <c r="A1136" s="14" t="str">
        <f>Base_report!A1131</f>
        <v>AGNEBY-TIASSA</v>
      </c>
      <c r="B1136" s="14" t="str">
        <f>Base_report!B1131</f>
        <v>DECEMBRE 2023</v>
      </c>
      <c r="C1136" s="15" t="str">
        <f>Base_report!C1131</f>
        <v>C2065</v>
      </c>
      <c r="D1136" s="14" t="str">
        <f>TRIM(IF(ISNUMBER(FIND("PNSME",Base_report!D1131,1)),SUBSTITUTE(Base_report!D1131,"PNSME",""),IF(ISNUMBER(FIND("PHG",Base_report!D1131,1)),SUBSTITUTE(Base_report!D1131,"PHG",""),IF(ISNUMBER(FIND("PCS",Base_report!D1131,1)),SUBSTITUTE(Base_report!D1131,"PCS",""),IF(ISNUMBER(FIND("CMU",Base_report!D1131,1)),SUBSTITUTE(Base_report!D1131,"CMU",""),Base_report!D1131)))))</f>
        <v>HOPITAL GENERAL TAABO</v>
      </c>
      <c r="E1136" s="14" t="str">
        <f>SUBSTITUTE(Base_report!E1131,"-","/")</f>
        <v>PNLS/PRODUITS DE LABORATOIRE</v>
      </c>
      <c r="F1136" s="14" t="s">
        <v>788</v>
      </c>
      <c r="G1136" s="16">
        <f>DATE(YEAR(SUBSTITUTE(LEFT(Base_report!F1131,10),"-","/")),MONTH(SUBSTITUTE(LEFT(Base_report!F1131,10),"-","/")),DAY(SUBSTITUTE(LEFT(Base_report!F1131,10),"-","/")))</f>
        <v>45296</v>
      </c>
      <c r="H1136" s="16">
        <f>DATE(YEAR(SUBSTITUTE(LEFT(Base_report!G1131,10),"-","/")),MONTH(SUBSTITUTE(LEFT(Base_report!G1131,10),"-","/")),DAY(SUBSTITUTE(LEFT(Base_report!G1131,10),"-","/")))</f>
        <v>45299</v>
      </c>
      <c r="I1136" s="17" t="str">
        <f t="shared" si="1"/>
        <v>OUI</v>
      </c>
      <c r="J1136" s="18">
        <f>IF(L1136="DS",DATE(RIGHT(B1136,4),VLOOKUP(LEFT(B1136,LEN(B1136)-5),Feuil1!$E$3:$F$19,2,FALSE)+1,10),DATE(RIGHT(B1136,4),VLOOKUP(LEFT(B1136,LEN(B1136)-5),Feuil1!$E$3:$F$19,2,FALSE)+1,7))</f>
        <v>45298</v>
      </c>
      <c r="K1136" s="19">
        <f t="shared" si="2"/>
        <v>0</v>
      </c>
      <c r="L1136" s="6" t="str">
        <f t="shared" si="3"/>
        <v>FS</v>
      </c>
    </row>
    <row r="1137" ht="14.25" customHeight="1">
      <c r="A1137" s="14" t="str">
        <f>Base_report!A1132</f>
        <v>BERE</v>
      </c>
      <c r="B1137" s="14" t="str">
        <f>Base_report!B1132</f>
        <v>DECEMBRE 2023</v>
      </c>
      <c r="C1137" s="15" t="str">
        <f>Base_report!C1132</f>
        <v>C3017</v>
      </c>
      <c r="D1137" s="14" t="str">
        <f>TRIM(IF(ISNUMBER(FIND("PNSME",Base_report!D1132,1)),SUBSTITUTE(Base_report!D1132,"PNSME",""),IF(ISNUMBER(FIND("PHG",Base_report!D1132,1)),SUBSTITUTE(Base_report!D1132,"PHG",""),IF(ISNUMBER(FIND("PCS",Base_report!D1132,1)),SUBSTITUTE(Base_report!D1132,"PCS",""),IF(ISNUMBER(FIND("CMU",Base_report!D1132,1)),SUBSTITUTE(Base_report!D1132,"CMU",""),Base_report!D1132)))))</f>
        <v>HOPITAL GENERAL MANKONO</v>
      </c>
      <c r="E1137" s="14" t="str">
        <f>SUBSTITUTE(Base_report!E1132,"-","/")</f>
        <v>PNLP/MEDICAMENTS ET INTRANTS</v>
      </c>
      <c r="F1137" s="14" t="s">
        <v>788</v>
      </c>
      <c r="G1137" s="16">
        <f>DATE(YEAR(SUBSTITUTE(LEFT(Base_report!F1132,10),"-","/")),MONTH(SUBSTITUTE(LEFT(Base_report!F1132,10),"-","/")),DAY(SUBSTITUTE(LEFT(Base_report!F1132,10),"-","/")))</f>
        <v>45297</v>
      </c>
      <c r="H1137" s="16">
        <f>DATE(YEAR(SUBSTITUTE(LEFT(Base_report!G1132,10),"-","/")),MONTH(SUBSTITUTE(LEFT(Base_report!G1132,10),"-","/")),DAY(SUBSTITUTE(LEFT(Base_report!G1132,10),"-","/")))</f>
        <v>45298</v>
      </c>
      <c r="I1137" s="17" t="str">
        <f t="shared" si="1"/>
        <v>OUI</v>
      </c>
      <c r="J1137" s="18">
        <f>IF(L1137="DS",DATE(RIGHT(B1137,4),VLOOKUP(LEFT(B1137,LEN(B1137)-5),Feuil1!$E$3:$F$19,2,FALSE)+1,10),DATE(RIGHT(B1137,4),VLOOKUP(LEFT(B1137,LEN(B1137)-5),Feuil1!$E$3:$F$19,2,FALSE)+1,7))</f>
        <v>45298</v>
      </c>
      <c r="K1137" s="19">
        <f t="shared" si="2"/>
        <v>1</v>
      </c>
      <c r="L1137" s="6" t="str">
        <f t="shared" si="3"/>
        <v>FS</v>
      </c>
    </row>
    <row r="1138" ht="14.25" customHeight="1">
      <c r="A1138" s="14" t="str">
        <f>Base_report!A1133</f>
        <v>BOUNKANI</v>
      </c>
      <c r="B1138" s="14" t="str">
        <f>Base_report!B1133</f>
        <v>DECEMBRE 2023</v>
      </c>
      <c r="C1138" s="15" t="str">
        <f>Base_report!C1133</f>
        <v>C4018</v>
      </c>
      <c r="D1138" s="14" t="str">
        <f>TRIM(IF(ISNUMBER(FIND("PNSME",Base_report!D1133,1)),SUBSTITUTE(Base_report!D1133,"PNSME",""),IF(ISNUMBER(FIND("PHG",Base_report!D1133,1)),SUBSTITUTE(Base_report!D1133,"PHG",""),IF(ISNUMBER(FIND("PCS",Base_report!D1133,1)),SUBSTITUTE(Base_report!D1133,"PCS",""),IF(ISNUMBER(FIND("CMU",Base_report!D1133,1)),SUBSTITUTE(Base_report!D1133,"CMU",""),Base_report!D1133)))))</f>
        <v>HOPITAL GENERAL BOUNA</v>
      </c>
      <c r="E1138" s="14" t="str">
        <f>SUBSTITUTE(Base_report!E1133,"-","/")</f>
        <v>PNN/MEDICAMENTS ET INTRANTS</v>
      </c>
      <c r="F1138" s="14" t="s">
        <v>788</v>
      </c>
      <c r="G1138" s="16">
        <f>DATE(YEAR(SUBSTITUTE(LEFT(Base_report!F1133,10),"-","/")),MONTH(SUBSTITUTE(LEFT(Base_report!F1133,10),"-","/")),DAY(SUBSTITUTE(LEFT(Base_report!F1133,10),"-","/")))</f>
        <v>45296</v>
      </c>
      <c r="H1138" s="16">
        <f>DATE(YEAR(SUBSTITUTE(LEFT(Base_report!G1133,10),"-","/")),MONTH(SUBSTITUTE(LEFT(Base_report!G1133,10),"-","/")),DAY(SUBSTITUTE(LEFT(Base_report!G1133,10),"-","/")))</f>
        <v>45296</v>
      </c>
      <c r="I1138" s="17" t="str">
        <f t="shared" si="1"/>
        <v>OUI</v>
      </c>
      <c r="J1138" s="18">
        <f>IF(L1138="DS",DATE(RIGHT(B1138,4),VLOOKUP(LEFT(B1138,LEN(B1138)-5),Feuil1!$E$3:$F$19,2,FALSE)+1,10),DATE(RIGHT(B1138,4),VLOOKUP(LEFT(B1138,LEN(B1138)-5),Feuil1!$E$3:$F$19,2,FALSE)+1,7))</f>
        <v>45298</v>
      </c>
      <c r="K1138" s="19">
        <f t="shared" si="2"/>
        <v>1</v>
      </c>
      <c r="L1138" s="6" t="str">
        <f t="shared" si="3"/>
        <v>FS</v>
      </c>
    </row>
    <row r="1139" ht="14.25" customHeight="1">
      <c r="A1139" s="14" t="str">
        <f>Base_report!A1134</f>
        <v>BOUNKANI</v>
      </c>
      <c r="B1139" s="14" t="str">
        <f>Base_report!B1134</f>
        <v>DECEMBRE 2023</v>
      </c>
      <c r="C1139" s="15" t="str">
        <f>Base_report!C1134</f>
        <v>C4018</v>
      </c>
      <c r="D1139" s="14" t="str">
        <f>TRIM(IF(ISNUMBER(FIND("PNSME",Base_report!D1134,1)),SUBSTITUTE(Base_report!D1134,"PNSME",""),IF(ISNUMBER(FIND("PHG",Base_report!D1134,1)),SUBSTITUTE(Base_report!D1134,"PHG",""),IF(ISNUMBER(FIND("PCS",Base_report!D1134,1)),SUBSTITUTE(Base_report!D1134,"PCS",""),IF(ISNUMBER(FIND("CMU",Base_report!D1134,1)),SUBSTITUTE(Base_report!D1134,"CMU",""),Base_report!D1134)))))</f>
        <v>HOPITAL GENERAL BOUNA</v>
      </c>
      <c r="E1139" s="14" t="str">
        <f>SUBSTITUTE(Base_report!E1134,"-","/")</f>
        <v>PNSME/MEDICAMENTS ET INTRANTS</v>
      </c>
      <c r="F1139" s="14" t="s">
        <v>788</v>
      </c>
      <c r="G1139" s="16">
        <f>DATE(YEAR(SUBSTITUTE(LEFT(Base_report!F1134,10),"-","/")),MONTH(SUBSTITUTE(LEFT(Base_report!F1134,10),"-","/")),DAY(SUBSTITUTE(LEFT(Base_report!F1134,10),"-","/")))</f>
        <v>45296</v>
      </c>
      <c r="H1139" s="16">
        <f>DATE(YEAR(SUBSTITUTE(LEFT(Base_report!G1134,10),"-","/")),MONTH(SUBSTITUTE(LEFT(Base_report!G1134,10),"-","/")),DAY(SUBSTITUTE(LEFT(Base_report!G1134,10),"-","/")))</f>
        <v>45296</v>
      </c>
      <c r="I1139" s="17" t="str">
        <f t="shared" si="1"/>
        <v>OUI</v>
      </c>
      <c r="J1139" s="18">
        <f>IF(L1139="DS",DATE(RIGHT(B1139,4),VLOOKUP(LEFT(B1139,LEN(B1139)-5),Feuil1!$E$3:$F$19,2,FALSE)+1,10),DATE(RIGHT(B1139,4),VLOOKUP(LEFT(B1139,LEN(B1139)-5),Feuil1!$E$3:$F$19,2,FALSE)+1,7))</f>
        <v>45298</v>
      </c>
      <c r="K1139" s="19">
        <f t="shared" si="2"/>
        <v>1</v>
      </c>
      <c r="L1139" s="6" t="str">
        <f t="shared" si="3"/>
        <v>FS</v>
      </c>
    </row>
    <row r="1140" ht="14.25" customHeight="1">
      <c r="A1140" s="14" t="str">
        <f>Base_report!A1135</f>
        <v>AGNEBY-TIASSA</v>
      </c>
      <c r="B1140" s="14" t="str">
        <f>Base_report!B1135</f>
        <v>DECEMBRE 2023</v>
      </c>
      <c r="C1140" s="15" t="str">
        <f>Base_report!C1135</f>
        <v>C2065</v>
      </c>
      <c r="D1140" s="14" t="str">
        <f>TRIM(IF(ISNUMBER(FIND("PNSME",Base_report!D1135,1)),SUBSTITUTE(Base_report!D1135,"PNSME",""),IF(ISNUMBER(FIND("PHG",Base_report!D1135,1)),SUBSTITUTE(Base_report!D1135,"PHG",""),IF(ISNUMBER(FIND("PCS",Base_report!D1135,1)),SUBSTITUTE(Base_report!D1135,"PCS",""),IF(ISNUMBER(FIND("CMU",Base_report!D1135,1)),SUBSTITUTE(Base_report!D1135,"CMU",""),Base_report!D1135)))))</f>
        <v>HOPITAL GENERAL TAABO</v>
      </c>
      <c r="E1140" s="14" t="str">
        <f>SUBSTITUTE(Base_report!E1135,"-","/")</f>
        <v>PNLS/ANTIRETROVIRAUX ET IO</v>
      </c>
      <c r="F1140" s="14" t="s">
        <v>788</v>
      </c>
      <c r="G1140" s="16">
        <f>DATE(YEAR(SUBSTITUTE(LEFT(Base_report!F1135,10),"-","/")),MONTH(SUBSTITUTE(LEFT(Base_report!F1135,10),"-","/")),DAY(SUBSTITUTE(LEFT(Base_report!F1135,10),"-","/")))</f>
        <v>45296</v>
      </c>
      <c r="H1140" s="16">
        <f>DATE(YEAR(SUBSTITUTE(LEFT(Base_report!G1135,10),"-","/")),MONTH(SUBSTITUTE(LEFT(Base_report!G1135,10),"-","/")),DAY(SUBSTITUTE(LEFT(Base_report!G1135,10),"-","/")))</f>
        <v>45299</v>
      </c>
      <c r="I1140" s="17" t="str">
        <f t="shared" si="1"/>
        <v>OUI</v>
      </c>
      <c r="J1140" s="18">
        <f>IF(L1140="DS",DATE(RIGHT(B1140,4),VLOOKUP(LEFT(B1140,LEN(B1140)-5),Feuil1!$E$3:$F$19,2,FALSE)+1,10),DATE(RIGHT(B1140,4),VLOOKUP(LEFT(B1140,LEN(B1140)-5),Feuil1!$E$3:$F$19,2,FALSE)+1,7))</f>
        <v>45298</v>
      </c>
      <c r="K1140" s="19">
        <f t="shared" si="2"/>
        <v>0</v>
      </c>
      <c r="L1140" s="6" t="str">
        <f t="shared" si="3"/>
        <v>FS</v>
      </c>
    </row>
    <row r="1141" ht="14.25" customHeight="1">
      <c r="A1141" s="14" t="str">
        <f>Base_report!A1136</f>
        <v>IFFOU</v>
      </c>
      <c r="B1141" s="14" t="str">
        <f>Base_report!B1136</f>
        <v>DECEMBRE 2023</v>
      </c>
      <c r="C1141" s="15" t="str">
        <f>Base_report!C1136</f>
        <v>C4019</v>
      </c>
      <c r="D1141" s="14" t="str">
        <f>TRIM(IF(ISNUMBER(FIND("PNSME",Base_report!D1136,1)),SUBSTITUTE(Base_report!D1136,"PNSME",""),IF(ISNUMBER(FIND("PHG",Base_report!D1136,1)),SUBSTITUTE(Base_report!D1136,"PHG",""),IF(ISNUMBER(FIND("PCS",Base_report!D1136,1)),SUBSTITUTE(Base_report!D1136,"PCS",""),IF(ISNUMBER(FIND("CMU",Base_report!D1136,1)),SUBSTITUTE(Base_report!D1136,"CMU",""),Base_report!D1136)))))</f>
        <v>HOPITAL GENERAL DAOUKRO</v>
      </c>
      <c r="E1141" s="14" t="str">
        <f>SUBSTITUTE(Base_report!E1136,"-","/")</f>
        <v>PNLS/CHARGES VIRALES</v>
      </c>
      <c r="F1141" s="14" t="s">
        <v>788</v>
      </c>
      <c r="G1141" s="16">
        <f>DATE(YEAR(SUBSTITUTE(LEFT(Base_report!F1136,10),"-","/")),MONTH(SUBSTITUTE(LEFT(Base_report!F1136,10),"-","/")),DAY(SUBSTITUTE(LEFT(Base_report!F1136,10),"-","/")))</f>
        <v>45297</v>
      </c>
      <c r="H1141" s="16">
        <f>DATE(YEAR(SUBSTITUTE(LEFT(Base_report!G1136,10),"-","/")),MONTH(SUBSTITUTE(LEFT(Base_report!G1136,10),"-","/")),DAY(SUBSTITUTE(LEFT(Base_report!G1136,10),"-","/")))</f>
        <v>45298</v>
      </c>
      <c r="I1141" s="17" t="str">
        <f t="shared" si="1"/>
        <v>OUI</v>
      </c>
      <c r="J1141" s="18">
        <f>IF(L1141="DS",DATE(RIGHT(B1141,4),VLOOKUP(LEFT(B1141,LEN(B1141)-5),Feuil1!$E$3:$F$19,2,FALSE)+1,10),DATE(RIGHT(B1141,4),VLOOKUP(LEFT(B1141,LEN(B1141)-5),Feuil1!$E$3:$F$19,2,FALSE)+1,7))</f>
        <v>45298</v>
      </c>
      <c r="K1141" s="19">
        <f t="shared" si="2"/>
        <v>1</v>
      </c>
      <c r="L1141" s="6" t="str">
        <f t="shared" si="3"/>
        <v>FS</v>
      </c>
    </row>
    <row r="1142" ht="14.25" customHeight="1">
      <c r="A1142" s="14" t="str">
        <f>Base_report!A1137</f>
        <v>LOH-DJIBOUA</v>
      </c>
      <c r="B1142" s="14" t="str">
        <f>Base_report!B1137</f>
        <v>DECEMBRE 2023</v>
      </c>
      <c r="C1142" s="15" t="str">
        <f>Base_report!C1137</f>
        <v>C21880</v>
      </c>
      <c r="D1142" s="14" t="str">
        <f>TRIM(IF(ISNUMBER(FIND("PNSME",Base_report!D1137,1)),SUBSTITUTE(Base_report!D1137,"PNSME",""),IF(ISNUMBER(FIND("PHG",Base_report!D1137,1)),SUBSTITUTE(Base_report!D1137,"PHG",""),IF(ISNUMBER(FIND("PCS",Base_report!D1137,1)),SUBSTITUTE(Base_report!D1137,"PCS",""),IF(ISNUMBER(FIND("CMU",Base_report!D1137,1)),SUBSTITUTE(Base_report!D1137,"CMU",""),Base_report!D1137)))))</f>
        <v>DISTRICT SANITAIRE DE GUITRY</v>
      </c>
      <c r="E1142" s="14" t="str">
        <f>SUBSTITUTE(Base_report!E1137,"-","/")</f>
        <v>PNLS/PRODUITS DE LABORATOIRE</v>
      </c>
      <c r="F1142" s="14" t="s">
        <v>788</v>
      </c>
      <c r="G1142" s="16">
        <f>DATE(YEAR(SUBSTITUTE(LEFT(Base_report!F1137,10),"-","/")),MONTH(SUBSTITUTE(LEFT(Base_report!F1137,10),"-","/")),DAY(SUBSTITUTE(LEFT(Base_report!F1137,10),"-","/")))</f>
        <v>45296</v>
      </c>
      <c r="H1142" s="16">
        <f>DATE(YEAR(SUBSTITUTE(LEFT(Base_report!G1137,10),"-","/")),MONTH(SUBSTITUTE(LEFT(Base_report!G1137,10),"-","/")),DAY(SUBSTITUTE(LEFT(Base_report!G1137,10),"-","/")))</f>
        <v>45299</v>
      </c>
      <c r="I1142" s="17" t="str">
        <f t="shared" si="1"/>
        <v>OUI</v>
      </c>
      <c r="J1142" s="18">
        <f>IF(L1142="DS",DATE(RIGHT(B1142,4),VLOOKUP(LEFT(B1142,LEN(B1142)-5),Feuil1!$E$3:$F$19,2,FALSE)+1,10),DATE(RIGHT(B1142,4),VLOOKUP(LEFT(B1142,LEN(B1142)-5),Feuil1!$E$3:$F$19,2,FALSE)+1,7))</f>
        <v>45301</v>
      </c>
      <c r="K1142" s="19">
        <f t="shared" si="2"/>
        <v>1</v>
      </c>
      <c r="L1142" s="6" t="str">
        <f t="shared" si="3"/>
        <v>DS</v>
      </c>
    </row>
    <row r="1143" ht="14.25" customHeight="1">
      <c r="A1143" s="14" t="str">
        <f>Base_report!A1138</f>
        <v>IFFOU</v>
      </c>
      <c r="B1143" s="14" t="str">
        <f>Base_report!B1138</f>
        <v>DECEMBRE 2023</v>
      </c>
      <c r="C1143" s="15" t="str">
        <f>Base_report!C1138</f>
        <v>C4019</v>
      </c>
      <c r="D1143" s="14" t="str">
        <f>TRIM(IF(ISNUMBER(FIND("PNSME",Base_report!D1138,1)),SUBSTITUTE(Base_report!D1138,"PNSME",""),IF(ISNUMBER(FIND("PHG",Base_report!D1138,1)),SUBSTITUTE(Base_report!D1138,"PHG",""),IF(ISNUMBER(FIND("PCS",Base_report!D1138,1)),SUBSTITUTE(Base_report!D1138,"PCS",""),IF(ISNUMBER(FIND("CMU",Base_report!D1138,1)),SUBSTITUTE(Base_report!D1138,"CMU",""),Base_report!D1138)))))</f>
        <v>HOPITAL GENERAL DAOUKRO</v>
      </c>
      <c r="E1143" s="14" t="str">
        <f>SUBSTITUTE(Base_report!E1138,"-","/")</f>
        <v>PNLS/PRODUITS DE LABORATOIRE</v>
      </c>
      <c r="F1143" s="14" t="s">
        <v>788</v>
      </c>
      <c r="G1143" s="16">
        <f>DATE(YEAR(SUBSTITUTE(LEFT(Base_report!F1138,10),"-","/")),MONTH(SUBSTITUTE(LEFT(Base_report!F1138,10),"-","/")),DAY(SUBSTITUTE(LEFT(Base_report!F1138,10),"-","/")))</f>
        <v>45297</v>
      </c>
      <c r="H1143" s="16">
        <f>DATE(YEAR(SUBSTITUTE(LEFT(Base_report!G1138,10),"-","/")),MONTH(SUBSTITUTE(LEFT(Base_report!G1138,10),"-","/")),DAY(SUBSTITUTE(LEFT(Base_report!G1138,10),"-","/")))</f>
        <v>45298</v>
      </c>
      <c r="I1143" s="17" t="str">
        <f t="shared" si="1"/>
        <v>OUI</v>
      </c>
      <c r="J1143" s="18">
        <f>IF(L1143="DS",DATE(RIGHT(B1143,4),VLOOKUP(LEFT(B1143,LEN(B1143)-5),Feuil1!$E$3:$F$19,2,FALSE)+1,10),DATE(RIGHT(B1143,4),VLOOKUP(LEFT(B1143,LEN(B1143)-5),Feuil1!$E$3:$F$19,2,FALSE)+1,7))</f>
        <v>45298</v>
      </c>
      <c r="K1143" s="19">
        <f t="shared" si="2"/>
        <v>1</v>
      </c>
      <c r="L1143" s="6" t="str">
        <f t="shared" si="3"/>
        <v>FS</v>
      </c>
    </row>
    <row r="1144" ht="14.25" customHeight="1">
      <c r="A1144" s="14" t="str">
        <f>Base_report!A1139</f>
        <v>MARAHOUE</v>
      </c>
      <c r="B1144" s="14" t="str">
        <f>Base_report!B1139</f>
        <v>DECEMBRE 2023</v>
      </c>
      <c r="C1144" s="15" t="str">
        <f>Base_report!C1139</f>
        <v>C2063</v>
      </c>
      <c r="D1144" s="14" t="str">
        <f>TRIM(IF(ISNUMBER(FIND("PNSME",Base_report!D1139,1)),SUBSTITUTE(Base_report!D1139,"PNSME",""),IF(ISNUMBER(FIND("PHG",Base_report!D1139,1)),SUBSTITUTE(Base_report!D1139,"PHG",""),IF(ISNUMBER(FIND("PCS",Base_report!D1139,1)),SUBSTITUTE(Base_report!D1139,"PCS",""),IF(ISNUMBER(FIND("CMU",Base_report!D1139,1)),SUBSTITUTE(Base_report!D1139,"CMU",""),Base_report!D1139)))))</f>
        <v>HOPITAL GENERAL SINFRA</v>
      </c>
      <c r="E1144" s="14" t="str">
        <f>SUBSTITUTE(Base_report!E1139,"-","/")</f>
        <v>PNSME/MEDICAMENTS ET INTRANTS</v>
      </c>
      <c r="F1144" s="14" t="s">
        <v>788</v>
      </c>
      <c r="G1144" s="16">
        <f>DATE(YEAR(SUBSTITUTE(LEFT(Base_report!F1139,10),"-","/")),MONTH(SUBSTITUTE(LEFT(Base_report!F1139,10),"-","/")),DAY(SUBSTITUTE(LEFT(Base_report!F1139,10),"-","/")))</f>
        <v>45296</v>
      </c>
      <c r="H1144" s="16">
        <f>DATE(YEAR(SUBSTITUTE(LEFT(Base_report!G1139,10),"-","/")),MONTH(SUBSTITUTE(LEFT(Base_report!G1139,10),"-","/")),DAY(SUBSTITUTE(LEFT(Base_report!G1139,10),"-","/")))</f>
        <v>45296</v>
      </c>
      <c r="I1144" s="17" t="str">
        <f t="shared" si="1"/>
        <v>OUI</v>
      </c>
      <c r="J1144" s="18">
        <f>IF(L1144="DS",DATE(RIGHT(B1144,4),VLOOKUP(LEFT(B1144,LEN(B1144)-5),Feuil1!$E$3:$F$19,2,FALSE)+1,10),DATE(RIGHT(B1144,4),VLOOKUP(LEFT(B1144,LEN(B1144)-5),Feuil1!$E$3:$F$19,2,FALSE)+1,7))</f>
        <v>45298</v>
      </c>
      <c r="K1144" s="19">
        <f t="shared" si="2"/>
        <v>1</v>
      </c>
      <c r="L1144" s="6" t="str">
        <f t="shared" si="3"/>
        <v>FS</v>
      </c>
    </row>
    <row r="1145" ht="14.25" customHeight="1">
      <c r="A1145" s="14" t="str">
        <f>Base_report!A1140</f>
        <v>ABIDJAN 1</v>
      </c>
      <c r="B1145" s="14" t="str">
        <f>Base_report!B1140</f>
        <v>DECEMBRE 2023</v>
      </c>
      <c r="C1145" s="15" t="str">
        <f>Base_report!C1140</f>
        <v>C1070</v>
      </c>
      <c r="D1145" s="14" t="str">
        <f>TRIM(IF(ISNUMBER(FIND("PNSME",Base_report!D1140,1)),SUBSTITUTE(Base_report!D1140,"PNSME",""),IF(ISNUMBER(FIND("PHG",Base_report!D1140,1)),SUBSTITUTE(Base_report!D1140,"PHG",""),IF(ISNUMBER(FIND("PCS",Base_report!D1140,1)),SUBSTITUTE(Base_report!D1140,"PCS",""),IF(ISNUMBER(FIND("CMU",Base_report!D1140,1)),SUBSTITUTE(Base_report!D1140,"CMU",""),Base_report!D1140)))))</f>
        <v>FSU COM KOWEIT</v>
      </c>
      <c r="E1145" s="14" t="str">
        <f>SUBSTITUTE(Base_report!E1140,"-","/")</f>
        <v>PNSME/MEDICAMENTS ET INTRANTS</v>
      </c>
      <c r="F1145" s="14" t="s">
        <v>788</v>
      </c>
      <c r="G1145" s="16">
        <f>DATE(YEAR(SUBSTITUTE(LEFT(Base_report!F1140,10),"-","/")),MONTH(SUBSTITUTE(LEFT(Base_report!F1140,10),"-","/")),DAY(SUBSTITUTE(LEFT(Base_report!F1140,10),"-","/")))</f>
        <v>45296</v>
      </c>
      <c r="H1145" s="16">
        <f>DATE(YEAR(SUBSTITUTE(LEFT(Base_report!G1140,10),"-","/")),MONTH(SUBSTITUTE(LEFT(Base_report!G1140,10),"-","/")),DAY(SUBSTITUTE(LEFT(Base_report!G1140,10),"-","/")))</f>
        <v>45296</v>
      </c>
      <c r="I1145" s="17" t="str">
        <f t="shared" si="1"/>
        <v>OUI</v>
      </c>
      <c r="J1145" s="18">
        <f>IF(L1145="DS",DATE(RIGHT(B1145,4),VLOOKUP(LEFT(B1145,LEN(B1145)-5),Feuil1!$E$3:$F$19,2,FALSE)+1,10),DATE(RIGHT(B1145,4),VLOOKUP(LEFT(B1145,LEN(B1145)-5),Feuil1!$E$3:$F$19,2,FALSE)+1,7))</f>
        <v>45298</v>
      </c>
      <c r="K1145" s="19">
        <f t="shared" si="2"/>
        <v>1</v>
      </c>
      <c r="L1145" s="6" t="str">
        <f t="shared" si="3"/>
        <v>FS</v>
      </c>
    </row>
    <row r="1146" ht="14.25" customHeight="1">
      <c r="A1146" s="14" t="str">
        <f>Base_report!A1141</f>
        <v>ABIDJAN 1</v>
      </c>
      <c r="B1146" s="14" t="str">
        <f>Base_report!B1141</f>
        <v>DECEMBRE 2023</v>
      </c>
      <c r="C1146" s="15" t="str">
        <f>Base_report!C1141</f>
        <v>C1070</v>
      </c>
      <c r="D1146" s="14" t="str">
        <f>TRIM(IF(ISNUMBER(FIND("PNSME",Base_report!D1141,1)),SUBSTITUTE(Base_report!D1141,"PNSME",""),IF(ISNUMBER(FIND("PHG",Base_report!D1141,1)),SUBSTITUTE(Base_report!D1141,"PHG",""),IF(ISNUMBER(FIND("PCS",Base_report!D1141,1)),SUBSTITUTE(Base_report!D1141,"PCS",""),IF(ISNUMBER(FIND("CMU",Base_report!D1141,1)),SUBSTITUTE(Base_report!D1141,"CMU",""),Base_report!D1141)))))</f>
        <v>FSU COM KOWEIT</v>
      </c>
      <c r="E1146" s="14" t="str">
        <f>SUBSTITUTE(Base_report!E1141,"-","/")</f>
        <v>PNLP/MEDICAMENTS ET INTRANTS</v>
      </c>
      <c r="F1146" s="14" t="s">
        <v>788</v>
      </c>
      <c r="G1146" s="16">
        <f>DATE(YEAR(SUBSTITUTE(LEFT(Base_report!F1141,10),"-","/")),MONTH(SUBSTITUTE(LEFT(Base_report!F1141,10),"-","/")),DAY(SUBSTITUTE(LEFT(Base_report!F1141,10),"-","/")))</f>
        <v>45296</v>
      </c>
      <c r="H1146" s="16">
        <f>DATE(YEAR(SUBSTITUTE(LEFT(Base_report!G1141,10),"-","/")),MONTH(SUBSTITUTE(LEFT(Base_report!G1141,10),"-","/")),DAY(SUBSTITUTE(LEFT(Base_report!G1141,10),"-","/")))</f>
        <v>45296</v>
      </c>
      <c r="I1146" s="17" t="str">
        <f t="shared" si="1"/>
        <v>OUI</v>
      </c>
      <c r="J1146" s="18">
        <f>IF(L1146="DS",DATE(RIGHT(B1146,4),VLOOKUP(LEFT(B1146,LEN(B1146)-5),Feuil1!$E$3:$F$19,2,FALSE)+1,10),DATE(RIGHT(B1146,4),VLOOKUP(LEFT(B1146,LEN(B1146)-5),Feuil1!$E$3:$F$19,2,FALSE)+1,7))</f>
        <v>45298</v>
      </c>
      <c r="K1146" s="19">
        <f t="shared" si="2"/>
        <v>1</v>
      </c>
      <c r="L1146" s="6" t="str">
        <f t="shared" si="3"/>
        <v>FS</v>
      </c>
    </row>
    <row r="1147" ht="14.25" customHeight="1">
      <c r="A1147" s="14" t="str">
        <f>Base_report!A1142</f>
        <v>BOUNKANI</v>
      </c>
      <c r="B1147" s="14" t="str">
        <f>Base_report!B1142</f>
        <v>DECEMBRE 2023</v>
      </c>
      <c r="C1147" s="15" t="str">
        <f>Base_report!C1142</f>
        <v>C4018</v>
      </c>
      <c r="D1147" s="14" t="str">
        <f>TRIM(IF(ISNUMBER(FIND("PNSME",Base_report!D1142,1)),SUBSTITUTE(Base_report!D1142,"PNSME",""),IF(ISNUMBER(FIND("PHG",Base_report!D1142,1)),SUBSTITUTE(Base_report!D1142,"PHG",""),IF(ISNUMBER(FIND("PCS",Base_report!D1142,1)),SUBSTITUTE(Base_report!D1142,"PCS",""),IF(ISNUMBER(FIND("CMU",Base_report!D1142,1)),SUBSTITUTE(Base_report!D1142,"CMU",""),Base_report!D1142)))))</f>
        <v>HOPITAL GENERAL BOUNA</v>
      </c>
      <c r="E1147" s="14" t="str">
        <f>SUBSTITUTE(Base_report!E1142,"-","/")</f>
        <v>PNLS/ANTIRETROVIRAUX ET IO</v>
      </c>
      <c r="F1147" s="14" t="s">
        <v>788</v>
      </c>
      <c r="G1147" s="16">
        <f>DATE(YEAR(SUBSTITUTE(LEFT(Base_report!F1142,10),"-","/")),MONTH(SUBSTITUTE(LEFT(Base_report!F1142,10),"-","/")),DAY(SUBSTITUTE(LEFT(Base_report!F1142,10),"-","/")))</f>
        <v>45297</v>
      </c>
      <c r="H1147" s="16">
        <f>DATE(YEAR(SUBSTITUTE(LEFT(Base_report!G1142,10),"-","/")),MONTH(SUBSTITUTE(LEFT(Base_report!G1142,10),"-","/")),DAY(SUBSTITUTE(LEFT(Base_report!G1142,10),"-","/")))</f>
        <v>45299</v>
      </c>
      <c r="I1147" s="17" t="str">
        <f t="shared" si="1"/>
        <v>OUI</v>
      </c>
      <c r="J1147" s="18">
        <f>IF(L1147="DS",DATE(RIGHT(B1147,4),VLOOKUP(LEFT(B1147,LEN(B1147)-5),Feuil1!$E$3:$F$19,2,FALSE)+1,10),DATE(RIGHT(B1147,4),VLOOKUP(LEFT(B1147,LEN(B1147)-5),Feuil1!$E$3:$F$19,2,FALSE)+1,7))</f>
        <v>45298</v>
      </c>
      <c r="K1147" s="19">
        <f t="shared" si="2"/>
        <v>0</v>
      </c>
      <c r="L1147" s="6" t="str">
        <f t="shared" si="3"/>
        <v>FS</v>
      </c>
    </row>
    <row r="1148" ht="14.25" customHeight="1">
      <c r="A1148" s="14" t="str">
        <f>Base_report!A1143</f>
        <v>GOH</v>
      </c>
      <c r="B1148" s="14" t="str">
        <f>Base_report!B1143</f>
        <v>DECEMBRE 2023</v>
      </c>
      <c r="C1148" s="15" t="str">
        <f>Base_report!C1143</f>
        <v>C2006</v>
      </c>
      <c r="D1148" s="14" t="str">
        <f>TRIM(IF(ISNUMBER(FIND("PNSME",Base_report!D1143,1)),SUBSTITUTE(Base_report!D1143,"PNSME",""),IF(ISNUMBER(FIND("PHG",Base_report!D1143,1)),SUBSTITUTE(Base_report!D1143,"PHG",""),IF(ISNUMBER(FIND("PCS",Base_report!D1143,1)),SUBSTITUTE(Base_report!D1143,"PCS",""),IF(ISNUMBER(FIND("CMU",Base_report!D1143,1)),SUBSTITUTE(Base_report!D1143,"CMU",""),Base_report!D1143)))))</f>
        <v>CHR GAGNOA</v>
      </c>
      <c r="E1148" s="14" t="str">
        <f>SUBSTITUTE(Base_report!E1143,"-","/")</f>
        <v>PNN/MEDICAMENTS ET INTRANTS</v>
      </c>
      <c r="F1148" s="14" t="s">
        <v>788</v>
      </c>
      <c r="G1148" s="16">
        <f>DATE(YEAR(SUBSTITUTE(LEFT(Base_report!F1143,10),"-","/")),MONTH(SUBSTITUTE(LEFT(Base_report!F1143,10),"-","/")),DAY(SUBSTITUTE(LEFT(Base_report!F1143,10),"-","/")))</f>
        <v>45296</v>
      </c>
      <c r="H1148" s="16">
        <f>DATE(YEAR(SUBSTITUTE(LEFT(Base_report!G1143,10),"-","/")),MONTH(SUBSTITUTE(LEFT(Base_report!G1143,10),"-","/")),DAY(SUBSTITUTE(LEFT(Base_report!G1143,10),"-","/")))</f>
        <v>45298</v>
      </c>
      <c r="I1148" s="17" t="str">
        <f t="shared" si="1"/>
        <v>OUI</v>
      </c>
      <c r="J1148" s="18">
        <f>IF(L1148="DS",DATE(RIGHT(B1148,4),VLOOKUP(LEFT(B1148,LEN(B1148)-5),Feuil1!$E$3:$F$19,2,FALSE)+1,10),DATE(RIGHT(B1148,4),VLOOKUP(LEFT(B1148,LEN(B1148)-5),Feuil1!$E$3:$F$19,2,FALSE)+1,7))</f>
        <v>45298</v>
      </c>
      <c r="K1148" s="19">
        <f t="shared" si="2"/>
        <v>1</v>
      </c>
      <c r="L1148" s="6" t="str">
        <f t="shared" si="3"/>
        <v>FS</v>
      </c>
    </row>
    <row r="1149" ht="14.25" customHeight="1">
      <c r="A1149" s="14" t="str">
        <f>Base_report!A1144</f>
        <v>GOH</v>
      </c>
      <c r="B1149" s="14" t="str">
        <f>Base_report!B1144</f>
        <v>DECEMBRE 2023</v>
      </c>
      <c r="C1149" s="15" t="str">
        <f>Base_report!C1144</f>
        <v>C2006</v>
      </c>
      <c r="D1149" s="14" t="str">
        <f>TRIM(IF(ISNUMBER(FIND("PNSME",Base_report!D1144,1)),SUBSTITUTE(Base_report!D1144,"PNSME",""),IF(ISNUMBER(FIND("PHG",Base_report!D1144,1)),SUBSTITUTE(Base_report!D1144,"PHG",""),IF(ISNUMBER(FIND("PCS",Base_report!D1144,1)),SUBSTITUTE(Base_report!D1144,"PCS",""),IF(ISNUMBER(FIND("CMU",Base_report!D1144,1)),SUBSTITUTE(Base_report!D1144,"CMU",""),Base_report!D1144)))))</f>
        <v>CHR GAGNOA</v>
      </c>
      <c r="E1149" s="14" t="str">
        <f>SUBSTITUTE(Base_report!E1144,"-","/")</f>
        <v>PNLP/MEDICAMENTS ET INTRANTS</v>
      </c>
      <c r="F1149" s="14" t="s">
        <v>788</v>
      </c>
      <c r="G1149" s="16">
        <f>DATE(YEAR(SUBSTITUTE(LEFT(Base_report!F1144,10),"-","/")),MONTH(SUBSTITUTE(LEFT(Base_report!F1144,10),"-","/")),DAY(SUBSTITUTE(LEFT(Base_report!F1144,10),"-","/")))</f>
        <v>45296</v>
      </c>
      <c r="H1149" s="16">
        <f>DATE(YEAR(SUBSTITUTE(LEFT(Base_report!G1144,10),"-","/")),MONTH(SUBSTITUTE(LEFT(Base_report!G1144,10),"-","/")),DAY(SUBSTITUTE(LEFT(Base_report!G1144,10),"-","/")))</f>
        <v>45298</v>
      </c>
      <c r="I1149" s="17" t="str">
        <f t="shared" si="1"/>
        <v>OUI</v>
      </c>
      <c r="J1149" s="18">
        <f>IF(L1149="DS",DATE(RIGHT(B1149,4),VLOOKUP(LEFT(B1149,LEN(B1149)-5),Feuil1!$E$3:$F$19,2,FALSE)+1,10),DATE(RIGHT(B1149,4),VLOOKUP(LEFT(B1149,LEN(B1149)-5),Feuil1!$E$3:$F$19,2,FALSE)+1,7))</f>
        <v>45298</v>
      </c>
      <c r="K1149" s="19">
        <f t="shared" si="2"/>
        <v>1</v>
      </c>
      <c r="L1149" s="6" t="str">
        <f t="shared" si="3"/>
        <v>FS</v>
      </c>
    </row>
    <row r="1150" ht="14.25" customHeight="1">
      <c r="A1150" s="14" t="str">
        <f>Base_report!A1145</f>
        <v>IFFOU</v>
      </c>
      <c r="B1150" s="14" t="str">
        <f>Base_report!B1145</f>
        <v>DECEMBRE 2023</v>
      </c>
      <c r="C1150" s="15" t="str">
        <f>Base_report!C1145</f>
        <v>C4019</v>
      </c>
      <c r="D1150" s="14" t="str">
        <f>TRIM(IF(ISNUMBER(FIND("PNSME",Base_report!D1145,1)),SUBSTITUTE(Base_report!D1145,"PNSME",""),IF(ISNUMBER(FIND("PHG",Base_report!D1145,1)),SUBSTITUTE(Base_report!D1145,"PHG",""),IF(ISNUMBER(FIND("PCS",Base_report!D1145,1)),SUBSTITUTE(Base_report!D1145,"PCS",""),IF(ISNUMBER(FIND("CMU",Base_report!D1145,1)),SUBSTITUTE(Base_report!D1145,"CMU",""),Base_report!D1145)))))</f>
        <v>HOPITAL GENERAL DAOUKRO</v>
      </c>
      <c r="E1150" s="14" t="str">
        <f>SUBSTITUTE(Base_report!E1145,"-","/")</f>
        <v>PNLS/TESTS RAPIDES ET CONSOMMABLES</v>
      </c>
      <c r="F1150" s="14" t="s">
        <v>788</v>
      </c>
      <c r="G1150" s="16">
        <f>DATE(YEAR(SUBSTITUTE(LEFT(Base_report!F1145,10),"-","/")),MONTH(SUBSTITUTE(LEFT(Base_report!F1145,10),"-","/")),DAY(SUBSTITUTE(LEFT(Base_report!F1145,10),"-","/")))</f>
        <v>45298</v>
      </c>
      <c r="H1150" s="16">
        <f>DATE(YEAR(SUBSTITUTE(LEFT(Base_report!G1145,10),"-","/")),MONTH(SUBSTITUTE(LEFT(Base_report!G1145,10),"-","/")),DAY(SUBSTITUTE(LEFT(Base_report!G1145,10),"-","/")))</f>
        <v>45298</v>
      </c>
      <c r="I1150" s="17" t="str">
        <f t="shared" si="1"/>
        <v>OUI</v>
      </c>
      <c r="J1150" s="18">
        <f>IF(L1150="DS",DATE(RIGHT(B1150,4),VLOOKUP(LEFT(B1150,LEN(B1150)-5),Feuil1!$E$3:$F$19,2,FALSE)+1,10),DATE(RIGHT(B1150,4),VLOOKUP(LEFT(B1150,LEN(B1150)-5),Feuil1!$E$3:$F$19,2,FALSE)+1,7))</f>
        <v>45298</v>
      </c>
      <c r="K1150" s="19">
        <f t="shared" si="2"/>
        <v>1</v>
      </c>
      <c r="L1150" s="6" t="str">
        <f t="shared" si="3"/>
        <v>FS</v>
      </c>
    </row>
    <row r="1151" ht="14.25" customHeight="1">
      <c r="A1151" s="14" t="str">
        <f>Base_report!A1146</f>
        <v>HAUT-SASSANDRA</v>
      </c>
      <c r="B1151" s="14" t="str">
        <f>Base_report!B1146</f>
        <v>DECEMBRE 2023</v>
      </c>
      <c r="C1151" s="15" t="str">
        <f>Base_report!C1146</f>
        <v>C2025</v>
      </c>
      <c r="D1151" s="14" t="str">
        <f>TRIM(IF(ISNUMBER(FIND("PNSME",Base_report!D1146,1)),SUBSTITUTE(Base_report!D1146,"PNSME",""),IF(ISNUMBER(FIND("PHG",Base_report!D1146,1)),SUBSTITUTE(Base_report!D1146,"PHG",""),IF(ISNUMBER(FIND("PCS",Base_report!D1146,1)),SUBSTITUTE(Base_report!D1146,"PCS",""),IF(ISNUMBER(FIND("CMU",Base_report!D1146,1)),SUBSTITUTE(Base_report!D1146,"CMU",""),Base_report!D1146)))))</f>
        <v>DISTRICT SANITAIRE DALOA</v>
      </c>
      <c r="E1151" s="14" t="str">
        <f>SUBSTITUTE(Base_report!E1146,"-","/")</f>
        <v>PNLS/PRODUITS DE LABORATOIRE</v>
      </c>
      <c r="F1151" s="14" t="s">
        <v>788</v>
      </c>
      <c r="G1151" s="16">
        <f>DATE(YEAR(SUBSTITUTE(LEFT(Base_report!F1146,10),"-","/")),MONTH(SUBSTITUTE(LEFT(Base_report!F1146,10),"-","/")),DAY(SUBSTITUTE(LEFT(Base_report!F1146,10),"-","/")))</f>
        <v>45301</v>
      </c>
      <c r="H1151" s="16">
        <f>DATE(YEAR(SUBSTITUTE(LEFT(Base_report!G1146,10),"-","/")),MONTH(SUBSTITUTE(LEFT(Base_report!G1146,10),"-","/")),DAY(SUBSTITUTE(LEFT(Base_report!G1146,10),"-","/")))</f>
        <v>45301</v>
      </c>
      <c r="I1151" s="17" t="str">
        <f t="shared" si="1"/>
        <v>OUI</v>
      </c>
      <c r="J1151" s="18">
        <f>IF(L1151="DS",DATE(RIGHT(B1151,4),VLOOKUP(LEFT(B1151,LEN(B1151)-5),Feuil1!$E$3:$F$19,2,FALSE)+1,10),DATE(RIGHT(B1151,4),VLOOKUP(LEFT(B1151,LEN(B1151)-5),Feuil1!$E$3:$F$19,2,FALSE)+1,7))</f>
        <v>45301</v>
      </c>
      <c r="K1151" s="19">
        <f t="shared" si="2"/>
        <v>1</v>
      </c>
      <c r="L1151" s="6" t="str">
        <f t="shared" si="3"/>
        <v>DS</v>
      </c>
    </row>
    <row r="1152" ht="14.25" customHeight="1">
      <c r="A1152" s="14" t="str">
        <f>Base_report!A1147</f>
        <v>N'ZI</v>
      </c>
      <c r="B1152" s="14" t="str">
        <f>Base_report!B1147</f>
        <v>DECEMBRE 2023</v>
      </c>
      <c r="C1152" s="15" t="str">
        <f>Base_report!C1147</f>
        <v>C2004</v>
      </c>
      <c r="D1152" s="14" t="str">
        <f>TRIM(IF(ISNUMBER(FIND("PNSME",Base_report!D1147,1)),SUBSTITUTE(Base_report!D1147,"PNSME",""),IF(ISNUMBER(FIND("PHG",Base_report!D1147,1)),SUBSTITUTE(Base_report!D1147,"PHG",""),IF(ISNUMBER(FIND("PCS",Base_report!D1147,1)),SUBSTITUTE(Base_report!D1147,"PCS",""),IF(ISNUMBER(FIND("CMU",Base_report!D1147,1)),SUBSTITUTE(Base_report!D1147,"CMU",""),Base_report!D1147)))))</f>
        <v>CHR DIMBOKRO</v>
      </c>
      <c r="E1152" s="14" t="str">
        <f>SUBSTITUTE(Base_report!E1147,"-","/")</f>
        <v>PNLS/ANTIRETROVIRAUX ET IO</v>
      </c>
      <c r="F1152" s="14" t="s">
        <v>788</v>
      </c>
      <c r="G1152" s="16">
        <f>DATE(YEAR(SUBSTITUTE(LEFT(Base_report!F1147,10),"-","/")),MONTH(SUBSTITUTE(LEFT(Base_report!F1147,10),"-","/")),DAY(SUBSTITUTE(LEFT(Base_report!F1147,10),"-","/")))</f>
        <v>45298</v>
      </c>
      <c r="H1152" s="16">
        <f>DATE(YEAR(SUBSTITUTE(LEFT(Base_report!G1147,10),"-","/")),MONTH(SUBSTITUTE(LEFT(Base_report!G1147,10),"-","/")),DAY(SUBSTITUTE(LEFT(Base_report!G1147,10),"-","/")))</f>
        <v>45298</v>
      </c>
      <c r="I1152" s="17" t="str">
        <f t="shared" si="1"/>
        <v>OUI</v>
      </c>
      <c r="J1152" s="18">
        <f>IF(L1152="DS",DATE(RIGHT(B1152,4),VLOOKUP(LEFT(B1152,LEN(B1152)-5),Feuil1!$E$3:$F$19,2,FALSE)+1,10),DATE(RIGHT(B1152,4),VLOOKUP(LEFT(B1152,LEN(B1152)-5),Feuil1!$E$3:$F$19,2,FALSE)+1,7))</f>
        <v>45298</v>
      </c>
      <c r="K1152" s="19">
        <f t="shared" si="2"/>
        <v>1</v>
      </c>
      <c r="L1152" s="6" t="str">
        <f t="shared" si="3"/>
        <v>FS</v>
      </c>
    </row>
    <row r="1153" ht="14.25" customHeight="1">
      <c r="A1153" s="14" t="str">
        <f>Base_report!A1148</f>
        <v>HAUT-SASSANDRA</v>
      </c>
      <c r="B1153" s="14" t="str">
        <f>Base_report!B1148</f>
        <v>DECEMBRE 2023</v>
      </c>
      <c r="C1153" s="15" t="str">
        <f>Base_report!C1148</f>
        <v>C2025</v>
      </c>
      <c r="D1153" s="14" t="str">
        <f>TRIM(IF(ISNUMBER(FIND("PNSME",Base_report!D1148,1)),SUBSTITUTE(Base_report!D1148,"PNSME",""),IF(ISNUMBER(FIND("PHG",Base_report!D1148,1)),SUBSTITUTE(Base_report!D1148,"PHG",""),IF(ISNUMBER(FIND("PCS",Base_report!D1148,1)),SUBSTITUTE(Base_report!D1148,"PCS",""),IF(ISNUMBER(FIND("CMU",Base_report!D1148,1)),SUBSTITUTE(Base_report!D1148,"CMU",""),Base_report!D1148)))))</f>
        <v>DISTRICT SANITAIRE DALOA</v>
      </c>
      <c r="E1153" s="14" t="str">
        <f>SUBSTITUTE(Base_report!E1148,"-","/")</f>
        <v>PNN/MEDICAMENTS ET INTRANTS</v>
      </c>
      <c r="F1153" s="14" t="s">
        <v>788</v>
      </c>
      <c r="G1153" s="16">
        <f>DATE(YEAR(SUBSTITUTE(LEFT(Base_report!F1148,10),"-","/")),MONTH(SUBSTITUTE(LEFT(Base_report!F1148,10),"-","/")),DAY(SUBSTITUTE(LEFT(Base_report!F1148,10),"-","/")))</f>
        <v>45301</v>
      </c>
      <c r="H1153" s="16">
        <f>DATE(YEAR(SUBSTITUTE(LEFT(Base_report!G1148,10),"-","/")),MONTH(SUBSTITUTE(LEFT(Base_report!G1148,10),"-","/")),DAY(SUBSTITUTE(LEFT(Base_report!G1148,10),"-","/")))</f>
        <v>45301</v>
      </c>
      <c r="I1153" s="17" t="str">
        <f t="shared" si="1"/>
        <v>OUI</v>
      </c>
      <c r="J1153" s="18">
        <f>IF(L1153="DS",DATE(RIGHT(B1153,4),VLOOKUP(LEFT(B1153,LEN(B1153)-5),Feuil1!$E$3:$F$19,2,FALSE)+1,10),DATE(RIGHT(B1153,4),VLOOKUP(LEFT(B1153,LEN(B1153)-5),Feuil1!$E$3:$F$19,2,FALSE)+1,7))</f>
        <v>45301</v>
      </c>
      <c r="K1153" s="19">
        <f t="shared" si="2"/>
        <v>1</v>
      </c>
      <c r="L1153" s="6" t="str">
        <f t="shared" si="3"/>
        <v>DS</v>
      </c>
    </row>
    <row r="1154" ht="14.25" customHeight="1">
      <c r="A1154" s="14" t="str">
        <f>Base_report!A1149</f>
        <v>ABIDJAN 2</v>
      </c>
      <c r="B1154" s="14" t="str">
        <f>Base_report!B1149</f>
        <v>DECEMBRE 2023</v>
      </c>
      <c r="C1154" s="15" t="str">
        <f>Base_report!C1149</f>
        <v>C1107</v>
      </c>
      <c r="D1154" s="14" t="str">
        <f>TRIM(IF(ISNUMBER(FIND("PNSME",Base_report!D1149,1)),SUBSTITUTE(Base_report!D1149,"PNSME",""),IF(ISNUMBER(FIND("PHG",Base_report!D1149,1)),SUBSTITUTE(Base_report!D1149,"PHG",""),IF(ISNUMBER(FIND("PCS",Base_report!D1149,1)),SUBSTITUTE(Base_report!D1149,"PCS",""),IF(ISNUMBER(FIND("CMU",Base_report!D1149,1)),SUBSTITUTE(Base_report!D1149,"CMU",""),Base_report!D1149)))))</f>
        <v>INSTITUT PASTEUR COTE D'IVOIRE</v>
      </c>
      <c r="E1154" s="14" t="str">
        <f>SUBSTITUTE(Base_report!E1149,"-","/")</f>
        <v>PNLS/PRODUITS DE LABORATOIRE</v>
      </c>
      <c r="F1154" s="14" t="s">
        <v>788</v>
      </c>
      <c r="G1154" s="16">
        <f>DATE(YEAR(SUBSTITUTE(LEFT(Base_report!F1149,10),"-","/")),MONTH(SUBSTITUTE(LEFT(Base_report!F1149,10),"-","/")),DAY(SUBSTITUTE(LEFT(Base_report!F1149,10),"-","/")))</f>
        <v>45296</v>
      </c>
      <c r="H1154" s="16">
        <f>DATE(YEAR(SUBSTITUTE(LEFT(Base_report!G1149,10),"-","/")),MONTH(SUBSTITUTE(LEFT(Base_report!G1149,10),"-","/")),DAY(SUBSTITUTE(LEFT(Base_report!G1149,10),"-","/")))</f>
        <v>45297</v>
      </c>
      <c r="I1154" s="17" t="str">
        <f t="shared" si="1"/>
        <v>OUI</v>
      </c>
      <c r="J1154" s="18">
        <f>IF(L1154="DS",DATE(RIGHT(B1154,4),VLOOKUP(LEFT(B1154,LEN(B1154)-5),Feuil1!$E$3:$F$19,2,FALSE)+1,10),DATE(RIGHT(B1154,4),VLOOKUP(LEFT(B1154,LEN(B1154)-5),Feuil1!$E$3:$F$19,2,FALSE)+1,7))</f>
        <v>45298</v>
      </c>
      <c r="K1154" s="19">
        <f t="shared" si="2"/>
        <v>1</v>
      </c>
      <c r="L1154" s="6" t="str">
        <f t="shared" si="3"/>
        <v>FS</v>
      </c>
    </row>
    <row r="1155" ht="14.25" customHeight="1">
      <c r="A1155" s="14" t="str">
        <f>Base_report!A1150</f>
        <v>HAUT-SASSANDRA</v>
      </c>
      <c r="B1155" s="14" t="str">
        <f>Base_report!B1150</f>
        <v>DECEMBRE 2023</v>
      </c>
      <c r="C1155" s="15" t="str">
        <f>Base_report!C1150</f>
        <v>C2025</v>
      </c>
      <c r="D1155" s="14" t="str">
        <f>TRIM(IF(ISNUMBER(FIND("PNSME",Base_report!D1150,1)),SUBSTITUTE(Base_report!D1150,"PNSME",""),IF(ISNUMBER(FIND("PHG",Base_report!D1150,1)),SUBSTITUTE(Base_report!D1150,"PHG",""),IF(ISNUMBER(FIND("PCS",Base_report!D1150,1)),SUBSTITUTE(Base_report!D1150,"PCS",""),IF(ISNUMBER(FIND("CMU",Base_report!D1150,1)),SUBSTITUTE(Base_report!D1150,"CMU",""),Base_report!D1150)))))</f>
        <v>DISTRICT SANITAIRE DALOA</v>
      </c>
      <c r="E1155" s="14" t="str">
        <f>SUBSTITUTE(Base_report!E1150,"-","/")</f>
        <v>PNLS/ANTIRETROVIRAUX ET IO</v>
      </c>
      <c r="F1155" s="14" t="s">
        <v>788</v>
      </c>
      <c r="G1155" s="16">
        <f>DATE(YEAR(SUBSTITUTE(LEFT(Base_report!F1150,10),"-","/")),MONTH(SUBSTITUTE(LEFT(Base_report!F1150,10),"-","/")),DAY(SUBSTITUTE(LEFT(Base_report!F1150,10),"-","/")))</f>
        <v>45301</v>
      </c>
      <c r="H1155" s="16">
        <f>DATE(YEAR(SUBSTITUTE(LEFT(Base_report!G1150,10),"-","/")),MONTH(SUBSTITUTE(LEFT(Base_report!G1150,10),"-","/")),DAY(SUBSTITUTE(LEFT(Base_report!G1150,10),"-","/")))</f>
        <v>45301</v>
      </c>
      <c r="I1155" s="17" t="str">
        <f t="shared" si="1"/>
        <v>OUI</v>
      </c>
      <c r="J1155" s="18">
        <f>IF(L1155="DS",DATE(RIGHT(B1155,4),VLOOKUP(LEFT(B1155,LEN(B1155)-5),Feuil1!$E$3:$F$19,2,FALSE)+1,10),DATE(RIGHT(B1155,4),VLOOKUP(LEFT(B1155,LEN(B1155)-5),Feuil1!$E$3:$F$19,2,FALSE)+1,7))</f>
        <v>45301</v>
      </c>
      <c r="K1155" s="19">
        <f t="shared" si="2"/>
        <v>1</v>
      </c>
      <c r="L1155" s="6" t="str">
        <f t="shared" si="3"/>
        <v>DS</v>
      </c>
    </row>
    <row r="1156" ht="14.25" customHeight="1">
      <c r="A1156" s="14" t="str">
        <f>Base_report!A1151</f>
        <v>MARAHOUE</v>
      </c>
      <c r="B1156" s="14" t="str">
        <f>Base_report!B1151</f>
        <v>DECEMBRE 2023</v>
      </c>
      <c r="C1156" s="15" t="str">
        <f>Base_report!C1151</f>
        <v>C2002</v>
      </c>
      <c r="D1156" s="14" t="str">
        <f>TRIM(IF(ISNUMBER(FIND("PNSME",Base_report!D1151,1)),SUBSTITUTE(Base_report!D1151,"PNSME",""),IF(ISNUMBER(FIND("PHG",Base_report!D1151,1)),SUBSTITUTE(Base_report!D1151,"PHG",""),IF(ISNUMBER(FIND("PCS",Base_report!D1151,1)),SUBSTITUTE(Base_report!D1151,"PCS",""),IF(ISNUMBER(FIND("CMU",Base_report!D1151,1)),SUBSTITUTE(Base_report!D1151,"CMU",""),Base_report!D1151)))))</f>
        <v>CHR BOUAFLE</v>
      </c>
      <c r="E1156" s="14" t="str">
        <f>SUBSTITUTE(Base_report!E1151,"-","/")</f>
        <v>PNLS/PRODUITS DE LABORATOIRE</v>
      </c>
      <c r="F1156" s="14" t="s">
        <v>788</v>
      </c>
      <c r="G1156" s="16">
        <f>DATE(YEAR(SUBSTITUTE(LEFT(Base_report!F1151,10),"-","/")),MONTH(SUBSTITUTE(LEFT(Base_report!F1151,10),"-","/")),DAY(SUBSTITUTE(LEFT(Base_report!F1151,10),"-","/")))</f>
        <v>45296</v>
      </c>
      <c r="H1156" s="16">
        <f>DATE(YEAR(SUBSTITUTE(LEFT(Base_report!G1151,10),"-","/")),MONTH(SUBSTITUTE(LEFT(Base_report!G1151,10),"-","/")),DAY(SUBSTITUTE(LEFT(Base_report!G1151,10),"-","/")))</f>
        <v>45297</v>
      </c>
      <c r="I1156" s="17" t="str">
        <f t="shared" si="1"/>
        <v>OUI</v>
      </c>
      <c r="J1156" s="18">
        <f>IF(L1156="DS",DATE(RIGHT(B1156,4),VLOOKUP(LEFT(B1156,LEN(B1156)-5),Feuil1!$E$3:$F$19,2,FALSE)+1,10),DATE(RIGHT(B1156,4),VLOOKUP(LEFT(B1156,LEN(B1156)-5),Feuil1!$E$3:$F$19,2,FALSE)+1,7))</f>
        <v>45298</v>
      </c>
      <c r="K1156" s="19">
        <f t="shared" si="2"/>
        <v>1</v>
      </c>
      <c r="L1156" s="6" t="str">
        <f t="shared" si="3"/>
        <v>FS</v>
      </c>
    </row>
    <row r="1157" ht="14.25" customHeight="1">
      <c r="A1157" s="14" t="str">
        <f>Base_report!A1152</f>
        <v>ABIDJAN 2</v>
      </c>
      <c r="B1157" s="14" t="str">
        <f>Base_report!B1152</f>
        <v>DECEMBRE 2023</v>
      </c>
      <c r="C1157" s="15" t="str">
        <f>Base_report!C1152</f>
        <v>C1107</v>
      </c>
      <c r="D1157" s="14" t="str">
        <f>TRIM(IF(ISNUMBER(FIND("PNSME",Base_report!D1152,1)),SUBSTITUTE(Base_report!D1152,"PNSME",""),IF(ISNUMBER(FIND("PHG",Base_report!D1152,1)),SUBSTITUTE(Base_report!D1152,"PHG",""),IF(ISNUMBER(FIND("PCS",Base_report!D1152,1)),SUBSTITUTE(Base_report!D1152,"PCS",""),IF(ISNUMBER(FIND("CMU",Base_report!D1152,1)),SUBSTITUTE(Base_report!D1152,"CMU",""),Base_report!D1152)))))</f>
        <v>INSTITUT PASTEUR COTE D'IVOIRE</v>
      </c>
      <c r="E1157" s="14" t="str">
        <f>SUBSTITUTE(Base_report!E1152,"-","/")</f>
        <v>PNLS/TESTS RAPIDES ET CONSOMMABLES</v>
      </c>
      <c r="F1157" s="14" t="s">
        <v>788</v>
      </c>
      <c r="G1157" s="16">
        <f>DATE(YEAR(SUBSTITUTE(LEFT(Base_report!F1152,10),"-","/")),MONTH(SUBSTITUTE(LEFT(Base_report!F1152,10),"-","/")),DAY(SUBSTITUTE(LEFT(Base_report!F1152,10),"-","/")))</f>
        <v>45296</v>
      </c>
      <c r="H1157" s="16">
        <f>DATE(YEAR(SUBSTITUTE(LEFT(Base_report!G1152,10),"-","/")),MONTH(SUBSTITUTE(LEFT(Base_report!G1152,10),"-","/")),DAY(SUBSTITUTE(LEFT(Base_report!G1152,10),"-","/")))</f>
        <v>45297</v>
      </c>
      <c r="I1157" s="17" t="str">
        <f t="shared" si="1"/>
        <v>OUI</v>
      </c>
      <c r="J1157" s="18">
        <f>IF(L1157="DS",DATE(RIGHT(B1157,4),VLOOKUP(LEFT(B1157,LEN(B1157)-5),Feuil1!$E$3:$F$19,2,FALSE)+1,10),DATE(RIGHT(B1157,4),VLOOKUP(LEFT(B1157,LEN(B1157)-5),Feuil1!$E$3:$F$19,2,FALSE)+1,7))</f>
        <v>45298</v>
      </c>
      <c r="K1157" s="19">
        <f t="shared" si="2"/>
        <v>1</v>
      </c>
      <c r="L1157" s="6" t="str">
        <f t="shared" si="3"/>
        <v>FS</v>
      </c>
    </row>
    <row r="1158" ht="14.25" customHeight="1">
      <c r="A1158" s="14" t="str">
        <f>Base_report!A1153</f>
        <v>NAWA</v>
      </c>
      <c r="B1158" s="14" t="str">
        <f>Base_report!B1153</f>
        <v>DECEMBRE 2023</v>
      </c>
      <c r="C1158" s="15" t="str">
        <f>Base_report!C1153</f>
        <v>C2230</v>
      </c>
      <c r="D1158" s="14" t="str">
        <f>TRIM(IF(ISNUMBER(FIND("PNSME",Base_report!D1153,1)),SUBSTITUTE(Base_report!D1153,"PNSME",""),IF(ISNUMBER(FIND("PHG",Base_report!D1153,1)),SUBSTITUTE(Base_report!D1153,"PHG",""),IF(ISNUMBER(FIND("PCS",Base_report!D1153,1)),SUBSTITUTE(Base_report!D1153,"PCS",""),IF(ISNUMBER(FIND("CMU",Base_report!D1153,1)),SUBSTITUTE(Base_report!D1153,"CMU",""),Base_report!D1153)))))</f>
        <v>HOPITAL GENERAL DE MEAGUI</v>
      </c>
      <c r="E1158" s="14" t="str">
        <f>SUBSTITUTE(Base_report!E1153,"-","/")</f>
        <v>PNLP/MEDICAMENTS ET INTRANTS</v>
      </c>
      <c r="F1158" s="14" t="s">
        <v>788</v>
      </c>
      <c r="G1158" s="16">
        <f>DATE(YEAR(SUBSTITUTE(LEFT(Base_report!F1153,10),"-","/")),MONTH(SUBSTITUTE(LEFT(Base_report!F1153,10),"-","/")),DAY(SUBSTITUTE(LEFT(Base_report!F1153,10),"-","/")))</f>
        <v>45297</v>
      </c>
      <c r="H1158" s="16">
        <f>DATE(YEAR(SUBSTITUTE(LEFT(Base_report!G1153,10),"-","/")),MONTH(SUBSTITUTE(LEFT(Base_report!G1153,10),"-","/")),DAY(SUBSTITUTE(LEFT(Base_report!G1153,10),"-","/")))</f>
        <v>45297</v>
      </c>
      <c r="I1158" s="17" t="str">
        <f t="shared" si="1"/>
        <v>OUI</v>
      </c>
      <c r="J1158" s="18">
        <f>IF(L1158="DS",DATE(RIGHT(B1158,4),VLOOKUP(LEFT(B1158,LEN(B1158)-5),Feuil1!$E$3:$F$19,2,FALSE)+1,10),DATE(RIGHT(B1158,4),VLOOKUP(LEFT(B1158,LEN(B1158)-5),Feuil1!$E$3:$F$19,2,FALSE)+1,7))</f>
        <v>45298</v>
      </c>
      <c r="K1158" s="19">
        <f t="shared" si="2"/>
        <v>1</v>
      </c>
      <c r="L1158" s="6" t="str">
        <f t="shared" si="3"/>
        <v>FS</v>
      </c>
    </row>
    <row r="1159" ht="14.25" customHeight="1">
      <c r="A1159" s="14" t="str">
        <f>Base_report!A1154</f>
        <v>NAWA</v>
      </c>
      <c r="B1159" s="14" t="str">
        <f>Base_report!B1154</f>
        <v>DECEMBRE 2023</v>
      </c>
      <c r="C1159" s="15" t="str">
        <f>Base_report!C1154</f>
        <v>C2230</v>
      </c>
      <c r="D1159" s="14" t="str">
        <f>TRIM(IF(ISNUMBER(FIND("PNSME",Base_report!D1154,1)),SUBSTITUTE(Base_report!D1154,"PNSME",""),IF(ISNUMBER(FIND("PHG",Base_report!D1154,1)),SUBSTITUTE(Base_report!D1154,"PHG",""),IF(ISNUMBER(FIND("PCS",Base_report!D1154,1)),SUBSTITUTE(Base_report!D1154,"PCS",""),IF(ISNUMBER(FIND("CMU",Base_report!D1154,1)),SUBSTITUTE(Base_report!D1154,"CMU",""),Base_report!D1154)))))</f>
        <v>HOPITAL GENERAL DE MEAGUI</v>
      </c>
      <c r="E1159" s="14" t="str">
        <f>SUBSTITUTE(Base_report!E1154,"-","/")</f>
        <v>PNN/MEDICAMENTS ET INTRANTS</v>
      </c>
      <c r="F1159" s="14" t="s">
        <v>788</v>
      </c>
      <c r="G1159" s="16">
        <f>DATE(YEAR(SUBSTITUTE(LEFT(Base_report!F1154,10),"-","/")),MONTH(SUBSTITUTE(LEFT(Base_report!F1154,10),"-","/")),DAY(SUBSTITUTE(LEFT(Base_report!F1154,10),"-","/")))</f>
        <v>45297</v>
      </c>
      <c r="H1159" s="16">
        <f>DATE(YEAR(SUBSTITUTE(LEFT(Base_report!G1154,10),"-","/")),MONTH(SUBSTITUTE(LEFT(Base_report!G1154,10),"-","/")),DAY(SUBSTITUTE(LEFT(Base_report!G1154,10),"-","/")))</f>
        <v>45297</v>
      </c>
      <c r="I1159" s="17" t="str">
        <f t="shared" si="1"/>
        <v>OUI</v>
      </c>
      <c r="J1159" s="18">
        <f>IF(L1159="DS",DATE(RIGHT(B1159,4),VLOOKUP(LEFT(B1159,LEN(B1159)-5),Feuil1!$E$3:$F$19,2,FALSE)+1,10),DATE(RIGHT(B1159,4),VLOOKUP(LEFT(B1159,LEN(B1159)-5),Feuil1!$E$3:$F$19,2,FALSE)+1,7))</f>
        <v>45298</v>
      </c>
      <c r="K1159" s="19">
        <f t="shared" si="2"/>
        <v>1</v>
      </c>
      <c r="L1159" s="6" t="str">
        <f t="shared" si="3"/>
        <v>FS</v>
      </c>
    </row>
    <row r="1160" ht="14.25" customHeight="1">
      <c r="A1160" s="14" t="str">
        <f>Base_report!A1155</f>
        <v>IFFOU</v>
      </c>
      <c r="B1160" s="14" t="str">
        <f>Base_report!B1155</f>
        <v>DECEMBRE 2023</v>
      </c>
      <c r="C1160" s="15" t="str">
        <f>Base_report!C1155</f>
        <v>C4019</v>
      </c>
      <c r="D1160" s="14" t="str">
        <f>TRIM(IF(ISNUMBER(FIND("PNSME",Base_report!D1155,1)),SUBSTITUTE(Base_report!D1155,"PNSME",""),IF(ISNUMBER(FIND("PHG",Base_report!D1155,1)),SUBSTITUTE(Base_report!D1155,"PHG",""),IF(ISNUMBER(FIND("PCS",Base_report!D1155,1)),SUBSTITUTE(Base_report!D1155,"PCS",""),IF(ISNUMBER(FIND("CMU",Base_report!D1155,1)),SUBSTITUTE(Base_report!D1155,"CMU",""),Base_report!D1155)))))</f>
        <v>HOPITAL GENERAL DAOUKRO</v>
      </c>
      <c r="E1160" s="14" t="str">
        <f>SUBSTITUTE(Base_report!E1155,"-","/")</f>
        <v>PNLS/ANTIRETROVIRAUX ET IO</v>
      </c>
      <c r="F1160" s="14" t="s">
        <v>788</v>
      </c>
      <c r="G1160" s="16">
        <f>DATE(YEAR(SUBSTITUTE(LEFT(Base_report!F1155,10),"-","/")),MONTH(SUBSTITUTE(LEFT(Base_report!F1155,10),"-","/")),DAY(SUBSTITUTE(LEFT(Base_report!F1155,10),"-","/")))</f>
        <v>45298</v>
      </c>
      <c r="H1160" s="16">
        <f>DATE(YEAR(SUBSTITUTE(LEFT(Base_report!G1155,10),"-","/")),MONTH(SUBSTITUTE(LEFT(Base_report!G1155,10),"-","/")),DAY(SUBSTITUTE(LEFT(Base_report!G1155,10),"-","/")))</f>
        <v>45298</v>
      </c>
      <c r="I1160" s="17" t="str">
        <f t="shared" si="1"/>
        <v>OUI</v>
      </c>
      <c r="J1160" s="18">
        <f>IF(L1160="DS",DATE(RIGHT(B1160,4),VLOOKUP(LEFT(B1160,LEN(B1160)-5),Feuil1!$E$3:$F$19,2,FALSE)+1,10),DATE(RIGHT(B1160,4),VLOOKUP(LEFT(B1160,LEN(B1160)-5),Feuil1!$E$3:$F$19,2,FALSE)+1,7))</f>
        <v>45298</v>
      </c>
      <c r="K1160" s="19">
        <f t="shared" si="2"/>
        <v>1</v>
      </c>
      <c r="L1160" s="6" t="str">
        <f t="shared" si="3"/>
        <v>FS</v>
      </c>
    </row>
    <row r="1161" ht="14.25" customHeight="1">
      <c r="A1161" s="14" t="str">
        <f>Base_report!A1156</f>
        <v>MARAHOUE</v>
      </c>
      <c r="B1161" s="14" t="str">
        <f>Base_report!B1156</f>
        <v>DECEMBRE 2023</v>
      </c>
      <c r="C1161" s="15" t="str">
        <f>Base_report!C1156</f>
        <v>C2002</v>
      </c>
      <c r="D1161" s="14" t="str">
        <f>TRIM(IF(ISNUMBER(FIND("PNSME",Base_report!D1156,1)),SUBSTITUTE(Base_report!D1156,"PNSME",""),IF(ISNUMBER(FIND("PHG",Base_report!D1156,1)),SUBSTITUTE(Base_report!D1156,"PHG",""),IF(ISNUMBER(FIND("PCS",Base_report!D1156,1)),SUBSTITUTE(Base_report!D1156,"PCS",""),IF(ISNUMBER(FIND("CMU",Base_report!D1156,1)),SUBSTITUTE(Base_report!D1156,"CMU",""),Base_report!D1156)))))</f>
        <v>CHR BOUAFLE</v>
      </c>
      <c r="E1161" s="14" t="str">
        <f>SUBSTITUTE(Base_report!E1156,"-","/")</f>
        <v>PNLS/CHARGES VIRALES</v>
      </c>
      <c r="F1161" s="14" t="s">
        <v>788</v>
      </c>
      <c r="G1161" s="16">
        <f>DATE(YEAR(SUBSTITUTE(LEFT(Base_report!F1156,10),"-","/")),MONTH(SUBSTITUTE(LEFT(Base_report!F1156,10),"-","/")),DAY(SUBSTITUTE(LEFT(Base_report!F1156,10),"-","/")))</f>
        <v>45297</v>
      </c>
      <c r="H1161" s="16">
        <f>DATE(YEAR(SUBSTITUTE(LEFT(Base_report!G1156,10),"-","/")),MONTH(SUBSTITUTE(LEFT(Base_report!G1156,10),"-","/")),DAY(SUBSTITUTE(LEFT(Base_report!G1156,10),"-","/")))</f>
        <v>45297</v>
      </c>
      <c r="I1161" s="17" t="str">
        <f t="shared" si="1"/>
        <v>OUI</v>
      </c>
      <c r="J1161" s="18">
        <f>IF(L1161="DS",DATE(RIGHT(B1161,4),VLOOKUP(LEFT(B1161,LEN(B1161)-5),Feuil1!$E$3:$F$19,2,FALSE)+1,10),DATE(RIGHT(B1161,4),VLOOKUP(LEFT(B1161,LEN(B1161)-5),Feuil1!$E$3:$F$19,2,FALSE)+1,7))</f>
        <v>45298</v>
      </c>
      <c r="K1161" s="19">
        <f t="shared" si="2"/>
        <v>1</v>
      </c>
      <c r="L1161" s="6" t="str">
        <f t="shared" si="3"/>
        <v>FS</v>
      </c>
    </row>
    <row r="1162" ht="14.25" customHeight="1">
      <c r="A1162" s="14" t="str">
        <f>Base_report!A1157</f>
        <v>SUD-COMOE</v>
      </c>
      <c r="B1162" s="14" t="str">
        <f>Base_report!B1157</f>
        <v>DECEMBRE 2023</v>
      </c>
      <c r="C1162" s="15" t="str">
        <f>Base_report!C1157</f>
        <v>C1090</v>
      </c>
      <c r="D1162" s="14" t="str">
        <f>TRIM(IF(ISNUMBER(FIND("PNSME",Base_report!D1157,1)),SUBSTITUTE(Base_report!D1157,"PNSME",""),IF(ISNUMBER(FIND("PHG",Base_report!D1157,1)),SUBSTITUTE(Base_report!D1157,"PHG",""),IF(ISNUMBER(FIND("PCS",Base_report!D1157,1)),SUBSTITUTE(Base_report!D1157,"PCS",""),IF(ISNUMBER(FIND("CMU",Base_report!D1157,1)),SUBSTITUTE(Base_report!D1157,"CMU",""),Base_report!D1157)))))</f>
        <v>HOPITAL GENERAL GRAND-BASSAM</v>
      </c>
      <c r="E1162" s="14" t="str">
        <f>SUBSTITUTE(Base_report!E1157,"-","/")</f>
        <v>PNLS/CHARGES VIRALES</v>
      </c>
      <c r="F1162" s="14" t="s">
        <v>788</v>
      </c>
      <c r="G1162" s="16">
        <f>DATE(YEAR(SUBSTITUTE(LEFT(Base_report!F1157,10),"-","/")),MONTH(SUBSTITUTE(LEFT(Base_report!F1157,10),"-","/")),DAY(SUBSTITUTE(LEFT(Base_report!F1157,10),"-","/")))</f>
        <v>45296</v>
      </c>
      <c r="H1162" s="16">
        <f>DATE(YEAR(SUBSTITUTE(LEFT(Base_report!G1157,10),"-","/")),MONTH(SUBSTITUTE(LEFT(Base_report!G1157,10),"-","/")),DAY(SUBSTITUTE(LEFT(Base_report!G1157,10),"-","/")))</f>
        <v>45297</v>
      </c>
      <c r="I1162" s="17" t="str">
        <f t="shared" si="1"/>
        <v>OUI</v>
      </c>
      <c r="J1162" s="18">
        <f>IF(L1162="DS",DATE(RIGHT(B1162,4),VLOOKUP(LEFT(B1162,LEN(B1162)-5),Feuil1!$E$3:$F$19,2,FALSE)+1,10),DATE(RIGHT(B1162,4),VLOOKUP(LEFT(B1162,LEN(B1162)-5),Feuil1!$E$3:$F$19,2,FALSE)+1,7))</f>
        <v>45298</v>
      </c>
      <c r="K1162" s="19">
        <f t="shared" si="2"/>
        <v>1</v>
      </c>
      <c r="L1162" s="6" t="str">
        <f t="shared" si="3"/>
        <v>FS</v>
      </c>
    </row>
    <row r="1163" ht="14.25" customHeight="1">
      <c r="A1163" s="14" t="str">
        <f>Base_report!A1158</f>
        <v>SUD-COMOE</v>
      </c>
      <c r="B1163" s="14" t="str">
        <f>Base_report!B1158</f>
        <v>DECEMBRE 2023</v>
      </c>
      <c r="C1163" s="15" t="str">
        <f>Base_report!C1158</f>
        <v>C1090</v>
      </c>
      <c r="D1163" s="14" t="str">
        <f>TRIM(IF(ISNUMBER(FIND("PNSME",Base_report!D1158,1)),SUBSTITUTE(Base_report!D1158,"PNSME",""),IF(ISNUMBER(FIND("PHG",Base_report!D1158,1)),SUBSTITUTE(Base_report!D1158,"PHG",""),IF(ISNUMBER(FIND("PCS",Base_report!D1158,1)),SUBSTITUTE(Base_report!D1158,"PCS",""),IF(ISNUMBER(FIND("CMU",Base_report!D1158,1)),SUBSTITUTE(Base_report!D1158,"CMU",""),Base_report!D1158)))))</f>
        <v>HOPITAL GENERAL GRAND-BASSAM</v>
      </c>
      <c r="E1163" s="14" t="str">
        <f>SUBSTITUTE(Base_report!E1158,"-","/")</f>
        <v>PNLS/PRODUITS DE LABORATOIRE</v>
      </c>
      <c r="F1163" s="14" t="s">
        <v>788</v>
      </c>
      <c r="G1163" s="16">
        <f>DATE(YEAR(SUBSTITUTE(LEFT(Base_report!F1158,10),"-","/")),MONTH(SUBSTITUTE(LEFT(Base_report!F1158,10),"-","/")),DAY(SUBSTITUTE(LEFT(Base_report!F1158,10),"-","/")))</f>
        <v>45296</v>
      </c>
      <c r="H1163" s="16">
        <f>DATE(YEAR(SUBSTITUTE(LEFT(Base_report!G1158,10),"-","/")),MONTH(SUBSTITUTE(LEFT(Base_report!G1158,10),"-","/")),DAY(SUBSTITUTE(LEFT(Base_report!G1158,10),"-","/")))</f>
        <v>45297</v>
      </c>
      <c r="I1163" s="17" t="str">
        <f t="shared" si="1"/>
        <v>OUI</v>
      </c>
      <c r="J1163" s="18">
        <f>IF(L1163="DS",DATE(RIGHT(B1163,4),VLOOKUP(LEFT(B1163,LEN(B1163)-5),Feuil1!$E$3:$F$19,2,FALSE)+1,10),DATE(RIGHT(B1163,4),VLOOKUP(LEFT(B1163,LEN(B1163)-5),Feuil1!$E$3:$F$19,2,FALSE)+1,7))</f>
        <v>45298</v>
      </c>
      <c r="K1163" s="19">
        <f t="shared" si="2"/>
        <v>1</v>
      </c>
      <c r="L1163" s="6" t="str">
        <f t="shared" si="3"/>
        <v>FS</v>
      </c>
    </row>
    <row r="1164" ht="14.25" customHeight="1">
      <c r="A1164" s="14" t="str">
        <f>Base_report!A1159</f>
        <v>SUD-COMOE</v>
      </c>
      <c r="B1164" s="14" t="str">
        <f>Base_report!B1159</f>
        <v>DECEMBRE 2023</v>
      </c>
      <c r="C1164" s="15" t="str">
        <f>Base_report!C1159</f>
        <v>C1090</v>
      </c>
      <c r="D1164" s="14" t="str">
        <f>TRIM(IF(ISNUMBER(FIND("PNSME",Base_report!D1159,1)),SUBSTITUTE(Base_report!D1159,"PNSME",""),IF(ISNUMBER(FIND("PHG",Base_report!D1159,1)),SUBSTITUTE(Base_report!D1159,"PHG",""),IF(ISNUMBER(FIND("PCS",Base_report!D1159,1)),SUBSTITUTE(Base_report!D1159,"PCS",""),IF(ISNUMBER(FIND("CMU",Base_report!D1159,1)),SUBSTITUTE(Base_report!D1159,"CMU",""),Base_report!D1159)))))</f>
        <v>HOPITAL GENERAL GRAND-BASSAM</v>
      </c>
      <c r="E1164" s="14" t="str">
        <f>SUBSTITUTE(Base_report!E1159,"-","/")</f>
        <v>PNLS/TESTS RAPIDES ET CONSOMMABLES</v>
      </c>
      <c r="F1164" s="14" t="s">
        <v>788</v>
      </c>
      <c r="G1164" s="16">
        <f>DATE(YEAR(SUBSTITUTE(LEFT(Base_report!F1159,10),"-","/")),MONTH(SUBSTITUTE(LEFT(Base_report!F1159,10),"-","/")),DAY(SUBSTITUTE(LEFT(Base_report!F1159,10),"-","/")))</f>
        <v>45297</v>
      </c>
      <c r="H1164" s="16">
        <f>DATE(YEAR(SUBSTITUTE(LEFT(Base_report!G1159,10),"-","/")),MONTH(SUBSTITUTE(LEFT(Base_report!G1159,10),"-","/")),DAY(SUBSTITUTE(LEFT(Base_report!G1159,10),"-","/")))</f>
        <v>45297</v>
      </c>
      <c r="I1164" s="17" t="str">
        <f t="shared" si="1"/>
        <v>OUI</v>
      </c>
      <c r="J1164" s="18">
        <f>IF(L1164="DS",DATE(RIGHT(B1164,4),VLOOKUP(LEFT(B1164,LEN(B1164)-5),Feuil1!$E$3:$F$19,2,FALSE)+1,10),DATE(RIGHT(B1164,4),VLOOKUP(LEFT(B1164,LEN(B1164)-5),Feuil1!$E$3:$F$19,2,FALSE)+1,7))</f>
        <v>45298</v>
      </c>
      <c r="K1164" s="19">
        <f t="shared" si="2"/>
        <v>1</v>
      </c>
      <c r="L1164" s="6" t="str">
        <f t="shared" si="3"/>
        <v>FS</v>
      </c>
    </row>
    <row r="1165" ht="14.25" customHeight="1">
      <c r="A1165" s="14" t="str">
        <f>Base_report!A1160</f>
        <v>MORONOU</v>
      </c>
      <c r="B1165" s="14" t="str">
        <f>Base_report!B1160</f>
        <v>DECEMBRE 2023</v>
      </c>
      <c r="C1165" s="15" t="str">
        <f>Base_report!C1160</f>
        <v>C4017</v>
      </c>
      <c r="D1165" s="14" t="str">
        <f>TRIM(IF(ISNUMBER(FIND("PNSME",Base_report!D1160,1)),SUBSTITUTE(Base_report!D1160,"PNSME",""),IF(ISNUMBER(FIND("PHG",Base_report!D1160,1)),SUBSTITUTE(Base_report!D1160,"PHG",""),IF(ISNUMBER(FIND("PCS",Base_report!D1160,1)),SUBSTITUTE(Base_report!D1160,"PCS",""),IF(ISNUMBER(FIND("CMU",Base_report!D1160,1)),SUBSTITUTE(Base_report!D1160,"CMU",""),Base_report!D1160)))))</f>
        <v>HOPITAL GENERAL BONGOUANOU</v>
      </c>
      <c r="E1165" s="14" t="str">
        <f>SUBSTITUTE(Base_report!E1160,"-","/")</f>
        <v>PNSME/MEDICAMENTS ET INTRANTS</v>
      </c>
      <c r="F1165" s="14" t="s">
        <v>788</v>
      </c>
      <c r="G1165" s="16">
        <f>DATE(YEAR(SUBSTITUTE(LEFT(Base_report!F1160,10),"-","/")),MONTH(SUBSTITUTE(LEFT(Base_report!F1160,10),"-","/")),DAY(SUBSTITUTE(LEFT(Base_report!F1160,10),"-","/")))</f>
        <v>45297</v>
      </c>
      <c r="H1165" s="16">
        <f>DATE(YEAR(SUBSTITUTE(LEFT(Base_report!G1160,10),"-","/")),MONTH(SUBSTITUTE(LEFT(Base_report!G1160,10),"-","/")),DAY(SUBSTITUTE(LEFT(Base_report!G1160,10),"-","/")))</f>
        <v>45298</v>
      </c>
      <c r="I1165" s="17" t="str">
        <f t="shared" si="1"/>
        <v>OUI</v>
      </c>
      <c r="J1165" s="18">
        <f>IF(L1165="DS",DATE(RIGHT(B1165,4),VLOOKUP(LEFT(B1165,LEN(B1165)-5),Feuil1!$E$3:$F$19,2,FALSE)+1,10),DATE(RIGHT(B1165,4),VLOOKUP(LEFT(B1165,LEN(B1165)-5),Feuil1!$E$3:$F$19,2,FALSE)+1,7))</f>
        <v>45298</v>
      </c>
      <c r="K1165" s="19">
        <f t="shared" si="2"/>
        <v>1</v>
      </c>
      <c r="L1165" s="6" t="str">
        <f t="shared" si="3"/>
        <v>FS</v>
      </c>
    </row>
    <row r="1166" ht="14.25" customHeight="1">
      <c r="A1166" s="14" t="str">
        <f>Base_report!A1161</f>
        <v>MORONOU</v>
      </c>
      <c r="B1166" s="14" t="str">
        <f>Base_report!B1161</f>
        <v>DECEMBRE 2023</v>
      </c>
      <c r="C1166" s="15" t="str">
        <f>Base_report!C1161</f>
        <v>C4017</v>
      </c>
      <c r="D1166" s="14" t="str">
        <f>TRIM(IF(ISNUMBER(FIND("PNSME",Base_report!D1161,1)),SUBSTITUTE(Base_report!D1161,"PNSME",""),IF(ISNUMBER(FIND("PHG",Base_report!D1161,1)),SUBSTITUTE(Base_report!D1161,"PHG",""),IF(ISNUMBER(FIND("PCS",Base_report!D1161,1)),SUBSTITUTE(Base_report!D1161,"PCS",""),IF(ISNUMBER(FIND("CMU",Base_report!D1161,1)),SUBSTITUTE(Base_report!D1161,"CMU",""),Base_report!D1161)))))</f>
        <v>HOPITAL GENERAL BONGOUANOU</v>
      </c>
      <c r="E1166" s="14" t="str">
        <f>SUBSTITUTE(Base_report!E1161,"-","/")</f>
        <v>PNLS/PRODUITS DE LABORATOIRE</v>
      </c>
      <c r="F1166" s="14" t="s">
        <v>788</v>
      </c>
      <c r="G1166" s="16">
        <f>DATE(YEAR(SUBSTITUTE(LEFT(Base_report!F1161,10),"-","/")),MONTH(SUBSTITUTE(LEFT(Base_report!F1161,10),"-","/")),DAY(SUBSTITUTE(LEFT(Base_report!F1161,10),"-","/")))</f>
        <v>45297</v>
      </c>
      <c r="H1166" s="16">
        <f>DATE(YEAR(SUBSTITUTE(LEFT(Base_report!G1161,10),"-","/")),MONTH(SUBSTITUTE(LEFT(Base_report!G1161,10),"-","/")),DAY(SUBSTITUTE(LEFT(Base_report!G1161,10),"-","/")))</f>
        <v>45298</v>
      </c>
      <c r="I1166" s="17" t="str">
        <f t="shared" si="1"/>
        <v>OUI</v>
      </c>
      <c r="J1166" s="18">
        <f>IF(L1166="DS",DATE(RIGHT(B1166,4),VLOOKUP(LEFT(B1166,LEN(B1166)-5),Feuil1!$E$3:$F$19,2,FALSE)+1,10),DATE(RIGHT(B1166,4),VLOOKUP(LEFT(B1166,LEN(B1166)-5),Feuil1!$E$3:$F$19,2,FALSE)+1,7))</f>
        <v>45298</v>
      </c>
      <c r="K1166" s="19">
        <f t="shared" si="2"/>
        <v>1</v>
      </c>
      <c r="L1166" s="6" t="str">
        <f t="shared" si="3"/>
        <v>FS</v>
      </c>
    </row>
    <row r="1167" ht="14.25" customHeight="1">
      <c r="A1167" s="14" t="str">
        <f>Base_report!A1162</f>
        <v>HAMBOL</v>
      </c>
      <c r="B1167" s="14" t="str">
        <f>Base_report!B1162</f>
        <v>DECEMBRE 2023</v>
      </c>
      <c r="C1167" s="15" t="str">
        <f>Base_report!C1162</f>
        <v>C3019</v>
      </c>
      <c r="D1167" s="14" t="str">
        <f>TRIM(IF(ISNUMBER(FIND("PNSME",Base_report!D1162,1)),SUBSTITUTE(Base_report!D1162,"PNSME",""),IF(ISNUMBER(FIND("PHG",Base_report!D1162,1)),SUBSTITUTE(Base_report!D1162,"PHG",""),IF(ISNUMBER(FIND("PCS",Base_report!D1162,1)),SUBSTITUTE(Base_report!D1162,"PCS",""),IF(ISNUMBER(FIND("CMU",Base_report!D1162,1)),SUBSTITUTE(Base_report!D1162,"CMU",""),Base_report!D1162)))))</f>
        <v>HOPITAL GENERAL NIAKARA</v>
      </c>
      <c r="E1167" s="14" t="str">
        <f>SUBSTITUTE(Base_report!E1162,"-","/")</f>
        <v>PNN/MEDICAMENTS ET INTRANTS</v>
      </c>
      <c r="F1167" s="14" t="s">
        <v>788</v>
      </c>
      <c r="G1167" s="16">
        <f>DATE(YEAR(SUBSTITUTE(LEFT(Base_report!F1162,10),"-","/")),MONTH(SUBSTITUTE(LEFT(Base_report!F1162,10),"-","/")),DAY(SUBSTITUTE(LEFT(Base_report!F1162,10),"-","/")))</f>
        <v>45297</v>
      </c>
      <c r="H1167" s="16">
        <f>DATE(YEAR(SUBSTITUTE(LEFT(Base_report!G1162,10),"-","/")),MONTH(SUBSTITUTE(LEFT(Base_report!G1162,10),"-","/")),DAY(SUBSTITUTE(LEFT(Base_report!G1162,10),"-","/")))</f>
        <v>45297</v>
      </c>
      <c r="I1167" s="17" t="str">
        <f t="shared" si="1"/>
        <v>OUI</v>
      </c>
      <c r="J1167" s="18">
        <f>IF(L1167="DS",DATE(RIGHT(B1167,4),VLOOKUP(LEFT(B1167,LEN(B1167)-5),Feuil1!$E$3:$F$19,2,FALSE)+1,10),DATE(RIGHT(B1167,4),VLOOKUP(LEFT(B1167,LEN(B1167)-5),Feuil1!$E$3:$F$19,2,FALSE)+1,7))</f>
        <v>45298</v>
      </c>
      <c r="K1167" s="19">
        <f t="shared" si="2"/>
        <v>1</v>
      </c>
      <c r="L1167" s="6" t="str">
        <f t="shared" si="3"/>
        <v>FS</v>
      </c>
    </row>
    <row r="1168" ht="14.25" customHeight="1">
      <c r="A1168" s="14" t="str">
        <f>Base_report!A1163</f>
        <v>MORONOU</v>
      </c>
      <c r="B1168" s="14" t="str">
        <f>Base_report!B1163</f>
        <v>DECEMBRE 2023</v>
      </c>
      <c r="C1168" s="15" t="str">
        <f>Base_report!C1163</f>
        <v>C4017</v>
      </c>
      <c r="D1168" s="14" t="str">
        <f>TRIM(IF(ISNUMBER(FIND("PNSME",Base_report!D1163,1)),SUBSTITUTE(Base_report!D1163,"PNSME",""),IF(ISNUMBER(FIND("PHG",Base_report!D1163,1)),SUBSTITUTE(Base_report!D1163,"PHG",""),IF(ISNUMBER(FIND("PCS",Base_report!D1163,1)),SUBSTITUTE(Base_report!D1163,"PCS",""),IF(ISNUMBER(FIND("CMU",Base_report!D1163,1)),SUBSTITUTE(Base_report!D1163,"CMU",""),Base_report!D1163)))))</f>
        <v>HOPITAL GENERAL BONGOUANOU</v>
      </c>
      <c r="E1168" s="14" t="str">
        <f>SUBSTITUTE(Base_report!E1163,"-","/")</f>
        <v>PNLS/ANTIRETROVIRAUX ET IO</v>
      </c>
      <c r="F1168" s="14" t="s">
        <v>788</v>
      </c>
      <c r="G1168" s="16">
        <f>DATE(YEAR(SUBSTITUTE(LEFT(Base_report!F1163,10),"-","/")),MONTH(SUBSTITUTE(LEFT(Base_report!F1163,10),"-","/")),DAY(SUBSTITUTE(LEFT(Base_report!F1163,10),"-","/")))</f>
        <v>45297</v>
      </c>
      <c r="H1168" s="16">
        <f>DATE(YEAR(SUBSTITUTE(LEFT(Base_report!G1163,10),"-","/")),MONTH(SUBSTITUTE(LEFT(Base_report!G1163,10),"-","/")),DAY(SUBSTITUTE(LEFT(Base_report!G1163,10),"-","/")))</f>
        <v>45298</v>
      </c>
      <c r="I1168" s="17" t="str">
        <f t="shared" si="1"/>
        <v>OUI</v>
      </c>
      <c r="J1168" s="18">
        <f>IF(L1168="DS",DATE(RIGHT(B1168,4),VLOOKUP(LEFT(B1168,LEN(B1168)-5),Feuil1!$E$3:$F$19,2,FALSE)+1,10),DATE(RIGHT(B1168,4),VLOOKUP(LEFT(B1168,LEN(B1168)-5),Feuil1!$E$3:$F$19,2,FALSE)+1,7))</f>
        <v>45298</v>
      </c>
      <c r="K1168" s="19">
        <f t="shared" si="2"/>
        <v>1</v>
      </c>
      <c r="L1168" s="6" t="str">
        <f t="shared" si="3"/>
        <v>FS</v>
      </c>
    </row>
    <row r="1169" ht="14.25" customHeight="1">
      <c r="A1169" s="14" t="str">
        <f>Base_report!A1164</f>
        <v>HAMBOL</v>
      </c>
      <c r="B1169" s="14" t="str">
        <f>Base_report!B1164</f>
        <v>DECEMBRE 2023</v>
      </c>
      <c r="C1169" s="15" t="str">
        <f>Base_report!C1164</f>
        <v>C3019</v>
      </c>
      <c r="D1169" s="14" t="str">
        <f>TRIM(IF(ISNUMBER(FIND("PNSME",Base_report!D1164,1)),SUBSTITUTE(Base_report!D1164,"PNSME",""),IF(ISNUMBER(FIND("PHG",Base_report!D1164,1)),SUBSTITUTE(Base_report!D1164,"PHG",""),IF(ISNUMBER(FIND("PCS",Base_report!D1164,1)),SUBSTITUTE(Base_report!D1164,"PCS",""),IF(ISNUMBER(FIND("CMU",Base_report!D1164,1)),SUBSTITUTE(Base_report!D1164,"CMU",""),Base_report!D1164)))))</f>
        <v>HOPITAL GENERAL NIAKARA</v>
      </c>
      <c r="E1169" s="14" t="str">
        <f>SUBSTITUTE(Base_report!E1164,"-","/")</f>
        <v>PNLP/MEDICAMENTS ET INTRANTS</v>
      </c>
      <c r="F1169" s="14" t="s">
        <v>788</v>
      </c>
      <c r="G1169" s="16">
        <f>DATE(YEAR(SUBSTITUTE(LEFT(Base_report!F1164,10),"-","/")),MONTH(SUBSTITUTE(LEFT(Base_report!F1164,10),"-","/")),DAY(SUBSTITUTE(LEFT(Base_report!F1164,10),"-","/")))</f>
        <v>45297</v>
      </c>
      <c r="H1169" s="16">
        <f>DATE(YEAR(SUBSTITUTE(LEFT(Base_report!G1164,10),"-","/")),MONTH(SUBSTITUTE(LEFT(Base_report!G1164,10),"-","/")),DAY(SUBSTITUTE(LEFT(Base_report!G1164,10),"-","/")))</f>
        <v>45297</v>
      </c>
      <c r="I1169" s="17" t="str">
        <f t="shared" si="1"/>
        <v>OUI</v>
      </c>
      <c r="J1169" s="18">
        <f>IF(L1169="DS",DATE(RIGHT(B1169,4),VLOOKUP(LEFT(B1169,LEN(B1169)-5),Feuil1!$E$3:$F$19,2,FALSE)+1,10),DATE(RIGHT(B1169,4),VLOOKUP(LEFT(B1169,LEN(B1169)-5),Feuil1!$E$3:$F$19,2,FALSE)+1,7))</f>
        <v>45298</v>
      </c>
      <c r="K1169" s="19">
        <f t="shared" si="2"/>
        <v>1</v>
      </c>
      <c r="L1169" s="6" t="str">
        <f t="shared" si="3"/>
        <v>FS</v>
      </c>
    </row>
    <row r="1170" ht="14.25" customHeight="1">
      <c r="A1170" s="14" t="str">
        <f>Base_report!A1165</f>
        <v>MORONOU</v>
      </c>
      <c r="B1170" s="14" t="str">
        <f>Base_report!B1165</f>
        <v>DECEMBRE 2023</v>
      </c>
      <c r="C1170" s="15" t="str">
        <f>Base_report!C1165</f>
        <v>C4017</v>
      </c>
      <c r="D1170" s="14" t="str">
        <f>TRIM(IF(ISNUMBER(FIND("PNSME",Base_report!D1165,1)),SUBSTITUTE(Base_report!D1165,"PNSME",""),IF(ISNUMBER(FIND("PHG",Base_report!D1165,1)),SUBSTITUTE(Base_report!D1165,"PHG",""),IF(ISNUMBER(FIND("PCS",Base_report!D1165,1)),SUBSTITUTE(Base_report!D1165,"PCS",""),IF(ISNUMBER(FIND("CMU",Base_report!D1165,1)),SUBSTITUTE(Base_report!D1165,"CMU",""),Base_report!D1165)))))</f>
        <v>HOPITAL GENERAL BONGOUANOU</v>
      </c>
      <c r="E1170" s="14" t="str">
        <f>SUBSTITUTE(Base_report!E1165,"-","/")</f>
        <v>PNLS/CHARGES VIRALES</v>
      </c>
      <c r="F1170" s="14" t="s">
        <v>788</v>
      </c>
      <c r="G1170" s="16">
        <f>DATE(YEAR(SUBSTITUTE(LEFT(Base_report!F1165,10),"-","/")),MONTH(SUBSTITUTE(LEFT(Base_report!F1165,10),"-","/")),DAY(SUBSTITUTE(LEFT(Base_report!F1165,10),"-","/")))</f>
        <v>45297</v>
      </c>
      <c r="H1170" s="16">
        <f>DATE(YEAR(SUBSTITUTE(LEFT(Base_report!G1165,10),"-","/")),MONTH(SUBSTITUTE(LEFT(Base_report!G1165,10),"-","/")),DAY(SUBSTITUTE(LEFT(Base_report!G1165,10),"-","/")))</f>
        <v>45298</v>
      </c>
      <c r="I1170" s="17" t="str">
        <f t="shared" si="1"/>
        <v>OUI</v>
      </c>
      <c r="J1170" s="18">
        <f>IF(L1170="DS",DATE(RIGHT(B1170,4),VLOOKUP(LEFT(B1170,LEN(B1170)-5),Feuil1!$E$3:$F$19,2,FALSE)+1,10),DATE(RIGHT(B1170,4),VLOOKUP(LEFT(B1170,LEN(B1170)-5),Feuil1!$E$3:$F$19,2,FALSE)+1,7))</f>
        <v>45298</v>
      </c>
      <c r="K1170" s="19">
        <f t="shared" si="2"/>
        <v>1</v>
      </c>
      <c r="L1170" s="6" t="str">
        <f t="shared" si="3"/>
        <v>FS</v>
      </c>
    </row>
    <row r="1171" ht="14.25" customHeight="1">
      <c r="A1171" s="14" t="str">
        <f>Base_report!A1166</f>
        <v>HAMBOL</v>
      </c>
      <c r="B1171" s="14" t="str">
        <f>Base_report!B1166</f>
        <v>DECEMBRE 2023</v>
      </c>
      <c r="C1171" s="15" t="str">
        <f>Base_report!C1166</f>
        <v>C3019</v>
      </c>
      <c r="D1171" s="14" t="str">
        <f>TRIM(IF(ISNUMBER(FIND("PNSME",Base_report!D1166,1)),SUBSTITUTE(Base_report!D1166,"PNSME",""),IF(ISNUMBER(FIND("PHG",Base_report!D1166,1)),SUBSTITUTE(Base_report!D1166,"PHG",""),IF(ISNUMBER(FIND("PCS",Base_report!D1166,1)),SUBSTITUTE(Base_report!D1166,"PCS",""),IF(ISNUMBER(FIND("CMU",Base_report!D1166,1)),SUBSTITUTE(Base_report!D1166,"CMU",""),Base_report!D1166)))))</f>
        <v>HOPITAL GENERAL NIAKARA</v>
      </c>
      <c r="E1171" s="14" t="str">
        <f>SUBSTITUTE(Base_report!E1166,"-","/")</f>
        <v>PNLS/ANTIRETROVIRAUX ET IO</v>
      </c>
      <c r="F1171" s="14" t="s">
        <v>788</v>
      </c>
      <c r="G1171" s="16">
        <f>DATE(YEAR(SUBSTITUTE(LEFT(Base_report!F1166,10),"-","/")),MONTH(SUBSTITUTE(LEFT(Base_report!F1166,10),"-","/")),DAY(SUBSTITUTE(LEFT(Base_report!F1166,10),"-","/")))</f>
        <v>45297</v>
      </c>
      <c r="H1171" s="16">
        <f>DATE(YEAR(SUBSTITUTE(LEFT(Base_report!G1166,10),"-","/")),MONTH(SUBSTITUTE(LEFT(Base_report!G1166,10),"-","/")),DAY(SUBSTITUTE(LEFT(Base_report!G1166,10),"-","/")))</f>
        <v>45297</v>
      </c>
      <c r="I1171" s="17" t="str">
        <f t="shared" si="1"/>
        <v>OUI</v>
      </c>
      <c r="J1171" s="18">
        <f>IF(L1171="DS",DATE(RIGHT(B1171,4),VLOOKUP(LEFT(B1171,LEN(B1171)-5),Feuil1!$E$3:$F$19,2,FALSE)+1,10),DATE(RIGHT(B1171,4),VLOOKUP(LEFT(B1171,LEN(B1171)-5),Feuil1!$E$3:$F$19,2,FALSE)+1,7))</f>
        <v>45298</v>
      </c>
      <c r="K1171" s="19">
        <f t="shared" si="2"/>
        <v>1</v>
      </c>
      <c r="L1171" s="6" t="str">
        <f t="shared" si="3"/>
        <v>FS</v>
      </c>
    </row>
    <row r="1172" ht="14.25" customHeight="1">
      <c r="A1172" s="14" t="str">
        <f>Base_report!A1167</f>
        <v>SUD-COMOE</v>
      </c>
      <c r="B1172" s="14" t="str">
        <f>Base_report!B1167</f>
        <v>DECEMBRE 2023</v>
      </c>
      <c r="C1172" s="15" t="str">
        <f>Base_report!C1167</f>
        <v>C1082</v>
      </c>
      <c r="D1172" s="14" t="str">
        <f>TRIM(IF(ISNUMBER(FIND("PNSME",Base_report!D1167,1)),SUBSTITUTE(Base_report!D1167,"PNSME",""),IF(ISNUMBER(FIND("PHG",Base_report!D1167,1)),SUBSTITUTE(Base_report!D1167,"PHG",""),IF(ISNUMBER(FIND("PCS",Base_report!D1167,1)),SUBSTITUTE(Base_report!D1167,"PCS",""),IF(ISNUMBER(FIND("CMU",Base_report!D1167,1)),SUBSTITUTE(Base_report!D1167,"CMU",""),Base_report!D1167)))))</f>
        <v>HOPITAL GENERAL ADIAKE</v>
      </c>
      <c r="E1172" s="14" t="str">
        <f>SUBSTITUTE(Base_report!E1167,"-","/")</f>
        <v>PNLS/TESTS RAPIDES ET CONSOMMABLES</v>
      </c>
      <c r="F1172" s="14" t="s">
        <v>788</v>
      </c>
      <c r="G1172" s="16">
        <f>DATE(YEAR(SUBSTITUTE(LEFT(Base_report!F1167,10),"-","/")),MONTH(SUBSTITUTE(LEFT(Base_report!F1167,10),"-","/")),DAY(SUBSTITUTE(LEFT(Base_report!F1167,10),"-","/")))</f>
        <v>45297</v>
      </c>
      <c r="H1172" s="16">
        <f>DATE(YEAR(SUBSTITUTE(LEFT(Base_report!G1167,10),"-","/")),MONTH(SUBSTITUTE(LEFT(Base_report!G1167,10),"-","/")),DAY(SUBSTITUTE(LEFT(Base_report!G1167,10),"-","/")))</f>
        <v>45297</v>
      </c>
      <c r="I1172" s="17" t="str">
        <f t="shared" si="1"/>
        <v>OUI</v>
      </c>
      <c r="J1172" s="18">
        <f>IF(L1172="DS",DATE(RIGHT(B1172,4),VLOOKUP(LEFT(B1172,LEN(B1172)-5),Feuil1!$E$3:$F$19,2,FALSE)+1,10),DATE(RIGHT(B1172,4),VLOOKUP(LEFT(B1172,LEN(B1172)-5),Feuil1!$E$3:$F$19,2,FALSE)+1,7))</f>
        <v>45298</v>
      </c>
      <c r="K1172" s="19">
        <f t="shared" si="2"/>
        <v>1</v>
      </c>
      <c r="L1172" s="6" t="str">
        <f t="shared" si="3"/>
        <v>FS</v>
      </c>
    </row>
    <row r="1173" ht="14.25" customHeight="1">
      <c r="A1173" s="14" t="str">
        <f>Base_report!A1168</f>
        <v>GONTOUGO</v>
      </c>
      <c r="B1173" s="14" t="str">
        <f>Base_report!B1168</f>
        <v>DECEMBRE 2023</v>
      </c>
      <c r="C1173" s="15" t="str">
        <f>Base_report!C1168</f>
        <v>C4020</v>
      </c>
      <c r="D1173" s="14" t="str">
        <f>TRIM(IF(ISNUMBER(FIND("PNSME",Base_report!D1168,1)),SUBSTITUTE(Base_report!D1168,"PNSME",""),IF(ISNUMBER(FIND("PHG",Base_report!D1168,1)),SUBSTITUTE(Base_report!D1168,"PHG",""),IF(ISNUMBER(FIND("PCS",Base_report!D1168,1)),SUBSTITUTE(Base_report!D1168,"PCS",""),IF(ISNUMBER(FIND("CMU",Base_report!D1168,1)),SUBSTITUTE(Base_report!D1168,"CMU",""),Base_report!D1168)))))</f>
        <v>HOPITAL GENERAL KOUASSI-DATEKRO</v>
      </c>
      <c r="E1173" s="14" t="str">
        <f>SUBSTITUTE(Base_report!E1168,"-","/")</f>
        <v>PNSME/MEDICAMENTS ET INTRANTS</v>
      </c>
      <c r="F1173" s="14" t="s">
        <v>788</v>
      </c>
      <c r="G1173" s="16">
        <f>DATE(YEAR(SUBSTITUTE(LEFT(Base_report!F1168,10),"-","/")),MONTH(SUBSTITUTE(LEFT(Base_report!F1168,10),"-","/")),DAY(SUBSTITUTE(LEFT(Base_report!F1168,10),"-","/")))</f>
        <v>45297</v>
      </c>
      <c r="H1173" s="16">
        <f>DATE(YEAR(SUBSTITUTE(LEFT(Base_report!G1168,10),"-","/")),MONTH(SUBSTITUTE(LEFT(Base_report!G1168,10),"-","/")),DAY(SUBSTITUTE(LEFT(Base_report!G1168,10),"-","/")))</f>
        <v>45297</v>
      </c>
      <c r="I1173" s="17" t="str">
        <f t="shared" si="1"/>
        <v>OUI</v>
      </c>
      <c r="J1173" s="18">
        <f>IF(L1173="DS",DATE(RIGHT(B1173,4),VLOOKUP(LEFT(B1173,LEN(B1173)-5),Feuil1!$E$3:$F$19,2,FALSE)+1,10),DATE(RIGHT(B1173,4),VLOOKUP(LEFT(B1173,LEN(B1173)-5),Feuil1!$E$3:$F$19,2,FALSE)+1,7))</f>
        <v>45298</v>
      </c>
      <c r="K1173" s="19">
        <f t="shared" si="2"/>
        <v>1</v>
      </c>
      <c r="L1173" s="6" t="str">
        <f t="shared" si="3"/>
        <v>FS</v>
      </c>
    </row>
    <row r="1174" ht="14.25" customHeight="1">
      <c r="A1174" s="14" t="str">
        <f>Base_report!A1169</f>
        <v>SUD-COMOE</v>
      </c>
      <c r="B1174" s="14" t="str">
        <f>Base_report!B1169</f>
        <v>DECEMBRE 2023</v>
      </c>
      <c r="C1174" s="15" t="str">
        <f>Base_report!C1169</f>
        <v>C1087</v>
      </c>
      <c r="D1174" s="14" t="str">
        <f>TRIM(IF(ISNUMBER(FIND("PNSME",Base_report!D1169,1)),SUBSTITUTE(Base_report!D1169,"PNSME",""),IF(ISNUMBER(FIND("PHG",Base_report!D1169,1)),SUBSTITUTE(Base_report!D1169,"PHG",""),IF(ISNUMBER(FIND("PCS",Base_report!D1169,1)),SUBSTITUTE(Base_report!D1169,"PCS",""),IF(ISNUMBER(FIND("CMU",Base_report!D1169,1)),SUBSTITUTE(Base_report!D1169,"CMU",""),Base_report!D1169)))))</f>
        <v>HOPITAL GENERAL BONOUA</v>
      </c>
      <c r="E1174" s="14" t="str">
        <f>SUBSTITUTE(Base_report!E1169,"-","/")</f>
        <v>PNLS/ANTIRETROVIRAUX ET IO</v>
      </c>
      <c r="F1174" s="14" t="s">
        <v>788</v>
      </c>
      <c r="G1174" s="16">
        <f>DATE(YEAR(SUBSTITUTE(LEFT(Base_report!F1169,10),"-","/")),MONTH(SUBSTITUTE(LEFT(Base_report!F1169,10),"-","/")),DAY(SUBSTITUTE(LEFT(Base_report!F1169,10),"-","/")))</f>
        <v>45298</v>
      </c>
      <c r="H1174" s="16">
        <f>DATE(YEAR(SUBSTITUTE(LEFT(Base_report!G1169,10),"-","/")),MONTH(SUBSTITUTE(LEFT(Base_report!G1169,10),"-","/")),DAY(SUBSTITUTE(LEFT(Base_report!G1169,10),"-","/")))</f>
        <v>45298</v>
      </c>
      <c r="I1174" s="17" t="str">
        <f t="shared" si="1"/>
        <v>OUI</v>
      </c>
      <c r="J1174" s="18">
        <f>IF(L1174="DS",DATE(RIGHT(B1174,4),VLOOKUP(LEFT(B1174,LEN(B1174)-5),Feuil1!$E$3:$F$19,2,FALSE)+1,10),DATE(RIGHT(B1174,4),VLOOKUP(LEFT(B1174,LEN(B1174)-5),Feuil1!$E$3:$F$19,2,FALSE)+1,7))</f>
        <v>45298</v>
      </c>
      <c r="K1174" s="19">
        <f t="shared" si="2"/>
        <v>1</v>
      </c>
      <c r="L1174" s="6" t="str">
        <f t="shared" si="3"/>
        <v>FS</v>
      </c>
    </row>
    <row r="1175" ht="14.25" customHeight="1">
      <c r="A1175" s="14" t="str">
        <f>Base_report!A1170</f>
        <v>SUD-COMOE</v>
      </c>
      <c r="B1175" s="14" t="str">
        <f>Base_report!B1170</f>
        <v>DECEMBRE 2023</v>
      </c>
      <c r="C1175" s="15" t="str">
        <f>Base_report!C1170</f>
        <v>C1087</v>
      </c>
      <c r="D1175" s="14" t="str">
        <f>TRIM(IF(ISNUMBER(FIND("PNSME",Base_report!D1170,1)),SUBSTITUTE(Base_report!D1170,"PNSME",""),IF(ISNUMBER(FIND("PHG",Base_report!D1170,1)),SUBSTITUTE(Base_report!D1170,"PHG",""),IF(ISNUMBER(FIND("PCS",Base_report!D1170,1)),SUBSTITUTE(Base_report!D1170,"PCS",""),IF(ISNUMBER(FIND("CMU",Base_report!D1170,1)),SUBSTITUTE(Base_report!D1170,"CMU",""),Base_report!D1170)))))</f>
        <v>HOPITAL GENERAL BONOUA</v>
      </c>
      <c r="E1175" s="14" t="str">
        <f>SUBSTITUTE(Base_report!E1170,"-","/")</f>
        <v>PNN/MEDICAMENTS ET INTRANTS</v>
      </c>
      <c r="F1175" s="14" t="s">
        <v>788</v>
      </c>
      <c r="G1175" s="16">
        <f>DATE(YEAR(SUBSTITUTE(LEFT(Base_report!F1170,10),"-","/")),MONTH(SUBSTITUTE(LEFT(Base_report!F1170,10),"-","/")),DAY(SUBSTITUTE(LEFT(Base_report!F1170,10),"-","/")))</f>
        <v>45297</v>
      </c>
      <c r="H1175" s="16">
        <f>DATE(YEAR(SUBSTITUTE(LEFT(Base_report!G1170,10),"-","/")),MONTH(SUBSTITUTE(LEFT(Base_report!G1170,10),"-","/")),DAY(SUBSTITUTE(LEFT(Base_report!G1170,10),"-","/")))</f>
        <v>45298</v>
      </c>
      <c r="I1175" s="17" t="str">
        <f t="shared" si="1"/>
        <v>OUI</v>
      </c>
      <c r="J1175" s="18">
        <f>IF(L1175="DS",DATE(RIGHT(B1175,4),VLOOKUP(LEFT(B1175,LEN(B1175)-5),Feuil1!$E$3:$F$19,2,FALSE)+1,10),DATE(RIGHT(B1175,4),VLOOKUP(LEFT(B1175,LEN(B1175)-5),Feuil1!$E$3:$F$19,2,FALSE)+1,7))</f>
        <v>45298</v>
      </c>
      <c r="K1175" s="19">
        <f t="shared" si="2"/>
        <v>1</v>
      </c>
      <c r="L1175" s="6" t="str">
        <f t="shared" si="3"/>
        <v>FS</v>
      </c>
    </row>
    <row r="1176" ht="14.25" customHeight="1">
      <c r="A1176" s="14" t="str">
        <f>Base_report!A1171</f>
        <v>GBOKLE</v>
      </c>
      <c r="B1176" s="14" t="str">
        <f>Base_report!B1171</f>
        <v>DECEMBRE 2023</v>
      </c>
      <c r="C1176" s="15" t="str">
        <f>Base_report!C1171</f>
        <v>C1089</v>
      </c>
      <c r="D1176" s="14" t="str">
        <f>TRIM(IF(ISNUMBER(FIND("PNSME",Base_report!D1171,1)),SUBSTITUTE(Base_report!D1171,"PNSME",""),IF(ISNUMBER(FIND("PHG",Base_report!D1171,1)),SUBSTITUTE(Base_report!D1171,"PHG",""),IF(ISNUMBER(FIND("PCS",Base_report!D1171,1)),SUBSTITUTE(Base_report!D1171,"PCS",""),IF(ISNUMBER(FIND("CMU",Base_report!D1171,1)),SUBSTITUTE(Base_report!D1171,"CMU",""),Base_report!D1171)))))</f>
        <v>HOPITAL GENERAL FRESCO</v>
      </c>
      <c r="E1176" s="14" t="str">
        <f>SUBSTITUTE(Base_report!E1171,"-","/")</f>
        <v>PNLS/PRODUITS DE LABORATOIRE</v>
      </c>
      <c r="F1176" s="14" t="s">
        <v>788</v>
      </c>
      <c r="G1176" s="16">
        <f>DATE(YEAR(SUBSTITUTE(LEFT(Base_report!F1171,10),"-","/")),MONTH(SUBSTITUTE(LEFT(Base_report!F1171,10),"-","/")),DAY(SUBSTITUTE(LEFT(Base_report!F1171,10),"-","/")))</f>
        <v>45297</v>
      </c>
      <c r="H1176" s="16">
        <f>DATE(YEAR(SUBSTITUTE(LEFT(Base_report!G1171,10),"-","/")),MONTH(SUBSTITUTE(LEFT(Base_report!G1171,10),"-","/")),DAY(SUBSTITUTE(LEFT(Base_report!G1171,10),"-","/")))</f>
        <v>45297</v>
      </c>
      <c r="I1176" s="17" t="str">
        <f t="shared" si="1"/>
        <v>OUI</v>
      </c>
      <c r="J1176" s="18">
        <f>IF(L1176="DS",DATE(RIGHT(B1176,4),VLOOKUP(LEFT(B1176,LEN(B1176)-5),Feuil1!$E$3:$F$19,2,FALSE)+1,10),DATE(RIGHT(B1176,4),VLOOKUP(LEFT(B1176,LEN(B1176)-5),Feuil1!$E$3:$F$19,2,FALSE)+1,7))</f>
        <v>45298</v>
      </c>
      <c r="K1176" s="19">
        <f t="shared" si="2"/>
        <v>1</v>
      </c>
      <c r="L1176" s="6" t="str">
        <f t="shared" si="3"/>
        <v>FS</v>
      </c>
    </row>
    <row r="1177" ht="14.25" customHeight="1">
      <c r="A1177" s="14" t="str">
        <f>Base_report!A1172</f>
        <v>SUD-COMOE</v>
      </c>
      <c r="B1177" s="14" t="str">
        <f>Base_report!B1172</f>
        <v>DECEMBRE 2023</v>
      </c>
      <c r="C1177" s="15" t="str">
        <f>Base_report!C1172</f>
        <v>C1087</v>
      </c>
      <c r="D1177" s="14" t="str">
        <f>TRIM(IF(ISNUMBER(FIND("PNSME",Base_report!D1172,1)),SUBSTITUTE(Base_report!D1172,"PNSME",""),IF(ISNUMBER(FIND("PHG",Base_report!D1172,1)),SUBSTITUTE(Base_report!D1172,"PHG",""),IF(ISNUMBER(FIND("PCS",Base_report!D1172,1)),SUBSTITUTE(Base_report!D1172,"PCS",""),IF(ISNUMBER(FIND("CMU",Base_report!D1172,1)),SUBSTITUTE(Base_report!D1172,"CMU",""),Base_report!D1172)))))</f>
        <v>HOPITAL GENERAL BONOUA</v>
      </c>
      <c r="E1177" s="14" t="str">
        <f>SUBSTITUTE(Base_report!E1172,"-","/")</f>
        <v>PNLS/TESTS RAPIDES ET CONSOMMABLES</v>
      </c>
      <c r="F1177" s="14" t="s">
        <v>788</v>
      </c>
      <c r="G1177" s="16">
        <f>DATE(YEAR(SUBSTITUTE(LEFT(Base_report!F1172,10),"-","/")),MONTH(SUBSTITUTE(LEFT(Base_report!F1172,10),"-","/")),DAY(SUBSTITUTE(LEFT(Base_report!F1172,10),"-","/")))</f>
        <v>45297</v>
      </c>
      <c r="H1177" s="16">
        <f>DATE(YEAR(SUBSTITUTE(LEFT(Base_report!G1172,10),"-","/")),MONTH(SUBSTITUTE(LEFT(Base_report!G1172,10),"-","/")),DAY(SUBSTITUTE(LEFT(Base_report!G1172,10),"-","/")))</f>
        <v>45298</v>
      </c>
      <c r="I1177" s="17" t="str">
        <f t="shared" si="1"/>
        <v>OUI</v>
      </c>
      <c r="J1177" s="18">
        <f>IF(L1177="DS",DATE(RIGHT(B1177,4),VLOOKUP(LEFT(B1177,LEN(B1177)-5),Feuil1!$E$3:$F$19,2,FALSE)+1,10),DATE(RIGHT(B1177,4),VLOOKUP(LEFT(B1177,LEN(B1177)-5),Feuil1!$E$3:$F$19,2,FALSE)+1,7))</f>
        <v>45298</v>
      </c>
      <c r="K1177" s="19">
        <f t="shared" si="2"/>
        <v>1</v>
      </c>
      <c r="L1177" s="6" t="str">
        <f t="shared" si="3"/>
        <v>FS</v>
      </c>
    </row>
    <row r="1178" ht="14.25" customHeight="1">
      <c r="A1178" s="14" t="str">
        <f>Base_report!A1173</f>
        <v>HAUT-SASSANDRA</v>
      </c>
      <c r="B1178" s="14" t="str">
        <f>Base_report!B1173</f>
        <v>DECEMBRE 2023</v>
      </c>
      <c r="C1178" s="15" t="str">
        <f>Base_report!C1173</f>
        <v>C2003</v>
      </c>
      <c r="D1178" s="14" t="str">
        <f>TRIM(IF(ISNUMBER(FIND("PNSME",Base_report!D1173,1)),SUBSTITUTE(Base_report!D1173,"PNSME",""),IF(ISNUMBER(FIND("PHG",Base_report!D1173,1)),SUBSTITUTE(Base_report!D1173,"PHG",""),IF(ISNUMBER(FIND("PCS",Base_report!D1173,1)),SUBSTITUTE(Base_report!D1173,"PCS",""),IF(ISNUMBER(FIND("CMU",Base_report!D1173,1)),SUBSTITUTE(Base_report!D1173,"CMU",""),Base_report!D1173)))))</f>
        <v>CHR DALOA</v>
      </c>
      <c r="E1178" s="14" t="str">
        <f>SUBSTITUTE(Base_report!E1173,"-","/")</f>
        <v>PNN/MEDICAMENTS ET INTRANTS</v>
      </c>
      <c r="F1178" s="14" t="s">
        <v>788</v>
      </c>
      <c r="G1178" s="16">
        <f>DATE(YEAR(SUBSTITUTE(LEFT(Base_report!F1173,10),"-","/")),MONTH(SUBSTITUTE(LEFT(Base_report!F1173,10),"-","/")),DAY(SUBSTITUTE(LEFT(Base_report!F1173,10),"-","/")))</f>
        <v>45297</v>
      </c>
      <c r="H1178" s="16">
        <f>DATE(YEAR(SUBSTITUTE(LEFT(Base_report!G1173,10),"-","/")),MONTH(SUBSTITUTE(LEFT(Base_report!G1173,10),"-","/")),DAY(SUBSTITUTE(LEFT(Base_report!G1173,10),"-","/")))</f>
        <v>45298</v>
      </c>
      <c r="I1178" s="17" t="str">
        <f t="shared" si="1"/>
        <v>OUI</v>
      </c>
      <c r="J1178" s="18">
        <f>IF(L1178="DS",DATE(RIGHT(B1178,4),VLOOKUP(LEFT(B1178,LEN(B1178)-5),Feuil1!$E$3:$F$19,2,FALSE)+1,10),DATE(RIGHT(B1178,4),VLOOKUP(LEFT(B1178,LEN(B1178)-5),Feuil1!$E$3:$F$19,2,FALSE)+1,7))</f>
        <v>45298</v>
      </c>
      <c r="K1178" s="19">
        <f t="shared" si="2"/>
        <v>1</v>
      </c>
      <c r="L1178" s="6" t="str">
        <f t="shared" si="3"/>
        <v>FS</v>
      </c>
    </row>
    <row r="1179" ht="14.25" customHeight="1">
      <c r="A1179" s="14" t="str">
        <f>Base_report!A1174</f>
        <v>GBOKLE</v>
      </c>
      <c r="B1179" s="14" t="str">
        <f>Base_report!B1174</f>
        <v>DECEMBRE 2023</v>
      </c>
      <c r="C1179" s="15" t="str">
        <f>Base_report!C1174</f>
        <v>C1089</v>
      </c>
      <c r="D1179" s="14" t="str">
        <f>TRIM(IF(ISNUMBER(FIND("PNSME",Base_report!D1174,1)),SUBSTITUTE(Base_report!D1174,"PNSME",""),IF(ISNUMBER(FIND("PHG",Base_report!D1174,1)),SUBSTITUTE(Base_report!D1174,"PHG",""),IF(ISNUMBER(FIND("PCS",Base_report!D1174,1)),SUBSTITUTE(Base_report!D1174,"PCS",""),IF(ISNUMBER(FIND("CMU",Base_report!D1174,1)),SUBSTITUTE(Base_report!D1174,"CMU",""),Base_report!D1174)))))</f>
        <v>HOPITAL GENERAL FRESCO</v>
      </c>
      <c r="E1179" s="14" t="str">
        <f>SUBSTITUTE(Base_report!E1174,"-","/")</f>
        <v>PNLS/TESTS RAPIDES ET CONSOMMABLES</v>
      </c>
      <c r="F1179" s="14" t="s">
        <v>788</v>
      </c>
      <c r="G1179" s="16">
        <f>DATE(YEAR(SUBSTITUTE(LEFT(Base_report!F1174,10),"-","/")),MONTH(SUBSTITUTE(LEFT(Base_report!F1174,10),"-","/")),DAY(SUBSTITUTE(LEFT(Base_report!F1174,10),"-","/")))</f>
        <v>45297</v>
      </c>
      <c r="H1179" s="16">
        <f>DATE(YEAR(SUBSTITUTE(LEFT(Base_report!G1174,10),"-","/")),MONTH(SUBSTITUTE(LEFT(Base_report!G1174,10),"-","/")),DAY(SUBSTITUTE(LEFT(Base_report!G1174,10),"-","/")))</f>
        <v>45297</v>
      </c>
      <c r="I1179" s="17" t="str">
        <f t="shared" si="1"/>
        <v>OUI</v>
      </c>
      <c r="J1179" s="18">
        <f>IF(L1179="DS",DATE(RIGHT(B1179,4),VLOOKUP(LEFT(B1179,LEN(B1179)-5),Feuil1!$E$3:$F$19,2,FALSE)+1,10),DATE(RIGHT(B1179,4),VLOOKUP(LEFT(B1179,LEN(B1179)-5),Feuil1!$E$3:$F$19,2,FALSE)+1,7))</f>
        <v>45298</v>
      </c>
      <c r="K1179" s="19">
        <f t="shared" si="2"/>
        <v>1</v>
      </c>
      <c r="L1179" s="6" t="str">
        <f t="shared" si="3"/>
        <v>FS</v>
      </c>
    </row>
    <row r="1180" ht="14.25" customHeight="1">
      <c r="A1180" s="14" t="str">
        <f>Base_report!A1175</f>
        <v>GONTOUGO</v>
      </c>
      <c r="B1180" s="14" t="str">
        <f>Base_report!B1175</f>
        <v>DECEMBRE 2023</v>
      </c>
      <c r="C1180" s="15" t="str">
        <f>Base_report!C1175</f>
        <v>C4068</v>
      </c>
      <c r="D1180" s="14" t="str">
        <f>TRIM(IF(ISNUMBER(FIND("PNSME",Base_report!D1175,1)),SUBSTITUTE(Base_report!D1175,"PNSME",""),IF(ISNUMBER(FIND("PHG",Base_report!D1175,1)),SUBSTITUTE(Base_report!D1175,"PHG",""),IF(ISNUMBER(FIND("PCS",Base_report!D1175,1)),SUBSTITUTE(Base_report!D1175,"PCS",""),IF(ISNUMBER(FIND("CMU",Base_report!D1175,1)),SUBSTITUTE(Base_report!D1175,"CMU",""),Base_report!D1175)))))</f>
        <v>DISTRICT SANITAIRE SANDEGUE</v>
      </c>
      <c r="E1180" s="14" t="str">
        <f>SUBSTITUTE(Base_report!E1175,"-","/")</f>
        <v>PNSME/MEDICAMENTS ET INTRANTS</v>
      </c>
      <c r="F1180" s="14" t="s">
        <v>788</v>
      </c>
      <c r="G1180" s="16">
        <f>DATE(YEAR(SUBSTITUTE(LEFT(Base_report!F1175,10),"-","/")),MONTH(SUBSTITUTE(LEFT(Base_report!F1175,10),"-","/")),DAY(SUBSTITUTE(LEFT(Base_report!F1175,10),"-","/")))</f>
        <v>45297</v>
      </c>
      <c r="H1180" s="16">
        <f>DATE(YEAR(SUBSTITUTE(LEFT(Base_report!G1175,10),"-","/")),MONTH(SUBSTITUTE(LEFT(Base_report!G1175,10),"-","/")),DAY(SUBSTITUTE(LEFT(Base_report!G1175,10),"-","/")))</f>
        <v>45298</v>
      </c>
      <c r="I1180" s="17" t="str">
        <f t="shared" si="1"/>
        <v>OUI</v>
      </c>
      <c r="J1180" s="18">
        <f>IF(L1180="DS",DATE(RIGHT(B1180,4),VLOOKUP(LEFT(B1180,LEN(B1180)-5),Feuil1!$E$3:$F$19,2,FALSE)+1,10),DATE(RIGHT(B1180,4),VLOOKUP(LEFT(B1180,LEN(B1180)-5),Feuil1!$E$3:$F$19,2,FALSE)+1,7))</f>
        <v>45301</v>
      </c>
      <c r="K1180" s="19">
        <f t="shared" si="2"/>
        <v>1</v>
      </c>
      <c r="L1180" s="6" t="str">
        <f t="shared" si="3"/>
        <v>DS</v>
      </c>
    </row>
    <row r="1181" ht="14.25" customHeight="1">
      <c r="A1181" s="14" t="str">
        <f>Base_report!A1176</f>
        <v>SUD-COMOE</v>
      </c>
      <c r="B1181" s="14" t="str">
        <f>Base_report!B1176</f>
        <v>DECEMBRE 2023</v>
      </c>
      <c r="C1181" s="15" t="str">
        <f>Base_report!C1176</f>
        <v>C1008</v>
      </c>
      <c r="D1181" s="14" t="str">
        <f>TRIM(IF(ISNUMBER(FIND("PNSME",Base_report!D1176,1)),SUBSTITUTE(Base_report!D1176,"PNSME",""),IF(ISNUMBER(FIND("PHG",Base_report!D1176,1)),SUBSTITUTE(Base_report!D1176,"PHG",""),IF(ISNUMBER(FIND("PCS",Base_report!D1176,1)),SUBSTITUTE(Base_report!D1176,"PCS",""),IF(ISNUMBER(FIND("CMU",Base_report!D1176,1)),SUBSTITUTE(Base_report!D1176,"CMU",""),Base_report!D1176)))))</f>
        <v>HOPITAL GENERAL MAFERE</v>
      </c>
      <c r="E1181" s="14" t="str">
        <f>SUBSTITUTE(Base_report!E1176,"-","/")</f>
        <v>PNSME_GRATUITE:MEDICAMENTS ET INTRANTS</v>
      </c>
      <c r="F1181" s="14" t="s">
        <v>788</v>
      </c>
      <c r="G1181" s="16">
        <f>DATE(YEAR(SUBSTITUTE(LEFT(Base_report!F1176,10),"-","/")),MONTH(SUBSTITUTE(LEFT(Base_report!F1176,10),"-","/")),DAY(SUBSTITUTE(LEFT(Base_report!F1176,10),"-","/")))</f>
        <v>45297</v>
      </c>
      <c r="H1181" s="16">
        <f>DATE(YEAR(SUBSTITUTE(LEFT(Base_report!G1176,10),"-","/")),MONTH(SUBSTITUTE(LEFT(Base_report!G1176,10),"-","/")),DAY(SUBSTITUTE(LEFT(Base_report!G1176,10),"-","/")))</f>
        <v>45297</v>
      </c>
      <c r="I1181" s="17" t="str">
        <f t="shared" si="1"/>
        <v>OUI</v>
      </c>
      <c r="J1181" s="18">
        <f>IF(L1181="DS",DATE(RIGHT(B1181,4),VLOOKUP(LEFT(B1181,LEN(B1181)-5),Feuil1!$E$3:$F$19,2,FALSE)+1,10),DATE(RIGHT(B1181,4),VLOOKUP(LEFT(B1181,LEN(B1181)-5),Feuil1!$E$3:$F$19,2,FALSE)+1,7))</f>
        <v>45298</v>
      </c>
      <c r="K1181" s="19">
        <f t="shared" si="2"/>
        <v>1</v>
      </c>
      <c r="L1181" s="6" t="str">
        <f t="shared" si="3"/>
        <v>FS</v>
      </c>
    </row>
    <row r="1182" ht="14.25" customHeight="1">
      <c r="A1182" s="14" t="str">
        <f>Base_report!A1177</f>
        <v>GONTOUGO</v>
      </c>
      <c r="B1182" s="14" t="str">
        <f>Base_report!B1177</f>
        <v>DECEMBRE 2023</v>
      </c>
      <c r="C1182" s="15" t="str">
        <f>Base_report!C1177</f>
        <v>C4085</v>
      </c>
      <c r="D1182" s="14" t="str">
        <f>TRIM(IF(ISNUMBER(FIND("PNSME",Base_report!D1177,1)),SUBSTITUTE(Base_report!D1177,"PNSME",""),IF(ISNUMBER(FIND("PHG",Base_report!D1177,1)),SUBSTITUTE(Base_report!D1177,"PHG",""),IF(ISNUMBER(FIND("PCS",Base_report!D1177,1)),SUBSTITUTE(Base_report!D1177,"PCS",""),IF(ISNUMBER(FIND("CMU",Base_report!D1177,1)),SUBSTITUTE(Base_report!D1177,"CMU",""),Base_report!D1177)))))</f>
        <v>HOPITAL GENERAL SANDEGUE</v>
      </c>
      <c r="E1182" s="14" t="str">
        <f>SUBSTITUTE(Base_report!E1177,"-","/")</f>
        <v>PNN/MEDICAMENTS ET INTRANTS</v>
      </c>
      <c r="F1182" s="14" t="s">
        <v>788</v>
      </c>
      <c r="G1182" s="16">
        <f>DATE(YEAR(SUBSTITUTE(LEFT(Base_report!F1177,10),"-","/")),MONTH(SUBSTITUTE(LEFT(Base_report!F1177,10),"-","/")),DAY(SUBSTITUTE(LEFT(Base_report!F1177,10),"-","/")))</f>
        <v>45298</v>
      </c>
      <c r="H1182" s="16">
        <f>DATE(YEAR(SUBSTITUTE(LEFT(Base_report!G1177,10),"-","/")),MONTH(SUBSTITUTE(LEFT(Base_report!G1177,10),"-","/")),DAY(SUBSTITUTE(LEFT(Base_report!G1177,10),"-","/")))</f>
        <v>45298</v>
      </c>
      <c r="I1182" s="17" t="str">
        <f t="shared" si="1"/>
        <v>OUI</v>
      </c>
      <c r="J1182" s="18">
        <f>IF(L1182="DS",DATE(RIGHT(B1182,4),VLOOKUP(LEFT(B1182,LEN(B1182)-5),Feuil1!$E$3:$F$19,2,FALSE)+1,10),DATE(RIGHT(B1182,4),VLOOKUP(LEFT(B1182,LEN(B1182)-5),Feuil1!$E$3:$F$19,2,FALSE)+1,7))</f>
        <v>45298</v>
      </c>
      <c r="K1182" s="19">
        <f t="shared" si="2"/>
        <v>1</v>
      </c>
      <c r="L1182" s="6" t="str">
        <f t="shared" si="3"/>
        <v>FS</v>
      </c>
    </row>
    <row r="1183" ht="14.25" customHeight="1">
      <c r="A1183" s="14" t="str">
        <f>Base_report!A1178</f>
        <v>BAGOUE</v>
      </c>
      <c r="B1183" s="14" t="str">
        <f>Base_report!B1178</f>
        <v>DECEMBRE 2023</v>
      </c>
      <c r="C1183" s="15" t="str">
        <f>Base_report!C1178</f>
        <v>C3015</v>
      </c>
      <c r="D1183" s="14" t="str">
        <f>TRIM(IF(ISNUMBER(FIND("PNSME",Base_report!D1178,1)),SUBSTITUTE(Base_report!D1178,"PNSME",""),IF(ISNUMBER(FIND("PHG",Base_report!D1178,1)),SUBSTITUTE(Base_report!D1178,"PHG",""),IF(ISNUMBER(FIND("PCS",Base_report!D1178,1)),SUBSTITUTE(Base_report!D1178,"PCS",""),IF(ISNUMBER(FIND("CMU",Base_report!D1178,1)),SUBSTITUTE(Base_report!D1178,"CMU",""),Base_report!D1178)))))</f>
        <v>HOPITAL GENERAL KOUTO</v>
      </c>
      <c r="E1183" s="14" t="str">
        <f>SUBSTITUTE(Base_report!E1178,"-","/")</f>
        <v>PNLS/PRODUITS DE LABORATOIRE</v>
      </c>
      <c r="F1183" s="14" t="s">
        <v>788</v>
      </c>
      <c r="G1183" s="16">
        <f>DATE(YEAR(SUBSTITUTE(LEFT(Base_report!F1178,10),"-","/")),MONTH(SUBSTITUTE(LEFT(Base_report!F1178,10),"-","/")),DAY(SUBSTITUTE(LEFT(Base_report!F1178,10),"-","/")))</f>
        <v>45297</v>
      </c>
      <c r="H1183" s="16">
        <f>DATE(YEAR(SUBSTITUTE(LEFT(Base_report!G1178,10),"-","/")),MONTH(SUBSTITUTE(LEFT(Base_report!G1178,10),"-","/")),DAY(SUBSTITUTE(LEFT(Base_report!G1178,10),"-","/")))</f>
        <v>45297</v>
      </c>
      <c r="I1183" s="17" t="str">
        <f t="shared" si="1"/>
        <v>OUI</v>
      </c>
      <c r="J1183" s="18">
        <f>IF(L1183="DS",DATE(RIGHT(B1183,4),VLOOKUP(LEFT(B1183,LEN(B1183)-5),Feuil1!$E$3:$F$19,2,FALSE)+1,10),DATE(RIGHT(B1183,4),VLOOKUP(LEFT(B1183,LEN(B1183)-5),Feuil1!$E$3:$F$19,2,FALSE)+1,7))</f>
        <v>45298</v>
      </c>
      <c r="K1183" s="19">
        <f t="shared" si="2"/>
        <v>1</v>
      </c>
      <c r="L1183" s="6" t="str">
        <f t="shared" si="3"/>
        <v>FS</v>
      </c>
    </row>
    <row r="1184" ht="14.25" customHeight="1">
      <c r="A1184" s="14" t="str">
        <f>Base_report!A1179</f>
        <v>PORO</v>
      </c>
      <c r="B1184" s="14" t="str">
        <f>Base_report!B1179</f>
        <v>DECEMBRE 2023</v>
      </c>
      <c r="C1184" s="15" t="str">
        <f>Base_report!C1179</f>
        <v>C3021</v>
      </c>
      <c r="D1184" s="14" t="str">
        <f>TRIM(IF(ISNUMBER(FIND("PNSME",Base_report!D1179,1)),SUBSTITUTE(Base_report!D1179,"PNSME",""),IF(ISNUMBER(FIND("PHG",Base_report!D1179,1)),SUBSTITUTE(Base_report!D1179,"PHG",""),IF(ISNUMBER(FIND("PCS",Base_report!D1179,1)),SUBSTITUTE(Base_report!D1179,"PCS",""),IF(ISNUMBER(FIND("CMU",Base_report!D1179,1)),SUBSTITUTE(Base_report!D1179,"CMU",""),Base_report!D1179)))))</f>
        <v>HOPITAL GENERAL SINEMATIALI</v>
      </c>
      <c r="E1184" s="14" t="str">
        <f>SUBSTITUTE(Base_report!E1179,"-","/")</f>
        <v>PNLS/ANTIRETROVIRAUX ET IO</v>
      </c>
      <c r="F1184" s="14" t="s">
        <v>788</v>
      </c>
      <c r="G1184" s="16">
        <f>DATE(YEAR(SUBSTITUTE(LEFT(Base_report!F1179,10),"-","/")),MONTH(SUBSTITUTE(LEFT(Base_report!F1179,10),"-","/")),DAY(SUBSTITUTE(LEFT(Base_report!F1179,10),"-","/")))</f>
        <v>45297</v>
      </c>
      <c r="H1184" s="16">
        <f>DATE(YEAR(SUBSTITUTE(LEFT(Base_report!G1179,10),"-","/")),MONTH(SUBSTITUTE(LEFT(Base_report!G1179,10),"-","/")),DAY(SUBSTITUTE(LEFT(Base_report!G1179,10),"-","/")))</f>
        <v>45298</v>
      </c>
      <c r="I1184" s="17" t="str">
        <f t="shared" si="1"/>
        <v>OUI</v>
      </c>
      <c r="J1184" s="18">
        <f>IF(L1184="DS",DATE(RIGHT(B1184,4),VLOOKUP(LEFT(B1184,LEN(B1184)-5),Feuil1!$E$3:$F$19,2,FALSE)+1,10),DATE(RIGHT(B1184,4),VLOOKUP(LEFT(B1184,LEN(B1184)-5),Feuil1!$E$3:$F$19,2,FALSE)+1,7))</f>
        <v>45298</v>
      </c>
      <c r="K1184" s="19">
        <f t="shared" si="2"/>
        <v>1</v>
      </c>
      <c r="L1184" s="6" t="str">
        <f t="shared" si="3"/>
        <v>FS</v>
      </c>
    </row>
    <row r="1185" ht="14.25" customHeight="1">
      <c r="A1185" s="14" t="str">
        <f>Base_report!A1180</f>
        <v>HAUT-SASSANDRA</v>
      </c>
      <c r="B1185" s="14" t="str">
        <f>Base_report!B1180</f>
        <v>DECEMBRE 2023</v>
      </c>
      <c r="C1185" s="15" t="str">
        <f>Base_report!C1180</f>
        <v>C2003</v>
      </c>
      <c r="D1185" s="14" t="str">
        <f>TRIM(IF(ISNUMBER(FIND("PNSME",Base_report!D1180,1)),SUBSTITUTE(Base_report!D1180,"PNSME",""),IF(ISNUMBER(FIND("PHG",Base_report!D1180,1)),SUBSTITUTE(Base_report!D1180,"PHG",""),IF(ISNUMBER(FIND("PCS",Base_report!D1180,1)),SUBSTITUTE(Base_report!D1180,"PCS",""),IF(ISNUMBER(FIND("CMU",Base_report!D1180,1)),SUBSTITUTE(Base_report!D1180,"CMU",""),Base_report!D1180)))))</f>
        <v>CHR DALOA</v>
      </c>
      <c r="E1185" s="14" t="str">
        <f>SUBSTITUTE(Base_report!E1180,"-","/")</f>
        <v>PNLS/TESTS RAPIDES ET CONSOMMABLES</v>
      </c>
      <c r="F1185" s="14" t="s">
        <v>788</v>
      </c>
      <c r="G1185" s="16">
        <f>DATE(YEAR(SUBSTITUTE(LEFT(Base_report!F1180,10),"-","/")),MONTH(SUBSTITUTE(LEFT(Base_report!F1180,10),"-","/")),DAY(SUBSTITUTE(LEFT(Base_report!F1180,10),"-","/")))</f>
        <v>45297</v>
      </c>
      <c r="H1185" s="16">
        <f>DATE(YEAR(SUBSTITUTE(LEFT(Base_report!G1180,10),"-","/")),MONTH(SUBSTITUTE(LEFT(Base_report!G1180,10),"-","/")),DAY(SUBSTITUTE(LEFT(Base_report!G1180,10),"-","/")))</f>
        <v>45298</v>
      </c>
      <c r="I1185" s="17" t="str">
        <f t="shared" si="1"/>
        <v>OUI</v>
      </c>
      <c r="J1185" s="18">
        <f>IF(L1185="DS",DATE(RIGHT(B1185,4),VLOOKUP(LEFT(B1185,LEN(B1185)-5),Feuil1!$E$3:$F$19,2,FALSE)+1,10),DATE(RIGHT(B1185,4),VLOOKUP(LEFT(B1185,LEN(B1185)-5),Feuil1!$E$3:$F$19,2,FALSE)+1,7))</f>
        <v>45298</v>
      </c>
      <c r="K1185" s="19">
        <f t="shared" si="2"/>
        <v>1</v>
      </c>
      <c r="L1185" s="6" t="str">
        <f t="shared" si="3"/>
        <v>FS</v>
      </c>
    </row>
    <row r="1186" ht="14.25" customHeight="1">
      <c r="A1186" s="14" t="str">
        <f>Base_report!A1181</f>
        <v>NAWA</v>
      </c>
      <c r="B1186" s="14" t="str">
        <f>Base_report!B1181</f>
        <v>DECEMBRE 2023</v>
      </c>
      <c r="C1186" s="15" t="str">
        <f>Base_report!C1181</f>
        <v>C2211</v>
      </c>
      <c r="D1186" s="14" t="str">
        <f>TRIM(IF(ISNUMBER(FIND("PNSME",Base_report!D1181,1)),SUBSTITUTE(Base_report!D1181,"PNSME",""),IF(ISNUMBER(FIND("PHG",Base_report!D1181,1)),SUBSTITUTE(Base_report!D1181,"PHG",""),IF(ISNUMBER(FIND("PCS",Base_report!D1181,1)),SUBSTITUTE(Base_report!D1181,"PCS",""),IF(ISNUMBER(FIND("CMU",Base_report!D1181,1)),SUBSTITUTE(Base_report!D1181,"CMU",""),Base_report!D1181)))))</f>
        <v>DISTRICT SANITAIRE MEAGUI</v>
      </c>
      <c r="E1186" s="14" t="str">
        <f>SUBSTITUTE(Base_report!E1181,"-","/")</f>
        <v>PNN/MEDICAMENTS ET INTRANTS</v>
      </c>
      <c r="F1186" s="14" t="s">
        <v>788</v>
      </c>
      <c r="G1186" s="16">
        <f>DATE(YEAR(SUBSTITUTE(LEFT(Base_report!F1181,10),"-","/")),MONTH(SUBSTITUTE(LEFT(Base_report!F1181,10),"-","/")),DAY(SUBSTITUTE(LEFT(Base_report!F1181,10),"-","/")))</f>
        <v>45298</v>
      </c>
      <c r="H1186" s="16">
        <f>DATE(YEAR(SUBSTITUTE(LEFT(Base_report!G1181,10),"-","/")),MONTH(SUBSTITUTE(LEFT(Base_report!G1181,10),"-","/")),DAY(SUBSTITUTE(LEFT(Base_report!G1181,10),"-","/")))</f>
        <v>45299</v>
      </c>
      <c r="I1186" s="17" t="str">
        <f t="shared" si="1"/>
        <v>OUI</v>
      </c>
      <c r="J1186" s="18">
        <f>IF(L1186="DS",DATE(RIGHT(B1186,4),VLOOKUP(LEFT(B1186,LEN(B1186)-5),Feuil1!$E$3:$F$19,2,FALSE)+1,10),DATE(RIGHT(B1186,4),VLOOKUP(LEFT(B1186,LEN(B1186)-5),Feuil1!$E$3:$F$19,2,FALSE)+1,7))</f>
        <v>45301</v>
      </c>
      <c r="K1186" s="19">
        <f t="shared" si="2"/>
        <v>1</v>
      </c>
      <c r="L1186" s="6" t="str">
        <f t="shared" si="3"/>
        <v>DS</v>
      </c>
    </row>
    <row r="1187" ht="14.25" customHeight="1">
      <c r="A1187" s="14" t="str">
        <f>Base_report!A1182</f>
        <v>GBOKLE</v>
      </c>
      <c r="B1187" s="14" t="str">
        <f>Base_report!B1182</f>
        <v>DECEMBRE 2023</v>
      </c>
      <c r="C1187" s="15" t="str">
        <f>Base_report!C1182</f>
        <v>C1089</v>
      </c>
      <c r="D1187" s="14" t="str">
        <f>TRIM(IF(ISNUMBER(FIND("PNSME",Base_report!D1182,1)),SUBSTITUTE(Base_report!D1182,"PNSME",""),IF(ISNUMBER(FIND("PHG",Base_report!D1182,1)),SUBSTITUTE(Base_report!D1182,"PHG",""),IF(ISNUMBER(FIND("PCS",Base_report!D1182,1)),SUBSTITUTE(Base_report!D1182,"PCS",""),IF(ISNUMBER(FIND("CMU",Base_report!D1182,1)),SUBSTITUTE(Base_report!D1182,"CMU",""),Base_report!D1182)))))</f>
        <v>HOPITAL GENERAL FRESCO</v>
      </c>
      <c r="E1187" s="14" t="str">
        <f>SUBSTITUTE(Base_report!E1182,"-","/")</f>
        <v>PNN/MEDICAMENTS ET INTRANTS</v>
      </c>
      <c r="F1187" s="14" t="s">
        <v>788</v>
      </c>
      <c r="G1187" s="16">
        <f>DATE(YEAR(SUBSTITUTE(LEFT(Base_report!F1182,10),"-","/")),MONTH(SUBSTITUTE(LEFT(Base_report!F1182,10),"-","/")),DAY(SUBSTITUTE(LEFT(Base_report!F1182,10),"-","/")))</f>
        <v>45297</v>
      </c>
      <c r="H1187" s="16">
        <f>DATE(YEAR(SUBSTITUTE(LEFT(Base_report!G1182,10),"-","/")),MONTH(SUBSTITUTE(LEFT(Base_report!G1182,10),"-","/")),DAY(SUBSTITUTE(LEFT(Base_report!G1182,10),"-","/")))</f>
        <v>45297</v>
      </c>
      <c r="I1187" s="17" t="str">
        <f t="shared" si="1"/>
        <v>OUI</v>
      </c>
      <c r="J1187" s="18">
        <f>IF(L1187="DS",DATE(RIGHT(B1187,4),VLOOKUP(LEFT(B1187,LEN(B1187)-5),Feuil1!$E$3:$F$19,2,FALSE)+1,10),DATE(RIGHT(B1187,4),VLOOKUP(LEFT(B1187,LEN(B1187)-5),Feuil1!$E$3:$F$19,2,FALSE)+1,7))</f>
        <v>45298</v>
      </c>
      <c r="K1187" s="19">
        <f t="shared" si="2"/>
        <v>1</v>
      </c>
      <c r="L1187" s="6" t="str">
        <f t="shared" si="3"/>
        <v>FS</v>
      </c>
    </row>
    <row r="1188" ht="14.25" customHeight="1">
      <c r="A1188" s="14" t="str">
        <f>Base_report!A1183</f>
        <v>PORO</v>
      </c>
      <c r="B1188" s="14" t="str">
        <f>Base_report!B1183</f>
        <v>DECEMBRE 2023</v>
      </c>
      <c r="C1188" s="15" t="str">
        <f>Base_report!C1183</f>
        <v>C3021</v>
      </c>
      <c r="D1188" s="14" t="str">
        <f>TRIM(IF(ISNUMBER(FIND("PNSME",Base_report!D1183,1)),SUBSTITUTE(Base_report!D1183,"PNSME",""),IF(ISNUMBER(FIND("PHG",Base_report!D1183,1)),SUBSTITUTE(Base_report!D1183,"PHG",""),IF(ISNUMBER(FIND("PCS",Base_report!D1183,1)),SUBSTITUTE(Base_report!D1183,"PCS",""),IF(ISNUMBER(FIND("CMU",Base_report!D1183,1)),SUBSTITUTE(Base_report!D1183,"CMU",""),Base_report!D1183)))))</f>
        <v>HOPITAL GENERAL SINEMATIALI</v>
      </c>
      <c r="E1188" s="14" t="str">
        <f>SUBSTITUTE(Base_report!E1183,"-","/")</f>
        <v>PNLS/TESTS RAPIDES ET CONSOMMABLES</v>
      </c>
      <c r="F1188" s="14" t="s">
        <v>788</v>
      </c>
      <c r="G1188" s="16">
        <f>DATE(YEAR(SUBSTITUTE(LEFT(Base_report!F1183,10),"-","/")),MONTH(SUBSTITUTE(LEFT(Base_report!F1183,10),"-","/")),DAY(SUBSTITUTE(LEFT(Base_report!F1183,10),"-","/")))</f>
        <v>45297</v>
      </c>
      <c r="H1188" s="16">
        <f>DATE(YEAR(SUBSTITUTE(LEFT(Base_report!G1183,10),"-","/")),MONTH(SUBSTITUTE(LEFT(Base_report!G1183,10),"-","/")),DAY(SUBSTITUTE(LEFT(Base_report!G1183,10),"-","/")))</f>
        <v>45298</v>
      </c>
      <c r="I1188" s="17" t="str">
        <f t="shared" si="1"/>
        <v>OUI</v>
      </c>
      <c r="J1188" s="18">
        <f>IF(L1188="DS",DATE(RIGHT(B1188,4),VLOOKUP(LEFT(B1188,LEN(B1188)-5),Feuil1!$E$3:$F$19,2,FALSE)+1,10),DATE(RIGHT(B1188,4),VLOOKUP(LEFT(B1188,LEN(B1188)-5),Feuil1!$E$3:$F$19,2,FALSE)+1,7))</f>
        <v>45298</v>
      </c>
      <c r="K1188" s="19">
        <f t="shared" si="2"/>
        <v>1</v>
      </c>
      <c r="L1188" s="6" t="str">
        <f t="shared" si="3"/>
        <v>FS</v>
      </c>
    </row>
    <row r="1189" ht="14.25" customHeight="1">
      <c r="A1189" s="14" t="str">
        <f>Base_report!A1184</f>
        <v>PORO</v>
      </c>
      <c r="B1189" s="14" t="str">
        <f>Base_report!B1184</f>
        <v>DECEMBRE 2023</v>
      </c>
      <c r="C1189" s="15" t="str">
        <f>Base_report!C1184</f>
        <v>C3021</v>
      </c>
      <c r="D1189" s="14" t="str">
        <f>TRIM(IF(ISNUMBER(FIND("PNSME",Base_report!D1184,1)),SUBSTITUTE(Base_report!D1184,"PNSME",""),IF(ISNUMBER(FIND("PHG",Base_report!D1184,1)),SUBSTITUTE(Base_report!D1184,"PHG",""),IF(ISNUMBER(FIND("PCS",Base_report!D1184,1)),SUBSTITUTE(Base_report!D1184,"PCS",""),IF(ISNUMBER(FIND("CMU",Base_report!D1184,1)),SUBSTITUTE(Base_report!D1184,"CMU",""),Base_report!D1184)))))</f>
        <v>HOPITAL GENERAL SINEMATIALI</v>
      </c>
      <c r="E1189" s="14" t="str">
        <f>SUBSTITUTE(Base_report!E1184,"-","/")</f>
        <v>PNLS/PRODUITS DE LABORATOIRE</v>
      </c>
      <c r="F1189" s="14" t="s">
        <v>788</v>
      </c>
      <c r="G1189" s="16">
        <f>DATE(YEAR(SUBSTITUTE(LEFT(Base_report!F1184,10),"-","/")),MONTH(SUBSTITUTE(LEFT(Base_report!F1184,10),"-","/")),DAY(SUBSTITUTE(LEFT(Base_report!F1184,10),"-","/")))</f>
        <v>45297</v>
      </c>
      <c r="H1189" s="16">
        <f>DATE(YEAR(SUBSTITUTE(LEFT(Base_report!G1184,10),"-","/")),MONTH(SUBSTITUTE(LEFT(Base_report!G1184,10),"-","/")),DAY(SUBSTITUTE(LEFT(Base_report!G1184,10),"-","/")))</f>
        <v>45298</v>
      </c>
      <c r="I1189" s="17" t="str">
        <f t="shared" si="1"/>
        <v>OUI</v>
      </c>
      <c r="J1189" s="18">
        <f>IF(L1189="DS",DATE(RIGHT(B1189,4),VLOOKUP(LEFT(B1189,LEN(B1189)-5),Feuil1!$E$3:$F$19,2,FALSE)+1,10),DATE(RIGHT(B1189,4),VLOOKUP(LEFT(B1189,LEN(B1189)-5),Feuil1!$E$3:$F$19,2,FALSE)+1,7))</f>
        <v>45298</v>
      </c>
      <c r="K1189" s="19">
        <f t="shared" si="2"/>
        <v>1</v>
      </c>
      <c r="L1189" s="6" t="str">
        <f t="shared" si="3"/>
        <v>FS</v>
      </c>
    </row>
    <row r="1190" ht="14.25" customHeight="1">
      <c r="A1190" s="14" t="str">
        <f>Base_report!A1185</f>
        <v>GBOKLE</v>
      </c>
      <c r="B1190" s="14" t="str">
        <f>Base_report!B1185</f>
        <v>DECEMBRE 2023</v>
      </c>
      <c r="C1190" s="15" t="str">
        <f>Base_report!C1185</f>
        <v>C1089</v>
      </c>
      <c r="D1190" s="14" t="str">
        <f>TRIM(IF(ISNUMBER(FIND("PNSME",Base_report!D1185,1)),SUBSTITUTE(Base_report!D1185,"PNSME",""),IF(ISNUMBER(FIND("PHG",Base_report!D1185,1)),SUBSTITUTE(Base_report!D1185,"PHG",""),IF(ISNUMBER(FIND("PCS",Base_report!D1185,1)),SUBSTITUTE(Base_report!D1185,"PCS",""),IF(ISNUMBER(FIND("CMU",Base_report!D1185,1)),SUBSTITUTE(Base_report!D1185,"CMU",""),Base_report!D1185)))))</f>
        <v>HOPITAL GENERAL FRESCO</v>
      </c>
      <c r="E1190" s="14" t="str">
        <f>SUBSTITUTE(Base_report!E1185,"-","/")</f>
        <v>PNSME/MEDICAMENTS ET INTRANTS</v>
      </c>
      <c r="F1190" s="14" t="s">
        <v>788</v>
      </c>
      <c r="G1190" s="16">
        <f>DATE(YEAR(SUBSTITUTE(LEFT(Base_report!F1185,10),"-","/")),MONTH(SUBSTITUTE(LEFT(Base_report!F1185,10),"-","/")),DAY(SUBSTITUTE(LEFT(Base_report!F1185,10),"-","/")))</f>
        <v>45297</v>
      </c>
      <c r="H1190" s="16">
        <f>DATE(YEAR(SUBSTITUTE(LEFT(Base_report!G1185,10),"-","/")),MONTH(SUBSTITUTE(LEFT(Base_report!G1185,10),"-","/")),DAY(SUBSTITUTE(LEFT(Base_report!G1185,10),"-","/")))</f>
        <v>45297</v>
      </c>
      <c r="I1190" s="17" t="str">
        <f t="shared" si="1"/>
        <v>OUI</v>
      </c>
      <c r="J1190" s="18">
        <f>IF(L1190="DS",DATE(RIGHT(B1190,4),VLOOKUP(LEFT(B1190,LEN(B1190)-5),Feuil1!$E$3:$F$19,2,FALSE)+1,10),DATE(RIGHT(B1190,4),VLOOKUP(LEFT(B1190,LEN(B1190)-5),Feuil1!$E$3:$F$19,2,FALSE)+1,7))</f>
        <v>45298</v>
      </c>
      <c r="K1190" s="19">
        <f t="shared" si="2"/>
        <v>1</v>
      </c>
      <c r="L1190" s="6" t="str">
        <f t="shared" si="3"/>
        <v>FS</v>
      </c>
    </row>
    <row r="1191" ht="14.25" customHeight="1">
      <c r="A1191" s="14" t="str">
        <f>Base_report!A1186</f>
        <v>HAMBOL</v>
      </c>
      <c r="B1191" s="14" t="str">
        <f>Base_report!B1186</f>
        <v>DECEMBRE 2023</v>
      </c>
      <c r="C1191" s="15" t="str">
        <f>Base_report!C1186</f>
        <v>C3019</v>
      </c>
      <c r="D1191" s="14" t="str">
        <f>TRIM(IF(ISNUMBER(FIND("PNSME",Base_report!D1186,1)),SUBSTITUTE(Base_report!D1186,"PNSME",""),IF(ISNUMBER(FIND("PHG",Base_report!D1186,1)),SUBSTITUTE(Base_report!D1186,"PHG",""),IF(ISNUMBER(FIND("PCS",Base_report!D1186,1)),SUBSTITUTE(Base_report!D1186,"PCS",""),IF(ISNUMBER(FIND("CMU",Base_report!D1186,1)),SUBSTITUTE(Base_report!D1186,"CMU",""),Base_report!D1186)))))</f>
        <v>HOPITAL GENERAL NIAKARA</v>
      </c>
      <c r="E1191" s="14" t="str">
        <f>SUBSTITUTE(Base_report!E1186,"-","/")</f>
        <v>PNLS/PRODUITS DE LABORATOIRE</v>
      </c>
      <c r="F1191" s="14" t="s">
        <v>788</v>
      </c>
      <c r="G1191" s="16">
        <f>DATE(YEAR(SUBSTITUTE(LEFT(Base_report!F1186,10),"-","/")),MONTH(SUBSTITUTE(LEFT(Base_report!F1186,10),"-","/")),DAY(SUBSTITUTE(LEFT(Base_report!F1186,10),"-","/")))</f>
        <v>45297</v>
      </c>
      <c r="H1191" s="16">
        <f>DATE(YEAR(SUBSTITUTE(LEFT(Base_report!G1186,10),"-","/")),MONTH(SUBSTITUTE(LEFT(Base_report!G1186,10),"-","/")),DAY(SUBSTITUTE(LEFT(Base_report!G1186,10),"-","/")))</f>
        <v>45297</v>
      </c>
      <c r="I1191" s="17" t="str">
        <f t="shared" si="1"/>
        <v>OUI</v>
      </c>
      <c r="J1191" s="18">
        <f>IF(L1191="DS",DATE(RIGHT(B1191,4),VLOOKUP(LEFT(B1191,LEN(B1191)-5),Feuil1!$E$3:$F$19,2,FALSE)+1,10),DATE(RIGHT(B1191,4),VLOOKUP(LEFT(B1191,LEN(B1191)-5),Feuil1!$E$3:$F$19,2,FALSE)+1,7))</f>
        <v>45298</v>
      </c>
      <c r="K1191" s="19">
        <f t="shared" si="2"/>
        <v>1</v>
      </c>
      <c r="L1191" s="6" t="str">
        <f t="shared" si="3"/>
        <v>FS</v>
      </c>
    </row>
    <row r="1192" ht="14.25" customHeight="1">
      <c r="A1192" s="14" t="str">
        <f>Base_report!A1187</f>
        <v>GONTOUGO</v>
      </c>
      <c r="B1192" s="14" t="str">
        <f>Base_report!B1187</f>
        <v>DECEMBRE 2023</v>
      </c>
      <c r="C1192" s="15" t="str">
        <f>Base_report!C1187</f>
        <v>C4085</v>
      </c>
      <c r="D1192" s="14" t="str">
        <f>TRIM(IF(ISNUMBER(FIND("PNSME",Base_report!D1187,1)),SUBSTITUTE(Base_report!D1187,"PNSME",""),IF(ISNUMBER(FIND("PHG",Base_report!D1187,1)),SUBSTITUTE(Base_report!D1187,"PHG",""),IF(ISNUMBER(FIND("PCS",Base_report!D1187,1)),SUBSTITUTE(Base_report!D1187,"PCS",""),IF(ISNUMBER(FIND("CMU",Base_report!D1187,1)),SUBSTITUTE(Base_report!D1187,"CMU",""),Base_report!D1187)))))</f>
        <v>HOPITAL GENERAL SANDEGUE</v>
      </c>
      <c r="E1192" s="14" t="str">
        <f>SUBSTITUTE(Base_report!E1187,"-","/")</f>
        <v>PNLP/MEDICAMENTS ET INTRANTS</v>
      </c>
      <c r="F1192" s="14" t="s">
        <v>788</v>
      </c>
      <c r="G1192" s="16">
        <f>DATE(YEAR(SUBSTITUTE(LEFT(Base_report!F1187,10),"-","/")),MONTH(SUBSTITUTE(LEFT(Base_report!F1187,10),"-","/")),DAY(SUBSTITUTE(LEFT(Base_report!F1187,10),"-","/")))</f>
        <v>45298</v>
      </c>
      <c r="H1192" s="16">
        <f>DATE(YEAR(SUBSTITUTE(LEFT(Base_report!G1187,10),"-","/")),MONTH(SUBSTITUTE(LEFT(Base_report!G1187,10),"-","/")),DAY(SUBSTITUTE(LEFT(Base_report!G1187,10),"-","/")))</f>
        <v>45298</v>
      </c>
      <c r="I1192" s="17" t="str">
        <f t="shared" si="1"/>
        <v>OUI</v>
      </c>
      <c r="J1192" s="18">
        <f>IF(L1192="DS",DATE(RIGHT(B1192,4),VLOOKUP(LEFT(B1192,LEN(B1192)-5),Feuil1!$E$3:$F$19,2,FALSE)+1,10),DATE(RIGHT(B1192,4),VLOOKUP(LEFT(B1192,LEN(B1192)-5),Feuil1!$E$3:$F$19,2,FALSE)+1,7))</f>
        <v>45298</v>
      </c>
      <c r="K1192" s="19">
        <f t="shared" si="2"/>
        <v>1</v>
      </c>
      <c r="L1192" s="6" t="str">
        <f t="shared" si="3"/>
        <v>FS</v>
      </c>
    </row>
    <row r="1193" ht="14.25" customHeight="1">
      <c r="A1193" s="14" t="str">
        <f>Base_report!A1188</f>
        <v>LOH-DJIBOUA</v>
      </c>
      <c r="B1193" s="14" t="str">
        <f>Base_report!B1188</f>
        <v>DECEMBRE 2023</v>
      </c>
      <c r="C1193" s="15" t="str">
        <f>Base_report!C1188</f>
        <v>C2059</v>
      </c>
      <c r="D1193" s="14" t="str">
        <f>TRIM(IF(ISNUMBER(FIND("PNSME",Base_report!D1188,1)),SUBSTITUTE(Base_report!D1188,"PNSME",""),IF(ISNUMBER(FIND("PHG",Base_report!D1188,1)),SUBSTITUTE(Base_report!D1188,"PHG",""),IF(ISNUMBER(FIND("PCS",Base_report!D1188,1)),SUBSTITUTE(Base_report!D1188,"PCS",""),IF(ISNUMBER(FIND("CMU",Base_report!D1188,1)),SUBSTITUTE(Base_report!D1188,"CMU",""),Base_report!D1188)))))</f>
        <v>HOPITAL GENERAL LAKOTA</v>
      </c>
      <c r="E1193" s="14" t="str">
        <f>SUBSTITUTE(Base_report!E1188,"-","/")</f>
        <v>PNLS/ANTIRETROVIRAUX ET IO</v>
      </c>
      <c r="F1193" s="14" t="s">
        <v>788</v>
      </c>
      <c r="G1193" s="16">
        <f>DATE(YEAR(SUBSTITUTE(LEFT(Base_report!F1188,10),"-","/")),MONTH(SUBSTITUTE(LEFT(Base_report!F1188,10),"-","/")),DAY(SUBSTITUTE(LEFT(Base_report!F1188,10),"-","/")))</f>
        <v>45297</v>
      </c>
      <c r="H1193" s="16">
        <f>DATE(YEAR(SUBSTITUTE(LEFT(Base_report!G1188,10),"-","/")),MONTH(SUBSTITUTE(LEFT(Base_report!G1188,10),"-","/")),DAY(SUBSTITUTE(LEFT(Base_report!G1188,10),"-","/")))</f>
        <v>45297</v>
      </c>
      <c r="I1193" s="17" t="str">
        <f t="shared" si="1"/>
        <v>OUI</v>
      </c>
      <c r="J1193" s="18">
        <f>IF(L1193="DS",DATE(RIGHT(B1193,4),VLOOKUP(LEFT(B1193,LEN(B1193)-5),Feuil1!$E$3:$F$19,2,FALSE)+1,10),DATE(RIGHT(B1193,4),VLOOKUP(LEFT(B1193,LEN(B1193)-5),Feuil1!$E$3:$F$19,2,FALSE)+1,7))</f>
        <v>45298</v>
      </c>
      <c r="K1193" s="19">
        <f t="shared" si="2"/>
        <v>1</v>
      </c>
      <c r="L1193" s="6" t="str">
        <f t="shared" si="3"/>
        <v>FS</v>
      </c>
    </row>
    <row r="1194" ht="14.25" customHeight="1">
      <c r="A1194" s="14" t="str">
        <f>Base_report!A1189</f>
        <v>FOLON</v>
      </c>
      <c r="B1194" s="14" t="str">
        <f>Base_report!B1189</f>
        <v>DECEMBRE 2023</v>
      </c>
      <c r="C1194" s="15" t="str">
        <f>Base_report!C1189</f>
        <v>C5074</v>
      </c>
      <c r="D1194" s="14" t="str">
        <f>TRIM(IF(ISNUMBER(FIND("PNSME",Base_report!D1189,1)),SUBSTITUTE(Base_report!D1189,"PNSME",""),IF(ISNUMBER(FIND("PHG",Base_report!D1189,1)),SUBSTITUTE(Base_report!D1189,"PHG",""),IF(ISNUMBER(FIND("PCS",Base_report!D1189,1)),SUBSTITUTE(Base_report!D1189,"PCS",""),IF(ISNUMBER(FIND("CMU",Base_report!D1189,1)),SUBSTITUTE(Base_report!D1189,"CMU",""),Base_report!D1189)))))</f>
        <v>HOPITAL GENERAL KANIASSO</v>
      </c>
      <c r="E1194" s="14" t="str">
        <f>SUBSTITUTE(Base_report!E1189,"-","/")</f>
        <v>PNLP/MEDICAMENTS ET INTRANTS</v>
      </c>
      <c r="F1194" s="14" t="s">
        <v>788</v>
      </c>
      <c r="G1194" s="16">
        <f>DATE(YEAR(SUBSTITUTE(LEFT(Base_report!F1189,10),"-","/")),MONTH(SUBSTITUTE(LEFT(Base_report!F1189,10),"-","/")),DAY(SUBSTITUTE(LEFT(Base_report!F1189,10),"-","/")))</f>
        <v>45297</v>
      </c>
      <c r="H1194" s="16">
        <f>DATE(YEAR(SUBSTITUTE(LEFT(Base_report!G1189,10),"-","/")),MONTH(SUBSTITUTE(LEFT(Base_report!G1189,10),"-","/")),DAY(SUBSTITUTE(LEFT(Base_report!G1189,10),"-","/")))</f>
        <v>45297</v>
      </c>
      <c r="I1194" s="17" t="str">
        <f t="shared" si="1"/>
        <v>OUI</v>
      </c>
      <c r="J1194" s="18">
        <f>IF(L1194="DS",DATE(RIGHT(B1194,4),VLOOKUP(LEFT(B1194,LEN(B1194)-5),Feuil1!$E$3:$F$19,2,FALSE)+1,10),DATE(RIGHT(B1194,4),VLOOKUP(LEFT(B1194,LEN(B1194)-5),Feuil1!$E$3:$F$19,2,FALSE)+1,7))</f>
        <v>45298</v>
      </c>
      <c r="K1194" s="19">
        <f t="shared" si="2"/>
        <v>1</v>
      </c>
      <c r="L1194" s="6" t="str">
        <f t="shared" si="3"/>
        <v>FS</v>
      </c>
    </row>
    <row r="1195" ht="14.25" customHeight="1">
      <c r="A1195" s="14" t="str">
        <f>Base_report!A1190</f>
        <v>LOH-DJIBOUA</v>
      </c>
      <c r="B1195" s="14" t="str">
        <f>Base_report!B1190</f>
        <v>DECEMBRE 2023</v>
      </c>
      <c r="C1195" s="15" t="str">
        <f>Base_report!C1190</f>
        <v>C2059</v>
      </c>
      <c r="D1195" s="14" t="str">
        <f>TRIM(IF(ISNUMBER(FIND("PNSME",Base_report!D1190,1)),SUBSTITUTE(Base_report!D1190,"PNSME",""),IF(ISNUMBER(FIND("PHG",Base_report!D1190,1)),SUBSTITUTE(Base_report!D1190,"PHG",""),IF(ISNUMBER(FIND("PCS",Base_report!D1190,1)),SUBSTITUTE(Base_report!D1190,"PCS",""),IF(ISNUMBER(FIND("CMU",Base_report!D1190,1)),SUBSTITUTE(Base_report!D1190,"CMU",""),Base_report!D1190)))))</f>
        <v>HOPITAL GENERAL LAKOTA</v>
      </c>
      <c r="E1195" s="14" t="str">
        <f>SUBSTITUTE(Base_report!E1190,"-","/")</f>
        <v>PNLS/TESTS RAPIDES ET CONSOMMABLES</v>
      </c>
      <c r="F1195" s="14" t="s">
        <v>788</v>
      </c>
      <c r="G1195" s="16">
        <f>DATE(YEAR(SUBSTITUTE(LEFT(Base_report!F1190,10),"-","/")),MONTH(SUBSTITUTE(LEFT(Base_report!F1190,10),"-","/")),DAY(SUBSTITUTE(LEFT(Base_report!F1190,10),"-","/")))</f>
        <v>45297</v>
      </c>
      <c r="H1195" s="16">
        <f>DATE(YEAR(SUBSTITUTE(LEFT(Base_report!G1190,10),"-","/")),MONTH(SUBSTITUTE(LEFT(Base_report!G1190,10),"-","/")),DAY(SUBSTITUTE(LEFT(Base_report!G1190,10),"-","/")))</f>
        <v>45297</v>
      </c>
      <c r="I1195" s="17" t="str">
        <f t="shared" si="1"/>
        <v>OUI</v>
      </c>
      <c r="J1195" s="18">
        <f>IF(L1195="DS",DATE(RIGHT(B1195,4),VLOOKUP(LEFT(B1195,LEN(B1195)-5),Feuil1!$E$3:$F$19,2,FALSE)+1,10),DATE(RIGHT(B1195,4),VLOOKUP(LEFT(B1195,LEN(B1195)-5),Feuil1!$E$3:$F$19,2,FALSE)+1,7))</f>
        <v>45298</v>
      </c>
      <c r="K1195" s="19">
        <f t="shared" si="2"/>
        <v>1</v>
      </c>
      <c r="L1195" s="6" t="str">
        <f t="shared" si="3"/>
        <v>FS</v>
      </c>
    </row>
    <row r="1196" ht="14.25" customHeight="1">
      <c r="A1196" s="14" t="str">
        <f>Base_report!A1191</f>
        <v>HAUT-SASSANDRA</v>
      </c>
      <c r="B1196" s="14" t="str">
        <f>Base_report!B1191</f>
        <v>DECEMBRE 2023</v>
      </c>
      <c r="C1196" s="15" t="str">
        <f>Base_report!C1191</f>
        <v>C2003</v>
      </c>
      <c r="D1196" s="14" t="str">
        <f>TRIM(IF(ISNUMBER(FIND("PNSME",Base_report!D1191,1)),SUBSTITUTE(Base_report!D1191,"PNSME",""),IF(ISNUMBER(FIND("PHG",Base_report!D1191,1)),SUBSTITUTE(Base_report!D1191,"PHG",""),IF(ISNUMBER(FIND("PCS",Base_report!D1191,1)),SUBSTITUTE(Base_report!D1191,"PCS",""),IF(ISNUMBER(FIND("CMU",Base_report!D1191,1)),SUBSTITUTE(Base_report!D1191,"CMU",""),Base_report!D1191)))))</f>
        <v>CHR DALOA</v>
      </c>
      <c r="E1196" s="14" t="str">
        <f>SUBSTITUTE(Base_report!E1191,"-","/")</f>
        <v>PNLS/CHARGES VIRALES</v>
      </c>
      <c r="F1196" s="14" t="s">
        <v>788</v>
      </c>
      <c r="G1196" s="16">
        <f>DATE(YEAR(SUBSTITUTE(LEFT(Base_report!F1191,10),"-","/")),MONTH(SUBSTITUTE(LEFT(Base_report!F1191,10),"-","/")),DAY(SUBSTITUTE(LEFT(Base_report!F1191,10),"-","/")))</f>
        <v>45297</v>
      </c>
      <c r="H1196" s="16">
        <f>DATE(YEAR(SUBSTITUTE(LEFT(Base_report!G1191,10),"-","/")),MONTH(SUBSTITUTE(LEFT(Base_report!G1191,10),"-","/")),DAY(SUBSTITUTE(LEFT(Base_report!G1191,10),"-","/")))</f>
        <v>45298</v>
      </c>
      <c r="I1196" s="17" t="str">
        <f t="shared" si="1"/>
        <v>OUI</v>
      </c>
      <c r="J1196" s="18">
        <f>IF(L1196="DS",DATE(RIGHT(B1196,4),VLOOKUP(LEFT(B1196,LEN(B1196)-5),Feuil1!$E$3:$F$19,2,FALSE)+1,10),DATE(RIGHT(B1196,4),VLOOKUP(LEFT(B1196,LEN(B1196)-5),Feuil1!$E$3:$F$19,2,FALSE)+1,7))</f>
        <v>45298</v>
      </c>
      <c r="K1196" s="19">
        <f t="shared" si="2"/>
        <v>1</v>
      </c>
      <c r="L1196" s="6" t="str">
        <f t="shared" si="3"/>
        <v>FS</v>
      </c>
    </row>
    <row r="1197" ht="14.25" customHeight="1">
      <c r="A1197" s="14" t="str">
        <f>Base_report!A1192</f>
        <v>BERE</v>
      </c>
      <c r="B1197" s="14" t="str">
        <f>Base_report!B1192</f>
        <v>DECEMBRE 2023</v>
      </c>
      <c r="C1197" s="15" t="str">
        <f>Base_report!C1192</f>
        <v>C5091</v>
      </c>
      <c r="D1197" s="14" t="str">
        <f>TRIM(IF(ISNUMBER(FIND("PNSME",Base_report!D1192,1)),SUBSTITUTE(Base_report!D1192,"PNSME",""),IF(ISNUMBER(FIND("PHG",Base_report!D1192,1)),SUBSTITUTE(Base_report!D1192,"PHG",""),IF(ISNUMBER(FIND("PCS",Base_report!D1192,1)),SUBSTITUTE(Base_report!D1192,"PCS",""),IF(ISNUMBER(FIND("CMU",Base_report!D1192,1)),SUBSTITUTE(Base_report!D1192,"CMU",""),Base_report!D1192)))))</f>
        <v>HOPITAL GENERAL DIANRA</v>
      </c>
      <c r="E1197" s="14" t="str">
        <f>SUBSTITUTE(Base_report!E1192,"-","/")</f>
        <v>PNLS/ANTIRETROVIRAUX ET IO</v>
      </c>
      <c r="F1197" s="14" t="s">
        <v>788</v>
      </c>
      <c r="G1197" s="16">
        <f>DATE(YEAR(SUBSTITUTE(LEFT(Base_report!F1192,10),"-","/")),MONTH(SUBSTITUTE(LEFT(Base_report!F1192,10),"-","/")),DAY(SUBSTITUTE(LEFT(Base_report!F1192,10),"-","/")))</f>
        <v>45297</v>
      </c>
      <c r="H1197" s="16">
        <f>DATE(YEAR(SUBSTITUTE(LEFT(Base_report!G1192,10),"-","/")),MONTH(SUBSTITUTE(LEFT(Base_report!G1192,10),"-","/")),DAY(SUBSTITUTE(LEFT(Base_report!G1192,10),"-","/")))</f>
        <v>45297</v>
      </c>
      <c r="I1197" s="17" t="str">
        <f t="shared" si="1"/>
        <v>OUI</v>
      </c>
      <c r="J1197" s="18">
        <f>IF(L1197="DS",DATE(RIGHT(B1197,4),VLOOKUP(LEFT(B1197,LEN(B1197)-5),Feuil1!$E$3:$F$19,2,FALSE)+1,10),DATE(RIGHT(B1197,4),VLOOKUP(LEFT(B1197,LEN(B1197)-5),Feuil1!$E$3:$F$19,2,FALSE)+1,7))</f>
        <v>45298</v>
      </c>
      <c r="K1197" s="19">
        <f t="shared" si="2"/>
        <v>1</v>
      </c>
      <c r="L1197" s="6" t="str">
        <f t="shared" si="3"/>
        <v>FS</v>
      </c>
    </row>
    <row r="1198" ht="14.25" customHeight="1">
      <c r="A1198" s="14" t="str">
        <f>Base_report!A1193</f>
        <v>LOH-DJIBOUA</v>
      </c>
      <c r="B1198" s="14" t="str">
        <f>Base_report!B1193</f>
        <v>DECEMBRE 2023</v>
      </c>
      <c r="C1198" s="15" t="str">
        <f>Base_report!C1193</f>
        <v>C2059</v>
      </c>
      <c r="D1198" s="14" t="str">
        <f>TRIM(IF(ISNUMBER(FIND("PNSME",Base_report!D1193,1)),SUBSTITUTE(Base_report!D1193,"PNSME",""),IF(ISNUMBER(FIND("PHG",Base_report!D1193,1)),SUBSTITUTE(Base_report!D1193,"PHG",""),IF(ISNUMBER(FIND("PCS",Base_report!D1193,1)),SUBSTITUTE(Base_report!D1193,"PCS",""),IF(ISNUMBER(FIND("CMU",Base_report!D1193,1)),SUBSTITUTE(Base_report!D1193,"CMU",""),Base_report!D1193)))))</f>
        <v>HOPITAL GENERAL LAKOTA</v>
      </c>
      <c r="E1198" s="14" t="str">
        <f>SUBSTITUTE(Base_report!E1193,"-","/")</f>
        <v>PNLS/PRODUITS DE LABORATOIRE</v>
      </c>
      <c r="F1198" s="14" t="s">
        <v>788</v>
      </c>
      <c r="G1198" s="16">
        <f>DATE(YEAR(SUBSTITUTE(LEFT(Base_report!F1193,10),"-","/")),MONTH(SUBSTITUTE(LEFT(Base_report!F1193,10),"-","/")),DAY(SUBSTITUTE(LEFT(Base_report!F1193,10),"-","/")))</f>
        <v>45297</v>
      </c>
      <c r="H1198" s="16">
        <f>DATE(YEAR(SUBSTITUTE(LEFT(Base_report!G1193,10),"-","/")),MONTH(SUBSTITUTE(LEFT(Base_report!G1193,10),"-","/")),DAY(SUBSTITUTE(LEFT(Base_report!G1193,10),"-","/")))</f>
        <v>45297</v>
      </c>
      <c r="I1198" s="17" t="str">
        <f t="shared" si="1"/>
        <v>OUI</v>
      </c>
      <c r="J1198" s="18">
        <f>IF(L1198="DS",DATE(RIGHT(B1198,4),VLOOKUP(LEFT(B1198,LEN(B1198)-5),Feuil1!$E$3:$F$19,2,FALSE)+1,10),DATE(RIGHT(B1198,4),VLOOKUP(LEFT(B1198,LEN(B1198)-5),Feuil1!$E$3:$F$19,2,FALSE)+1,7))</f>
        <v>45298</v>
      </c>
      <c r="K1198" s="19">
        <f t="shared" si="2"/>
        <v>1</v>
      </c>
      <c r="L1198" s="6" t="str">
        <f t="shared" si="3"/>
        <v>FS</v>
      </c>
    </row>
    <row r="1199" ht="14.25" customHeight="1">
      <c r="A1199" s="14" t="str">
        <f>Base_report!A1194</f>
        <v>BOUNKANI</v>
      </c>
      <c r="B1199" s="14" t="str">
        <f>Base_report!B1194</f>
        <v>DECEMBRE 2023</v>
      </c>
      <c r="C1199" s="15" t="str">
        <f>Base_report!C1194</f>
        <v>C4018</v>
      </c>
      <c r="D1199" s="14" t="str">
        <f>TRIM(IF(ISNUMBER(FIND("PNSME",Base_report!D1194,1)),SUBSTITUTE(Base_report!D1194,"PNSME",""),IF(ISNUMBER(FIND("PHG",Base_report!D1194,1)),SUBSTITUTE(Base_report!D1194,"PHG",""),IF(ISNUMBER(FIND("PCS",Base_report!D1194,1)),SUBSTITUTE(Base_report!D1194,"PCS",""),IF(ISNUMBER(FIND("CMU",Base_report!D1194,1)),SUBSTITUTE(Base_report!D1194,"CMU",""),Base_report!D1194)))))</f>
        <v>HOPITAL GENERAL BOUNA</v>
      </c>
      <c r="E1199" s="14" t="str">
        <f>SUBSTITUTE(Base_report!E1194,"-","/")</f>
        <v>PNLS/TESTS RAPIDES ET CONSOMMABLES</v>
      </c>
      <c r="F1199" s="14" t="s">
        <v>788</v>
      </c>
      <c r="G1199" s="16">
        <f>DATE(YEAR(SUBSTITUTE(LEFT(Base_report!F1194,10),"-","/")),MONTH(SUBSTITUTE(LEFT(Base_report!F1194,10),"-","/")),DAY(SUBSTITUTE(LEFT(Base_report!F1194,10),"-","/")))</f>
        <v>45297</v>
      </c>
      <c r="H1199" s="16">
        <f>DATE(YEAR(SUBSTITUTE(LEFT(Base_report!G1194,10),"-","/")),MONTH(SUBSTITUTE(LEFT(Base_report!G1194,10),"-","/")),DAY(SUBSTITUTE(LEFT(Base_report!G1194,10),"-","/")))</f>
        <v>45299</v>
      </c>
      <c r="I1199" s="17" t="str">
        <f t="shared" si="1"/>
        <v>OUI</v>
      </c>
      <c r="J1199" s="18">
        <f>IF(L1199="DS",DATE(RIGHT(B1199,4),VLOOKUP(LEFT(B1199,LEN(B1199)-5),Feuil1!$E$3:$F$19,2,FALSE)+1,10),DATE(RIGHT(B1199,4),VLOOKUP(LEFT(B1199,LEN(B1199)-5),Feuil1!$E$3:$F$19,2,FALSE)+1,7))</f>
        <v>45298</v>
      </c>
      <c r="K1199" s="19">
        <f t="shared" si="2"/>
        <v>0</v>
      </c>
      <c r="L1199" s="6" t="str">
        <f t="shared" si="3"/>
        <v>FS</v>
      </c>
    </row>
    <row r="1200" ht="14.25" customHeight="1">
      <c r="A1200" s="14" t="str">
        <f>Base_report!A1195</f>
        <v>HAMBOL</v>
      </c>
      <c r="B1200" s="14" t="str">
        <f>Base_report!B1195</f>
        <v>DECEMBRE 2023</v>
      </c>
      <c r="C1200" s="15" t="str">
        <f>Base_report!C1195</f>
        <v>C3019</v>
      </c>
      <c r="D1200" s="14" t="str">
        <f>TRIM(IF(ISNUMBER(FIND("PNSME",Base_report!D1195,1)),SUBSTITUTE(Base_report!D1195,"PNSME",""),IF(ISNUMBER(FIND("PHG",Base_report!D1195,1)),SUBSTITUTE(Base_report!D1195,"PHG",""),IF(ISNUMBER(FIND("PCS",Base_report!D1195,1)),SUBSTITUTE(Base_report!D1195,"PCS",""),IF(ISNUMBER(FIND("CMU",Base_report!D1195,1)),SUBSTITUTE(Base_report!D1195,"CMU",""),Base_report!D1195)))))</f>
        <v>HOPITAL GENERAL NIAKARA</v>
      </c>
      <c r="E1200" s="14" t="str">
        <f>SUBSTITUTE(Base_report!E1195,"-","/")</f>
        <v>PNLS/TESTS RAPIDES ET CONSOMMABLES</v>
      </c>
      <c r="F1200" s="14" t="s">
        <v>788</v>
      </c>
      <c r="G1200" s="16">
        <f>DATE(YEAR(SUBSTITUTE(LEFT(Base_report!F1195,10),"-","/")),MONTH(SUBSTITUTE(LEFT(Base_report!F1195,10),"-","/")),DAY(SUBSTITUTE(LEFT(Base_report!F1195,10),"-","/")))</f>
        <v>45297</v>
      </c>
      <c r="H1200" s="16">
        <f>DATE(YEAR(SUBSTITUTE(LEFT(Base_report!G1195,10),"-","/")),MONTH(SUBSTITUTE(LEFT(Base_report!G1195,10),"-","/")),DAY(SUBSTITUTE(LEFT(Base_report!G1195,10),"-","/")))</f>
        <v>45297</v>
      </c>
      <c r="I1200" s="17" t="str">
        <f t="shared" si="1"/>
        <v>OUI</v>
      </c>
      <c r="J1200" s="18">
        <f>IF(L1200="DS",DATE(RIGHT(B1200,4),VLOOKUP(LEFT(B1200,LEN(B1200)-5),Feuil1!$E$3:$F$19,2,FALSE)+1,10),DATE(RIGHT(B1200,4),VLOOKUP(LEFT(B1200,LEN(B1200)-5),Feuil1!$E$3:$F$19,2,FALSE)+1,7))</f>
        <v>45298</v>
      </c>
      <c r="K1200" s="19">
        <f t="shared" si="2"/>
        <v>1</v>
      </c>
      <c r="L1200" s="6" t="str">
        <f t="shared" si="3"/>
        <v>FS</v>
      </c>
    </row>
    <row r="1201" ht="14.25" customHeight="1">
      <c r="A1201" s="14" t="str">
        <f>Base_report!A1196</f>
        <v>LOH-DJIBOUA</v>
      </c>
      <c r="B1201" s="14" t="str">
        <f>Base_report!B1196</f>
        <v>DECEMBRE 2023</v>
      </c>
      <c r="C1201" s="15" t="str">
        <f>Base_report!C1196</f>
        <v>C2059</v>
      </c>
      <c r="D1201" s="14" t="str">
        <f>TRIM(IF(ISNUMBER(FIND("PNSME",Base_report!D1196,1)),SUBSTITUTE(Base_report!D1196,"PNSME",""),IF(ISNUMBER(FIND("PHG",Base_report!D1196,1)),SUBSTITUTE(Base_report!D1196,"PHG",""),IF(ISNUMBER(FIND("PCS",Base_report!D1196,1)),SUBSTITUTE(Base_report!D1196,"PCS",""),IF(ISNUMBER(FIND("CMU",Base_report!D1196,1)),SUBSTITUTE(Base_report!D1196,"CMU",""),Base_report!D1196)))))</f>
        <v>HOPITAL GENERAL LAKOTA</v>
      </c>
      <c r="E1201" s="14" t="str">
        <f>SUBSTITUTE(Base_report!E1196,"-","/")</f>
        <v>PNLP/MEDICAMENTS ET INTRANTS</v>
      </c>
      <c r="F1201" s="14" t="s">
        <v>788</v>
      </c>
      <c r="G1201" s="16">
        <f>DATE(YEAR(SUBSTITUTE(LEFT(Base_report!F1196,10),"-","/")),MONTH(SUBSTITUTE(LEFT(Base_report!F1196,10),"-","/")),DAY(SUBSTITUTE(LEFT(Base_report!F1196,10),"-","/")))</f>
        <v>45297</v>
      </c>
      <c r="H1201" s="16">
        <f>DATE(YEAR(SUBSTITUTE(LEFT(Base_report!G1196,10),"-","/")),MONTH(SUBSTITUTE(LEFT(Base_report!G1196,10),"-","/")),DAY(SUBSTITUTE(LEFT(Base_report!G1196,10),"-","/")))</f>
        <v>45297</v>
      </c>
      <c r="I1201" s="17" t="str">
        <f t="shared" si="1"/>
        <v>OUI</v>
      </c>
      <c r="J1201" s="18">
        <f>IF(L1201="DS",DATE(RIGHT(B1201,4),VLOOKUP(LEFT(B1201,LEN(B1201)-5),Feuil1!$E$3:$F$19,2,FALSE)+1,10),DATE(RIGHT(B1201,4),VLOOKUP(LEFT(B1201,LEN(B1201)-5),Feuil1!$E$3:$F$19,2,FALSE)+1,7))</f>
        <v>45298</v>
      </c>
      <c r="K1201" s="19">
        <f t="shared" si="2"/>
        <v>1</v>
      </c>
      <c r="L1201" s="6" t="str">
        <f t="shared" si="3"/>
        <v>FS</v>
      </c>
    </row>
    <row r="1202" ht="14.25" customHeight="1">
      <c r="A1202" s="14" t="str">
        <f>Base_report!A1197</f>
        <v>GONTOUGO</v>
      </c>
      <c r="B1202" s="14" t="str">
        <f>Base_report!B1197</f>
        <v>DECEMBRE 2023</v>
      </c>
      <c r="C1202" s="15" t="str">
        <f>Base_report!C1197</f>
        <v>C4068</v>
      </c>
      <c r="D1202" s="14" t="str">
        <f>TRIM(IF(ISNUMBER(FIND("PNSME",Base_report!D1197,1)),SUBSTITUTE(Base_report!D1197,"PNSME",""),IF(ISNUMBER(FIND("PHG",Base_report!D1197,1)),SUBSTITUTE(Base_report!D1197,"PHG",""),IF(ISNUMBER(FIND("PCS",Base_report!D1197,1)),SUBSTITUTE(Base_report!D1197,"PCS",""),IF(ISNUMBER(FIND("CMU",Base_report!D1197,1)),SUBSTITUTE(Base_report!D1197,"CMU",""),Base_report!D1197)))))</f>
        <v>DISTRICT SANITAIRE SANDEGUE</v>
      </c>
      <c r="E1202" s="14" t="str">
        <f>SUBSTITUTE(Base_report!E1197,"-","/")</f>
        <v>PNN/MEDICAMENTS ET INTRANTS</v>
      </c>
      <c r="F1202" s="14" t="s">
        <v>788</v>
      </c>
      <c r="G1202" s="16">
        <f>DATE(YEAR(SUBSTITUTE(LEFT(Base_report!F1197,10),"-","/")),MONTH(SUBSTITUTE(LEFT(Base_report!F1197,10),"-","/")),DAY(SUBSTITUTE(LEFT(Base_report!F1197,10),"-","/")))</f>
        <v>45297</v>
      </c>
      <c r="H1202" s="16">
        <f>DATE(YEAR(SUBSTITUTE(LEFT(Base_report!G1197,10),"-","/")),MONTH(SUBSTITUTE(LEFT(Base_report!G1197,10),"-","/")),DAY(SUBSTITUTE(LEFT(Base_report!G1197,10),"-","/")))</f>
        <v>45298</v>
      </c>
      <c r="I1202" s="17" t="str">
        <f t="shared" si="1"/>
        <v>OUI</v>
      </c>
      <c r="J1202" s="18">
        <f>IF(L1202="DS",DATE(RIGHT(B1202,4),VLOOKUP(LEFT(B1202,LEN(B1202)-5),Feuil1!$E$3:$F$19,2,FALSE)+1,10),DATE(RIGHT(B1202,4),VLOOKUP(LEFT(B1202,LEN(B1202)-5),Feuil1!$E$3:$F$19,2,FALSE)+1,7))</f>
        <v>45301</v>
      </c>
      <c r="K1202" s="19">
        <f t="shared" si="2"/>
        <v>1</v>
      </c>
      <c r="L1202" s="6" t="str">
        <f t="shared" si="3"/>
        <v>DS</v>
      </c>
    </row>
    <row r="1203" ht="14.25" customHeight="1">
      <c r="A1203" s="14" t="str">
        <f>Base_report!A1198</f>
        <v>LOH-DJIBOUA</v>
      </c>
      <c r="B1203" s="14" t="str">
        <f>Base_report!B1198</f>
        <v>DECEMBRE 2023</v>
      </c>
      <c r="C1203" s="15" t="str">
        <f>Base_report!C1198</f>
        <v>C2059</v>
      </c>
      <c r="D1203" s="14" t="str">
        <f>TRIM(IF(ISNUMBER(FIND("PNSME",Base_report!D1198,1)),SUBSTITUTE(Base_report!D1198,"PNSME",""),IF(ISNUMBER(FIND("PHG",Base_report!D1198,1)),SUBSTITUTE(Base_report!D1198,"PHG",""),IF(ISNUMBER(FIND("PCS",Base_report!D1198,1)),SUBSTITUTE(Base_report!D1198,"PCS",""),IF(ISNUMBER(FIND("CMU",Base_report!D1198,1)),SUBSTITUTE(Base_report!D1198,"CMU",""),Base_report!D1198)))))</f>
        <v>HOPITAL GENERAL LAKOTA</v>
      </c>
      <c r="E1203" s="14" t="str">
        <f>SUBSTITUTE(Base_report!E1198,"-","/")</f>
        <v>PNSME/MEDICAMENTS ET INTRANTS</v>
      </c>
      <c r="F1203" s="14" t="s">
        <v>788</v>
      </c>
      <c r="G1203" s="16">
        <f>DATE(YEAR(SUBSTITUTE(LEFT(Base_report!F1198,10),"-","/")),MONTH(SUBSTITUTE(LEFT(Base_report!F1198,10),"-","/")),DAY(SUBSTITUTE(LEFT(Base_report!F1198,10),"-","/")))</f>
        <v>45297</v>
      </c>
      <c r="H1203" s="16">
        <f>DATE(YEAR(SUBSTITUTE(LEFT(Base_report!G1198,10),"-","/")),MONTH(SUBSTITUTE(LEFT(Base_report!G1198,10),"-","/")),DAY(SUBSTITUTE(LEFT(Base_report!G1198,10),"-","/")))</f>
        <v>45297</v>
      </c>
      <c r="I1203" s="17" t="str">
        <f t="shared" si="1"/>
        <v>OUI</v>
      </c>
      <c r="J1203" s="18">
        <f>IF(L1203="DS",DATE(RIGHT(B1203,4),VLOOKUP(LEFT(B1203,LEN(B1203)-5),Feuil1!$E$3:$F$19,2,FALSE)+1,10),DATE(RIGHT(B1203,4),VLOOKUP(LEFT(B1203,LEN(B1203)-5),Feuil1!$E$3:$F$19,2,FALSE)+1,7))</f>
        <v>45298</v>
      </c>
      <c r="K1203" s="19">
        <f t="shared" si="2"/>
        <v>1</v>
      </c>
      <c r="L1203" s="6" t="str">
        <f t="shared" si="3"/>
        <v>FS</v>
      </c>
    </row>
    <row r="1204" ht="14.25" customHeight="1">
      <c r="A1204" s="14" t="str">
        <f>Base_report!A1199</f>
        <v>FOLON</v>
      </c>
      <c r="B1204" s="14" t="str">
        <f>Base_report!B1199</f>
        <v>DECEMBRE 2023</v>
      </c>
      <c r="C1204" s="15" t="str">
        <f>Base_report!C1199</f>
        <v>C5074</v>
      </c>
      <c r="D1204" s="14" t="str">
        <f>TRIM(IF(ISNUMBER(FIND("PNSME",Base_report!D1199,1)),SUBSTITUTE(Base_report!D1199,"PNSME",""),IF(ISNUMBER(FIND("PHG",Base_report!D1199,1)),SUBSTITUTE(Base_report!D1199,"PHG",""),IF(ISNUMBER(FIND("PCS",Base_report!D1199,1)),SUBSTITUTE(Base_report!D1199,"PCS",""),IF(ISNUMBER(FIND("CMU",Base_report!D1199,1)),SUBSTITUTE(Base_report!D1199,"CMU",""),Base_report!D1199)))))</f>
        <v>HOPITAL GENERAL KANIASSO</v>
      </c>
      <c r="E1204" s="14" t="str">
        <f>SUBSTITUTE(Base_report!E1199,"-","/")</f>
        <v>PNN/MEDICAMENTS ET INTRANTS</v>
      </c>
      <c r="F1204" s="14" t="s">
        <v>788</v>
      </c>
      <c r="G1204" s="16">
        <f>DATE(YEAR(SUBSTITUTE(LEFT(Base_report!F1199,10),"-","/")),MONTH(SUBSTITUTE(LEFT(Base_report!F1199,10),"-","/")),DAY(SUBSTITUTE(LEFT(Base_report!F1199,10),"-","/")))</f>
        <v>45297</v>
      </c>
      <c r="H1204" s="16">
        <f>DATE(YEAR(SUBSTITUTE(LEFT(Base_report!G1199,10),"-","/")),MONTH(SUBSTITUTE(LEFT(Base_report!G1199,10),"-","/")),DAY(SUBSTITUTE(LEFT(Base_report!G1199,10),"-","/")))</f>
        <v>45297</v>
      </c>
      <c r="I1204" s="17" t="str">
        <f t="shared" si="1"/>
        <v>OUI</v>
      </c>
      <c r="J1204" s="18">
        <f>IF(L1204="DS",DATE(RIGHT(B1204,4),VLOOKUP(LEFT(B1204,LEN(B1204)-5),Feuil1!$E$3:$F$19,2,FALSE)+1,10),DATE(RIGHT(B1204,4),VLOOKUP(LEFT(B1204,LEN(B1204)-5),Feuil1!$E$3:$F$19,2,FALSE)+1,7))</f>
        <v>45298</v>
      </c>
      <c r="K1204" s="19">
        <f t="shared" si="2"/>
        <v>1</v>
      </c>
      <c r="L1204" s="6" t="str">
        <f t="shared" si="3"/>
        <v>FS</v>
      </c>
    </row>
    <row r="1205" ht="14.25" customHeight="1">
      <c r="A1205" s="14" t="str">
        <f>Base_report!A1200</f>
        <v>ABIDJAN 1</v>
      </c>
      <c r="B1205" s="14" t="str">
        <f>Base_report!B1200</f>
        <v>DECEMBRE 2023</v>
      </c>
      <c r="C1205" s="15" t="str">
        <f>Base_report!C1200</f>
        <v>C1905</v>
      </c>
      <c r="D1205" s="14" t="str">
        <f>TRIM(IF(ISNUMBER(FIND("PNSME",Base_report!D1200,1)),SUBSTITUTE(Base_report!D1200,"PNSME",""),IF(ISNUMBER(FIND("PHG",Base_report!D1200,1)),SUBSTITUTE(Base_report!D1200,"PHG",""),IF(ISNUMBER(FIND("PCS",Base_report!D1200,1)),SUBSTITUTE(Base_report!D1200,"PCS",""),IF(ISNUMBER(FIND("CMU",Base_report!D1200,1)),SUBSTITUTE(Base_report!D1200,"CMU",""),Base_report!D1200)))))</f>
        <v>CSU SONGON KASSEMBLE</v>
      </c>
      <c r="E1205" s="14" t="str">
        <f>SUBSTITUTE(Base_report!E1200,"-","/")</f>
        <v>PNLP/MEDICAMENTS ET INTRANTS</v>
      </c>
      <c r="F1205" s="14" t="s">
        <v>788</v>
      </c>
      <c r="G1205" s="16">
        <f>DATE(YEAR(SUBSTITUTE(LEFT(Base_report!F1200,10),"-","/")),MONTH(SUBSTITUTE(LEFT(Base_report!F1200,10),"-","/")),DAY(SUBSTITUTE(LEFT(Base_report!F1200,10),"-","/")))</f>
        <v>45298</v>
      </c>
      <c r="H1205" s="16">
        <f>DATE(YEAR(SUBSTITUTE(LEFT(Base_report!G1200,10),"-","/")),MONTH(SUBSTITUTE(LEFT(Base_report!G1200,10),"-","/")),DAY(SUBSTITUTE(LEFT(Base_report!G1200,10),"-","/")))</f>
        <v>45298</v>
      </c>
      <c r="I1205" s="17" t="str">
        <f t="shared" si="1"/>
        <v>OUI</v>
      </c>
      <c r="J1205" s="18">
        <f>IF(L1205="DS",DATE(RIGHT(B1205,4),VLOOKUP(LEFT(B1205,LEN(B1205)-5),Feuil1!$E$3:$F$19,2,FALSE)+1,10),DATE(RIGHT(B1205,4),VLOOKUP(LEFT(B1205,LEN(B1205)-5),Feuil1!$E$3:$F$19,2,FALSE)+1,7))</f>
        <v>45298</v>
      </c>
      <c r="K1205" s="19">
        <f t="shared" si="2"/>
        <v>1</v>
      </c>
      <c r="L1205" s="6" t="str">
        <f t="shared" si="3"/>
        <v>FS</v>
      </c>
    </row>
    <row r="1206" ht="14.25" customHeight="1">
      <c r="A1206" s="14" t="str">
        <f>Base_report!A1201</f>
        <v>FOLON</v>
      </c>
      <c r="B1206" s="14" t="str">
        <f>Base_report!B1201</f>
        <v>DECEMBRE 2023</v>
      </c>
      <c r="C1206" s="15" t="str">
        <f>Base_report!C1201</f>
        <v>C5074</v>
      </c>
      <c r="D1206" s="14" t="str">
        <f>TRIM(IF(ISNUMBER(FIND("PNSME",Base_report!D1201,1)),SUBSTITUTE(Base_report!D1201,"PNSME",""),IF(ISNUMBER(FIND("PHG",Base_report!D1201,1)),SUBSTITUTE(Base_report!D1201,"PHG",""),IF(ISNUMBER(FIND("PCS",Base_report!D1201,1)),SUBSTITUTE(Base_report!D1201,"PCS",""),IF(ISNUMBER(FIND("CMU",Base_report!D1201,1)),SUBSTITUTE(Base_report!D1201,"CMU",""),Base_report!D1201)))))</f>
        <v>HOPITAL GENERAL KANIASSO</v>
      </c>
      <c r="E1206" s="14" t="str">
        <f>SUBSTITUTE(Base_report!E1201,"-","/")</f>
        <v>PNSME/MEDICAMENTS ET INTRANTS</v>
      </c>
      <c r="F1206" s="14" t="s">
        <v>788</v>
      </c>
      <c r="G1206" s="16">
        <f>DATE(YEAR(SUBSTITUTE(LEFT(Base_report!F1201,10),"-","/")),MONTH(SUBSTITUTE(LEFT(Base_report!F1201,10),"-","/")),DAY(SUBSTITUTE(LEFT(Base_report!F1201,10),"-","/")))</f>
        <v>45297</v>
      </c>
      <c r="H1206" s="16">
        <f>DATE(YEAR(SUBSTITUTE(LEFT(Base_report!G1201,10),"-","/")),MONTH(SUBSTITUTE(LEFT(Base_report!G1201,10),"-","/")),DAY(SUBSTITUTE(LEFT(Base_report!G1201,10),"-","/")))</f>
        <v>45297</v>
      </c>
      <c r="I1206" s="17" t="str">
        <f t="shared" si="1"/>
        <v>OUI</v>
      </c>
      <c r="J1206" s="18">
        <f>IF(L1206="DS",DATE(RIGHT(B1206,4),VLOOKUP(LEFT(B1206,LEN(B1206)-5),Feuil1!$E$3:$F$19,2,FALSE)+1,10),DATE(RIGHT(B1206,4),VLOOKUP(LEFT(B1206,LEN(B1206)-5),Feuil1!$E$3:$F$19,2,FALSE)+1,7))</f>
        <v>45298</v>
      </c>
      <c r="K1206" s="19">
        <f t="shared" si="2"/>
        <v>1</v>
      </c>
      <c r="L1206" s="6" t="str">
        <f t="shared" si="3"/>
        <v>FS</v>
      </c>
    </row>
    <row r="1207" ht="14.25" customHeight="1">
      <c r="A1207" s="14" t="str">
        <f>Base_report!A1202</f>
        <v>FOLON</v>
      </c>
      <c r="B1207" s="14" t="str">
        <f>Base_report!B1202</f>
        <v>DECEMBRE 2023</v>
      </c>
      <c r="C1207" s="15" t="str">
        <f>Base_report!C1202</f>
        <v>C5074</v>
      </c>
      <c r="D1207" s="14" t="str">
        <f>TRIM(IF(ISNUMBER(FIND("PNSME",Base_report!D1202,1)),SUBSTITUTE(Base_report!D1202,"PNSME",""),IF(ISNUMBER(FIND("PHG",Base_report!D1202,1)),SUBSTITUTE(Base_report!D1202,"PHG",""),IF(ISNUMBER(FIND("PCS",Base_report!D1202,1)),SUBSTITUTE(Base_report!D1202,"PCS",""),IF(ISNUMBER(FIND("CMU",Base_report!D1202,1)),SUBSTITUTE(Base_report!D1202,"CMU",""),Base_report!D1202)))))</f>
        <v>HOPITAL GENERAL KANIASSO</v>
      </c>
      <c r="E1207" s="14" t="str">
        <f>SUBSTITUTE(Base_report!E1202,"-","/")</f>
        <v>PNLS/ANTIRETROVIRAUX ET IO</v>
      </c>
      <c r="F1207" s="14" t="s">
        <v>788</v>
      </c>
      <c r="G1207" s="16">
        <f>DATE(YEAR(SUBSTITUTE(LEFT(Base_report!F1202,10),"-","/")),MONTH(SUBSTITUTE(LEFT(Base_report!F1202,10),"-","/")),DAY(SUBSTITUTE(LEFT(Base_report!F1202,10),"-","/")))</f>
        <v>45297</v>
      </c>
      <c r="H1207" s="16">
        <f>DATE(YEAR(SUBSTITUTE(LEFT(Base_report!G1202,10),"-","/")),MONTH(SUBSTITUTE(LEFT(Base_report!G1202,10),"-","/")),DAY(SUBSTITUTE(LEFT(Base_report!G1202,10),"-","/")))</f>
        <v>45297</v>
      </c>
      <c r="I1207" s="17" t="str">
        <f t="shared" si="1"/>
        <v>OUI</v>
      </c>
      <c r="J1207" s="18">
        <f>IF(L1207="DS",DATE(RIGHT(B1207,4),VLOOKUP(LEFT(B1207,LEN(B1207)-5),Feuil1!$E$3:$F$19,2,FALSE)+1,10),DATE(RIGHT(B1207,4),VLOOKUP(LEFT(B1207,LEN(B1207)-5),Feuil1!$E$3:$F$19,2,FALSE)+1,7))</f>
        <v>45298</v>
      </c>
      <c r="K1207" s="19">
        <f t="shared" si="2"/>
        <v>1</v>
      </c>
      <c r="L1207" s="6" t="str">
        <f t="shared" si="3"/>
        <v>FS</v>
      </c>
    </row>
    <row r="1208" ht="14.25" customHeight="1">
      <c r="A1208" s="14" t="str">
        <f>Base_report!A1203</f>
        <v>GBEKE</v>
      </c>
      <c r="B1208" s="14" t="str">
        <f>Base_report!B1203</f>
        <v>DECEMBRE 2023</v>
      </c>
      <c r="C1208" s="15" t="str">
        <f>Base_report!C1203</f>
        <v>C2010</v>
      </c>
      <c r="D1208" s="14" t="str">
        <f>TRIM(IF(ISNUMBER(FIND("PNSME",Base_report!D1203,1)),SUBSTITUTE(Base_report!D1203,"PNSME",""),IF(ISNUMBER(FIND("PHG",Base_report!D1203,1)),SUBSTITUTE(Base_report!D1203,"PHG",""),IF(ISNUMBER(FIND("PCS",Base_report!D1203,1)),SUBSTITUTE(Base_report!D1203,"PCS",""),IF(ISNUMBER(FIND("CMU",Base_report!D1203,1)),SUBSTITUTE(Base_report!D1203,"CMU",""),Base_report!D1203)))))</f>
        <v>CHU BOUAKE</v>
      </c>
      <c r="E1208" s="14" t="str">
        <f>SUBSTITUTE(Base_report!E1203,"-","/")</f>
        <v>PNSME_GRATUITE:MEDICAMENTS ET INTRANTS</v>
      </c>
      <c r="F1208" s="14" t="s">
        <v>788</v>
      </c>
      <c r="G1208" s="16">
        <f>DATE(YEAR(SUBSTITUTE(LEFT(Base_report!F1203,10),"-","/")),MONTH(SUBSTITUTE(LEFT(Base_report!F1203,10),"-","/")),DAY(SUBSTITUTE(LEFT(Base_report!F1203,10),"-","/")))</f>
        <v>45297</v>
      </c>
      <c r="H1208" s="16">
        <f>DATE(YEAR(SUBSTITUTE(LEFT(Base_report!G1203,10),"-","/")),MONTH(SUBSTITUTE(LEFT(Base_report!G1203,10),"-","/")),DAY(SUBSTITUTE(LEFT(Base_report!G1203,10),"-","/")))</f>
        <v>45299</v>
      </c>
      <c r="I1208" s="17" t="str">
        <f t="shared" si="1"/>
        <v>OUI</v>
      </c>
      <c r="J1208" s="18">
        <f>IF(L1208="DS",DATE(RIGHT(B1208,4),VLOOKUP(LEFT(B1208,LEN(B1208)-5),Feuil1!$E$3:$F$19,2,FALSE)+1,10),DATE(RIGHT(B1208,4),VLOOKUP(LEFT(B1208,LEN(B1208)-5),Feuil1!$E$3:$F$19,2,FALSE)+1,7))</f>
        <v>45298</v>
      </c>
      <c r="K1208" s="19">
        <f t="shared" si="2"/>
        <v>0</v>
      </c>
      <c r="L1208" s="6" t="str">
        <f t="shared" si="3"/>
        <v>FS</v>
      </c>
    </row>
    <row r="1209" ht="14.25" customHeight="1">
      <c r="A1209" s="14" t="str">
        <f>Base_report!A1204</f>
        <v>ABIDJAN 2</v>
      </c>
      <c r="B1209" s="14" t="str">
        <f>Base_report!B1204</f>
        <v>DECEMBRE 2023</v>
      </c>
      <c r="C1209" s="15" t="str">
        <f>Base_report!C1204</f>
        <v>C1107</v>
      </c>
      <c r="D1209" s="14" t="str">
        <f>TRIM(IF(ISNUMBER(FIND("PNSME",Base_report!D1204,1)),SUBSTITUTE(Base_report!D1204,"PNSME",""),IF(ISNUMBER(FIND("PHG",Base_report!D1204,1)),SUBSTITUTE(Base_report!D1204,"PHG",""),IF(ISNUMBER(FIND("PCS",Base_report!D1204,1)),SUBSTITUTE(Base_report!D1204,"PCS",""),IF(ISNUMBER(FIND("CMU",Base_report!D1204,1)),SUBSTITUTE(Base_report!D1204,"CMU",""),Base_report!D1204)))))</f>
        <v>INSTITUT PASTEUR COTE D'IVOIRE</v>
      </c>
      <c r="E1209" s="14" t="str">
        <f>SUBSTITUTE(Base_report!E1204,"-","/")</f>
        <v>PNLS/CHARGES VIRALES</v>
      </c>
      <c r="F1209" s="14" t="s">
        <v>788</v>
      </c>
      <c r="G1209" s="16">
        <f>DATE(YEAR(SUBSTITUTE(LEFT(Base_report!F1204,10),"-","/")),MONTH(SUBSTITUTE(LEFT(Base_report!F1204,10),"-","/")),DAY(SUBSTITUTE(LEFT(Base_report!F1204,10),"-","/")))</f>
        <v>45297</v>
      </c>
      <c r="H1209" s="16">
        <f>DATE(YEAR(SUBSTITUTE(LEFT(Base_report!G1204,10),"-","/")),MONTH(SUBSTITUTE(LEFT(Base_report!G1204,10),"-","/")),DAY(SUBSTITUTE(LEFT(Base_report!G1204,10),"-","/")))</f>
        <v>45297</v>
      </c>
      <c r="I1209" s="17" t="str">
        <f t="shared" si="1"/>
        <v>OUI</v>
      </c>
      <c r="J1209" s="18">
        <f>IF(L1209="DS",DATE(RIGHT(B1209,4),VLOOKUP(LEFT(B1209,LEN(B1209)-5),Feuil1!$E$3:$F$19,2,FALSE)+1,10),DATE(RIGHT(B1209,4),VLOOKUP(LEFT(B1209,LEN(B1209)-5),Feuil1!$E$3:$F$19,2,FALSE)+1,7))</f>
        <v>45298</v>
      </c>
      <c r="K1209" s="19">
        <f t="shared" si="2"/>
        <v>1</v>
      </c>
      <c r="L1209" s="6" t="str">
        <f t="shared" si="3"/>
        <v>FS</v>
      </c>
    </row>
    <row r="1210" ht="14.25" customHeight="1">
      <c r="A1210" s="14" t="str">
        <f>Base_report!A1205</f>
        <v>MARAHOUE</v>
      </c>
      <c r="B1210" s="14" t="str">
        <f>Base_report!B1205</f>
        <v>DECEMBRE 2023</v>
      </c>
      <c r="C1210" s="15" t="str">
        <f>Base_report!C1205</f>
        <v>C2002</v>
      </c>
      <c r="D1210" s="14" t="str">
        <f>TRIM(IF(ISNUMBER(FIND("PNSME",Base_report!D1205,1)),SUBSTITUTE(Base_report!D1205,"PNSME",""),IF(ISNUMBER(FIND("PHG",Base_report!D1205,1)),SUBSTITUTE(Base_report!D1205,"PHG",""),IF(ISNUMBER(FIND("PCS",Base_report!D1205,1)),SUBSTITUTE(Base_report!D1205,"PCS",""),IF(ISNUMBER(FIND("CMU",Base_report!D1205,1)),SUBSTITUTE(Base_report!D1205,"CMU",""),Base_report!D1205)))))</f>
        <v>CHR BOUAFLE</v>
      </c>
      <c r="E1210" s="14" t="str">
        <f>SUBSTITUTE(Base_report!E1205,"-","/")</f>
        <v>PNLP/MEDICAMENTS ET INTRANTS</v>
      </c>
      <c r="F1210" s="14" t="s">
        <v>788</v>
      </c>
      <c r="G1210" s="16">
        <f>DATE(YEAR(SUBSTITUTE(LEFT(Base_report!F1205,10),"-","/")),MONTH(SUBSTITUTE(LEFT(Base_report!F1205,10),"-","/")),DAY(SUBSTITUTE(LEFT(Base_report!F1205,10),"-","/")))</f>
        <v>45297</v>
      </c>
      <c r="H1210" s="16">
        <f>DATE(YEAR(SUBSTITUTE(LEFT(Base_report!G1205,10),"-","/")),MONTH(SUBSTITUTE(LEFT(Base_report!G1205,10),"-","/")),DAY(SUBSTITUTE(LEFT(Base_report!G1205,10),"-","/")))</f>
        <v>45297</v>
      </c>
      <c r="I1210" s="17" t="str">
        <f t="shared" si="1"/>
        <v>OUI</v>
      </c>
      <c r="J1210" s="18">
        <f>IF(L1210="DS",DATE(RIGHT(B1210,4),VLOOKUP(LEFT(B1210,LEN(B1210)-5),Feuil1!$E$3:$F$19,2,FALSE)+1,10),DATE(RIGHT(B1210,4),VLOOKUP(LEFT(B1210,LEN(B1210)-5),Feuil1!$E$3:$F$19,2,FALSE)+1,7))</f>
        <v>45298</v>
      </c>
      <c r="K1210" s="19">
        <f t="shared" si="2"/>
        <v>1</v>
      </c>
      <c r="L1210" s="6" t="str">
        <f t="shared" si="3"/>
        <v>FS</v>
      </c>
    </row>
    <row r="1211" ht="14.25" customHeight="1">
      <c r="A1211" s="14" t="str">
        <f>Base_report!A1206</f>
        <v>GBEKE</v>
      </c>
      <c r="B1211" s="14" t="str">
        <f>Base_report!B1206</f>
        <v>DECEMBRE 2023</v>
      </c>
      <c r="C1211" s="15" t="str">
        <f>Base_report!C1206</f>
        <v>C2010</v>
      </c>
      <c r="D1211" s="14" t="str">
        <f>TRIM(IF(ISNUMBER(FIND("PNSME",Base_report!D1206,1)),SUBSTITUTE(Base_report!D1206,"PNSME",""),IF(ISNUMBER(FIND("PHG",Base_report!D1206,1)),SUBSTITUTE(Base_report!D1206,"PHG",""),IF(ISNUMBER(FIND("PCS",Base_report!D1206,1)),SUBSTITUTE(Base_report!D1206,"PCS",""),IF(ISNUMBER(FIND("CMU",Base_report!D1206,1)),SUBSTITUTE(Base_report!D1206,"CMU",""),Base_report!D1206)))))</f>
        <v>CHU BOUAKE</v>
      </c>
      <c r="E1211" s="14" t="str">
        <f>SUBSTITUTE(Base_report!E1206,"-","/")</f>
        <v>PNSME/MEDICAMENTS ET INTRANTS</v>
      </c>
      <c r="F1211" s="14" t="s">
        <v>788</v>
      </c>
      <c r="G1211" s="16">
        <f>DATE(YEAR(SUBSTITUTE(LEFT(Base_report!F1206,10),"-","/")),MONTH(SUBSTITUTE(LEFT(Base_report!F1206,10),"-","/")),DAY(SUBSTITUTE(LEFT(Base_report!F1206,10),"-","/")))</f>
        <v>45299</v>
      </c>
      <c r="H1211" s="16">
        <f>DATE(YEAR(SUBSTITUTE(LEFT(Base_report!G1206,10),"-","/")),MONTH(SUBSTITUTE(LEFT(Base_report!G1206,10),"-","/")),DAY(SUBSTITUTE(LEFT(Base_report!G1206,10),"-","/")))</f>
        <v>45299</v>
      </c>
      <c r="I1211" s="17" t="str">
        <f t="shared" si="1"/>
        <v>OUI</v>
      </c>
      <c r="J1211" s="18">
        <f>IF(L1211="DS",DATE(RIGHT(B1211,4),VLOOKUP(LEFT(B1211,LEN(B1211)-5),Feuil1!$E$3:$F$19,2,FALSE)+1,10),DATE(RIGHT(B1211,4),VLOOKUP(LEFT(B1211,LEN(B1211)-5),Feuil1!$E$3:$F$19,2,FALSE)+1,7))</f>
        <v>45298</v>
      </c>
      <c r="K1211" s="19">
        <f t="shared" si="2"/>
        <v>0</v>
      </c>
      <c r="L1211" s="6" t="str">
        <f t="shared" si="3"/>
        <v>FS</v>
      </c>
    </row>
    <row r="1212" ht="14.25" customHeight="1">
      <c r="A1212" s="14" t="str">
        <f>Base_report!A1207</f>
        <v>FOLON</v>
      </c>
      <c r="B1212" s="14" t="str">
        <f>Base_report!B1207</f>
        <v>DECEMBRE 2023</v>
      </c>
      <c r="C1212" s="15" t="str">
        <f>Base_report!C1207</f>
        <v>C5074</v>
      </c>
      <c r="D1212" s="14" t="str">
        <f>TRIM(IF(ISNUMBER(FIND("PNSME",Base_report!D1207,1)),SUBSTITUTE(Base_report!D1207,"PNSME",""),IF(ISNUMBER(FIND("PHG",Base_report!D1207,1)),SUBSTITUTE(Base_report!D1207,"PHG",""),IF(ISNUMBER(FIND("PCS",Base_report!D1207,1)),SUBSTITUTE(Base_report!D1207,"PCS",""),IF(ISNUMBER(FIND("CMU",Base_report!D1207,1)),SUBSTITUTE(Base_report!D1207,"CMU",""),Base_report!D1207)))))</f>
        <v>HOPITAL GENERAL KANIASSO</v>
      </c>
      <c r="E1212" s="14" t="str">
        <f>SUBSTITUTE(Base_report!E1207,"-","/")</f>
        <v>PNLS/PRODUITS DE LABORATOIRE</v>
      </c>
      <c r="F1212" s="14" t="s">
        <v>788</v>
      </c>
      <c r="G1212" s="16">
        <f>DATE(YEAR(SUBSTITUTE(LEFT(Base_report!F1207,10),"-","/")),MONTH(SUBSTITUTE(LEFT(Base_report!F1207,10),"-","/")),DAY(SUBSTITUTE(LEFT(Base_report!F1207,10),"-","/")))</f>
        <v>45297</v>
      </c>
      <c r="H1212" s="16">
        <f>DATE(YEAR(SUBSTITUTE(LEFT(Base_report!G1207,10),"-","/")),MONTH(SUBSTITUTE(LEFT(Base_report!G1207,10),"-","/")),DAY(SUBSTITUTE(LEFT(Base_report!G1207,10),"-","/")))</f>
        <v>45297</v>
      </c>
      <c r="I1212" s="17" t="str">
        <f t="shared" si="1"/>
        <v>OUI</v>
      </c>
      <c r="J1212" s="18">
        <f>IF(L1212="DS",DATE(RIGHT(B1212,4),VLOOKUP(LEFT(B1212,LEN(B1212)-5),Feuil1!$E$3:$F$19,2,FALSE)+1,10),DATE(RIGHT(B1212,4),VLOOKUP(LEFT(B1212,LEN(B1212)-5),Feuil1!$E$3:$F$19,2,FALSE)+1,7))</f>
        <v>45298</v>
      </c>
      <c r="K1212" s="19">
        <f t="shared" si="2"/>
        <v>1</v>
      </c>
      <c r="L1212" s="6" t="str">
        <f t="shared" si="3"/>
        <v>FS</v>
      </c>
    </row>
    <row r="1213" ht="14.25" customHeight="1">
      <c r="A1213" s="14" t="str">
        <f>Base_report!A1208</f>
        <v>AGNEBY-TIASSA</v>
      </c>
      <c r="B1213" s="14" t="str">
        <f>Base_report!B1208</f>
        <v>DECEMBRE 2023</v>
      </c>
      <c r="C1213" s="15" t="str">
        <f>Base_report!C1208</f>
        <v>C1004</v>
      </c>
      <c r="D1213" s="14" t="str">
        <f>TRIM(IF(ISNUMBER(FIND("PNSME",Base_report!D1208,1)),SUBSTITUTE(Base_report!D1208,"PNSME",""),IF(ISNUMBER(FIND("PHG",Base_report!D1208,1)),SUBSTITUTE(Base_report!D1208,"PHG",""),IF(ISNUMBER(FIND("PCS",Base_report!D1208,1)),SUBSTITUTE(Base_report!D1208,"PCS",""),IF(ISNUMBER(FIND("CMU",Base_report!D1208,1)),SUBSTITUTE(Base_report!D1208,"CMU",""),Base_report!D1208)))))</f>
        <v>CHR AGBOVILLE</v>
      </c>
      <c r="E1213" s="14" t="str">
        <f>SUBSTITUTE(Base_report!E1208,"-","/")</f>
        <v>PNLS/ANTIRETROVIRAUX ET IO</v>
      </c>
      <c r="F1213" s="14" t="s">
        <v>788</v>
      </c>
      <c r="G1213" s="16">
        <f>DATE(YEAR(SUBSTITUTE(LEFT(Base_report!F1208,10),"-","/")),MONTH(SUBSTITUTE(LEFT(Base_report!F1208,10),"-","/")),DAY(SUBSTITUTE(LEFT(Base_report!F1208,10),"-","/")))</f>
        <v>45297</v>
      </c>
      <c r="H1213" s="16">
        <f>DATE(YEAR(SUBSTITUTE(LEFT(Base_report!G1208,10),"-","/")),MONTH(SUBSTITUTE(LEFT(Base_report!G1208,10),"-","/")),DAY(SUBSTITUTE(LEFT(Base_report!G1208,10),"-","/")))</f>
        <v>45297</v>
      </c>
      <c r="I1213" s="17" t="str">
        <f t="shared" si="1"/>
        <v>OUI</v>
      </c>
      <c r="J1213" s="18">
        <f>IF(L1213="DS",DATE(RIGHT(B1213,4),VLOOKUP(LEFT(B1213,LEN(B1213)-5),Feuil1!$E$3:$F$19,2,FALSE)+1,10),DATE(RIGHT(B1213,4),VLOOKUP(LEFT(B1213,LEN(B1213)-5),Feuil1!$E$3:$F$19,2,FALSE)+1,7))</f>
        <v>45298</v>
      </c>
      <c r="K1213" s="19">
        <f t="shared" si="2"/>
        <v>1</v>
      </c>
      <c r="L1213" s="6" t="str">
        <f t="shared" si="3"/>
        <v>FS</v>
      </c>
    </row>
    <row r="1214" ht="14.25" customHeight="1">
      <c r="A1214" s="14" t="str">
        <f>Base_report!A1209</f>
        <v>FOLON</v>
      </c>
      <c r="B1214" s="14" t="str">
        <f>Base_report!B1209</f>
        <v>DECEMBRE 2023</v>
      </c>
      <c r="C1214" s="15" t="str">
        <f>Base_report!C1209</f>
        <v>C5074</v>
      </c>
      <c r="D1214" s="14" t="str">
        <f>TRIM(IF(ISNUMBER(FIND("PNSME",Base_report!D1209,1)),SUBSTITUTE(Base_report!D1209,"PNSME",""),IF(ISNUMBER(FIND("PHG",Base_report!D1209,1)),SUBSTITUTE(Base_report!D1209,"PHG",""),IF(ISNUMBER(FIND("PCS",Base_report!D1209,1)),SUBSTITUTE(Base_report!D1209,"PCS",""),IF(ISNUMBER(FIND("CMU",Base_report!D1209,1)),SUBSTITUTE(Base_report!D1209,"CMU",""),Base_report!D1209)))))</f>
        <v>HOPITAL GENERAL KANIASSO</v>
      </c>
      <c r="E1214" s="14" t="str">
        <f>SUBSTITUTE(Base_report!E1209,"-","/")</f>
        <v>PNLS/TESTS RAPIDES ET CONSOMMABLES</v>
      </c>
      <c r="F1214" s="14" t="s">
        <v>788</v>
      </c>
      <c r="G1214" s="16">
        <f>DATE(YEAR(SUBSTITUTE(LEFT(Base_report!F1209,10),"-","/")),MONTH(SUBSTITUTE(LEFT(Base_report!F1209,10),"-","/")),DAY(SUBSTITUTE(LEFT(Base_report!F1209,10),"-","/")))</f>
        <v>45297</v>
      </c>
      <c r="H1214" s="16">
        <f>DATE(YEAR(SUBSTITUTE(LEFT(Base_report!G1209,10),"-","/")),MONTH(SUBSTITUTE(LEFT(Base_report!G1209,10),"-","/")),DAY(SUBSTITUTE(LEFT(Base_report!G1209,10),"-","/")))</f>
        <v>45297</v>
      </c>
      <c r="I1214" s="17" t="str">
        <f t="shared" si="1"/>
        <v>OUI</v>
      </c>
      <c r="J1214" s="18">
        <f>IF(L1214="DS",DATE(RIGHT(B1214,4),VLOOKUP(LEFT(B1214,LEN(B1214)-5),Feuil1!$E$3:$F$19,2,FALSE)+1,10),DATE(RIGHT(B1214,4),VLOOKUP(LEFT(B1214,LEN(B1214)-5),Feuil1!$E$3:$F$19,2,FALSE)+1,7))</f>
        <v>45298</v>
      </c>
      <c r="K1214" s="19">
        <f t="shared" si="2"/>
        <v>1</v>
      </c>
      <c r="L1214" s="6" t="str">
        <f t="shared" si="3"/>
        <v>FS</v>
      </c>
    </row>
    <row r="1215" ht="14.25" customHeight="1">
      <c r="A1215" s="14" t="str">
        <f>Base_report!A1210</f>
        <v>BERE</v>
      </c>
      <c r="B1215" s="14" t="str">
        <f>Base_report!B1210</f>
        <v>DECEMBRE 2023</v>
      </c>
      <c r="C1215" s="15" t="str">
        <f>Base_report!C1210</f>
        <v>C5091</v>
      </c>
      <c r="D1215" s="14" t="str">
        <f>TRIM(IF(ISNUMBER(FIND("PNSME",Base_report!D1210,1)),SUBSTITUTE(Base_report!D1210,"PNSME",""),IF(ISNUMBER(FIND("PHG",Base_report!D1210,1)),SUBSTITUTE(Base_report!D1210,"PHG",""),IF(ISNUMBER(FIND("PCS",Base_report!D1210,1)),SUBSTITUTE(Base_report!D1210,"PCS",""),IF(ISNUMBER(FIND("CMU",Base_report!D1210,1)),SUBSTITUTE(Base_report!D1210,"CMU",""),Base_report!D1210)))))</f>
        <v>HOPITAL GENERAL DIANRA</v>
      </c>
      <c r="E1215" s="14" t="str">
        <f>SUBSTITUTE(Base_report!E1210,"-","/")</f>
        <v>PNLS/PRODUITS DE LABORATOIRE</v>
      </c>
      <c r="F1215" s="14" t="s">
        <v>788</v>
      </c>
      <c r="G1215" s="16">
        <f>DATE(YEAR(SUBSTITUTE(LEFT(Base_report!F1210,10),"-","/")),MONTH(SUBSTITUTE(LEFT(Base_report!F1210,10),"-","/")),DAY(SUBSTITUTE(LEFT(Base_report!F1210,10),"-","/")))</f>
        <v>45297</v>
      </c>
      <c r="H1215" s="16">
        <f>DATE(YEAR(SUBSTITUTE(LEFT(Base_report!G1210,10),"-","/")),MONTH(SUBSTITUTE(LEFT(Base_report!G1210,10),"-","/")),DAY(SUBSTITUTE(LEFT(Base_report!G1210,10),"-","/")))</f>
        <v>45297</v>
      </c>
      <c r="I1215" s="17" t="str">
        <f t="shared" si="1"/>
        <v>OUI</v>
      </c>
      <c r="J1215" s="18">
        <f>IF(L1215="DS",DATE(RIGHT(B1215,4),VLOOKUP(LEFT(B1215,LEN(B1215)-5),Feuil1!$E$3:$F$19,2,FALSE)+1,10),DATE(RIGHT(B1215,4),VLOOKUP(LEFT(B1215,LEN(B1215)-5),Feuil1!$E$3:$F$19,2,FALSE)+1,7))</f>
        <v>45298</v>
      </c>
      <c r="K1215" s="19">
        <f t="shared" si="2"/>
        <v>1</v>
      </c>
      <c r="L1215" s="6" t="str">
        <f t="shared" si="3"/>
        <v>FS</v>
      </c>
    </row>
    <row r="1216" ht="14.25" customHeight="1">
      <c r="A1216" s="14" t="str">
        <f>Base_report!A1211</f>
        <v>ABIDJAN 1</v>
      </c>
      <c r="B1216" s="14" t="str">
        <f>Base_report!B1211</f>
        <v>DECEMBRE 2023</v>
      </c>
      <c r="C1216" s="15" t="str">
        <f>Base_report!C1211</f>
        <v>C1905</v>
      </c>
      <c r="D1216" s="14" t="str">
        <f>TRIM(IF(ISNUMBER(FIND("PNSME",Base_report!D1211,1)),SUBSTITUTE(Base_report!D1211,"PNSME",""),IF(ISNUMBER(FIND("PHG",Base_report!D1211,1)),SUBSTITUTE(Base_report!D1211,"PHG",""),IF(ISNUMBER(FIND("PCS",Base_report!D1211,1)),SUBSTITUTE(Base_report!D1211,"PCS",""),IF(ISNUMBER(FIND("CMU",Base_report!D1211,1)),SUBSTITUTE(Base_report!D1211,"CMU",""),Base_report!D1211)))))</f>
        <v>CSU SONGON KASSEMBLE</v>
      </c>
      <c r="E1216" s="14" t="str">
        <f>SUBSTITUTE(Base_report!E1211,"-","/")</f>
        <v>PNLS/CHARGES VIRALES</v>
      </c>
      <c r="F1216" s="14" t="s">
        <v>788</v>
      </c>
      <c r="G1216" s="16">
        <f>DATE(YEAR(SUBSTITUTE(LEFT(Base_report!F1211,10),"-","/")),MONTH(SUBSTITUTE(LEFT(Base_report!F1211,10),"-","/")),DAY(SUBSTITUTE(LEFT(Base_report!F1211,10),"-","/")))</f>
        <v>45297</v>
      </c>
      <c r="H1216" s="16">
        <f>DATE(YEAR(SUBSTITUTE(LEFT(Base_report!G1211,10),"-","/")),MONTH(SUBSTITUTE(LEFT(Base_report!G1211,10),"-","/")),DAY(SUBSTITUTE(LEFT(Base_report!G1211,10),"-","/")))</f>
        <v>45298</v>
      </c>
      <c r="I1216" s="17" t="str">
        <f t="shared" si="1"/>
        <v>OUI</v>
      </c>
      <c r="J1216" s="18">
        <f>IF(L1216="DS",DATE(RIGHT(B1216,4),VLOOKUP(LEFT(B1216,LEN(B1216)-5),Feuil1!$E$3:$F$19,2,FALSE)+1,10),DATE(RIGHT(B1216,4),VLOOKUP(LEFT(B1216,LEN(B1216)-5),Feuil1!$E$3:$F$19,2,FALSE)+1,7))</f>
        <v>45298</v>
      </c>
      <c r="K1216" s="19">
        <f t="shared" si="2"/>
        <v>1</v>
      </c>
      <c r="L1216" s="6" t="str">
        <f t="shared" si="3"/>
        <v>FS</v>
      </c>
    </row>
    <row r="1217" ht="14.25" customHeight="1">
      <c r="A1217" s="14" t="str">
        <f>Base_report!A1212</f>
        <v>BERE</v>
      </c>
      <c r="B1217" s="14" t="str">
        <f>Base_report!B1212</f>
        <v>DECEMBRE 2023</v>
      </c>
      <c r="C1217" s="15" t="str">
        <f>Base_report!C1212</f>
        <v>C5091</v>
      </c>
      <c r="D1217" s="14" t="str">
        <f>TRIM(IF(ISNUMBER(FIND("PNSME",Base_report!D1212,1)),SUBSTITUTE(Base_report!D1212,"PNSME",""),IF(ISNUMBER(FIND("PHG",Base_report!D1212,1)),SUBSTITUTE(Base_report!D1212,"PHG",""),IF(ISNUMBER(FIND("PCS",Base_report!D1212,1)),SUBSTITUTE(Base_report!D1212,"PCS",""),IF(ISNUMBER(FIND("CMU",Base_report!D1212,1)),SUBSTITUTE(Base_report!D1212,"CMU",""),Base_report!D1212)))))</f>
        <v>HOPITAL GENERAL DIANRA</v>
      </c>
      <c r="E1217" s="14" t="str">
        <f>SUBSTITUTE(Base_report!E1212,"-","/")</f>
        <v>PNLS/TESTS RAPIDES ET CONSOMMABLES</v>
      </c>
      <c r="F1217" s="14" t="s">
        <v>788</v>
      </c>
      <c r="G1217" s="16">
        <f>DATE(YEAR(SUBSTITUTE(LEFT(Base_report!F1212,10),"-","/")),MONTH(SUBSTITUTE(LEFT(Base_report!F1212,10),"-","/")),DAY(SUBSTITUTE(LEFT(Base_report!F1212,10),"-","/")))</f>
        <v>45297</v>
      </c>
      <c r="H1217" s="16">
        <f>DATE(YEAR(SUBSTITUTE(LEFT(Base_report!G1212,10),"-","/")),MONTH(SUBSTITUTE(LEFT(Base_report!G1212,10),"-","/")),DAY(SUBSTITUTE(LEFT(Base_report!G1212,10),"-","/")))</f>
        <v>45297</v>
      </c>
      <c r="I1217" s="17" t="str">
        <f t="shared" si="1"/>
        <v>OUI</v>
      </c>
      <c r="J1217" s="18">
        <f>IF(L1217="DS",DATE(RIGHT(B1217,4),VLOOKUP(LEFT(B1217,LEN(B1217)-5),Feuil1!$E$3:$F$19,2,FALSE)+1,10),DATE(RIGHT(B1217,4),VLOOKUP(LEFT(B1217,LEN(B1217)-5),Feuil1!$E$3:$F$19,2,FALSE)+1,7))</f>
        <v>45298</v>
      </c>
      <c r="K1217" s="19">
        <f t="shared" si="2"/>
        <v>1</v>
      </c>
      <c r="L1217" s="6" t="str">
        <f t="shared" si="3"/>
        <v>FS</v>
      </c>
    </row>
    <row r="1218" ht="14.25" customHeight="1">
      <c r="A1218" s="14" t="str">
        <f>Base_report!A1213</f>
        <v>GONTOUGO</v>
      </c>
      <c r="B1218" s="14" t="str">
        <f>Base_report!B1213</f>
        <v>DECEMBRE 2023</v>
      </c>
      <c r="C1218" s="15" t="str">
        <f>Base_report!C1213</f>
        <v>C2168</v>
      </c>
      <c r="D1218" s="14" t="str">
        <f>TRIM(IF(ISNUMBER(FIND("PNSME",Base_report!D1213,1)),SUBSTITUTE(Base_report!D1213,"PNSME",""),IF(ISNUMBER(FIND("PHG",Base_report!D1213,1)),SUBSTITUTE(Base_report!D1213,"PHG",""),IF(ISNUMBER(FIND("PCS",Base_report!D1213,1)),SUBSTITUTE(Base_report!D1213,"PCS",""),IF(ISNUMBER(FIND("CMU",Base_report!D1213,1)),SUBSTITUTE(Base_report!D1213,"CMU",""),Base_report!D1213)))))</f>
        <v>HOPITAL GENERAL TRANSUA</v>
      </c>
      <c r="E1218" s="14" t="str">
        <f>SUBSTITUTE(Base_report!E1213,"-","/")</f>
        <v>PNLS/TESTS RAPIDES ET CONSOMMABLES</v>
      </c>
      <c r="F1218" s="14" t="s">
        <v>788</v>
      </c>
      <c r="G1218" s="16">
        <f>DATE(YEAR(SUBSTITUTE(LEFT(Base_report!F1213,10),"-","/")),MONTH(SUBSTITUTE(LEFT(Base_report!F1213,10),"-","/")),DAY(SUBSTITUTE(LEFT(Base_report!F1213,10),"-","/")))</f>
        <v>45297</v>
      </c>
      <c r="H1218" s="16">
        <f>DATE(YEAR(SUBSTITUTE(LEFT(Base_report!G1213,10),"-","/")),MONTH(SUBSTITUTE(LEFT(Base_report!G1213,10),"-","/")),DAY(SUBSTITUTE(LEFT(Base_report!G1213,10),"-","/")))</f>
        <v>45298</v>
      </c>
      <c r="I1218" s="17" t="str">
        <f t="shared" si="1"/>
        <v>OUI</v>
      </c>
      <c r="J1218" s="18">
        <f>IF(L1218="DS",DATE(RIGHT(B1218,4),VLOOKUP(LEFT(B1218,LEN(B1218)-5),Feuil1!$E$3:$F$19,2,FALSE)+1,10),DATE(RIGHT(B1218,4),VLOOKUP(LEFT(B1218,LEN(B1218)-5),Feuil1!$E$3:$F$19,2,FALSE)+1,7))</f>
        <v>45298</v>
      </c>
      <c r="K1218" s="19">
        <f t="shared" si="2"/>
        <v>1</v>
      </c>
      <c r="L1218" s="6" t="str">
        <f t="shared" si="3"/>
        <v>FS</v>
      </c>
    </row>
    <row r="1219" ht="14.25" customHeight="1">
      <c r="A1219" s="14" t="str">
        <f>Base_report!A1214</f>
        <v>GONTOUGO</v>
      </c>
      <c r="B1219" s="14" t="str">
        <f>Base_report!B1214</f>
        <v>DECEMBRE 2023</v>
      </c>
      <c r="C1219" s="15" t="str">
        <f>Base_report!C1214</f>
        <v>C2168</v>
      </c>
      <c r="D1219" s="14" t="str">
        <f>TRIM(IF(ISNUMBER(FIND("PNSME",Base_report!D1214,1)),SUBSTITUTE(Base_report!D1214,"PNSME",""),IF(ISNUMBER(FIND("PHG",Base_report!D1214,1)),SUBSTITUTE(Base_report!D1214,"PHG",""),IF(ISNUMBER(FIND("PCS",Base_report!D1214,1)),SUBSTITUTE(Base_report!D1214,"PCS",""),IF(ISNUMBER(FIND("CMU",Base_report!D1214,1)),SUBSTITUTE(Base_report!D1214,"CMU",""),Base_report!D1214)))))</f>
        <v>HOPITAL GENERAL TRANSUA</v>
      </c>
      <c r="E1219" s="14" t="str">
        <f>SUBSTITUTE(Base_report!E1214,"-","/")</f>
        <v>PNSME/MEDICAMENTS ET INTRANTS</v>
      </c>
      <c r="F1219" s="14" t="s">
        <v>788</v>
      </c>
      <c r="G1219" s="16">
        <f>DATE(YEAR(SUBSTITUTE(LEFT(Base_report!F1214,10),"-","/")),MONTH(SUBSTITUTE(LEFT(Base_report!F1214,10),"-","/")),DAY(SUBSTITUTE(LEFT(Base_report!F1214,10),"-","/")))</f>
        <v>45297</v>
      </c>
      <c r="H1219" s="16">
        <f>DATE(YEAR(SUBSTITUTE(LEFT(Base_report!G1214,10),"-","/")),MONTH(SUBSTITUTE(LEFT(Base_report!G1214,10),"-","/")),DAY(SUBSTITUTE(LEFT(Base_report!G1214,10),"-","/")))</f>
        <v>45298</v>
      </c>
      <c r="I1219" s="17" t="str">
        <f t="shared" si="1"/>
        <v>OUI</v>
      </c>
      <c r="J1219" s="18">
        <f>IF(L1219="DS",DATE(RIGHT(B1219,4),VLOOKUP(LEFT(B1219,LEN(B1219)-5),Feuil1!$E$3:$F$19,2,FALSE)+1,10),DATE(RIGHT(B1219,4),VLOOKUP(LEFT(B1219,LEN(B1219)-5),Feuil1!$E$3:$F$19,2,FALSE)+1,7))</f>
        <v>45298</v>
      </c>
      <c r="K1219" s="19">
        <f t="shared" si="2"/>
        <v>1</v>
      </c>
      <c r="L1219" s="6" t="str">
        <f t="shared" si="3"/>
        <v>FS</v>
      </c>
    </row>
    <row r="1220" ht="14.25" customHeight="1">
      <c r="A1220" s="14" t="str">
        <f>Base_report!A1215</f>
        <v>BERE</v>
      </c>
      <c r="B1220" s="14" t="str">
        <f>Base_report!B1215</f>
        <v>DECEMBRE 2023</v>
      </c>
      <c r="C1220" s="15" t="str">
        <f>Base_report!C1215</f>
        <v>C5091</v>
      </c>
      <c r="D1220" s="14" t="str">
        <f>TRIM(IF(ISNUMBER(FIND("PNSME",Base_report!D1215,1)),SUBSTITUTE(Base_report!D1215,"PNSME",""),IF(ISNUMBER(FIND("PHG",Base_report!D1215,1)),SUBSTITUTE(Base_report!D1215,"PHG",""),IF(ISNUMBER(FIND("PCS",Base_report!D1215,1)),SUBSTITUTE(Base_report!D1215,"PCS",""),IF(ISNUMBER(FIND("CMU",Base_report!D1215,1)),SUBSTITUTE(Base_report!D1215,"CMU",""),Base_report!D1215)))))</f>
        <v>HOPITAL GENERAL DIANRA</v>
      </c>
      <c r="E1220" s="14" t="str">
        <f>SUBSTITUTE(Base_report!E1215,"-","/")</f>
        <v>PNN/MEDICAMENTS ET INTRANTS</v>
      </c>
      <c r="F1220" s="14" t="s">
        <v>788</v>
      </c>
      <c r="G1220" s="16">
        <f>DATE(YEAR(SUBSTITUTE(LEFT(Base_report!F1215,10),"-","/")),MONTH(SUBSTITUTE(LEFT(Base_report!F1215,10),"-","/")),DAY(SUBSTITUTE(LEFT(Base_report!F1215,10),"-","/")))</f>
        <v>45297</v>
      </c>
      <c r="H1220" s="16">
        <f>DATE(YEAR(SUBSTITUTE(LEFT(Base_report!G1215,10),"-","/")),MONTH(SUBSTITUTE(LEFT(Base_report!G1215,10),"-","/")),DAY(SUBSTITUTE(LEFT(Base_report!G1215,10),"-","/")))</f>
        <v>45297</v>
      </c>
      <c r="I1220" s="17" t="str">
        <f t="shared" si="1"/>
        <v>OUI</v>
      </c>
      <c r="J1220" s="18">
        <f>IF(L1220="DS",DATE(RIGHT(B1220,4),VLOOKUP(LEFT(B1220,LEN(B1220)-5),Feuil1!$E$3:$F$19,2,FALSE)+1,10),DATE(RIGHT(B1220,4),VLOOKUP(LEFT(B1220,LEN(B1220)-5),Feuil1!$E$3:$F$19,2,FALSE)+1,7))</f>
        <v>45298</v>
      </c>
      <c r="K1220" s="19">
        <f t="shared" si="2"/>
        <v>1</v>
      </c>
      <c r="L1220" s="6" t="str">
        <f t="shared" si="3"/>
        <v>FS</v>
      </c>
    </row>
    <row r="1221" ht="14.25" customHeight="1">
      <c r="A1221" s="14" t="str">
        <f>Base_report!A1216</f>
        <v>ABIDJAN 1</v>
      </c>
      <c r="B1221" s="14" t="str">
        <f>Base_report!B1216</f>
        <v>DECEMBRE 2023</v>
      </c>
      <c r="C1221" s="15" t="str">
        <f>Base_report!C1216</f>
        <v>C1063</v>
      </c>
      <c r="D1221" s="14" t="str">
        <f>TRIM(IF(ISNUMBER(FIND("PNSME",Base_report!D1216,1)),SUBSTITUTE(Base_report!D1216,"PNSME",""),IF(ISNUMBER(FIND("PHG",Base_report!D1216,1)),SUBSTITUTE(Base_report!D1216,"PHG",""),IF(ISNUMBER(FIND("PCS",Base_report!D1216,1)),SUBSTITUTE(Base_report!D1216,"PCS",""),IF(ISNUMBER(FIND("CMU",Base_report!D1216,1)),SUBSTITUTE(Base_report!D1216,"CMU",""),Base_report!D1216)))))</f>
        <v>FSU COM ABOBO AKEIKOI</v>
      </c>
      <c r="E1221" s="14" t="str">
        <f>SUBSTITUTE(Base_report!E1216,"-","/")</f>
        <v>PNLP/MEDICAMENTS ET INTRANTS</v>
      </c>
      <c r="F1221" s="14" t="s">
        <v>788</v>
      </c>
      <c r="G1221" s="16">
        <f>DATE(YEAR(SUBSTITUTE(LEFT(Base_report!F1216,10),"-","/")),MONTH(SUBSTITUTE(LEFT(Base_report!F1216,10),"-","/")),DAY(SUBSTITUTE(LEFT(Base_report!F1216,10),"-","/")))</f>
        <v>45297</v>
      </c>
      <c r="H1221" s="16">
        <f>DATE(YEAR(SUBSTITUTE(LEFT(Base_report!G1216,10),"-","/")),MONTH(SUBSTITUTE(LEFT(Base_report!G1216,10),"-","/")),DAY(SUBSTITUTE(LEFT(Base_report!G1216,10),"-","/")))</f>
        <v>45300</v>
      </c>
      <c r="I1221" s="17" t="str">
        <f t="shared" si="1"/>
        <v>OUI</v>
      </c>
      <c r="J1221" s="18">
        <f>IF(L1221="DS",DATE(RIGHT(B1221,4),VLOOKUP(LEFT(B1221,LEN(B1221)-5),Feuil1!$E$3:$F$19,2,FALSE)+1,10),DATE(RIGHT(B1221,4),VLOOKUP(LEFT(B1221,LEN(B1221)-5),Feuil1!$E$3:$F$19,2,FALSE)+1,7))</f>
        <v>45298</v>
      </c>
      <c r="K1221" s="19">
        <f t="shared" si="2"/>
        <v>0</v>
      </c>
      <c r="L1221" s="6" t="str">
        <f t="shared" si="3"/>
        <v>FS</v>
      </c>
    </row>
    <row r="1222" ht="14.25" customHeight="1">
      <c r="A1222" s="14" t="str">
        <f>Base_report!A1217</f>
        <v>BERE</v>
      </c>
      <c r="B1222" s="14" t="str">
        <f>Base_report!B1217</f>
        <v>DECEMBRE 2023</v>
      </c>
      <c r="C1222" s="15" t="str">
        <f>Base_report!C1217</f>
        <v>C5091</v>
      </c>
      <c r="D1222" s="14" t="str">
        <f>TRIM(IF(ISNUMBER(FIND("PNSME",Base_report!D1217,1)),SUBSTITUTE(Base_report!D1217,"PNSME",""),IF(ISNUMBER(FIND("PHG",Base_report!D1217,1)),SUBSTITUTE(Base_report!D1217,"PHG",""),IF(ISNUMBER(FIND("PCS",Base_report!D1217,1)),SUBSTITUTE(Base_report!D1217,"PCS",""),IF(ISNUMBER(FIND("CMU",Base_report!D1217,1)),SUBSTITUTE(Base_report!D1217,"CMU",""),Base_report!D1217)))))</f>
        <v>HOPITAL GENERAL DIANRA</v>
      </c>
      <c r="E1222" s="14" t="str">
        <f>SUBSTITUTE(Base_report!E1217,"-","/")</f>
        <v>PNSME/MEDICAMENTS ET INTRANTS</v>
      </c>
      <c r="F1222" s="14" t="s">
        <v>788</v>
      </c>
      <c r="G1222" s="16">
        <f>DATE(YEAR(SUBSTITUTE(LEFT(Base_report!F1217,10),"-","/")),MONTH(SUBSTITUTE(LEFT(Base_report!F1217,10),"-","/")),DAY(SUBSTITUTE(LEFT(Base_report!F1217,10),"-","/")))</f>
        <v>45297</v>
      </c>
      <c r="H1222" s="16">
        <f>DATE(YEAR(SUBSTITUTE(LEFT(Base_report!G1217,10),"-","/")),MONTH(SUBSTITUTE(LEFT(Base_report!G1217,10),"-","/")),DAY(SUBSTITUTE(LEFT(Base_report!G1217,10),"-","/")))</f>
        <v>45297</v>
      </c>
      <c r="I1222" s="17" t="str">
        <f t="shared" si="1"/>
        <v>OUI</v>
      </c>
      <c r="J1222" s="18">
        <f>IF(L1222="DS",DATE(RIGHT(B1222,4),VLOOKUP(LEFT(B1222,LEN(B1222)-5),Feuil1!$E$3:$F$19,2,FALSE)+1,10),DATE(RIGHT(B1222,4),VLOOKUP(LEFT(B1222,LEN(B1222)-5),Feuil1!$E$3:$F$19,2,FALSE)+1,7))</f>
        <v>45298</v>
      </c>
      <c r="K1222" s="19">
        <f t="shared" si="2"/>
        <v>1</v>
      </c>
      <c r="L1222" s="6" t="str">
        <f t="shared" si="3"/>
        <v>FS</v>
      </c>
    </row>
    <row r="1223" ht="14.25" customHeight="1">
      <c r="A1223" s="14" t="str">
        <f>Base_report!A1218</f>
        <v>AGNEBY-TIASSA</v>
      </c>
      <c r="B1223" s="14" t="str">
        <f>Base_report!B1218</f>
        <v>DECEMBRE 2023</v>
      </c>
      <c r="C1223" s="15" t="str">
        <f>Base_report!C1218</f>
        <v>C1004</v>
      </c>
      <c r="D1223" s="14" t="str">
        <f>TRIM(IF(ISNUMBER(FIND("PNSME",Base_report!D1218,1)),SUBSTITUTE(Base_report!D1218,"PNSME",""),IF(ISNUMBER(FIND("PHG",Base_report!D1218,1)),SUBSTITUTE(Base_report!D1218,"PHG",""),IF(ISNUMBER(FIND("PCS",Base_report!D1218,1)),SUBSTITUTE(Base_report!D1218,"PCS",""),IF(ISNUMBER(FIND("CMU",Base_report!D1218,1)),SUBSTITUTE(Base_report!D1218,"CMU",""),Base_report!D1218)))))</f>
        <v>CHR AGBOVILLE</v>
      </c>
      <c r="E1223" s="14" t="str">
        <f>SUBSTITUTE(Base_report!E1218,"-","/")</f>
        <v>PNLS/TESTS RAPIDES ET CONSOMMABLES</v>
      </c>
      <c r="F1223" s="14" t="s">
        <v>788</v>
      </c>
      <c r="G1223" s="16">
        <f>DATE(YEAR(SUBSTITUTE(LEFT(Base_report!F1218,10),"-","/")),MONTH(SUBSTITUTE(LEFT(Base_report!F1218,10),"-","/")),DAY(SUBSTITUTE(LEFT(Base_report!F1218,10),"-","/")))</f>
        <v>45297</v>
      </c>
      <c r="H1223" s="16">
        <f>DATE(YEAR(SUBSTITUTE(LEFT(Base_report!G1218,10),"-","/")),MONTH(SUBSTITUTE(LEFT(Base_report!G1218,10),"-","/")),DAY(SUBSTITUTE(LEFT(Base_report!G1218,10),"-","/")))</f>
        <v>45297</v>
      </c>
      <c r="I1223" s="17" t="str">
        <f t="shared" si="1"/>
        <v>OUI</v>
      </c>
      <c r="J1223" s="18">
        <f>IF(L1223="DS",DATE(RIGHT(B1223,4),VLOOKUP(LEFT(B1223,LEN(B1223)-5),Feuil1!$E$3:$F$19,2,FALSE)+1,10),DATE(RIGHT(B1223,4),VLOOKUP(LEFT(B1223,LEN(B1223)-5),Feuil1!$E$3:$F$19,2,FALSE)+1,7))</f>
        <v>45298</v>
      </c>
      <c r="K1223" s="19">
        <f t="shared" si="2"/>
        <v>1</v>
      </c>
      <c r="L1223" s="6" t="str">
        <f t="shared" si="3"/>
        <v>FS</v>
      </c>
    </row>
    <row r="1224" ht="14.25" customHeight="1">
      <c r="A1224" s="14" t="str">
        <f>Base_report!A1219</f>
        <v>FOLON</v>
      </c>
      <c r="B1224" s="14" t="str">
        <f>Base_report!B1219</f>
        <v>DECEMBRE 2023</v>
      </c>
      <c r="C1224" s="15" t="str">
        <f>Base_report!C1219</f>
        <v>C5038</v>
      </c>
      <c r="D1224" s="14" t="str">
        <f>TRIM(IF(ISNUMBER(FIND("PNSME",Base_report!D1219,1)),SUBSTITUTE(Base_report!D1219,"PNSME",""),IF(ISNUMBER(FIND("PHG",Base_report!D1219,1)),SUBSTITUTE(Base_report!D1219,"PHG",""),IF(ISNUMBER(FIND("PCS",Base_report!D1219,1)),SUBSTITUTE(Base_report!D1219,"PCS",""),IF(ISNUMBER(FIND("CMU",Base_report!D1219,1)),SUBSTITUTE(Base_report!D1219,"CMU",""),Base_report!D1219)))))</f>
        <v>DISTRICT SANITAIRE MINIGNAN</v>
      </c>
      <c r="E1224" s="14" t="str">
        <f>SUBSTITUTE(Base_report!E1219,"-","/")</f>
        <v>PNLP/MEDICAMENTS ET INTRANTS</v>
      </c>
      <c r="F1224" s="14" t="s">
        <v>788</v>
      </c>
      <c r="G1224" s="16">
        <f>DATE(YEAR(SUBSTITUTE(LEFT(Base_report!F1219,10),"-","/")),MONTH(SUBSTITUTE(LEFT(Base_report!F1219,10),"-","/")),DAY(SUBSTITUTE(LEFT(Base_report!F1219,10),"-","/")))</f>
        <v>45299</v>
      </c>
      <c r="H1224" s="16">
        <f>DATE(YEAR(SUBSTITUTE(LEFT(Base_report!G1219,10),"-","/")),MONTH(SUBSTITUTE(LEFT(Base_report!G1219,10),"-","/")),DAY(SUBSTITUTE(LEFT(Base_report!G1219,10),"-","/")))</f>
        <v>45300</v>
      </c>
      <c r="I1224" s="17" t="str">
        <f t="shared" si="1"/>
        <v>OUI</v>
      </c>
      <c r="J1224" s="18">
        <f>IF(L1224="DS",DATE(RIGHT(B1224,4),VLOOKUP(LEFT(B1224,LEN(B1224)-5),Feuil1!$E$3:$F$19,2,FALSE)+1,10),DATE(RIGHT(B1224,4),VLOOKUP(LEFT(B1224,LEN(B1224)-5),Feuil1!$E$3:$F$19,2,FALSE)+1,7))</f>
        <v>45301</v>
      </c>
      <c r="K1224" s="19">
        <f t="shared" si="2"/>
        <v>1</v>
      </c>
      <c r="L1224" s="6" t="str">
        <f t="shared" si="3"/>
        <v>DS</v>
      </c>
    </row>
    <row r="1225" ht="14.25" customHeight="1">
      <c r="A1225" s="14" t="str">
        <f>Base_report!A1220</f>
        <v>FOLON</v>
      </c>
      <c r="B1225" s="14" t="str">
        <f>Base_report!B1220</f>
        <v>DECEMBRE 2023</v>
      </c>
      <c r="C1225" s="15" t="str">
        <f>Base_report!C1220</f>
        <v>C5038</v>
      </c>
      <c r="D1225" s="14" t="str">
        <f>TRIM(IF(ISNUMBER(FIND("PNSME",Base_report!D1220,1)),SUBSTITUTE(Base_report!D1220,"PNSME",""),IF(ISNUMBER(FIND("PHG",Base_report!D1220,1)),SUBSTITUTE(Base_report!D1220,"PHG",""),IF(ISNUMBER(FIND("PCS",Base_report!D1220,1)),SUBSTITUTE(Base_report!D1220,"PCS",""),IF(ISNUMBER(FIND("CMU",Base_report!D1220,1)),SUBSTITUTE(Base_report!D1220,"CMU",""),Base_report!D1220)))))</f>
        <v>DISTRICT SANITAIRE MINIGNAN</v>
      </c>
      <c r="E1225" s="14" t="str">
        <f>SUBSTITUTE(Base_report!E1220,"-","/")</f>
        <v>PNLS/ANTIRETROVIRAUX ET IO</v>
      </c>
      <c r="F1225" s="14" t="s">
        <v>788</v>
      </c>
      <c r="G1225" s="16">
        <f>DATE(YEAR(SUBSTITUTE(LEFT(Base_report!F1220,10),"-","/")),MONTH(SUBSTITUTE(LEFT(Base_report!F1220,10),"-","/")),DAY(SUBSTITUTE(LEFT(Base_report!F1220,10),"-","/")))</f>
        <v>45299</v>
      </c>
      <c r="H1225" s="16">
        <f>DATE(YEAR(SUBSTITUTE(LEFT(Base_report!G1220,10),"-","/")),MONTH(SUBSTITUTE(LEFT(Base_report!G1220,10),"-","/")),DAY(SUBSTITUTE(LEFT(Base_report!G1220,10),"-","/")))</f>
        <v>45300</v>
      </c>
      <c r="I1225" s="17" t="str">
        <f t="shared" si="1"/>
        <v>OUI</v>
      </c>
      <c r="J1225" s="18">
        <f>IF(L1225="DS",DATE(RIGHT(B1225,4),VLOOKUP(LEFT(B1225,LEN(B1225)-5),Feuil1!$E$3:$F$19,2,FALSE)+1,10),DATE(RIGHT(B1225,4),VLOOKUP(LEFT(B1225,LEN(B1225)-5),Feuil1!$E$3:$F$19,2,FALSE)+1,7))</f>
        <v>45301</v>
      </c>
      <c r="K1225" s="19">
        <f t="shared" si="2"/>
        <v>1</v>
      </c>
      <c r="L1225" s="6" t="str">
        <f t="shared" si="3"/>
        <v>DS</v>
      </c>
    </row>
    <row r="1226" ht="14.25" customHeight="1">
      <c r="A1226" s="14" t="str">
        <f>Base_report!A1221</f>
        <v>ABIDJAN 1</v>
      </c>
      <c r="B1226" s="14" t="str">
        <f>Base_report!B1221</f>
        <v>DECEMBRE 2023</v>
      </c>
      <c r="C1226" s="15" t="str">
        <f>Base_report!C1221</f>
        <v>C1063</v>
      </c>
      <c r="D1226" s="14" t="str">
        <f>TRIM(IF(ISNUMBER(FIND("PNSME",Base_report!D1221,1)),SUBSTITUTE(Base_report!D1221,"PNSME",""),IF(ISNUMBER(FIND("PHG",Base_report!D1221,1)),SUBSTITUTE(Base_report!D1221,"PHG",""),IF(ISNUMBER(FIND("PCS",Base_report!D1221,1)),SUBSTITUTE(Base_report!D1221,"PCS",""),IF(ISNUMBER(FIND("CMU",Base_report!D1221,1)),SUBSTITUTE(Base_report!D1221,"CMU",""),Base_report!D1221)))))</f>
        <v>FSU COM ABOBO AKEIKOI</v>
      </c>
      <c r="E1226" s="14" t="str">
        <f>SUBSTITUTE(Base_report!E1221,"-","/")</f>
        <v>PNSME/MEDICAMENTS ET INTRANTS</v>
      </c>
      <c r="F1226" s="14" t="s">
        <v>788</v>
      </c>
      <c r="G1226" s="16">
        <f>DATE(YEAR(SUBSTITUTE(LEFT(Base_report!F1221,10),"-","/")),MONTH(SUBSTITUTE(LEFT(Base_report!F1221,10),"-","/")),DAY(SUBSTITUTE(LEFT(Base_report!F1221,10),"-","/")))</f>
        <v>45297</v>
      </c>
      <c r="H1226" s="16">
        <f>DATE(YEAR(SUBSTITUTE(LEFT(Base_report!G1221,10),"-","/")),MONTH(SUBSTITUTE(LEFT(Base_report!G1221,10),"-","/")),DAY(SUBSTITUTE(LEFT(Base_report!G1221,10),"-","/")))</f>
        <v>45300</v>
      </c>
      <c r="I1226" s="17" t="str">
        <f t="shared" si="1"/>
        <v>OUI</v>
      </c>
      <c r="J1226" s="18">
        <f>IF(L1226="DS",DATE(RIGHT(B1226,4),VLOOKUP(LEFT(B1226,LEN(B1226)-5),Feuil1!$E$3:$F$19,2,FALSE)+1,10),DATE(RIGHT(B1226,4),VLOOKUP(LEFT(B1226,LEN(B1226)-5),Feuil1!$E$3:$F$19,2,FALSE)+1,7))</f>
        <v>45298</v>
      </c>
      <c r="K1226" s="19">
        <f t="shared" si="2"/>
        <v>0</v>
      </c>
      <c r="L1226" s="6" t="str">
        <f t="shared" si="3"/>
        <v>FS</v>
      </c>
    </row>
    <row r="1227" ht="14.25" customHeight="1">
      <c r="A1227" s="14" t="str">
        <f>Base_report!A1222</f>
        <v>ABIDJAN 2</v>
      </c>
      <c r="B1227" s="14" t="str">
        <f>Base_report!B1222</f>
        <v>DECEMBRE 2023</v>
      </c>
      <c r="C1227" s="15" t="str">
        <f>Base_report!C1222</f>
        <v>C1094</v>
      </c>
      <c r="D1227" s="14" t="str">
        <f>TRIM(IF(ISNUMBER(FIND("PNSME",Base_report!D1222,1)),SUBSTITUTE(Base_report!D1222,"PNSME",""),IF(ISNUMBER(FIND("PHG",Base_report!D1222,1)),SUBSTITUTE(Base_report!D1222,"PHG",""),IF(ISNUMBER(FIND("PCS",Base_report!D1222,1)),SUBSTITUTE(Base_report!D1222,"PCS",""),IF(ISNUMBER(FIND("CMU",Base_report!D1222,1)),SUBSTITUTE(Base_report!D1222,"CMU",""),Base_report!D1222)))))</f>
        <v>HOPITAL GENERAL PORT-BOUET</v>
      </c>
      <c r="E1227" s="14" t="str">
        <f>SUBSTITUTE(Base_report!E1222,"-","/")</f>
        <v>PNLS/ANTIRETROVIRAUX ET IO</v>
      </c>
      <c r="F1227" s="14" t="s">
        <v>788</v>
      </c>
      <c r="G1227" s="16">
        <f>DATE(YEAR(SUBSTITUTE(LEFT(Base_report!F1222,10),"-","/")),MONTH(SUBSTITUTE(LEFT(Base_report!F1222,10),"-","/")),DAY(SUBSTITUTE(LEFT(Base_report!F1222,10),"-","/")))</f>
        <v>45299</v>
      </c>
      <c r="H1227" s="16">
        <f>DATE(YEAR(SUBSTITUTE(LEFT(Base_report!G1222,10),"-","/")),MONTH(SUBSTITUTE(LEFT(Base_report!G1222,10),"-","/")),DAY(SUBSTITUTE(LEFT(Base_report!G1222,10),"-","/")))</f>
        <v>45299</v>
      </c>
      <c r="I1227" s="17" t="str">
        <f t="shared" si="1"/>
        <v>OUI</v>
      </c>
      <c r="J1227" s="18">
        <f>IF(L1227="DS",DATE(RIGHT(B1227,4),VLOOKUP(LEFT(B1227,LEN(B1227)-5),Feuil1!$E$3:$F$19,2,FALSE)+1,10),DATE(RIGHT(B1227,4),VLOOKUP(LEFT(B1227,LEN(B1227)-5),Feuil1!$E$3:$F$19,2,FALSE)+1,7))</f>
        <v>45298</v>
      </c>
      <c r="K1227" s="19">
        <f t="shared" si="2"/>
        <v>0</v>
      </c>
      <c r="L1227" s="6" t="str">
        <f t="shared" si="3"/>
        <v>FS</v>
      </c>
    </row>
    <row r="1228" ht="14.25" customHeight="1">
      <c r="A1228" s="14" t="str">
        <f>Base_report!A1223</f>
        <v>FOLON</v>
      </c>
      <c r="B1228" s="14" t="str">
        <f>Base_report!B1223</f>
        <v>DECEMBRE 2023</v>
      </c>
      <c r="C1228" s="15" t="str">
        <f>Base_report!C1223</f>
        <v>C5038</v>
      </c>
      <c r="D1228" s="14" t="str">
        <f>TRIM(IF(ISNUMBER(FIND("PNSME",Base_report!D1223,1)),SUBSTITUTE(Base_report!D1223,"PNSME",""),IF(ISNUMBER(FIND("PHG",Base_report!D1223,1)),SUBSTITUTE(Base_report!D1223,"PHG",""),IF(ISNUMBER(FIND("PCS",Base_report!D1223,1)),SUBSTITUTE(Base_report!D1223,"PCS",""),IF(ISNUMBER(FIND("CMU",Base_report!D1223,1)),SUBSTITUTE(Base_report!D1223,"CMU",""),Base_report!D1223)))))</f>
        <v>DISTRICT SANITAIRE MINIGNAN</v>
      </c>
      <c r="E1228" s="14" t="str">
        <f>SUBSTITUTE(Base_report!E1223,"-","/")</f>
        <v>PNLS/TESTS RAPIDES ET CONSOMMABLES</v>
      </c>
      <c r="F1228" s="14" t="s">
        <v>788</v>
      </c>
      <c r="G1228" s="16">
        <f>DATE(YEAR(SUBSTITUTE(LEFT(Base_report!F1223,10),"-","/")),MONTH(SUBSTITUTE(LEFT(Base_report!F1223,10),"-","/")),DAY(SUBSTITUTE(LEFT(Base_report!F1223,10),"-","/")))</f>
        <v>45299</v>
      </c>
      <c r="H1228" s="16">
        <f>DATE(YEAR(SUBSTITUTE(LEFT(Base_report!G1223,10),"-","/")),MONTH(SUBSTITUTE(LEFT(Base_report!G1223,10),"-","/")),DAY(SUBSTITUTE(LEFT(Base_report!G1223,10),"-","/")))</f>
        <v>45300</v>
      </c>
      <c r="I1228" s="17" t="str">
        <f t="shared" si="1"/>
        <v>OUI</v>
      </c>
      <c r="J1228" s="18">
        <f>IF(L1228="DS",DATE(RIGHT(B1228,4),VLOOKUP(LEFT(B1228,LEN(B1228)-5),Feuil1!$E$3:$F$19,2,FALSE)+1,10),DATE(RIGHT(B1228,4),VLOOKUP(LEFT(B1228,LEN(B1228)-5),Feuil1!$E$3:$F$19,2,FALSE)+1,7))</f>
        <v>45301</v>
      </c>
      <c r="K1228" s="19">
        <f t="shared" si="2"/>
        <v>1</v>
      </c>
      <c r="L1228" s="6" t="str">
        <f t="shared" si="3"/>
        <v>DS</v>
      </c>
    </row>
    <row r="1229" ht="14.25" customHeight="1">
      <c r="A1229" s="14" t="str">
        <f>Base_report!A1224</f>
        <v>GONTOUGO</v>
      </c>
      <c r="B1229" s="14" t="str">
        <f>Base_report!B1224</f>
        <v>DECEMBRE 2023</v>
      </c>
      <c r="C1229" s="15" t="str">
        <f>Base_report!C1224</f>
        <v>C4085</v>
      </c>
      <c r="D1229" s="14" t="str">
        <f>TRIM(IF(ISNUMBER(FIND("PNSME",Base_report!D1224,1)),SUBSTITUTE(Base_report!D1224,"PNSME",""),IF(ISNUMBER(FIND("PHG",Base_report!D1224,1)),SUBSTITUTE(Base_report!D1224,"PHG",""),IF(ISNUMBER(FIND("PCS",Base_report!D1224,1)),SUBSTITUTE(Base_report!D1224,"PCS",""),IF(ISNUMBER(FIND("CMU",Base_report!D1224,1)),SUBSTITUTE(Base_report!D1224,"CMU",""),Base_report!D1224)))))</f>
        <v>HOPITAL GENERAL SANDEGUE</v>
      </c>
      <c r="E1229" s="14" t="str">
        <f>SUBSTITUTE(Base_report!E1224,"-","/")</f>
        <v>PNLS/TESTS RAPIDES ET CONSOMMABLES</v>
      </c>
      <c r="F1229" s="14" t="s">
        <v>788</v>
      </c>
      <c r="G1229" s="16">
        <f>DATE(YEAR(SUBSTITUTE(LEFT(Base_report!F1224,10),"-","/")),MONTH(SUBSTITUTE(LEFT(Base_report!F1224,10),"-","/")),DAY(SUBSTITUTE(LEFT(Base_report!F1224,10),"-","/")))</f>
        <v>45298</v>
      </c>
      <c r="H1229" s="16">
        <f>DATE(YEAR(SUBSTITUTE(LEFT(Base_report!G1224,10),"-","/")),MONTH(SUBSTITUTE(LEFT(Base_report!G1224,10),"-","/")),DAY(SUBSTITUTE(LEFT(Base_report!G1224,10),"-","/")))</f>
        <v>45298</v>
      </c>
      <c r="I1229" s="17" t="str">
        <f t="shared" si="1"/>
        <v>OUI</v>
      </c>
      <c r="J1229" s="18">
        <f>IF(L1229="DS",DATE(RIGHT(B1229,4),VLOOKUP(LEFT(B1229,LEN(B1229)-5),Feuil1!$E$3:$F$19,2,FALSE)+1,10),DATE(RIGHT(B1229,4),VLOOKUP(LEFT(B1229,LEN(B1229)-5),Feuil1!$E$3:$F$19,2,FALSE)+1,7))</f>
        <v>45298</v>
      </c>
      <c r="K1229" s="19">
        <f t="shared" si="2"/>
        <v>1</v>
      </c>
      <c r="L1229" s="6" t="str">
        <f t="shared" si="3"/>
        <v>FS</v>
      </c>
    </row>
    <row r="1230" ht="14.25" customHeight="1">
      <c r="A1230" s="14" t="str">
        <f>Base_report!A1225</f>
        <v>FOLON</v>
      </c>
      <c r="B1230" s="14" t="str">
        <f>Base_report!B1225</f>
        <v>DECEMBRE 2023</v>
      </c>
      <c r="C1230" s="15" t="str">
        <f>Base_report!C1225</f>
        <v>C5066</v>
      </c>
      <c r="D1230" s="14" t="str">
        <f>TRIM(IF(ISNUMBER(FIND("PNSME",Base_report!D1225,1)),SUBSTITUTE(Base_report!D1225,"PNSME",""),IF(ISNUMBER(FIND("PHG",Base_report!D1225,1)),SUBSTITUTE(Base_report!D1225,"PHG",""),IF(ISNUMBER(FIND("PCS",Base_report!D1225,1)),SUBSTITUTE(Base_report!D1225,"PCS",""),IF(ISNUMBER(FIND("CMU",Base_report!D1225,1)),SUBSTITUTE(Base_report!D1225,"CMU",""),Base_report!D1225)))))</f>
        <v>HOPITAL GENERAL MINIGNAN</v>
      </c>
      <c r="E1230" s="14" t="str">
        <f>SUBSTITUTE(Base_report!E1225,"-","/")</f>
        <v>PNLP/MEDICAMENTS ET INTRANTS</v>
      </c>
      <c r="F1230" s="14" t="s">
        <v>788</v>
      </c>
      <c r="G1230" s="16">
        <f>DATE(YEAR(SUBSTITUTE(LEFT(Base_report!F1225,10),"-","/")),MONTH(SUBSTITUTE(LEFT(Base_report!F1225,10),"-","/")),DAY(SUBSTITUTE(LEFT(Base_report!F1225,10),"-","/")))</f>
        <v>45297</v>
      </c>
      <c r="H1230" s="16">
        <f>DATE(YEAR(SUBSTITUTE(LEFT(Base_report!G1225,10),"-","/")),MONTH(SUBSTITUTE(LEFT(Base_report!G1225,10),"-","/")),DAY(SUBSTITUTE(LEFT(Base_report!G1225,10),"-","/")))</f>
        <v>45298</v>
      </c>
      <c r="I1230" s="17" t="str">
        <f t="shared" si="1"/>
        <v>OUI</v>
      </c>
      <c r="J1230" s="18">
        <f>IF(L1230="DS",DATE(RIGHT(B1230,4),VLOOKUP(LEFT(B1230,LEN(B1230)-5),Feuil1!$E$3:$F$19,2,FALSE)+1,10),DATE(RIGHT(B1230,4),VLOOKUP(LEFT(B1230,LEN(B1230)-5),Feuil1!$E$3:$F$19,2,FALSE)+1,7))</f>
        <v>45298</v>
      </c>
      <c r="K1230" s="19">
        <f t="shared" si="2"/>
        <v>1</v>
      </c>
      <c r="L1230" s="6" t="str">
        <f t="shared" si="3"/>
        <v>FS</v>
      </c>
    </row>
    <row r="1231" ht="14.25" customHeight="1">
      <c r="A1231" s="14" t="str">
        <f>Base_report!A1226</f>
        <v>MORONOU</v>
      </c>
      <c r="B1231" s="14" t="str">
        <f>Base_report!B1226</f>
        <v>DECEMBRE 2023</v>
      </c>
      <c r="C1231" s="15" t="str">
        <f>Base_report!C1226</f>
        <v>C4017</v>
      </c>
      <c r="D1231" s="14" t="str">
        <f>TRIM(IF(ISNUMBER(FIND("PNSME",Base_report!D1226,1)),SUBSTITUTE(Base_report!D1226,"PNSME",""),IF(ISNUMBER(FIND("PHG",Base_report!D1226,1)),SUBSTITUTE(Base_report!D1226,"PHG",""),IF(ISNUMBER(FIND("PCS",Base_report!D1226,1)),SUBSTITUTE(Base_report!D1226,"PCS",""),IF(ISNUMBER(FIND("CMU",Base_report!D1226,1)),SUBSTITUTE(Base_report!D1226,"CMU",""),Base_report!D1226)))))</f>
        <v>HOPITAL GENERAL BONGOUANOU</v>
      </c>
      <c r="E1231" s="14" t="str">
        <f>SUBSTITUTE(Base_report!E1226,"-","/")</f>
        <v>PNN/MEDICAMENTS ET INTRANTS</v>
      </c>
      <c r="F1231" s="14" t="s">
        <v>788</v>
      </c>
      <c r="G1231" s="16">
        <f>DATE(YEAR(SUBSTITUTE(LEFT(Base_report!F1226,10),"-","/")),MONTH(SUBSTITUTE(LEFT(Base_report!F1226,10),"-","/")),DAY(SUBSTITUTE(LEFT(Base_report!F1226,10),"-","/")))</f>
        <v>45297</v>
      </c>
      <c r="H1231" s="16">
        <f>DATE(YEAR(SUBSTITUTE(LEFT(Base_report!G1226,10),"-","/")),MONTH(SUBSTITUTE(LEFT(Base_report!G1226,10),"-","/")),DAY(SUBSTITUTE(LEFT(Base_report!G1226,10),"-","/")))</f>
        <v>45298</v>
      </c>
      <c r="I1231" s="17" t="str">
        <f t="shared" si="1"/>
        <v>OUI</v>
      </c>
      <c r="J1231" s="18">
        <f>IF(L1231="DS",DATE(RIGHT(B1231,4),VLOOKUP(LEFT(B1231,LEN(B1231)-5),Feuil1!$E$3:$F$19,2,FALSE)+1,10),DATE(RIGHT(B1231,4),VLOOKUP(LEFT(B1231,LEN(B1231)-5),Feuil1!$E$3:$F$19,2,FALSE)+1,7))</f>
        <v>45298</v>
      </c>
      <c r="K1231" s="19">
        <f t="shared" si="2"/>
        <v>1</v>
      </c>
      <c r="L1231" s="6" t="str">
        <f t="shared" si="3"/>
        <v>FS</v>
      </c>
    </row>
    <row r="1232" ht="14.25" customHeight="1">
      <c r="A1232" s="14" t="str">
        <f>Base_report!A1227</f>
        <v>FOLON</v>
      </c>
      <c r="B1232" s="14" t="str">
        <f>Base_report!B1227</f>
        <v>DECEMBRE 2023</v>
      </c>
      <c r="C1232" s="15" t="str">
        <f>Base_report!C1227</f>
        <v>C5066</v>
      </c>
      <c r="D1232" s="14" t="str">
        <f>TRIM(IF(ISNUMBER(FIND("PNSME",Base_report!D1227,1)),SUBSTITUTE(Base_report!D1227,"PNSME",""),IF(ISNUMBER(FIND("PHG",Base_report!D1227,1)),SUBSTITUTE(Base_report!D1227,"PHG",""),IF(ISNUMBER(FIND("PCS",Base_report!D1227,1)),SUBSTITUTE(Base_report!D1227,"PCS",""),IF(ISNUMBER(FIND("CMU",Base_report!D1227,1)),SUBSTITUTE(Base_report!D1227,"CMU",""),Base_report!D1227)))))</f>
        <v>HOPITAL GENERAL MINIGNAN</v>
      </c>
      <c r="E1232" s="14" t="str">
        <f>SUBSTITUTE(Base_report!E1227,"-","/")</f>
        <v>PNLS/ANTIRETROVIRAUX ET IO</v>
      </c>
      <c r="F1232" s="14" t="s">
        <v>788</v>
      </c>
      <c r="G1232" s="16">
        <f>DATE(YEAR(SUBSTITUTE(LEFT(Base_report!F1227,10),"-","/")),MONTH(SUBSTITUTE(LEFT(Base_report!F1227,10),"-","/")),DAY(SUBSTITUTE(LEFT(Base_report!F1227,10),"-","/")))</f>
        <v>45297</v>
      </c>
      <c r="H1232" s="16">
        <f>DATE(YEAR(SUBSTITUTE(LEFT(Base_report!G1227,10),"-","/")),MONTH(SUBSTITUTE(LEFT(Base_report!G1227,10),"-","/")),DAY(SUBSTITUTE(LEFT(Base_report!G1227,10),"-","/")))</f>
        <v>45298</v>
      </c>
      <c r="I1232" s="17" t="str">
        <f t="shared" si="1"/>
        <v>OUI</v>
      </c>
      <c r="J1232" s="18">
        <f>IF(L1232="DS",DATE(RIGHT(B1232,4),VLOOKUP(LEFT(B1232,LEN(B1232)-5),Feuil1!$E$3:$F$19,2,FALSE)+1,10),DATE(RIGHT(B1232,4),VLOOKUP(LEFT(B1232,LEN(B1232)-5),Feuil1!$E$3:$F$19,2,FALSE)+1,7))</f>
        <v>45298</v>
      </c>
      <c r="K1232" s="19">
        <f t="shared" si="2"/>
        <v>1</v>
      </c>
      <c r="L1232" s="6" t="str">
        <f t="shared" si="3"/>
        <v>FS</v>
      </c>
    </row>
    <row r="1233" ht="14.25" customHeight="1">
      <c r="A1233" s="14" t="str">
        <f>Base_report!A1228</f>
        <v>CAVALLY</v>
      </c>
      <c r="B1233" s="14" t="str">
        <f>Base_report!B1228</f>
        <v>DECEMBRE 2023</v>
      </c>
      <c r="C1233" s="15" t="str">
        <f>Base_report!C1228</f>
        <v>C5017</v>
      </c>
      <c r="D1233" s="14" t="str">
        <f>TRIM(IF(ISNUMBER(FIND("PNSME",Base_report!D1228,1)),SUBSTITUTE(Base_report!D1228,"PNSME",""),IF(ISNUMBER(FIND("PHG",Base_report!D1228,1)),SUBSTITUTE(Base_report!D1228,"PHG",""),IF(ISNUMBER(FIND("PCS",Base_report!D1228,1)),SUBSTITUTE(Base_report!D1228,"PCS",""),IF(ISNUMBER(FIND("CMU",Base_report!D1228,1)),SUBSTITUTE(Base_report!D1228,"CMU",""),Base_report!D1228)))))</f>
        <v>HOPITAL GENERAL BLOLEQUIN</v>
      </c>
      <c r="E1233" s="14" t="str">
        <f>SUBSTITUTE(Base_report!E1228,"-","/")</f>
        <v>PNLS/TESTS RAPIDES ET CONSOMMABLES</v>
      </c>
      <c r="F1233" s="14" t="s">
        <v>788</v>
      </c>
      <c r="G1233" s="16">
        <f>DATE(YEAR(SUBSTITUTE(LEFT(Base_report!F1228,10),"-","/")),MONTH(SUBSTITUTE(LEFT(Base_report!F1228,10),"-","/")),DAY(SUBSTITUTE(LEFT(Base_report!F1228,10),"-","/")))</f>
        <v>45298</v>
      </c>
      <c r="H1233" s="16">
        <f>DATE(YEAR(SUBSTITUTE(LEFT(Base_report!G1228,10),"-","/")),MONTH(SUBSTITUTE(LEFT(Base_report!G1228,10),"-","/")),DAY(SUBSTITUTE(LEFT(Base_report!G1228,10),"-","/")))</f>
        <v>45298</v>
      </c>
      <c r="I1233" s="17" t="str">
        <f t="shared" si="1"/>
        <v>OUI</v>
      </c>
      <c r="J1233" s="18">
        <f>IF(L1233="DS",DATE(RIGHT(B1233,4),VLOOKUP(LEFT(B1233,LEN(B1233)-5),Feuil1!$E$3:$F$19,2,FALSE)+1,10),DATE(RIGHT(B1233,4),VLOOKUP(LEFT(B1233,LEN(B1233)-5),Feuil1!$E$3:$F$19,2,FALSE)+1,7))</f>
        <v>45298</v>
      </c>
      <c r="K1233" s="19">
        <f t="shared" si="2"/>
        <v>1</v>
      </c>
      <c r="L1233" s="6" t="str">
        <f t="shared" si="3"/>
        <v>FS</v>
      </c>
    </row>
    <row r="1234" ht="14.25" customHeight="1">
      <c r="A1234" s="14" t="str">
        <f>Base_report!A1229</f>
        <v>FOLON</v>
      </c>
      <c r="B1234" s="14" t="str">
        <f>Base_report!B1229</f>
        <v>DECEMBRE 2023</v>
      </c>
      <c r="C1234" s="15" t="str">
        <f>Base_report!C1229</f>
        <v>C5066</v>
      </c>
      <c r="D1234" s="14" t="str">
        <f>TRIM(IF(ISNUMBER(FIND("PNSME",Base_report!D1229,1)),SUBSTITUTE(Base_report!D1229,"PNSME",""),IF(ISNUMBER(FIND("PHG",Base_report!D1229,1)),SUBSTITUTE(Base_report!D1229,"PHG",""),IF(ISNUMBER(FIND("PCS",Base_report!D1229,1)),SUBSTITUTE(Base_report!D1229,"PCS",""),IF(ISNUMBER(FIND("CMU",Base_report!D1229,1)),SUBSTITUTE(Base_report!D1229,"CMU",""),Base_report!D1229)))))</f>
        <v>HOPITAL GENERAL MINIGNAN</v>
      </c>
      <c r="E1234" s="14" t="str">
        <f>SUBSTITUTE(Base_report!E1229,"-","/")</f>
        <v>PNLS/PRODUITS DE LABORATOIRE</v>
      </c>
      <c r="F1234" s="14" t="s">
        <v>788</v>
      </c>
      <c r="G1234" s="16">
        <f>DATE(YEAR(SUBSTITUTE(LEFT(Base_report!F1229,10),"-","/")),MONTH(SUBSTITUTE(LEFT(Base_report!F1229,10),"-","/")),DAY(SUBSTITUTE(LEFT(Base_report!F1229,10),"-","/")))</f>
        <v>45297</v>
      </c>
      <c r="H1234" s="16">
        <f>DATE(YEAR(SUBSTITUTE(LEFT(Base_report!G1229,10),"-","/")),MONTH(SUBSTITUTE(LEFT(Base_report!G1229,10),"-","/")),DAY(SUBSTITUTE(LEFT(Base_report!G1229,10),"-","/")))</f>
        <v>45298</v>
      </c>
      <c r="I1234" s="17" t="str">
        <f t="shared" si="1"/>
        <v>OUI</v>
      </c>
      <c r="J1234" s="18">
        <f>IF(L1234="DS",DATE(RIGHT(B1234,4),VLOOKUP(LEFT(B1234,LEN(B1234)-5),Feuil1!$E$3:$F$19,2,FALSE)+1,10),DATE(RIGHT(B1234,4),VLOOKUP(LEFT(B1234,LEN(B1234)-5),Feuil1!$E$3:$F$19,2,FALSE)+1,7))</f>
        <v>45298</v>
      </c>
      <c r="K1234" s="19">
        <f t="shared" si="2"/>
        <v>1</v>
      </c>
      <c r="L1234" s="6" t="str">
        <f t="shared" si="3"/>
        <v>FS</v>
      </c>
    </row>
    <row r="1235" ht="14.25" customHeight="1">
      <c r="A1235" s="14" t="str">
        <f>Base_report!A1230</f>
        <v>AGNEBY-TIASSA</v>
      </c>
      <c r="B1235" s="14" t="str">
        <f>Base_report!B1230</f>
        <v>DECEMBRE 2023</v>
      </c>
      <c r="C1235" s="15" t="str">
        <f>Base_report!C1230</f>
        <v>C1004</v>
      </c>
      <c r="D1235" s="14" t="str">
        <f>TRIM(IF(ISNUMBER(FIND("PNSME",Base_report!D1230,1)),SUBSTITUTE(Base_report!D1230,"PNSME",""),IF(ISNUMBER(FIND("PHG",Base_report!D1230,1)),SUBSTITUTE(Base_report!D1230,"PHG",""),IF(ISNUMBER(FIND("PCS",Base_report!D1230,1)),SUBSTITUTE(Base_report!D1230,"PCS",""),IF(ISNUMBER(FIND("CMU",Base_report!D1230,1)),SUBSTITUTE(Base_report!D1230,"CMU",""),Base_report!D1230)))))</f>
        <v>CHR AGBOVILLE</v>
      </c>
      <c r="E1235" s="14" t="str">
        <f>SUBSTITUTE(Base_report!E1230,"-","/")</f>
        <v>PNLS/PRODUITS DE LABORATOIRE</v>
      </c>
      <c r="F1235" s="14" t="s">
        <v>788</v>
      </c>
      <c r="G1235" s="16">
        <f>DATE(YEAR(SUBSTITUTE(LEFT(Base_report!F1230,10),"-","/")),MONTH(SUBSTITUTE(LEFT(Base_report!F1230,10),"-","/")),DAY(SUBSTITUTE(LEFT(Base_report!F1230,10),"-","/")))</f>
        <v>45297</v>
      </c>
      <c r="H1235" s="16">
        <f>DATE(YEAR(SUBSTITUTE(LEFT(Base_report!G1230,10),"-","/")),MONTH(SUBSTITUTE(LEFT(Base_report!G1230,10),"-","/")),DAY(SUBSTITUTE(LEFT(Base_report!G1230,10),"-","/")))</f>
        <v>45297</v>
      </c>
      <c r="I1235" s="17" t="str">
        <f t="shared" si="1"/>
        <v>OUI</v>
      </c>
      <c r="J1235" s="18">
        <f>IF(L1235="DS",DATE(RIGHT(B1235,4),VLOOKUP(LEFT(B1235,LEN(B1235)-5),Feuil1!$E$3:$F$19,2,FALSE)+1,10),DATE(RIGHT(B1235,4),VLOOKUP(LEFT(B1235,LEN(B1235)-5),Feuil1!$E$3:$F$19,2,FALSE)+1,7))</f>
        <v>45298</v>
      </c>
      <c r="K1235" s="19">
        <f t="shared" si="2"/>
        <v>1</v>
      </c>
      <c r="L1235" s="6" t="str">
        <f t="shared" si="3"/>
        <v>FS</v>
      </c>
    </row>
    <row r="1236" ht="14.25" customHeight="1">
      <c r="A1236" s="14" t="str">
        <f>Base_report!A1231</f>
        <v>FOLON</v>
      </c>
      <c r="B1236" s="14" t="str">
        <f>Base_report!B1231</f>
        <v>DECEMBRE 2023</v>
      </c>
      <c r="C1236" s="15" t="str">
        <f>Base_report!C1231</f>
        <v>C5066</v>
      </c>
      <c r="D1236" s="14" t="str">
        <f>TRIM(IF(ISNUMBER(FIND("PNSME",Base_report!D1231,1)),SUBSTITUTE(Base_report!D1231,"PNSME",""),IF(ISNUMBER(FIND("PHG",Base_report!D1231,1)),SUBSTITUTE(Base_report!D1231,"PHG",""),IF(ISNUMBER(FIND("PCS",Base_report!D1231,1)),SUBSTITUTE(Base_report!D1231,"PCS",""),IF(ISNUMBER(FIND("CMU",Base_report!D1231,1)),SUBSTITUTE(Base_report!D1231,"CMU",""),Base_report!D1231)))))</f>
        <v>HOPITAL GENERAL MINIGNAN</v>
      </c>
      <c r="E1236" s="14" t="str">
        <f>SUBSTITUTE(Base_report!E1231,"-","/")</f>
        <v>PNLS/TESTS RAPIDES ET CONSOMMABLES</v>
      </c>
      <c r="F1236" s="14" t="s">
        <v>788</v>
      </c>
      <c r="G1236" s="16">
        <f>DATE(YEAR(SUBSTITUTE(LEFT(Base_report!F1231,10),"-","/")),MONTH(SUBSTITUTE(LEFT(Base_report!F1231,10),"-","/")),DAY(SUBSTITUTE(LEFT(Base_report!F1231,10),"-","/")))</f>
        <v>45297</v>
      </c>
      <c r="H1236" s="16">
        <f>DATE(YEAR(SUBSTITUTE(LEFT(Base_report!G1231,10),"-","/")),MONTH(SUBSTITUTE(LEFT(Base_report!G1231,10),"-","/")),DAY(SUBSTITUTE(LEFT(Base_report!G1231,10),"-","/")))</f>
        <v>45298</v>
      </c>
      <c r="I1236" s="17" t="str">
        <f t="shared" si="1"/>
        <v>OUI</v>
      </c>
      <c r="J1236" s="18">
        <f>IF(L1236="DS",DATE(RIGHT(B1236,4),VLOOKUP(LEFT(B1236,LEN(B1236)-5),Feuil1!$E$3:$F$19,2,FALSE)+1,10),DATE(RIGHT(B1236,4),VLOOKUP(LEFT(B1236,LEN(B1236)-5),Feuil1!$E$3:$F$19,2,FALSE)+1,7))</f>
        <v>45298</v>
      </c>
      <c r="K1236" s="19">
        <f t="shared" si="2"/>
        <v>1</v>
      </c>
      <c r="L1236" s="6" t="str">
        <f t="shared" si="3"/>
        <v>FS</v>
      </c>
    </row>
    <row r="1237" ht="14.25" customHeight="1">
      <c r="A1237" s="14" t="str">
        <f>Base_report!A1232</f>
        <v>GONTOUGO</v>
      </c>
      <c r="B1237" s="14" t="str">
        <f>Base_report!B1232</f>
        <v>DECEMBRE 2023</v>
      </c>
      <c r="C1237" s="15" t="str">
        <f>Base_report!C1232</f>
        <v>C4085</v>
      </c>
      <c r="D1237" s="14" t="str">
        <f>TRIM(IF(ISNUMBER(FIND("PNSME",Base_report!D1232,1)),SUBSTITUTE(Base_report!D1232,"PNSME",""),IF(ISNUMBER(FIND("PHG",Base_report!D1232,1)),SUBSTITUTE(Base_report!D1232,"PHG",""),IF(ISNUMBER(FIND("PCS",Base_report!D1232,1)),SUBSTITUTE(Base_report!D1232,"PCS",""),IF(ISNUMBER(FIND("CMU",Base_report!D1232,1)),SUBSTITUTE(Base_report!D1232,"CMU",""),Base_report!D1232)))))</f>
        <v>HOPITAL GENERAL SANDEGUE</v>
      </c>
      <c r="E1237" s="14" t="str">
        <f>SUBSTITUTE(Base_report!E1232,"-","/")</f>
        <v>PNLS/ANTIRETROVIRAUX ET IO</v>
      </c>
      <c r="F1237" s="14" t="s">
        <v>788</v>
      </c>
      <c r="G1237" s="16">
        <f>DATE(YEAR(SUBSTITUTE(LEFT(Base_report!F1232,10),"-","/")),MONTH(SUBSTITUTE(LEFT(Base_report!F1232,10),"-","/")),DAY(SUBSTITUTE(LEFT(Base_report!F1232,10),"-","/")))</f>
        <v>45298</v>
      </c>
      <c r="H1237" s="16">
        <f>DATE(YEAR(SUBSTITUTE(LEFT(Base_report!G1232,10),"-","/")),MONTH(SUBSTITUTE(LEFT(Base_report!G1232,10),"-","/")),DAY(SUBSTITUTE(LEFT(Base_report!G1232,10),"-","/")))</f>
        <v>45298</v>
      </c>
      <c r="I1237" s="17" t="str">
        <f t="shared" si="1"/>
        <v>OUI</v>
      </c>
      <c r="J1237" s="18">
        <f>IF(L1237="DS",DATE(RIGHT(B1237,4),VLOOKUP(LEFT(B1237,LEN(B1237)-5),Feuil1!$E$3:$F$19,2,FALSE)+1,10),DATE(RIGHT(B1237,4),VLOOKUP(LEFT(B1237,LEN(B1237)-5),Feuil1!$E$3:$F$19,2,FALSE)+1,7))</f>
        <v>45298</v>
      </c>
      <c r="K1237" s="19">
        <f t="shared" si="2"/>
        <v>1</v>
      </c>
      <c r="L1237" s="6" t="str">
        <f t="shared" si="3"/>
        <v>FS</v>
      </c>
    </row>
    <row r="1238" ht="14.25" customHeight="1">
      <c r="A1238" s="14" t="str">
        <f>Base_report!A1233</f>
        <v>FOLON</v>
      </c>
      <c r="B1238" s="14" t="str">
        <f>Base_report!B1233</f>
        <v>DECEMBRE 2023</v>
      </c>
      <c r="C1238" s="15" t="str">
        <f>Base_report!C1233</f>
        <v>C5066</v>
      </c>
      <c r="D1238" s="14" t="str">
        <f>TRIM(IF(ISNUMBER(FIND("PNSME",Base_report!D1233,1)),SUBSTITUTE(Base_report!D1233,"PNSME",""),IF(ISNUMBER(FIND("PHG",Base_report!D1233,1)),SUBSTITUTE(Base_report!D1233,"PHG",""),IF(ISNUMBER(FIND("PCS",Base_report!D1233,1)),SUBSTITUTE(Base_report!D1233,"PCS",""),IF(ISNUMBER(FIND("CMU",Base_report!D1233,1)),SUBSTITUTE(Base_report!D1233,"CMU",""),Base_report!D1233)))))</f>
        <v>HOPITAL GENERAL MINIGNAN</v>
      </c>
      <c r="E1238" s="14" t="str">
        <f>SUBSTITUTE(Base_report!E1233,"-","/")</f>
        <v>PNN/MEDICAMENTS ET INTRANTS</v>
      </c>
      <c r="F1238" s="14" t="s">
        <v>788</v>
      </c>
      <c r="G1238" s="16">
        <f>DATE(YEAR(SUBSTITUTE(LEFT(Base_report!F1233,10),"-","/")),MONTH(SUBSTITUTE(LEFT(Base_report!F1233,10),"-","/")),DAY(SUBSTITUTE(LEFT(Base_report!F1233,10),"-","/")))</f>
        <v>45297</v>
      </c>
      <c r="H1238" s="16">
        <f>DATE(YEAR(SUBSTITUTE(LEFT(Base_report!G1233,10),"-","/")),MONTH(SUBSTITUTE(LEFT(Base_report!G1233,10),"-","/")),DAY(SUBSTITUTE(LEFT(Base_report!G1233,10),"-","/")))</f>
        <v>45298</v>
      </c>
      <c r="I1238" s="17" t="str">
        <f t="shared" si="1"/>
        <v>OUI</v>
      </c>
      <c r="J1238" s="18">
        <f>IF(L1238="DS",DATE(RIGHT(B1238,4),VLOOKUP(LEFT(B1238,LEN(B1238)-5),Feuil1!$E$3:$F$19,2,FALSE)+1,10),DATE(RIGHT(B1238,4),VLOOKUP(LEFT(B1238,LEN(B1238)-5),Feuil1!$E$3:$F$19,2,FALSE)+1,7))</f>
        <v>45298</v>
      </c>
      <c r="K1238" s="19">
        <f t="shared" si="2"/>
        <v>1</v>
      </c>
      <c r="L1238" s="6" t="str">
        <f t="shared" si="3"/>
        <v>FS</v>
      </c>
    </row>
    <row r="1239" ht="14.25" customHeight="1">
      <c r="A1239" s="14" t="str">
        <f>Base_report!#REF!</f>
        <v>#ERROR!</v>
      </c>
      <c r="B1239" s="14" t="str">
        <f>Base_report!#REF!</f>
        <v>#ERROR!</v>
      </c>
      <c r="C1239" s="15" t="str">
        <f>Base_report!#REF!</f>
        <v>#ERROR!</v>
      </c>
      <c r="D1239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239" s="14" t="str">
        <f>SUBSTITUTE(Base_report!#REF!,"-","/")</f>
        <v>#ERROR!</v>
      </c>
      <c r="F1239" s="14" t="s">
        <v>788</v>
      </c>
      <c r="G1239" s="16" t="str">
        <f>DATE(YEAR(SUBSTITUTE(LEFT(Base_report!#REF!,10),"-","/")),MONTH(SUBSTITUTE(LEFT(Base_report!#REF!,10),"-","/")),DAY(SUBSTITUTE(LEFT(Base_report!#REF!,10),"-","/")))</f>
        <v>#ERROR!</v>
      </c>
      <c r="H1239" s="16" t="str">
        <f>DATE(YEAR(SUBSTITUTE(LEFT(Base_report!#REF!,10),"-","/")),MONTH(SUBSTITUTE(LEFT(Base_report!#REF!,10),"-","/")),DAY(SUBSTITUTE(LEFT(Base_report!#REF!,10),"-","/")))</f>
        <v>#ERROR!</v>
      </c>
      <c r="I1239" s="17" t="str">
        <f t="shared" si="1"/>
        <v>OUI</v>
      </c>
      <c r="J1239" s="18" t="str">
        <f>IF(L1239="DS",DATE(RIGHT(B1239,4),VLOOKUP(LEFT(B1239,LEN(B1239)-5),Feuil1!$E$3:$F$19,2,FALSE)+1,10),DATE(RIGHT(B1239,4),VLOOKUP(LEFT(B1239,LEN(B1239)-5),Feuil1!$E$3:$F$19,2,FALSE)+1,7))</f>
        <v>#ERROR!</v>
      </c>
      <c r="K1239" s="19" t="str">
        <f t="shared" si="2"/>
        <v>#ERROR!</v>
      </c>
      <c r="L1239" s="6" t="str">
        <f t="shared" si="3"/>
        <v>FS</v>
      </c>
    </row>
    <row r="1240" ht="14.25" customHeight="1">
      <c r="A1240" s="14" t="str">
        <f>Base_report!A1234</f>
        <v>MARAHOUE</v>
      </c>
      <c r="B1240" s="14" t="str">
        <f>Base_report!B1234</f>
        <v>DECEMBRE 2023</v>
      </c>
      <c r="C1240" s="15" t="str">
        <f>Base_report!C1234</f>
        <v>C2002</v>
      </c>
      <c r="D1240" s="14" t="str">
        <f>TRIM(IF(ISNUMBER(FIND("PNSME",Base_report!D1234,1)),SUBSTITUTE(Base_report!D1234,"PNSME",""),IF(ISNUMBER(FIND("PHG",Base_report!D1234,1)),SUBSTITUTE(Base_report!D1234,"PHG",""),IF(ISNUMBER(FIND("PCS",Base_report!D1234,1)),SUBSTITUTE(Base_report!D1234,"PCS",""),IF(ISNUMBER(FIND("CMU",Base_report!D1234,1)),SUBSTITUTE(Base_report!D1234,"CMU",""),Base_report!D1234)))))</f>
        <v>CHR BOUAFLE</v>
      </c>
      <c r="E1240" s="14" t="str">
        <f>SUBSTITUTE(Base_report!E1234,"-","/")</f>
        <v>PNLS/TESTS RAPIDES ET CONSOMMABLES</v>
      </c>
      <c r="F1240" s="14" t="s">
        <v>788</v>
      </c>
      <c r="G1240" s="16">
        <f>DATE(YEAR(SUBSTITUTE(LEFT(Base_report!F1234,10),"-","/")),MONTH(SUBSTITUTE(LEFT(Base_report!F1234,10),"-","/")),DAY(SUBSTITUTE(LEFT(Base_report!F1234,10),"-","/")))</f>
        <v>45297</v>
      </c>
      <c r="H1240" s="16">
        <f>DATE(YEAR(SUBSTITUTE(LEFT(Base_report!G1234,10),"-","/")),MONTH(SUBSTITUTE(LEFT(Base_report!G1234,10),"-","/")),DAY(SUBSTITUTE(LEFT(Base_report!G1234,10),"-","/")))</f>
        <v>45297</v>
      </c>
      <c r="I1240" s="17" t="str">
        <f t="shared" si="1"/>
        <v>OUI</v>
      </c>
      <c r="J1240" s="18">
        <f>IF(L1240="DS",DATE(RIGHT(B1240,4),VLOOKUP(LEFT(B1240,LEN(B1240)-5),Feuil1!$E$3:$F$19,2,FALSE)+1,10),DATE(RIGHT(B1240,4),VLOOKUP(LEFT(B1240,LEN(B1240)-5),Feuil1!$E$3:$F$19,2,FALSE)+1,7))</f>
        <v>45298</v>
      </c>
      <c r="K1240" s="19">
        <f t="shared" si="2"/>
        <v>1</v>
      </c>
      <c r="L1240" s="6" t="str">
        <f t="shared" si="3"/>
        <v>FS</v>
      </c>
    </row>
    <row r="1241" ht="14.25" customHeight="1">
      <c r="A1241" s="14" t="str">
        <f>Base_report!A1235</f>
        <v>NAWA</v>
      </c>
      <c r="B1241" s="14" t="str">
        <f>Base_report!B1235</f>
        <v>DECEMBRE 2023</v>
      </c>
      <c r="C1241" s="15" t="str">
        <f>Base_report!C1235</f>
        <v>C2050</v>
      </c>
      <c r="D1241" s="14" t="str">
        <f>TRIM(IF(ISNUMBER(FIND("PNSME",Base_report!D1235,1)),SUBSTITUTE(Base_report!D1235,"PNSME",""),IF(ISNUMBER(FIND("PHG",Base_report!D1235,1)),SUBSTITUTE(Base_report!D1235,"PHG",""),IF(ISNUMBER(FIND("PCS",Base_report!D1235,1)),SUBSTITUTE(Base_report!D1235,"PCS",""),IF(ISNUMBER(FIND("CMU",Base_report!D1235,1)),SUBSTITUTE(Base_report!D1235,"CMU",""),Base_report!D1235)))))</f>
        <v>HOPITAL GENERAL BUYO</v>
      </c>
      <c r="E1241" s="14" t="str">
        <f>SUBSTITUTE(Base_report!E1235,"-","/")</f>
        <v>PNLP/MEDICAMENTS ET INTRANTS</v>
      </c>
      <c r="F1241" s="14" t="s">
        <v>788</v>
      </c>
      <c r="G1241" s="16">
        <f>DATE(YEAR(SUBSTITUTE(LEFT(Base_report!F1235,10),"-","/")),MONTH(SUBSTITUTE(LEFT(Base_report!F1235,10),"-","/")),DAY(SUBSTITUTE(LEFT(Base_report!F1235,10),"-","/")))</f>
        <v>45298</v>
      </c>
      <c r="H1241" s="16">
        <f>DATE(YEAR(SUBSTITUTE(LEFT(Base_report!G1235,10),"-","/")),MONTH(SUBSTITUTE(LEFT(Base_report!G1235,10),"-","/")),DAY(SUBSTITUTE(LEFT(Base_report!G1235,10),"-","/")))</f>
        <v>45298</v>
      </c>
      <c r="I1241" s="17" t="str">
        <f t="shared" si="1"/>
        <v>OUI</v>
      </c>
      <c r="J1241" s="18">
        <f>IF(L1241="DS",DATE(RIGHT(B1241,4),VLOOKUP(LEFT(B1241,LEN(B1241)-5),Feuil1!$E$3:$F$19,2,FALSE)+1,10),DATE(RIGHT(B1241,4),VLOOKUP(LEFT(B1241,LEN(B1241)-5),Feuil1!$E$3:$F$19,2,FALSE)+1,7))</f>
        <v>45298</v>
      </c>
      <c r="K1241" s="19">
        <f t="shared" si="2"/>
        <v>1</v>
      </c>
      <c r="L1241" s="6" t="str">
        <f t="shared" si="3"/>
        <v>FS</v>
      </c>
    </row>
    <row r="1242" ht="14.25" customHeight="1">
      <c r="A1242" s="14" t="str">
        <f>Base_report!#REF!</f>
        <v>#ERROR!</v>
      </c>
      <c r="B1242" s="14" t="str">
        <f>Base_report!#REF!</f>
        <v>#ERROR!</v>
      </c>
      <c r="C1242" s="15" t="str">
        <f>Base_report!#REF!</f>
        <v>#ERROR!</v>
      </c>
      <c r="D1242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242" s="14" t="str">
        <f>SUBSTITUTE(Base_report!#REF!,"-","/")</f>
        <v>#ERROR!</v>
      </c>
      <c r="F1242" s="14" t="s">
        <v>788</v>
      </c>
      <c r="G1242" s="16" t="str">
        <f>DATE(YEAR(SUBSTITUTE(LEFT(Base_report!#REF!,10),"-","/")),MONTH(SUBSTITUTE(LEFT(Base_report!#REF!,10),"-","/")),DAY(SUBSTITUTE(LEFT(Base_report!#REF!,10),"-","/")))</f>
        <v>#ERROR!</v>
      </c>
      <c r="H1242" s="16" t="str">
        <f>DATE(YEAR(SUBSTITUTE(LEFT(Base_report!#REF!,10),"-","/")),MONTH(SUBSTITUTE(LEFT(Base_report!#REF!,10),"-","/")),DAY(SUBSTITUTE(LEFT(Base_report!#REF!,10),"-","/")))</f>
        <v>#ERROR!</v>
      </c>
      <c r="I1242" s="17" t="str">
        <f t="shared" si="1"/>
        <v>OUI</v>
      </c>
      <c r="J1242" s="18" t="str">
        <f>IF(L1242="DS",DATE(RIGHT(B1242,4),VLOOKUP(LEFT(B1242,LEN(B1242)-5),Feuil1!$E$3:$F$19,2,FALSE)+1,10),DATE(RIGHT(B1242,4),VLOOKUP(LEFT(B1242,LEN(B1242)-5),Feuil1!$E$3:$F$19,2,FALSE)+1,7))</f>
        <v>#ERROR!</v>
      </c>
      <c r="K1242" s="19" t="str">
        <f t="shared" si="2"/>
        <v>#ERROR!</v>
      </c>
      <c r="L1242" s="6" t="str">
        <f t="shared" si="3"/>
        <v>FS</v>
      </c>
    </row>
    <row r="1243" ht="14.25" customHeight="1">
      <c r="A1243" s="14" t="str">
        <f>Base_report!A1236</f>
        <v>FOLON</v>
      </c>
      <c r="B1243" s="14" t="str">
        <f>Base_report!B1236</f>
        <v>DECEMBRE 2023</v>
      </c>
      <c r="C1243" s="15" t="str">
        <f>Base_report!C1236</f>
        <v>C5066</v>
      </c>
      <c r="D1243" s="14" t="str">
        <f>TRIM(IF(ISNUMBER(FIND("PNSME",Base_report!D1236,1)),SUBSTITUTE(Base_report!D1236,"PNSME",""),IF(ISNUMBER(FIND("PHG",Base_report!D1236,1)),SUBSTITUTE(Base_report!D1236,"PHG",""),IF(ISNUMBER(FIND("PCS",Base_report!D1236,1)),SUBSTITUTE(Base_report!D1236,"PCS",""),IF(ISNUMBER(FIND("CMU",Base_report!D1236,1)),SUBSTITUTE(Base_report!D1236,"CMU",""),Base_report!D1236)))))</f>
        <v>HOPITAL GENERAL MINIGNAN</v>
      </c>
      <c r="E1243" s="14" t="str">
        <f>SUBSTITUTE(Base_report!E1236,"-","/")</f>
        <v>PNSME/MEDICAMENTS ET INTRANTS</v>
      </c>
      <c r="F1243" s="14" t="s">
        <v>788</v>
      </c>
      <c r="G1243" s="16">
        <f>DATE(YEAR(SUBSTITUTE(LEFT(Base_report!F1236,10),"-","/")),MONTH(SUBSTITUTE(LEFT(Base_report!F1236,10),"-","/")),DAY(SUBSTITUTE(LEFT(Base_report!F1236,10),"-","/")))</f>
        <v>45297</v>
      </c>
      <c r="H1243" s="16">
        <f>DATE(YEAR(SUBSTITUTE(LEFT(Base_report!G1236,10),"-","/")),MONTH(SUBSTITUTE(LEFT(Base_report!G1236,10),"-","/")),DAY(SUBSTITUTE(LEFT(Base_report!G1236,10),"-","/")))</f>
        <v>45298</v>
      </c>
      <c r="I1243" s="17" t="str">
        <f t="shared" si="1"/>
        <v>OUI</v>
      </c>
      <c r="J1243" s="18">
        <f>IF(L1243="DS",DATE(RIGHT(B1243,4),VLOOKUP(LEFT(B1243,LEN(B1243)-5),Feuil1!$E$3:$F$19,2,FALSE)+1,10),DATE(RIGHT(B1243,4),VLOOKUP(LEFT(B1243,LEN(B1243)-5),Feuil1!$E$3:$F$19,2,FALSE)+1,7))</f>
        <v>45298</v>
      </c>
      <c r="K1243" s="19">
        <f t="shared" si="2"/>
        <v>1</v>
      </c>
      <c r="L1243" s="6" t="str">
        <f t="shared" si="3"/>
        <v>FS</v>
      </c>
    </row>
    <row r="1244" ht="14.25" customHeight="1">
      <c r="A1244" s="14" t="str">
        <f>Base_report!A1237</f>
        <v>HAUT-SASSANDRA</v>
      </c>
      <c r="B1244" s="14" t="str">
        <f>Base_report!B1237</f>
        <v>DECEMBRE 2023</v>
      </c>
      <c r="C1244" s="15" t="str">
        <f>Base_report!C1237</f>
        <v>C2003</v>
      </c>
      <c r="D1244" s="14" t="str">
        <f>TRIM(IF(ISNUMBER(FIND("PNSME",Base_report!D1237,1)),SUBSTITUTE(Base_report!D1237,"PNSME",""),IF(ISNUMBER(FIND("PHG",Base_report!D1237,1)),SUBSTITUTE(Base_report!D1237,"PHG",""),IF(ISNUMBER(FIND("PCS",Base_report!D1237,1)),SUBSTITUTE(Base_report!D1237,"PCS",""),IF(ISNUMBER(FIND("CMU",Base_report!D1237,1)),SUBSTITUTE(Base_report!D1237,"CMU",""),Base_report!D1237)))))</f>
        <v>CHR DALOA</v>
      </c>
      <c r="E1244" s="14" t="str">
        <f>SUBSTITUTE(Base_report!E1237,"-","/")</f>
        <v>PNSME/MEDICAMENTS ET INTRANTS</v>
      </c>
      <c r="F1244" s="14" t="s">
        <v>788</v>
      </c>
      <c r="G1244" s="16">
        <f>DATE(YEAR(SUBSTITUTE(LEFT(Base_report!F1237,10),"-","/")),MONTH(SUBSTITUTE(LEFT(Base_report!F1237,10),"-","/")),DAY(SUBSTITUTE(LEFT(Base_report!F1237,10),"-","/")))</f>
        <v>45297</v>
      </c>
      <c r="H1244" s="16">
        <f>DATE(YEAR(SUBSTITUTE(LEFT(Base_report!G1237,10),"-","/")),MONTH(SUBSTITUTE(LEFT(Base_report!G1237,10),"-","/")),DAY(SUBSTITUTE(LEFT(Base_report!G1237,10),"-","/")))</f>
        <v>45298</v>
      </c>
      <c r="I1244" s="17" t="str">
        <f t="shared" si="1"/>
        <v>OUI</v>
      </c>
      <c r="J1244" s="18">
        <f>IF(L1244="DS",DATE(RIGHT(B1244,4),VLOOKUP(LEFT(B1244,LEN(B1244)-5),Feuil1!$E$3:$F$19,2,FALSE)+1,10),DATE(RIGHT(B1244,4),VLOOKUP(LEFT(B1244,LEN(B1244)-5),Feuil1!$E$3:$F$19,2,FALSE)+1,7))</f>
        <v>45298</v>
      </c>
      <c r="K1244" s="19">
        <f t="shared" si="2"/>
        <v>1</v>
      </c>
      <c r="L1244" s="6" t="str">
        <f t="shared" si="3"/>
        <v>FS</v>
      </c>
    </row>
    <row r="1245" ht="14.25" customHeight="1">
      <c r="A1245" s="14" t="str">
        <f>Base_report!A1238</f>
        <v>FOLON</v>
      </c>
      <c r="B1245" s="14" t="str">
        <f>Base_report!B1238</f>
        <v>DECEMBRE 2023</v>
      </c>
      <c r="C1245" s="15" t="str">
        <f>Base_report!C1238</f>
        <v>C5038</v>
      </c>
      <c r="D1245" s="14" t="str">
        <f>TRIM(IF(ISNUMBER(FIND("PNSME",Base_report!D1238,1)),SUBSTITUTE(Base_report!D1238,"PNSME",""),IF(ISNUMBER(FIND("PHG",Base_report!D1238,1)),SUBSTITUTE(Base_report!D1238,"PHG",""),IF(ISNUMBER(FIND("PCS",Base_report!D1238,1)),SUBSTITUTE(Base_report!D1238,"PCS",""),IF(ISNUMBER(FIND("CMU",Base_report!D1238,1)),SUBSTITUTE(Base_report!D1238,"CMU",""),Base_report!D1238)))))</f>
        <v>DISTRICT SANITAIRE MINIGNAN</v>
      </c>
      <c r="E1245" s="14" t="str">
        <f>SUBSTITUTE(Base_report!E1238,"-","/")</f>
        <v>PNN/MEDICAMENTS ET INTRANTS</v>
      </c>
      <c r="F1245" s="14" t="s">
        <v>788</v>
      </c>
      <c r="G1245" s="16">
        <f>DATE(YEAR(SUBSTITUTE(LEFT(Base_report!F1238,10),"-","/")),MONTH(SUBSTITUTE(LEFT(Base_report!F1238,10),"-","/")),DAY(SUBSTITUTE(LEFT(Base_report!F1238,10),"-","/")))</f>
        <v>45299</v>
      </c>
      <c r="H1245" s="16">
        <f>DATE(YEAR(SUBSTITUTE(LEFT(Base_report!G1238,10),"-","/")),MONTH(SUBSTITUTE(LEFT(Base_report!G1238,10),"-","/")),DAY(SUBSTITUTE(LEFT(Base_report!G1238,10),"-","/")))</f>
        <v>45300</v>
      </c>
      <c r="I1245" s="17" t="str">
        <f t="shared" si="1"/>
        <v>OUI</v>
      </c>
      <c r="J1245" s="18">
        <f>IF(L1245="DS",DATE(RIGHT(B1245,4),VLOOKUP(LEFT(B1245,LEN(B1245)-5),Feuil1!$E$3:$F$19,2,FALSE)+1,10),DATE(RIGHT(B1245,4),VLOOKUP(LEFT(B1245,LEN(B1245)-5),Feuil1!$E$3:$F$19,2,FALSE)+1,7))</f>
        <v>45301</v>
      </c>
      <c r="K1245" s="19">
        <f t="shared" si="2"/>
        <v>1</v>
      </c>
      <c r="L1245" s="6" t="str">
        <f t="shared" si="3"/>
        <v>DS</v>
      </c>
    </row>
    <row r="1246" ht="14.25" customHeight="1">
      <c r="A1246" s="14" t="str">
        <f>Base_report!A1239</f>
        <v>AGNEBY-TIASSA</v>
      </c>
      <c r="B1246" s="14" t="str">
        <f>Base_report!B1239</f>
        <v>DECEMBRE 2023</v>
      </c>
      <c r="C1246" s="15" t="str">
        <f>Base_report!C1239</f>
        <v>C1112</v>
      </c>
      <c r="D1246" s="14" t="str">
        <f>TRIM(IF(ISNUMBER(FIND("PNSME",Base_report!D1239,1)),SUBSTITUTE(Base_report!D1239,"PNSME",""),IF(ISNUMBER(FIND("PHG",Base_report!D1239,1)),SUBSTITUTE(Base_report!D1239,"PHG",""),IF(ISNUMBER(FIND("PCS",Base_report!D1239,1)),SUBSTITUTE(Base_report!D1239,"PCS",""),IF(ISNUMBER(FIND("CMU",Base_report!D1239,1)),SUBSTITUTE(Base_report!D1239,"CMU",""),Base_report!D1239)))))</f>
        <v>HOPITAL GENERAL TIASSALE</v>
      </c>
      <c r="E1246" s="14" t="str">
        <f>SUBSTITUTE(Base_report!E1239,"-","/")</f>
        <v>PNN/MEDICAMENTS ET INTRANTS</v>
      </c>
      <c r="F1246" s="14" t="s">
        <v>788</v>
      </c>
      <c r="G1246" s="16">
        <f>DATE(YEAR(SUBSTITUTE(LEFT(Base_report!F1239,10),"-","/")),MONTH(SUBSTITUTE(LEFT(Base_report!F1239,10),"-","/")),DAY(SUBSTITUTE(LEFT(Base_report!F1239,10),"-","/")))</f>
        <v>45297</v>
      </c>
      <c r="H1246" s="16">
        <f>DATE(YEAR(SUBSTITUTE(LEFT(Base_report!G1239,10),"-","/")),MONTH(SUBSTITUTE(LEFT(Base_report!G1239,10),"-","/")),DAY(SUBSTITUTE(LEFT(Base_report!G1239,10),"-","/")))</f>
        <v>45297</v>
      </c>
      <c r="I1246" s="17" t="str">
        <f t="shared" si="1"/>
        <v>OUI</v>
      </c>
      <c r="J1246" s="18">
        <f>IF(L1246="DS",DATE(RIGHT(B1246,4),VLOOKUP(LEFT(B1246,LEN(B1246)-5),Feuil1!$E$3:$F$19,2,FALSE)+1,10),DATE(RIGHT(B1246,4),VLOOKUP(LEFT(B1246,LEN(B1246)-5),Feuil1!$E$3:$F$19,2,FALSE)+1,7))</f>
        <v>45298</v>
      </c>
      <c r="K1246" s="19">
        <f t="shared" si="2"/>
        <v>1</v>
      </c>
      <c r="L1246" s="6" t="str">
        <f t="shared" si="3"/>
        <v>FS</v>
      </c>
    </row>
    <row r="1247" ht="14.25" customHeight="1">
      <c r="A1247" s="14" t="str">
        <f>Base_report!A1240</f>
        <v>ME</v>
      </c>
      <c r="B1247" s="14" t="str">
        <f>Base_report!B1240</f>
        <v>DECEMBRE 2023</v>
      </c>
      <c r="C1247" s="15" t="str">
        <f>Base_report!C1240</f>
        <v>C1093</v>
      </c>
      <c r="D1247" s="14" t="str">
        <f>TRIM(IF(ISNUMBER(FIND("PNSME",Base_report!D1240,1)),SUBSTITUTE(Base_report!D1240,"PNSME",""),IF(ISNUMBER(FIND("PHG",Base_report!D1240,1)),SUBSTITUTE(Base_report!D1240,"PHG",""),IF(ISNUMBER(FIND("PCS",Base_report!D1240,1)),SUBSTITUTE(Base_report!D1240,"PCS",""),IF(ISNUMBER(FIND("CMU",Base_report!D1240,1)),SUBSTITUTE(Base_report!D1240,"CMU",""),Base_report!D1240)))))</f>
        <v>HOPITAL GENERAL MEMNI</v>
      </c>
      <c r="E1247" s="14" t="str">
        <f>SUBSTITUTE(Base_report!E1240,"-","/")</f>
        <v>PNSME/MEDICAMENTS ET INTRANTS</v>
      </c>
      <c r="F1247" s="14" t="s">
        <v>788</v>
      </c>
      <c r="G1247" s="16">
        <f>DATE(YEAR(SUBSTITUTE(LEFT(Base_report!F1240,10),"-","/")),MONTH(SUBSTITUTE(LEFT(Base_report!F1240,10),"-","/")),DAY(SUBSTITUTE(LEFT(Base_report!F1240,10),"-","/")))</f>
        <v>45298</v>
      </c>
      <c r="H1247" s="16">
        <f>DATE(YEAR(SUBSTITUTE(LEFT(Base_report!G1240,10),"-","/")),MONTH(SUBSTITUTE(LEFT(Base_report!G1240,10),"-","/")),DAY(SUBSTITUTE(LEFT(Base_report!G1240,10),"-","/")))</f>
        <v>45298</v>
      </c>
      <c r="I1247" s="17" t="str">
        <f t="shared" si="1"/>
        <v>OUI</v>
      </c>
      <c r="J1247" s="18">
        <f>IF(L1247="DS",DATE(RIGHT(B1247,4),VLOOKUP(LEFT(B1247,LEN(B1247)-5),Feuil1!$E$3:$F$19,2,FALSE)+1,10),DATE(RIGHT(B1247,4),VLOOKUP(LEFT(B1247,LEN(B1247)-5),Feuil1!$E$3:$F$19,2,FALSE)+1,7))</f>
        <v>45298</v>
      </c>
      <c r="K1247" s="19">
        <f t="shared" si="2"/>
        <v>1</v>
      </c>
      <c r="L1247" s="6" t="str">
        <f t="shared" si="3"/>
        <v>FS</v>
      </c>
    </row>
    <row r="1248" ht="14.25" customHeight="1">
      <c r="A1248" s="14" t="str">
        <f>Base_report!A1241</f>
        <v>BOUNKANI</v>
      </c>
      <c r="B1248" s="14" t="str">
        <f>Base_report!B1241</f>
        <v>DECEMBRE 2023</v>
      </c>
      <c r="C1248" s="15" t="str">
        <f>Base_report!C1241</f>
        <v>C4086</v>
      </c>
      <c r="D1248" s="14" t="str">
        <f>TRIM(IF(ISNUMBER(FIND("PNSME",Base_report!D1241,1)),SUBSTITUTE(Base_report!D1241,"PNSME",""),IF(ISNUMBER(FIND("PHG",Base_report!D1241,1)),SUBSTITUTE(Base_report!D1241,"PHG",""),IF(ISNUMBER(FIND("PCS",Base_report!D1241,1)),SUBSTITUTE(Base_report!D1241,"PCS",""),IF(ISNUMBER(FIND("CMU",Base_report!D1241,1)),SUBSTITUTE(Base_report!D1241,"CMU",""),Base_report!D1241)))))</f>
        <v>HOPITAL GENERAL DOROPO</v>
      </c>
      <c r="E1248" s="14" t="str">
        <f>SUBSTITUTE(Base_report!E1241,"-","/")</f>
        <v>PNLP/MEDICAMENTS ET INTRANTS</v>
      </c>
      <c r="F1248" s="14" t="s">
        <v>788</v>
      </c>
      <c r="G1248" s="16">
        <f>DATE(YEAR(SUBSTITUTE(LEFT(Base_report!F1241,10),"-","/")),MONTH(SUBSTITUTE(LEFT(Base_report!F1241,10),"-","/")),DAY(SUBSTITUTE(LEFT(Base_report!F1241,10),"-","/")))</f>
        <v>45298</v>
      </c>
      <c r="H1248" s="16">
        <f>DATE(YEAR(SUBSTITUTE(LEFT(Base_report!G1241,10),"-","/")),MONTH(SUBSTITUTE(LEFT(Base_report!G1241,10),"-","/")),DAY(SUBSTITUTE(LEFT(Base_report!G1241,10),"-","/")))</f>
        <v>45298</v>
      </c>
      <c r="I1248" s="17" t="str">
        <f t="shared" si="1"/>
        <v>OUI</v>
      </c>
      <c r="J1248" s="18">
        <f>IF(L1248="DS",DATE(RIGHT(B1248,4),VLOOKUP(LEFT(B1248,LEN(B1248)-5),Feuil1!$E$3:$F$19,2,FALSE)+1,10),DATE(RIGHT(B1248,4),VLOOKUP(LEFT(B1248,LEN(B1248)-5),Feuil1!$E$3:$F$19,2,FALSE)+1,7))</f>
        <v>45298</v>
      </c>
      <c r="K1248" s="19">
        <f t="shared" si="2"/>
        <v>1</v>
      </c>
      <c r="L1248" s="6" t="str">
        <f t="shared" si="3"/>
        <v>FS</v>
      </c>
    </row>
    <row r="1249" ht="14.25" customHeight="1">
      <c r="A1249" s="14" t="str">
        <f>Base_report!A1242</f>
        <v>AGNEBY-TIASSA</v>
      </c>
      <c r="B1249" s="14" t="str">
        <f>Base_report!B1242</f>
        <v>DECEMBRE 2023</v>
      </c>
      <c r="C1249" s="15" t="str">
        <f>Base_report!C1242</f>
        <v>C2141</v>
      </c>
      <c r="D1249" s="14" t="str">
        <f>TRIM(IF(ISNUMBER(FIND("PNSME",Base_report!D1242,1)),SUBSTITUTE(Base_report!D1242,"PNSME",""),IF(ISNUMBER(FIND("PHG",Base_report!D1242,1)),SUBSTITUTE(Base_report!D1242,"PHG",""),IF(ISNUMBER(FIND("PCS",Base_report!D1242,1)),SUBSTITUTE(Base_report!D1242,"PCS",""),IF(ISNUMBER(FIND("CMU",Base_report!D1242,1)),SUBSTITUTE(Base_report!D1242,"CMU",""),Base_report!D1242)))))</f>
        <v>DISTRICT SANITAIRE SIKENSI</v>
      </c>
      <c r="E1249" s="14" t="str">
        <f>SUBSTITUTE(Base_report!E1242,"-","/")</f>
        <v>PNLS/PRODUITS DE LABORATOIRE</v>
      </c>
      <c r="F1249" s="14" t="s">
        <v>788</v>
      </c>
      <c r="G1249" s="16">
        <f>DATE(YEAR(SUBSTITUTE(LEFT(Base_report!F1242,10),"-","/")),MONTH(SUBSTITUTE(LEFT(Base_report!F1242,10),"-","/")),DAY(SUBSTITUTE(LEFT(Base_report!F1242,10),"-","/")))</f>
        <v>45300</v>
      </c>
      <c r="H1249" s="16">
        <f>DATE(YEAR(SUBSTITUTE(LEFT(Base_report!G1242,10),"-","/")),MONTH(SUBSTITUTE(LEFT(Base_report!G1242,10),"-","/")),DAY(SUBSTITUTE(LEFT(Base_report!G1242,10),"-","/")))</f>
        <v>45301</v>
      </c>
      <c r="I1249" s="17" t="str">
        <f t="shared" si="1"/>
        <v>OUI</v>
      </c>
      <c r="J1249" s="18">
        <f>IF(L1249="DS",DATE(RIGHT(B1249,4),VLOOKUP(LEFT(B1249,LEN(B1249)-5),Feuil1!$E$3:$F$19,2,FALSE)+1,10),DATE(RIGHT(B1249,4),VLOOKUP(LEFT(B1249,LEN(B1249)-5),Feuil1!$E$3:$F$19,2,FALSE)+1,7))</f>
        <v>45301</v>
      </c>
      <c r="K1249" s="19">
        <f t="shared" si="2"/>
        <v>1</v>
      </c>
      <c r="L1249" s="6" t="str">
        <f t="shared" si="3"/>
        <v>DS</v>
      </c>
    </row>
    <row r="1250" ht="14.25" customHeight="1">
      <c r="A1250" s="14" t="str">
        <f>Base_report!A1243</f>
        <v>BOUNKANI</v>
      </c>
      <c r="B1250" s="14" t="str">
        <f>Base_report!B1243</f>
        <v>DECEMBRE 2023</v>
      </c>
      <c r="C1250" s="15" t="str">
        <f>Base_report!C1243</f>
        <v>C4086</v>
      </c>
      <c r="D1250" s="14" t="str">
        <f>TRIM(IF(ISNUMBER(FIND("PNSME",Base_report!D1243,1)),SUBSTITUTE(Base_report!D1243,"PNSME",""),IF(ISNUMBER(FIND("PHG",Base_report!D1243,1)),SUBSTITUTE(Base_report!D1243,"PHG",""),IF(ISNUMBER(FIND("PCS",Base_report!D1243,1)),SUBSTITUTE(Base_report!D1243,"PCS",""),IF(ISNUMBER(FIND("CMU",Base_report!D1243,1)),SUBSTITUTE(Base_report!D1243,"CMU",""),Base_report!D1243)))))</f>
        <v>HOPITAL GENERAL DOROPO</v>
      </c>
      <c r="E1250" s="14" t="str">
        <f>SUBSTITUTE(Base_report!E1243,"-","/")</f>
        <v>PNLS/ANTIRETROVIRAUX ET IO</v>
      </c>
      <c r="F1250" s="14" t="s">
        <v>788</v>
      </c>
      <c r="G1250" s="16">
        <f>DATE(YEAR(SUBSTITUTE(LEFT(Base_report!F1243,10),"-","/")),MONTH(SUBSTITUTE(LEFT(Base_report!F1243,10),"-","/")),DAY(SUBSTITUTE(LEFT(Base_report!F1243,10),"-","/")))</f>
        <v>45298</v>
      </c>
      <c r="H1250" s="16">
        <f>DATE(YEAR(SUBSTITUTE(LEFT(Base_report!G1243,10),"-","/")),MONTH(SUBSTITUTE(LEFT(Base_report!G1243,10),"-","/")),DAY(SUBSTITUTE(LEFT(Base_report!G1243,10),"-","/")))</f>
        <v>45298</v>
      </c>
      <c r="I1250" s="17" t="str">
        <f t="shared" si="1"/>
        <v>OUI</v>
      </c>
      <c r="J1250" s="18">
        <f>IF(L1250="DS",DATE(RIGHT(B1250,4),VLOOKUP(LEFT(B1250,LEN(B1250)-5),Feuil1!$E$3:$F$19,2,FALSE)+1,10),DATE(RIGHT(B1250,4),VLOOKUP(LEFT(B1250,LEN(B1250)-5),Feuil1!$E$3:$F$19,2,FALSE)+1,7))</f>
        <v>45298</v>
      </c>
      <c r="K1250" s="19">
        <f t="shared" si="2"/>
        <v>1</v>
      </c>
      <c r="L1250" s="6" t="str">
        <f t="shared" si="3"/>
        <v>FS</v>
      </c>
    </row>
    <row r="1251" ht="14.25" customHeight="1">
      <c r="A1251" s="14" t="str">
        <f>Base_report!A1244</f>
        <v>ME</v>
      </c>
      <c r="B1251" s="14" t="str">
        <f>Base_report!B1244</f>
        <v>DECEMBRE 2023</v>
      </c>
      <c r="C1251" s="15" t="str">
        <f>Base_report!C1244</f>
        <v>C1093</v>
      </c>
      <c r="D1251" s="14" t="str">
        <f>TRIM(IF(ISNUMBER(FIND("PNSME",Base_report!D1244,1)),SUBSTITUTE(Base_report!D1244,"PNSME",""),IF(ISNUMBER(FIND("PHG",Base_report!D1244,1)),SUBSTITUTE(Base_report!D1244,"PHG",""),IF(ISNUMBER(FIND("PCS",Base_report!D1244,1)),SUBSTITUTE(Base_report!D1244,"PCS",""),IF(ISNUMBER(FIND("CMU",Base_report!D1244,1)),SUBSTITUTE(Base_report!D1244,"CMU",""),Base_report!D1244)))))</f>
        <v>HOPITAL GENERAL MEMNI</v>
      </c>
      <c r="E1251" s="14" t="str">
        <f>SUBSTITUTE(Base_report!E1244,"-","/")</f>
        <v>PNLP/MEDICAMENTS ET INTRANTS</v>
      </c>
      <c r="F1251" s="14" t="s">
        <v>788</v>
      </c>
      <c r="G1251" s="16">
        <f>DATE(YEAR(SUBSTITUTE(LEFT(Base_report!F1244,10),"-","/")),MONTH(SUBSTITUTE(LEFT(Base_report!F1244,10),"-","/")),DAY(SUBSTITUTE(LEFT(Base_report!F1244,10),"-","/")))</f>
        <v>45298</v>
      </c>
      <c r="H1251" s="16">
        <f>DATE(YEAR(SUBSTITUTE(LEFT(Base_report!G1244,10),"-","/")),MONTH(SUBSTITUTE(LEFT(Base_report!G1244,10),"-","/")),DAY(SUBSTITUTE(LEFT(Base_report!G1244,10),"-","/")))</f>
        <v>45298</v>
      </c>
      <c r="I1251" s="17" t="str">
        <f t="shared" si="1"/>
        <v>OUI</v>
      </c>
      <c r="J1251" s="18">
        <f>IF(L1251="DS",DATE(RIGHT(B1251,4),VLOOKUP(LEFT(B1251,LEN(B1251)-5),Feuil1!$E$3:$F$19,2,FALSE)+1,10),DATE(RIGHT(B1251,4),VLOOKUP(LEFT(B1251,LEN(B1251)-5),Feuil1!$E$3:$F$19,2,FALSE)+1,7))</f>
        <v>45298</v>
      </c>
      <c r="K1251" s="19">
        <f t="shared" si="2"/>
        <v>1</v>
      </c>
      <c r="L1251" s="6" t="str">
        <f t="shared" si="3"/>
        <v>FS</v>
      </c>
    </row>
    <row r="1252" ht="14.25" customHeight="1">
      <c r="A1252" s="14" t="str">
        <f>Base_report!A1245</f>
        <v>AGNEBY-TIASSA</v>
      </c>
      <c r="B1252" s="14" t="str">
        <f>Base_report!B1245</f>
        <v>DECEMBRE 2023</v>
      </c>
      <c r="C1252" s="15" t="str">
        <f>Base_report!C1245</f>
        <v>C2141</v>
      </c>
      <c r="D1252" s="14" t="str">
        <f>TRIM(IF(ISNUMBER(FIND("PNSME",Base_report!D1245,1)),SUBSTITUTE(Base_report!D1245,"PNSME",""),IF(ISNUMBER(FIND("PHG",Base_report!D1245,1)),SUBSTITUTE(Base_report!D1245,"PHG",""),IF(ISNUMBER(FIND("PCS",Base_report!D1245,1)),SUBSTITUTE(Base_report!D1245,"PCS",""),IF(ISNUMBER(FIND("CMU",Base_report!D1245,1)),SUBSTITUTE(Base_report!D1245,"CMU",""),Base_report!D1245)))))</f>
        <v>DISTRICT SANITAIRE SIKENSI</v>
      </c>
      <c r="E1252" s="14" t="str">
        <f>SUBSTITUTE(Base_report!E1245,"-","/")</f>
        <v>PNLS/TESTS RAPIDES ET CONSOMMABLES</v>
      </c>
      <c r="F1252" s="14" t="s">
        <v>788</v>
      </c>
      <c r="G1252" s="16">
        <f>DATE(YEAR(SUBSTITUTE(LEFT(Base_report!F1245,10),"-","/")),MONTH(SUBSTITUTE(LEFT(Base_report!F1245,10),"-","/")),DAY(SUBSTITUTE(LEFT(Base_report!F1245,10),"-","/")))</f>
        <v>45301</v>
      </c>
      <c r="H1252" s="16">
        <f>DATE(YEAR(SUBSTITUTE(LEFT(Base_report!G1245,10),"-","/")),MONTH(SUBSTITUTE(LEFT(Base_report!G1245,10),"-","/")),DAY(SUBSTITUTE(LEFT(Base_report!G1245,10),"-","/")))</f>
        <v>45301</v>
      </c>
      <c r="I1252" s="17" t="str">
        <f t="shared" si="1"/>
        <v>OUI</v>
      </c>
      <c r="J1252" s="18">
        <f>IF(L1252="DS",DATE(RIGHT(B1252,4),VLOOKUP(LEFT(B1252,LEN(B1252)-5),Feuil1!$E$3:$F$19,2,FALSE)+1,10),DATE(RIGHT(B1252,4),VLOOKUP(LEFT(B1252,LEN(B1252)-5),Feuil1!$E$3:$F$19,2,FALSE)+1,7))</f>
        <v>45301</v>
      </c>
      <c r="K1252" s="19">
        <f t="shared" si="2"/>
        <v>1</v>
      </c>
      <c r="L1252" s="6" t="str">
        <f t="shared" si="3"/>
        <v>DS</v>
      </c>
    </row>
    <row r="1253" ht="14.25" customHeight="1">
      <c r="A1253" s="14" t="str">
        <f>Base_report!#REF!</f>
        <v>#ERROR!</v>
      </c>
      <c r="B1253" s="14" t="str">
        <f>Base_report!#REF!</f>
        <v>#ERROR!</v>
      </c>
      <c r="C1253" s="15" t="str">
        <f>Base_report!#REF!</f>
        <v>#ERROR!</v>
      </c>
      <c r="D1253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253" s="14" t="str">
        <f>SUBSTITUTE(Base_report!#REF!,"-","/")</f>
        <v>#ERROR!</v>
      </c>
      <c r="F1253" s="14" t="s">
        <v>788</v>
      </c>
      <c r="G1253" s="16" t="str">
        <f>DATE(YEAR(SUBSTITUTE(LEFT(Base_report!#REF!,10),"-","/")),MONTH(SUBSTITUTE(LEFT(Base_report!#REF!,10),"-","/")),DAY(SUBSTITUTE(LEFT(Base_report!#REF!,10),"-","/")))</f>
        <v>#ERROR!</v>
      </c>
      <c r="H1253" s="16" t="str">
        <f>DATE(YEAR(SUBSTITUTE(LEFT(Base_report!#REF!,10),"-","/")),MONTH(SUBSTITUTE(LEFT(Base_report!#REF!,10),"-","/")),DAY(SUBSTITUTE(LEFT(Base_report!#REF!,10),"-","/")))</f>
        <v>#ERROR!</v>
      </c>
      <c r="I1253" s="17" t="str">
        <f t="shared" si="1"/>
        <v>OUI</v>
      </c>
      <c r="J1253" s="18" t="str">
        <f>IF(L1253="DS",DATE(RIGHT(B1253,4),VLOOKUP(LEFT(B1253,LEN(B1253)-5),Feuil1!$E$3:$F$19,2,FALSE)+1,10),DATE(RIGHT(B1253,4),VLOOKUP(LEFT(B1253,LEN(B1253)-5),Feuil1!$E$3:$F$19,2,FALSE)+1,7))</f>
        <v>#ERROR!</v>
      </c>
      <c r="K1253" s="19" t="str">
        <f t="shared" si="2"/>
        <v>#ERROR!</v>
      </c>
      <c r="L1253" s="6" t="str">
        <f t="shared" si="3"/>
        <v>FS</v>
      </c>
    </row>
    <row r="1254" ht="14.25" customHeight="1">
      <c r="A1254" s="14" t="str">
        <f>Base_report!A1246</f>
        <v>BOUNKANI</v>
      </c>
      <c r="B1254" s="14" t="str">
        <f>Base_report!B1246</f>
        <v>DECEMBRE 2023</v>
      </c>
      <c r="C1254" s="15" t="str">
        <f>Base_report!C1246</f>
        <v>C4086</v>
      </c>
      <c r="D1254" s="14" t="str">
        <f>TRIM(IF(ISNUMBER(FIND("PNSME",Base_report!D1246,1)),SUBSTITUTE(Base_report!D1246,"PNSME",""),IF(ISNUMBER(FIND("PHG",Base_report!D1246,1)),SUBSTITUTE(Base_report!D1246,"PHG",""),IF(ISNUMBER(FIND("PCS",Base_report!D1246,1)),SUBSTITUTE(Base_report!D1246,"PCS",""),IF(ISNUMBER(FIND("CMU",Base_report!D1246,1)),SUBSTITUTE(Base_report!D1246,"CMU",""),Base_report!D1246)))))</f>
        <v>HOPITAL GENERAL DOROPO</v>
      </c>
      <c r="E1254" s="14" t="str">
        <f>SUBSTITUTE(Base_report!E1246,"-","/")</f>
        <v>PNLS/TESTS RAPIDES ET CONSOMMABLES</v>
      </c>
      <c r="F1254" s="14" t="s">
        <v>788</v>
      </c>
      <c r="G1254" s="16">
        <f>DATE(YEAR(SUBSTITUTE(LEFT(Base_report!F1246,10),"-","/")),MONTH(SUBSTITUTE(LEFT(Base_report!F1246,10),"-","/")),DAY(SUBSTITUTE(LEFT(Base_report!F1246,10),"-","/")))</f>
        <v>45298</v>
      </c>
      <c r="H1254" s="16">
        <f>DATE(YEAR(SUBSTITUTE(LEFT(Base_report!G1246,10),"-","/")),MONTH(SUBSTITUTE(LEFT(Base_report!G1246,10),"-","/")),DAY(SUBSTITUTE(LEFT(Base_report!G1246,10),"-","/")))</f>
        <v>45298</v>
      </c>
      <c r="I1254" s="17" t="str">
        <f t="shared" si="1"/>
        <v>OUI</v>
      </c>
      <c r="J1254" s="18">
        <f>IF(L1254="DS",DATE(RIGHT(B1254,4),VLOOKUP(LEFT(B1254,LEN(B1254)-5),Feuil1!$E$3:$F$19,2,FALSE)+1,10),DATE(RIGHT(B1254,4),VLOOKUP(LEFT(B1254,LEN(B1254)-5),Feuil1!$E$3:$F$19,2,FALSE)+1,7))</f>
        <v>45298</v>
      </c>
      <c r="K1254" s="19">
        <f t="shared" si="2"/>
        <v>1</v>
      </c>
      <c r="L1254" s="6" t="str">
        <f t="shared" si="3"/>
        <v>FS</v>
      </c>
    </row>
    <row r="1255" ht="14.25" customHeight="1">
      <c r="A1255" s="14" t="str">
        <f>Base_report!A1247</f>
        <v>BOUNKANI</v>
      </c>
      <c r="B1255" s="14" t="str">
        <f>Base_report!B1247</f>
        <v>DECEMBRE 2023</v>
      </c>
      <c r="C1255" s="15" t="str">
        <f>Base_report!C1247</f>
        <v>C4086</v>
      </c>
      <c r="D1255" s="14" t="str">
        <f>TRIM(IF(ISNUMBER(FIND("PNSME",Base_report!D1247,1)),SUBSTITUTE(Base_report!D1247,"PNSME",""),IF(ISNUMBER(FIND("PHG",Base_report!D1247,1)),SUBSTITUTE(Base_report!D1247,"PHG",""),IF(ISNUMBER(FIND("PCS",Base_report!D1247,1)),SUBSTITUTE(Base_report!D1247,"PCS",""),IF(ISNUMBER(FIND("CMU",Base_report!D1247,1)),SUBSTITUTE(Base_report!D1247,"CMU",""),Base_report!D1247)))))</f>
        <v>HOPITAL GENERAL DOROPO</v>
      </c>
      <c r="E1255" s="14" t="str">
        <f>SUBSTITUTE(Base_report!E1247,"-","/")</f>
        <v>PNN/MEDICAMENTS ET INTRANTS</v>
      </c>
      <c r="F1255" s="14" t="s">
        <v>788</v>
      </c>
      <c r="G1255" s="16">
        <f>DATE(YEAR(SUBSTITUTE(LEFT(Base_report!F1247,10),"-","/")),MONTH(SUBSTITUTE(LEFT(Base_report!F1247,10),"-","/")),DAY(SUBSTITUTE(LEFT(Base_report!F1247,10),"-","/")))</f>
        <v>45298</v>
      </c>
      <c r="H1255" s="16">
        <f>DATE(YEAR(SUBSTITUTE(LEFT(Base_report!G1247,10),"-","/")),MONTH(SUBSTITUTE(LEFT(Base_report!G1247,10),"-","/")),DAY(SUBSTITUTE(LEFT(Base_report!G1247,10),"-","/")))</f>
        <v>45298</v>
      </c>
      <c r="I1255" s="17" t="str">
        <f t="shared" si="1"/>
        <v>OUI</v>
      </c>
      <c r="J1255" s="18">
        <f>IF(L1255="DS",DATE(RIGHT(B1255,4),VLOOKUP(LEFT(B1255,LEN(B1255)-5),Feuil1!$E$3:$F$19,2,FALSE)+1,10),DATE(RIGHT(B1255,4),VLOOKUP(LEFT(B1255,LEN(B1255)-5),Feuil1!$E$3:$F$19,2,FALSE)+1,7))</f>
        <v>45298</v>
      </c>
      <c r="K1255" s="19">
        <f t="shared" si="2"/>
        <v>1</v>
      </c>
      <c r="L1255" s="6" t="str">
        <f t="shared" si="3"/>
        <v>FS</v>
      </c>
    </row>
    <row r="1256" ht="14.25" customHeight="1">
      <c r="A1256" s="14" t="str">
        <f>Base_report!A1248</f>
        <v>ABIDJAN 1</v>
      </c>
      <c r="B1256" s="14" t="str">
        <f>Base_report!B1248</f>
        <v>DECEMBRE 2023</v>
      </c>
      <c r="C1256" s="15" t="str">
        <f>Base_report!C1248</f>
        <v>C1022</v>
      </c>
      <c r="D1256" s="14" t="str">
        <f>TRIM(IF(ISNUMBER(FIND("PNSME",Base_report!D1248,1)),SUBSTITUTE(Base_report!D1248,"PNSME",""),IF(ISNUMBER(FIND("PHG",Base_report!D1248,1)),SUBSTITUTE(Base_report!D1248,"PHG",""),IF(ISNUMBER(FIND("PCS",Base_report!D1248,1)),SUBSTITUTE(Base_report!D1248,"PCS",""),IF(ISNUMBER(FIND("CMU",Base_report!D1248,1)),SUBSTITUTE(Base_report!D1248,"CMU",""),Base_report!D1248)))))</f>
        <v>CSU COM CARREFOUR PK 18 AGOUETO</v>
      </c>
      <c r="E1256" s="14" t="str">
        <f>SUBSTITUTE(Base_report!E1248,"-","/")</f>
        <v>PNLP/MEDICAMENTS ET INTRANTS</v>
      </c>
      <c r="F1256" s="14" t="s">
        <v>788</v>
      </c>
      <c r="G1256" s="16">
        <f>DATE(YEAR(SUBSTITUTE(LEFT(Base_report!F1248,10),"-","/")),MONTH(SUBSTITUTE(LEFT(Base_report!F1248,10),"-","/")),DAY(SUBSTITUTE(LEFT(Base_report!F1248,10),"-","/")))</f>
        <v>45298</v>
      </c>
      <c r="H1256" s="16">
        <f>DATE(YEAR(SUBSTITUTE(LEFT(Base_report!G1248,10),"-","/")),MONTH(SUBSTITUTE(LEFT(Base_report!G1248,10),"-","/")),DAY(SUBSTITUTE(LEFT(Base_report!G1248,10),"-","/")))</f>
        <v>45298</v>
      </c>
      <c r="I1256" s="17" t="str">
        <f t="shared" si="1"/>
        <v>OUI</v>
      </c>
      <c r="J1256" s="18">
        <f>IF(L1256="DS",DATE(RIGHT(B1256,4),VLOOKUP(LEFT(B1256,LEN(B1256)-5),Feuil1!$E$3:$F$19,2,FALSE)+1,10),DATE(RIGHT(B1256,4),VLOOKUP(LEFT(B1256,LEN(B1256)-5),Feuil1!$E$3:$F$19,2,FALSE)+1,7))</f>
        <v>45298</v>
      </c>
      <c r="K1256" s="19">
        <f t="shared" si="2"/>
        <v>1</v>
      </c>
      <c r="L1256" s="6" t="str">
        <f t="shared" si="3"/>
        <v>FS</v>
      </c>
    </row>
    <row r="1257" ht="14.25" customHeight="1">
      <c r="A1257" s="14" t="str">
        <f>Base_report!A1249</f>
        <v>ME</v>
      </c>
      <c r="B1257" s="14" t="str">
        <f>Base_report!B1249</f>
        <v>DECEMBRE 2023</v>
      </c>
      <c r="C1257" s="15" t="str">
        <f>Base_report!C1249</f>
        <v>C1093</v>
      </c>
      <c r="D1257" s="14" t="str">
        <f>TRIM(IF(ISNUMBER(FIND("PNSME",Base_report!D1249,1)),SUBSTITUTE(Base_report!D1249,"PNSME",""),IF(ISNUMBER(FIND("PHG",Base_report!D1249,1)),SUBSTITUTE(Base_report!D1249,"PHG",""),IF(ISNUMBER(FIND("PCS",Base_report!D1249,1)),SUBSTITUTE(Base_report!D1249,"PCS",""),IF(ISNUMBER(FIND("CMU",Base_report!D1249,1)),SUBSTITUTE(Base_report!D1249,"CMU",""),Base_report!D1249)))))</f>
        <v>HOPITAL GENERAL MEMNI</v>
      </c>
      <c r="E1257" s="14" t="str">
        <f>SUBSTITUTE(Base_report!E1249,"-","/")</f>
        <v>PNLS/ANTIRETROVIRAUX ET IO</v>
      </c>
      <c r="F1257" s="14" t="s">
        <v>788</v>
      </c>
      <c r="G1257" s="16">
        <f>DATE(YEAR(SUBSTITUTE(LEFT(Base_report!F1249,10),"-","/")),MONTH(SUBSTITUTE(LEFT(Base_report!F1249,10),"-","/")),DAY(SUBSTITUTE(LEFT(Base_report!F1249,10),"-","/")))</f>
        <v>45298</v>
      </c>
      <c r="H1257" s="16">
        <f>DATE(YEAR(SUBSTITUTE(LEFT(Base_report!G1249,10),"-","/")),MONTH(SUBSTITUTE(LEFT(Base_report!G1249,10),"-","/")),DAY(SUBSTITUTE(LEFT(Base_report!G1249,10),"-","/")))</f>
        <v>45298</v>
      </c>
      <c r="I1257" s="17" t="str">
        <f t="shared" si="1"/>
        <v>OUI</v>
      </c>
      <c r="J1257" s="18">
        <f>IF(L1257="DS",DATE(RIGHT(B1257,4),VLOOKUP(LEFT(B1257,LEN(B1257)-5),Feuil1!$E$3:$F$19,2,FALSE)+1,10),DATE(RIGHT(B1257,4),VLOOKUP(LEFT(B1257,LEN(B1257)-5),Feuil1!$E$3:$F$19,2,FALSE)+1,7))</f>
        <v>45298</v>
      </c>
      <c r="K1257" s="19">
        <f t="shared" si="2"/>
        <v>1</v>
      </c>
      <c r="L1257" s="6" t="str">
        <f t="shared" si="3"/>
        <v>FS</v>
      </c>
    </row>
    <row r="1258" ht="14.25" customHeight="1">
      <c r="A1258" s="14" t="str">
        <f>Base_report!A1250</f>
        <v>ME</v>
      </c>
      <c r="B1258" s="14" t="str">
        <f>Base_report!B1250</f>
        <v>DECEMBRE 2023</v>
      </c>
      <c r="C1258" s="15" t="str">
        <f>Base_report!C1250</f>
        <v>C1093</v>
      </c>
      <c r="D1258" s="14" t="str">
        <f>TRIM(IF(ISNUMBER(FIND("PNSME",Base_report!D1250,1)),SUBSTITUTE(Base_report!D1250,"PNSME",""),IF(ISNUMBER(FIND("PHG",Base_report!D1250,1)),SUBSTITUTE(Base_report!D1250,"PHG",""),IF(ISNUMBER(FIND("PCS",Base_report!D1250,1)),SUBSTITUTE(Base_report!D1250,"PCS",""),IF(ISNUMBER(FIND("CMU",Base_report!D1250,1)),SUBSTITUTE(Base_report!D1250,"CMU",""),Base_report!D1250)))))</f>
        <v>HOPITAL GENERAL MEMNI</v>
      </c>
      <c r="E1258" s="14" t="str">
        <f>SUBSTITUTE(Base_report!E1250,"-","/")</f>
        <v>PNLS/PRODUITS DE LABORATOIRE</v>
      </c>
      <c r="F1258" s="14" t="s">
        <v>788</v>
      </c>
      <c r="G1258" s="16">
        <f>DATE(YEAR(SUBSTITUTE(LEFT(Base_report!F1250,10),"-","/")),MONTH(SUBSTITUTE(LEFT(Base_report!F1250,10),"-","/")),DAY(SUBSTITUTE(LEFT(Base_report!F1250,10),"-","/")))</f>
        <v>45298</v>
      </c>
      <c r="H1258" s="16">
        <f>DATE(YEAR(SUBSTITUTE(LEFT(Base_report!G1250,10),"-","/")),MONTH(SUBSTITUTE(LEFT(Base_report!G1250,10),"-","/")),DAY(SUBSTITUTE(LEFT(Base_report!G1250,10),"-","/")))</f>
        <v>45298</v>
      </c>
      <c r="I1258" s="17" t="str">
        <f t="shared" si="1"/>
        <v>OUI</v>
      </c>
      <c r="J1258" s="18">
        <f>IF(L1258="DS",DATE(RIGHT(B1258,4),VLOOKUP(LEFT(B1258,LEN(B1258)-5),Feuil1!$E$3:$F$19,2,FALSE)+1,10),DATE(RIGHT(B1258,4),VLOOKUP(LEFT(B1258,LEN(B1258)-5),Feuil1!$E$3:$F$19,2,FALSE)+1,7))</f>
        <v>45298</v>
      </c>
      <c r="K1258" s="19">
        <f t="shared" si="2"/>
        <v>1</v>
      </c>
      <c r="L1258" s="6" t="str">
        <f t="shared" si="3"/>
        <v>FS</v>
      </c>
    </row>
    <row r="1259" ht="14.25" customHeight="1">
      <c r="A1259" s="14" t="str">
        <f>Base_report!A1251</f>
        <v>ME</v>
      </c>
      <c r="B1259" s="14" t="str">
        <f>Base_report!B1251</f>
        <v>DECEMBRE 2023</v>
      </c>
      <c r="C1259" s="15" t="str">
        <f>Base_report!C1251</f>
        <v>C1093</v>
      </c>
      <c r="D1259" s="14" t="str">
        <f>TRIM(IF(ISNUMBER(FIND("PNSME",Base_report!D1251,1)),SUBSTITUTE(Base_report!D1251,"PNSME",""),IF(ISNUMBER(FIND("PHG",Base_report!D1251,1)),SUBSTITUTE(Base_report!D1251,"PHG",""),IF(ISNUMBER(FIND("PCS",Base_report!D1251,1)),SUBSTITUTE(Base_report!D1251,"PCS",""),IF(ISNUMBER(FIND("CMU",Base_report!D1251,1)),SUBSTITUTE(Base_report!D1251,"CMU",""),Base_report!D1251)))))</f>
        <v>HOPITAL GENERAL MEMNI</v>
      </c>
      <c r="E1259" s="14" t="str">
        <f>SUBSTITUTE(Base_report!E1251,"-","/")</f>
        <v>PNLS/TESTS RAPIDES ET CONSOMMABLES</v>
      </c>
      <c r="F1259" s="14" t="s">
        <v>788</v>
      </c>
      <c r="G1259" s="16">
        <f>DATE(YEAR(SUBSTITUTE(LEFT(Base_report!F1251,10),"-","/")),MONTH(SUBSTITUTE(LEFT(Base_report!F1251,10),"-","/")),DAY(SUBSTITUTE(LEFT(Base_report!F1251,10),"-","/")))</f>
        <v>45298</v>
      </c>
      <c r="H1259" s="16">
        <f>DATE(YEAR(SUBSTITUTE(LEFT(Base_report!G1251,10),"-","/")),MONTH(SUBSTITUTE(LEFT(Base_report!G1251,10),"-","/")),DAY(SUBSTITUTE(LEFT(Base_report!G1251,10),"-","/")))</f>
        <v>45298</v>
      </c>
      <c r="I1259" s="17" t="str">
        <f t="shared" si="1"/>
        <v>OUI</v>
      </c>
      <c r="J1259" s="18">
        <f>IF(L1259="DS",DATE(RIGHT(B1259,4),VLOOKUP(LEFT(B1259,LEN(B1259)-5),Feuil1!$E$3:$F$19,2,FALSE)+1,10),DATE(RIGHT(B1259,4),VLOOKUP(LEFT(B1259,LEN(B1259)-5),Feuil1!$E$3:$F$19,2,FALSE)+1,7))</f>
        <v>45298</v>
      </c>
      <c r="K1259" s="19">
        <f t="shared" si="2"/>
        <v>1</v>
      </c>
      <c r="L1259" s="6" t="str">
        <f t="shared" si="3"/>
        <v>FS</v>
      </c>
    </row>
    <row r="1260" ht="14.25" customHeight="1">
      <c r="A1260" s="14" t="str">
        <f>Base_report!A1252</f>
        <v>GBEKE</v>
      </c>
      <c r="B1260" s="14" t="str">
        <f>Base_report!B1252</f>
        <v>DECEMBRE 2023</v>
      </c>
      <c r="C1260" s="15" t="str">
        <f>Base_report!C1252</f>
        <v>C2222</v>
      </c>
      <c r="D1260" s="14" t="str">
        <f>TRIM(IF(ISNUMBER(FIND("PNSME",Base_report!D1252,1)),SUBSTITUTE(Base_report!D1252,"PNSME",""),IF(ISNUMBER(FIND("PHG",Base_report!D1252,1)),SUBSTITUTE(Base_report!D1252,"PHG",""),IF(ISNUMBER(FIND("PCS",Base_report!D1252,1)),SUBSTITUTE(Base_report!D1252,"PCS",""),IF(ISNUMBER(FIND("CMU",Base_report!D1252,1)),SUBSTITUTE(Base_report!D1252,"CMU",""),Base_report!D1252)))))</f>
        <v>DISTRICT SANITAIRE BOTRO</v>
      </c>
      <c r="E1260" s="14" t="str">
        <f>SUBSTITUTE(Base_report!E1252,"-","/")</f>
        <v>PNLS/ANTIRETROVIRAUX ET IO</v>
      </c>
      <c r="F1260" s="14" t="s">
        <v>788</v>
      </c>
      <c r="G1260" s="16">
        <f>DATE(YEAR(SUBSTITUTE(LEFT(Base_report!F1252,10),"-","/")),MONTH(SUBSTITUTE(LEFT(Base_report!F1252,10),"-","/")),DAY(SUBSTITUTE(LEFT(Base_report!F1252,10),"-","/")))</f>
        <v>45301</v>
      </c>
      <c r="H1260" s="16">
        <f>DATE(YEAR(SUBSTITUTE(LEFT(Base_report!G1252,10),"-","/")),MONTH(SUBSTITUTE(LEFT(Base_report!G1252,10),"-","/")),DAY(SUBSTITUTE(LEFT(Base_report!G1252,10),"-","/")))</f>
        <v>45301</v>
      </c>
      <c r="I1260" s="17" t="str">
        <f t="shared" si="1"/>
        <v>OUI</v>
      </c>
      <c r="J1260" s="18">
        <f>IF(L1260="DS",DATE(RIGHT(B1260,4),VLOOKUP(LEFT(B1260,LEN(B1260)-5),Feuil1!$E$3:$F$19,2,FALSE)+1,10),DATE(RIGHT(B1260,4),VLOOKUP(LEFT(B1260,LEN(B1260)-5),Feuil1!$E$3:$F$19,2,FALSE)+1,7))</f>
        <v>45301</v>
      </c>
      <c r="K1260" s="19">
        <f t="shared" si="2"/>
        <v>1</v>
      </c>
      <c r="L1260" s="6" t="str">
        <f t="shared" si="3"/>
        <v>DS</v>
      </c>
    </row>
    <row r="1261" ht="14.25" customHeight="1">
      <c r="A1261" s="14" t="str">
        <f>Base_report!A1253</f>
        <v>GBEKE</v>
      </c>
      <c r="B1261" s="14" t="str">
        <f>Base_report!B1253</f>
        <v>DECEMBRE 2023</v>
      </c>
      <c r="C1261" s="15" t="str">
        <f>Base_report!C1253</f>
        <v>C2222</v>
      </c>
      <c r="D1261" s="14" t="str">
        <f>TRIM(IF(ISNUMBER(FIND("PNSME",Base_report!D1253,1)),SUBSTITUTE(Base_report!D1253,"PNSME",""),IF(ISNUMBER(FIND("PHG",Base_report!D1253,1)),SUBSTITUTE(Base_report!D1253,"PHG",""),IF(ISNUMBER(FIND("PCS",Base_report!D1253,1)),SUBSTITUTE(Base_report!D1253,"PCS",""),IF(ISNUMBER(FIND("CMU",Base_report!D1253,1)),SUBSTITUTE(Base_report!D1253,"CMU",""),Base_report!D1253)))))</f>
        <v>DISTRICT SANITAIRE BOTRO</v>
      </c>
      <c r="E1261" s="14" t="str">
        <f>SUBSTITUTE(Base_report!E1253,"-","/")</f>
        <v>PNLP/MEDICAMENTS ET INTRANTS</v>
      </c>
      <c r="F1261" s="14" t="s">
        <v>788</v>
      </c>
      <c r="G1261" s="16">
        <f>DATE(YEAR(SUBSTITUTE(LEFT(Base_report!F1253,10),"-","/")),MONTH(SUBSTITUTE(LEFT(Base_report!F1253,10),"-","/")),DAY(SUBSTITUTE(LEFT(Base_report!F1253,10),"-","/")))</f>
        <v>45301</v>
      </c>
      <c r="H1261" s="16">
        <f>DATE(YEAR(SUBSTITUTE(LEFT(Base_report!G1253,10),"-","/")),MONTH(SUBSTITUTE(LEFT(Base_report!G1253,10),"-","/")),DAY(SUBSTITUTE(LEFT(Base_report!G1253,10),"-","/")))</f>
        <v>45301</v>
      </c>
      <c r="I1261" s="17" t="str">
        <f t="shared" si="1"/>
        <v>OUI</v>
      </c>
      <c r="J1261" s="18">
        <f>IF(L1261="DS",DATE(RIGHT(B1261,4),VLOOKUP(LEFT(B1261,LEN(B1261)-5),Feuil1!$E$3:$F$19,2,FALSE)+1,10),DATE(RIGHT(B1261,4),VLOOKUP(LEFT(B1261,LEN(B1261)-5),Feuil1!$E$3:$F$19,2,FALSE)+1,7))</f>
        <v>45301</v>
      </c>
      <c r="K1261" s="19">
        <f t="shared" si="2"/>
        <v>1</v>
      </c>
      <c r="L1261" s="6" t="str">
        <f t="shared" si="3"/>
        <v>DS</v>
      </c>
    </row>
    <row r="1262" ht="14.25" customHeight="1">
      <c r="A1262" s="14" t="str">
        <f>Base_report!A1254</f>
        <v>KABADOUGOU</v>
      </c>
      <c r="B1262" s="14" t="str">
        <f>Base_report!B1254</f>
        <v>DECEMBRE 2023</v>
      </c>
      <c r="C1262" s="15" t="str">
        <f>Base_report!C1254</f>
        <v>C5013</v>
      </c>
      <c r="D1262" s="14" t="str">
        <f>TRIM(IF(ISNUMBER(FIND("PNSME",Base_report!D1254,1)),SUBSTITUTE(Base_report!D1254,"PNSME",""),IF(ISNUMBER(FIND("PHG",Base_report!D1254,1)),SUBSTITUTE(Base_report!D1254,"PHG",""),IF(ISNUMBER(FIND("PCS",Base_report!D1254,1)),SUBSTITUTE(Base_report!D1254,"PCS",""),IF(ISNUMBER(FIND("CMU",Base_report!D1254,1)),SUBSTITUTE(Base_report!D1254,"CMU",""),Base_report!D1254)))))</f>
        <v>DISTRICT SANITAIRE ODIENNE</v>
      </c>
      <c r="E1262" s="14" t="str">
        <f>SUBSTITUTE(Base_report!E1254,"-","/")</f>
        <v>PNLS/ANTIRETROVIRAUX ET IO</v>
      </c>
      <c r="F1262" s="14" t="s">
        <v>788</v>
      </c>
      <c r="G1262" s="16">
        <f>DATE(YEAR(SUBSTITUTE(LEFT(Base_report!F1254,10),"-","/")),MONTH(SUBSTITUTE(LEFT(Base_report!F1254,10),"-","/")),DAY(SUBSTITUTE(LEFT(Base_report!F1254,10),"-","/")))</f>
        <v>45298</v>
      </c>
      <c r="H1262" s="16">
        <f>DATE(YEAR(SUBSTITUTE(LEFT(Base_report!G1254,10),"-","/")),MONTH(SUBSTITUTE(LEFT(Base_report!G1254,10),"-","/")),DAY(SUBSTITUTE(LEFT(Base_report!G1254,10),"-","/")))</f>
        <v>45298</v>
      </c>
      <c r="I1262" s="17" t="str">
        <f t="shared" si="1"/>
        <v>OUI</v>
      </c>
      <c r="J1262" s="18">
        <f>IF(L1262="DS",DATE(RIGHT(B1262,4),VLOOKUP(LEFT(B1262,LEN(B1262)-5),Feuil1!$E$3:$F$19,2,FALSE)+1,10),DATE(RIGHT(B1262,4),VLOOKUP(LEFT(B1262,LEN(B1262)-5),Feuil1!$E$3:$F$19,2,FALSE)+1,7))</f>
        <v>45301</v>
      </c>
      <c r="K1262" s="19">
        <f t="shared" si="2"/>
        <v>1</v>
      </c>
      <c r="L1262" s="6" t="str">
        <f t="shared" si="3"/>
        <v>DS</v>
      </c>
    </row>
    <row r="1263" ht="14.25" customHeight="1">
      <c r="A1263" s="14" t="str">
        <f>Base_report!A1255</f>
        <v>GBEKE</v>
      </c>
      <c r="B1263" s="14" t="str">
        <f>Base_report!B1255</f>
        <v>DECEMBRE 2023</v>
      </c>
      <c r="C1263" s="15" t="str">
        <f>Base_report!C1255</f>
        <v>C2222</v>
      </c>
      <c r="D1263" s="14" t="str">
        <f>TRIM(IF(ISNUMBER(FIND("PNSME",Base_report!D1255,1)),SUBSTITUTE(Base_report!D1255,"PNSME",""),IF(ISNUMBER(FIND("PHG",Base_report!D1255,1)),SUBSTITUTE(Base_report!D1255,"PHG",""),IF(ISNUMBER(FIND("PCS",Base_report!D1255,1)),SUBSTITUTE(Base_report!D1255,"PCS",""),IF(ISNUMBER(FIND("CMU",Base_report!D1255,1)),SUBSTITUTE(Base_report!D1255,"CMU",""),Base_report!D1255)))))</f>
        <v>DISTRICT SANITAIRE BOTRO</v>
      </c>
      <c r="E1263" s="14" t="str">
        <f>SUBSTITUTE(Base_report!E1255,"-","/")</f>
        <v>PNLS/TESTS RAPIDES ET CONSOMMABLES</v>
      </c>
      <c r="F1263" s="14" t="s">
        <v>788</v>
      </c>
      <c r="G1263" s="16">
        <f>DATE(YEAR(SUBSTITUTE(LEFT(Base_report!F1255,10),"-","/")),MONTH(SUBSTITUTE(LEFT(Base_report!F1255,10),"-","/")),DAY(SUBSTITUTE(LEFT(Base_report!F1255,10),"-","/")))</f>
        <v>45301</v>
      </c>
      <c r="H1263" s="16">
        <f>DATE(YEAR(SUBSTITUTE(LEFT(Base_report!G1255,10),"-","/")),MONTH(SUBSTITUTE(LEFT(Base_report!G1255,10),"-","/")),DAY(SUBSTITUTE(LEFT(Base_report!G1255,10),"-","/")))</f>
        <v>45301</v>
      </c>
      <c r="I1263" s="17" t="str">
        <f t="shared" si="1"/>
        <v>OUI</v>
      </c>
      <c r="J1263" s="18">
        <f>IF(L1263="DS",DATE(RIGHT(B1263,4),VLOOKUP(LEFT(B1263,LEN(B1263)-5),Feuil1!$E$3:$F$19,2,FALSE)+1,10),DATE(RIGHT(B1263,4),VLOOKUP(LEFT(B1263,LEN(B1263)-5),Feuil1!$E$3:$F$19,2,FALSE)+1,7))</f>
        <v>45301</v>
      </c>
      <c r="K1263" s="19">
        <f t="shared" si="2"/>
        <v>1</v>
      </c>
      <c r="L1263" s="6" t="str">
        <f t="shared" si="3"/>
        <v>DS</v>
      </c>
    </row>
    <row r="1264" ht="14.25" customHeight="1">
      <c r="A1264" s="14" t="str">
        <f>Base_report!A1256</f>
        <v>ME</v>
      </c>
      <c r="B1264" s="14" t="str">
        <f>Base_report!B1256</f>
        <v>DECEMBRE 2023</v>
      </c>
      <c r="C1264" s="15" t="str">
        <f>Base_report!C1256</f>
        <v>C1046</v>
      </c>
      <c r="D1264" s="14" t="str">
        <f>TRIM(IF(ISNUMBER(FIND("PNSME",Base_report!D1256,1)),SUBSTITUTE(Base_report!D1256,"PNSME",""),IF(ISNUMBER(FIND("PHG",Base_report!D1256,1)),SUBSTITUTE(Base_report!D1256,"PHG",""),IF(ISNUMBER(FIND("PCS",Base_report!D1256,1)),SUBSTITUTE(Base_report!D1256,"PCS",""),IF(ISNUMBER(FIND("CMU",Base_report!D1256,1)),SUBSTITUTE(Base_report!D1256,"CMU",""),Base_report!D1256)))))</f>
        <v>DISTRICT SANITAIRE ALEPE</v>
      </c>
      <c r="E1264" s="14" t="str">
        <f>SUBSTITUTE(Base_report!E1256,"-","/")</f>
        <v>PNLS/TESTS RAPIDES ET CONSOMMABLES</v>
      </c>
      <c r="F1264" s="14" t="s">
        <v>788</v>
      </c>
      <c r="G1264" s="16">
        <f>DATE(YEAR(SUBSTITUTE(LEFT(Base_report!F1256,10),"-","/")),MONTH(SUBSTITUTE(LEFT(Base_report!F1256,10),"-","/")),DAY(SUBSTITUTE(LEFT(Base_report!F1256,10),"-","/")))</f>
        <v>45301</v>
      </c>
      <c r="H1264" s="16">
        <f>DATE(YEAR(SUBSTITUTE(LEFT(Base_report!G1256,10),"-","/")),MONTH(SUBSTITUTE(LEFT(Base_report!G1256,10),"-","/")),DAY(SUBSTITUTE(LEFT(Base_report!G1256,10),"-","/")))</f>
        <v>45301</v>
      </c>
      <c r="I1264" s="17" t="str">
        <f t="shared" si="1"/>
        <v>OUI</v>
      </c>
      <c r="J1264" s="18">
        <f>IF(L1264="DS",DATE(RIGHT(B1264,4),VLOOKUP(LEFT(B1264,LEN(B1264)-5),Feuil1!$E$3:$F$19,2,FALSE)+1,10),DATE(RIGHT(B1264,4),VLOOKUP(LEFT(B1264,LEN(B1264)-5),Feuil1!$E$3:$F$19,2,FALSE)+1,7))</f>
        <v>45301</v>
      </c>
      <c r="K1264" s="19">
        <f t="shared" si="2"/>
        <v>1</v>
      </c>
      <c r="L1264" s="6" t="str">
        <f t="shared" si="3"/>
        <v>DS</v>
      </c>
    </row>
    <row r="1265" ht="14.25" customHeight="1">
      <c r="A1265" s="14" t="str">
        <f>Base_report!A1257</f>
        <v>ME</v>
      </c>
      <c r="B1265" s="14" t="str">
        <f>Base_report!B1257</f>
        <v>DECEMBRE 2023</v>
      </c>
      <c r="C1265" s="15" t="str">
        <f>Base_report!C1257</f>
        <v>C1046</v>
      </c>
      <c r="D1265" s="14" t="str">
        <f>TRIM(IF(ISNUMBER(FIND("PNSME",Base_report!D1257,1)),SUBSTITUTE(Base_report!D1257,"PNSME",""),IF(ISNUMBER(FIND("PHG",Base_report!D1257,1)),SUBSTITUTE(Base_report!D1257,"PHG",""),IF(ISNUMBER(FIND("PCS",Base_report!D1257,1)),SUBSTITUTE(Base_report!D1257,"PCS",""),IF(ISNUMBER(FIND("CMU",Base_report!D1257,1)),SUBSTITUTE(Base_report!D1257,"CMU",""),Base_report!D1257)))))</f>
        <v>DISTRICT SANITAIRE ALEPE</v>
      </c>
      <c r="E1265" s="14" t="str">
        <f>SUBSTITUTE(Base_report!E1257,"-","/")</f>
        <v>PNLP/MEDICAMENTS ET INTRANTS</v>
      </c>
      <c r="F1265" s="14" t="s">
        <v>788</v>
      </c>
      <c r="G1265" s="16">
        <f>DATE(YEAR(SUBSTITUTE(LEFT(Base_report!F1257,10),"-","/")),MONTH(SUBSTITUTE(LEFT(Base_report!F1257,10),"-","/")),DAY(SUBSTITUTE(LEFT(Base_report!F1257,10),"-","/")))</f>
        <v>45301</v>
      </c>
      <c r="H1265" s="16">
        <f>DATE(YEAR(SUBSTITUTE(LEFT(Base_report!G1257,10),"-","/")),MONTH(SUBSTITUTE(LEFT(Base_report!G1257,10),"-","/")),DAY(SUBSTITUTE(LEFT(Base_report!G1257,10),"-","/")))</f>
        <v>45301</v>
      </c>
      <c r="I1265" s="17" t="str">
        <f t="shared" si="1"/>
        <v>OUI</v>
      </c>
      <c r="J1265" s="18">
        <f>IF(L1265="DS",DATE(RIGHT(B1265,4),VLOOKUP(LEFT(B1265,LEN(B1265)-5),Feuil1!$E$3:$F$19,2,FALSE)+1,10),DATE(RIGHT(B1265,4),VLOOKUP(LEFT(B1265,LEN(B1265)-5),Feuil1!$E$3:$F$19,2,FALSE)+1,7))</f>
        <v>45301</v>
      </c>
      <c r="K1265" s="19">
        <f t="shared" si="2"/>
        <v>1</v>
      </c>
      <c r="L1265" s="6" t="str">
        <f t="shared" si="3"/>
        <v>DS</v>
      </c>
    </row>
    <row r="1266" ht="14.25" customHeight="1">
      <c r="A1266" s="14" t="str">
        <f>Base_report!A1258</f>
        <v>NAWA</v>
      </c>
      <c r="B1266" s="14" t="str">
        <f>Base_report!B1258</f>
        <v>DECEMBRE 2023</v>
      </c>
      <c r="C1266" s="15" t="str">
        <f>Base_report!C1258</f>
        <v>C2050</v>
      </c>
      <c r="D1266" s="14" t="str">
        <f>TRIM(IF(ISNUMBER(FIND("PNSME",Base_report!D1258,1)),SUBSTITUTE(Base_report!D1258,"PNSME",""),IF(ISNUMBER(FIND("PHG",Base_report!D1258,1)),SUBSTITUTE(Base_report!D1258,"PHG",""),IF(ISNUMBER(FIND("PCS",Base_report!D1258,1)),SUBSTITUTE(Base_report!D1258,"PCS",""),IF(ISNUMBER(FIND("CMU",Base_report!D1258,1)),SUBSTITUTE(Base_report!D1258,"CMU",""),Base_report!D1258)))))</f>
        <v>HOPITAL GENERAL BUYO</v>
      </c>
      <c r="E1266" s="14" t="str">
        <f>SUBSTITUTE(Base_report!E1258,"-","/")</f>
        <v>PNSME/MEDICAMENTS ET INTRANTS</v>
      </c>
      <c r="F1266" s="14" t="s">
        <v>788</v>
      </c>
      <c r="G1266" s="16">
        <f>DATE(YEAR(SUBSTITUTE(LEFT(Base_report!F1258,10),"-","/")),MONTH(SUBSTITUTE(LEFT(Base_report!F1258,10),"-","/")),DAY(SUBSTITUTE(LEFT(Base_report!F1258,10),"-","/")))</f>
        <v>45298</v>
      </c>
      <c r="H1266" s="16">
        <f>DATE(YEAR(SUBSTITUTE(LEFT(Base_report!G1258,10),"-","/")),MONTH(SUBSTITUTE(LEFT(Base_report!G1258,10),"-","/")),DAY(SUBSTITUTE(LEFT(Base_report!G1258,10),"-","/")))</f>
        <v>45298</v>
      </c>
      <c r="I1266" s="17" t="str">
        <f t="shared" si="1"/>
        <v>OUI</v>
      </c>
      <c r="J1266" s="18">
        <f>IF(L1266="DS",DATE(RIGHT(B1266,4),VLOOKUP(LEFT(B1266,LEN(B1266)-5),Feuil1!$E$3:$F$19,2,FALSE)+1,10),DATE(RIGHT(B1266,4),VLOOKUP(LEFT(B1266,LEN(B1266)-5),Feuil1!$E$3:$F$19,2,FALSE)+1,7))</f>
        <v>45298</v>
      </c>
      <c r="K1266" s="19">
        <f t="shared" si="2"/>
        <v>1</v>
      </c>
      <c r="L1266" s="6" t="str">
        <f t="shared" si="3"/>
        <v>FS</v>
      </c>
    </row>
    <row r="1267" ht="14.25" customHeight="1">
      <c r="A1267" s="14" t="str">
        <f>Base_report!A1259</f>
        <v>NAWA</v>
      </c>
      <c r="B1267" s="14" t="str">
        <f>Base_report!B1259</f>
        <v>DECEMBRE 2023</v>
      </c>
      <c r="C1267" s="15" t="str">
        <f>Base_report!C1259</f>
        <v>C2050</v>
      </c>
      <c r="D1267" s="14" t="str">
        <f>TRIM(IF(ISNUMBER(FIND("PNSME",Base_report!D1259,1)),SUBSTITUTE(Base_report!D1259,"PNSME",""),IF(ISNUMBER(FIND("PHG",Base_report!D1259,1)),SUBSTITUTE(Base_report!D1259,"PHG",""),IF(ISNUMBER(FIND("PCS",Base_report!D1259,1)),SUBSTITUTE(Base_report!D1259,"PCS",""),IF(ISNUMBER(FIND("CMU",Base_report!D1259,1)),SUBSTITUTE(Base_report!D1259,"CMU",""),Base_report!D1259)))))</f>
        <v>HOPITAL GENERAL BUYO</v>
      </c>
      <c r="E1267" s="14" t="str">
        <f>SUBSTITUTE(Base_report!E1259,"-","/")</f>
        <v>PNN/MEDICAMENTS ET INTRANTS</v>
      </c>
      <c r="F1267" s="14" t="s">
        <v>788</v>
      </c>
      <c r="G1267" s="16">
        <f>DATE(YEAR(SUBSTITUTE(LEFT(Base_report!F1259,10),"-","/")),MONTH(SUBSTITUTE(LEFT(Base_report!F1259,10),"-","/")),DAY(SUBSTITUTE(LEFT(Base_report!F1259,10),"-","/")))</f>
        <v>45298</v>
      </c>
      <c r="H1267" s="16">
        <f>DATE(YEAR(SUBSTITUTE(LEFT(Base_report!G1259,10),"-","/")),MONTH(SUBSTITUTE(LEFT(Base_report!G1259,10),"-","/")),DAY(SUBSTITUTE(LEFT(Base_report!G1259,10),"-","/")))</f>
        <v>45298</v>
      </c>
      <c r="I1267" s="17" t="str">
        <f t="shared" si="1"/>
        <v>OUI</v>
      </c>
      <c r="J1267" s="18">
        <f>IF(L1267="DS",DATE(RIGHT(B1267,4),VLOOKUP(LEFT(B1267,LEN(B1267)-5),Feuil1!$E$3:$F$19,2,FALSE)+1,10),DATE(RIGHT(B1267,4),VLOOKUP(LEFT(B1267,LEN(B1267)-5),Feuil1!$E$3:$F$19,2,FALSE)+1,7))</f>
        <v>45298</v>
      </c>
      <c r="K1267" s="19">
        <f t="shared" si="2"/>
        <v>1</v>
      </c>
      <c r="L1267" s="6" t="str">
        <f t="shared" si="3"/>
        <v>FS</v>
      </c>
    </row>
    <row r="1268" ht="14.25" customHeight="1">
      <c r="A1268" s="14" t="str">
        <f>Base_report!A1260</f>
        <v>AGNEBY-TIASSA</v>
      </c>
      <c r="B1268" s="14" t="str">
        <f>Base_report!B1260</f>
        <v>DECEMBRE 2023</v>
      </c>
      <c r="C1268" s="15" t="str">
        <f>Base_report!C1260</f>
        <v>C1004</v>
      </c>
      <c r="D1268" s="14" t="str">
        <f>TRIM(IF(ISNUMBER(FIND("PNSME",Base_report!D1260,1)),SUBSTITUTE(Base_report!D1260,"PNSME",""),IF(ISNUMBER(FIND("PHG",Base_report!D1260,1)),SUBSTITUTE(Base_report!D1260,"PHG",""),IF(ISNUMBER(FIND("PCS",Base_report!D1260,1)),SUBSTITUTE(Base_report!D1260,"PCS",""),IF(ISNUMBER(FIND("CMU",Base_report!D1260,1)),SUBSTITUTE(Base_report!D1260,"CMU",""),Base_report!D1260)))))</f>
        <v>CHR AGBOVILLE</v>
      </c>
      <c r="E1268" s="14" t="str">
        <f>SUBSTITUTE(Base_report!E1260,"-","/")</f>
        <v>PNLS/CHARGES VIRALES</v>
      </c>
      <c r="F1268" s="14" t="s">
        <v>788</v>
      </c>
      <c r="G1268" s="16">
        <f>DATE(YEAR(SUBSTITUTE(LEFT(Base_report!F1260,10),"-","/")),MONTH(SUBSTITUTE(LEFT(Base_report!F1260,10),"-","/")),DAY(SUBSTITUTE(LEFT(Base_report!F1260,10),"-","/")))</f>
        <v>45298</v>
      </c>
      <c r="H1268" s="16">
        <f>DATE(YEAR(SUBSTITUTE(LEFT(Base_report!G1260,10),"-","/")),MONTH(SUBSTITUTE(LEFT(Base_report!G1260,10),"-","/")),DAY(SUBSTITUTE(LEFT(Base_report!G1260,10),"-","/")))</f>
        <v>45298</v>
      </c>
      <c r="I1268" s="17" t="str">
        <f t="shared" si="1"/>
        <v>OUI</v>
      </c>
      <c r="J1268" s="18">
        <f>IF(L1268="DS",DATE(RIGHT(B1268,4),VLOOKUP(LEFT(B1268,LEN(B1268)-5),Feuil1!$E$3:$F$19,2,FALSE)+1,10),DATE(RIGHT(B1268,4),VLOOKUP(LEFT(B1268,LEN(B1268)-5),Feuil1!$E$3:$F$19,2,FALSE)+1,7))</f>
        <v>45298</v>
      </c>
      <c r="K1268" s="19">
        <f t="shared" si="2"/>
        <v>1</v>
      </c>
      <c r="L1268" s="6" t="str">
        <f t="shared" si="3"/>
        <v>FS</v>
      </c>
    </row>
    <row r="1269" ht="14.25" customHeight="1">
      <c r="A1269" s="14" t="str">
        <f>Base_report!A1261</f>
        <v>BOUNKANI</v>
      </c>
      <c r="B1269" s="14" t="str">
        <f>Base_report!B1261</f>
        <v>DECEMBRE 2023</v>
      </c>
      <c r="C1269" s="15" t="str">
        <f>Base_report!C1261</f>
        <v>C4088</v>
      </c>
      <c r="D1269" s="14" t="str">
        <f>TRIM(IF(ISNUMBER(FIND("PNSME",Base_report!D1261,1)),SUBSTITUTE(Base_report!D1261,"PNSME",""),IF(ISNUMBER(FIND("PHG",Base_report!D1261,1)),SUBSTITUTE(Base_report!D1261,"PHG",""),IF(ISNUMBER(FIND("PCS",Base_report!D1261,1)),SUBSTITUTE(Base_report!D1261,"PCS",""),IF(ISNUMBER(FIND("CMU",Base_report!D1261,1)),SUBSTITUTE(Base_report!D1261,"CMU",""),Base_report!D1261)))))</f>
        <v>HOPITAL GENERAL TEHINI</v>
      </c>
      <c r="E1269" s="14" t="str">
        <f>SUBSTITUTE(Base_report!E1261,"-","/")</f>
        <v>PNN/MEDICAMENTS ET INTRANTS</v>
      </c>
      <c r="F1269" s="14" t="s">
        <v>788</v>
      </c>
      <c r="G1269" s="16">
        <f>DATE(YEAR(SUBSTITUTE(LEFT(Base_report!F1261,10),"-","/")),MONTH(SUBSTITUTE(LEFT(Base_report!F1261,10),"-","/")),DAY(SUBSTITUTE(LEFT(Base_report!F1261,10),"-","/")))</f>
        <v>45298</v>
      </c>
      <c r="H1269" s="16">
        <f>DATE(YEAR(SUBSTITUTE(LEFT(Base_report!G1261,10),"-","/")),MONTH(SUBSTITUTE(LEFT(Base_report!G1261,10),"-","/")),DAY(SUBSTITUTE(LEFT(Base_report!G1261,10),"-","/")))</f>
        <v>45298</v>
      </c>
      <c r="I1269" s="17" t="str">
        <f t="shared" si="1"/>
        <v>OUI</v>
      </c>
      <c r="J1269" s="18">
        <f>IF(L1269="DS",DATE(RIGHT(B1269,4),VLOOKUP(LEFT(B1269,LEN(B1269)-5),Feuil1!$E$3:$F$19,2,FALSE)+1,10),DATE(RIGHT(B1269,4),VLOOKUP(LEFT(B1269,LEN(B1269)-5),Feuil1!$E$3:$F$19,2,FALSE)+1,7))</f>
        <v>45298</v>
      </c>
      <c r="K1269" s="19">
        <f t="shared" si="2"/>
        <v>1</v>
      </c>
      <c r="L1269" s="6" t="str">
        <f t="shared" si="3"/>
        <v>FS</v>
      </c>
    </row>
    <row r="1270" ht="14.25" customHeight="1">
      <c r="A1270" s="14" t="str">
        <f>Base_report!A1262</f>
        <v>ABIDJAN 2</v>
      </c>
      <c r="B1270" s="14" t="str">
        <f>Base_report!B1262</f>
        <v>DECEMBRE 2023</v>
      </c>
      <c r="C1270" s="15" t="str">
        <f>Base_report!C1262</f>
        <v>C1086</v>
      </c>
      <c r="D1270" s="14" t="str">
        <f>TRIM(IF(ISNUMBER(FIND("PNSME",Base_report!D1262,1)),SUBSTITUTE(Base_report!D1262,"PNSME",""),IF(ISNUMBER(FIND("PHG",Base_report!D1262,1)),SUBSTITUTE(Base_report!D1262,"PHG",""),IF(ISNUMBER(FIND("PCS",Base_report!D1262,1)),SUBSTITUTE(Base_report!D1262,"PCS",""),IF(ISNUMBER(FIND("CMU",Base_report!D1262,1)),SUBSTITUTE(Base_report!D1262,"CMU",""),Base_report!D1262)))))</f>
        <v>HOPITAL GENERAL BINGERVILLE</v>
      </c>
      <c r="E1270" s="14" t="str">
        <f>SUBSTITUTE(Base_report!E1262,"-","/")</f>
        <v>PNLP/MEDICAMENTS ET INTRANTS</v>
      </c>
      <c r="F1270" s="14" t="s">
        <v>788</v>
      </c>
      <c r="G1270" s="16">
        <f>DATE(YEAR(SUBSTITUTE(LEFT(Base_report!F1262,10),"-","/")),MONTH(SUBSTITUTE(LEFT(Base_report!F1262,10),"-","/")),DAY(SUBSTITUTE(LEFT(Base_report!F1262,10),"-","/")))</f>
        <v>45298</v>
      </c>
      <c r="H1270" s="16">
        <f>DATE(YEAR(SUBSTITUTE(LEFT(Base_report!G1262,10),"-","/")),MONTH(SUBSTITUTE(LEFT(Base_report!G1262,10),"-","/")),DAY(SUBSTITUTE(LEFT(Base_report!G1262,10),"-","/")))</f>
        <v>45298</v>
      </c>
      <c r="I1270" s="17" t="str">
        <f t="shared" si="1"/>
        <v>OUI</v>
      </c>
      <c r="J1270" s="18">
        <f>IF(L1270="DS",DATE(RIGHT(B1270,4),VLOOKUP(LEFT(B1270,LEN(B1270)-5),Feuil1!$E$3:$F$19,2,FALSE)+1,10),DATE(RIGHT(B1270,4),VLOOKUP(LEFT(B1270,LEN(B1270)-5),Feuil1!$E$3:$F$19,2,FALSE)+1,7))</f>
        <v>45298</v>
      </c>
      <c r="K1270" s="19">
        <f t="shared" si="2"/>
        <v>1</v>
      </c>
      <c r="L1270" s="6" t="str">
        <f t="shared" si="3"/>
        <v>FS</v>
      </c>
    </row>
    <row r="1271" ht="14.25" customHeight="1">
      <c r="A1271" s="14" t="str">
        <f>Base_report!A1263</f>
        <v>BOUNKANI</v>
      </c>
      <c r="B1271" s="14" t="str">
        <f>Base_report!B1263</f>
        <v>DECEMBRE 2023</v>
      </c>
      <c r="C1271" s="15" t="str">
        <f>Base_report!C1263</f>
        <v>C4088</v>
      </c>
      <c r="D1271" s="14" t="str">
        <f>TRIM(IF(ISNUMBER(FIND("PNSME",Base_report!D1263,1)),SUBSTITUTE(Base_report!D1263,"PNSME",""),IF(ISNUMBER(FIND("PHG",Base_report!D1263,1)),SUBSTITUTE(Base_report!D1263,"PHG",""),IF(ISNUMBER(FIND("PCS",Base_report!D1263,1)),SUBSTITUTE(Base_report!D1263,"PCS",""),IF(ISNUMBER(FIND("CMU",Base_report!D1263,1)),SUBSTITUTE(Base_report!D1263,"CMU",""),Base_report!D1263)))))</f>
        <v>HOPITAL GENERAL TEHINI</v>
      </c>
      <c r="E1271" s="14" t="str">
        <f>SUBSTITUTE(Base_report!E1263,"-","/")</f>
        <v>PNSME/MEDICAMENTS ET INTRANTS</v>
      </c>
      <c r="F1271" s="14" t="s">
        <v>788</v>
      </c>
      <c r="G1271" s="16">
        <f>DATE(YEAR(SUBSTITUTE(LEFT(Base_report!F1263,10),"-","/")),MONTH(SUBSTITUTE(LEFT(Base_report!F1263,10),"-","/")),DAY(SUBSTITUTE(LEFT(Base_report!F1263,10),"-","/")))</f>
        <v>45298</v>
      </c>
      <c r="H1271" s="16">
        <f>DATE(YEAR(SUBSTITUTE(LEFT(Base_report!G1263,10),"-","/")),MONTH(SUBSTITUTE(LEFT(Base_report!G1263,10),"-","/")),DAY(SUBSTITUTE(LEFT(Base_report!G1263,10),"-","/")))</f>
        <v>45298</v>
      </c>
      <c r="I1271" s="17" t="str">
        <f t="shared" si="1"/>
        <v>OUI</v>
      </c>
      <c r="J1271" s="18">
        <f>IF(L1271="DS",DATE(RIGHT(B1271,4),VLOOKUP(LEFT(B1271,LEN(B1271)-5),Feuil1!$E$3:$F$19,2,FALSE)+1,10),DATE(RIGHT(B1271,4),VLOOKUP(LEFT(B1271,LEN(B1271)-5),Feuil1!$E$3:$F$19,2,FALSE)+1,7))</f>
        <v>45298</v>
      </c>
      <c r="K1271" s="19">
        <f t="shared" si="2"/>
        <v>1</v>
      </c>
      <c r="L1271" s="6" t="str">
        <f t="shared" si="3"/>
        <v>FS</v>
      </c>
    </row>
    <row r="1272" ht="14.25" customHeight="1">
      <c r="A1272" s="14" t="str">
        <f>Base_report!A1264</f>
        <v>GBEKE</v>
      </c>
      <c r="B1272" s="14" t="str">
        <f>Base_report!B1264</f>
        <v>DECEMBRE 2023</v>
      </c>
      <c r="C1272" s="15" t="str">
        <f>Base_report!C1264</f>
        <v>C2023</v>
      </c>
      <c r="D1272" s="14" t="str">
        <f>TRIM(IF(ISNUMBER(FIND("PNSME",Base_report!D1264,1)),SUBSTITUTE(Base_report!D1264,"PNSME",""),IF(ISNUMBER(FIND("PHG",Base_report!D1264,1)),SUBSTITUTE(Base_report!D1264,"PHG",""),IF(ISNUMBER(FIND("PCS",Base_report!D1264,1)),SUBSTITUTE(Base_report!D1264,"PCS",""),IF(ISNUMBER(FIND("CMU",Base_report!D1264,1)),SUBSTITUTE(Base_report!D1264,"CMU",""),Base_report!D1264)))))</f>
        <v>DISTRICT SANITAIRE BOUAKE NORD-OUEST</v>
      </c>
      <c r="E1272" s="14" t="str">
        <f>SUBSTITUTE(Base_report!E1264,"-","/")</f>
        <v>PNSME/MEDICAMENTS ET INTRANTS</v>
      </c>
      <c r="F1272" s="14" t="s">
        <v>788</v>
      </c>
      <c r="G1272" s="16">
        <f>DATE(YEAR(SUBSTITUTE(LEFT(Base_report!F1264,10),"-","/")),MONTH(SUBSTITUTE(LEFT(Base_report!F1264,10),"-","/")),DAY(SUBSTITUTE(LEFT(Base_report!F1264,10),"-","/")))</f>
        <v>45301</v>
      </c>
      <c r="H1272" s="16">
        <f>DATE(YEAR(SUBSTITUTE(LEFT(Base_report!G1264,10),"-","/")),MONTH(SUBSTITUTE(LEFT(Base_report!G1264,10),"-","/")),DAY(SUBSTITUTE(LEFT(Base_report!G1264,10),"-","/")))</f>
        <v>45302</v>
      </c>
      <c r="I1272" s="17" t="str">
        <f t="shared" si="1"/>
        <v>OUI</v>
      </c>
      <c r="J1272" s="18">
        <f>IF(L1272="DS",DATE(RIGHT(B1272,4),VLOOKUP(LEFT(B1272,LEN(B1272)-5),Feuil1!$E$3:$F$19,2,FALSE)+1,10),DATE(RIGHT(B1272,4),VLOOKUP(LEFT(B1272,LEN(B1272)-5),Feuil1!$E$3:$F$19,2,FALSE)+1,7))</f>
        <v>45301</v>
      </c>
      <c r="K1272" s="19">
        <f t="shared" si="2"/>
        <v>0</v>
      </c>
      <c r="L1272" s="6" t="str">
        <f t="shared" si="3"/>
        <v>DS</v>
      </c>
    </row>
    <row r="1273" ht="14.25" customHeight="1">
      <c r="A1273" s="14" t="str">
        <f>Base_report!A1265</f>
        <v>KABADOUGOU</v>
      </c>
      <c r="B1273" s="14" t="str">
        <f>Base_report!B1265</f>
        <v>DECEMBRE 2023</v>
      </c>
      <c r="C1273" s="15" t="str">
        <f>Base_report!C1265</f>
        <v>C5013</v>
      </c>
      <c r="D1273" s="14" t="str">
        <f>TRIM(IF(ISNUMBER(FIND("PNSME",Base_report!D1265,1)),SUBSTITUTE(Base_report!D1265,"PNSME",""),IF(ISNUMBER(FIND("PHG",Base_report!D1265,1)),SUBSTITUTE(Base_report!D1265,"PHG",""),IF(ISNUMBER(FIND("PCS",Base_report!D1265,1)),SUBSTITUTE(Base_report!D1265,"PCS",""),IF(ISNUMBER(FIND("CMU",Base_report!D1265,1)),SUBSTITUTE(Base_report!D1265,"CMU",""),Base_report!D1265)))))</f>
        <v>DISTRICT SANITAIRE ODIENNE</v>
      </c>
      <c r="E1273" s="14" t="str">
        <f>SUBSTITUTE(Base_report!E1265,"-","/")</f>
        <v>PNLS/PRODUITS DE LABORATOIRE</v>
      </c>
      <c r="F1273" s="14" t="s">
        <v>788</v>
      </c>
      <c r="G1273" s="16">
        <f>DATE(YEAR(SUBSTITUTE(LEFT(Base_report!F1265,10),"-","/")),MONTH(SUBSTITUTE(LEFT(Base_report!F1265,10),"-","/")),DAY(SUBSTITUTE(LEFT(Base_report!F1265,10),"-","/")))</f>
        <v>45298</v>
      </c>
      <c r="H1273" s="16">
        <f>DATE(YEAR(SUBSTITUTE(LEFT(Base_report!G1265,10),"-","/")),MONTH(SUBSTITUTE(LEFT(Base_report!G1265,10),"-","/")),DAY(SUBSTITUTE(LEFT(Base_report!G1265,10),"-","/")))</f>
        <v>45298</v>
      </c>
      <c r="I1273" s="17" t="str">
        <f t="shared" si="1"/>
        <v>OUI</v>
      </c>
      <c r="J1273" s="18">
        <f>IF(L1273="DS",DATE(RIGHT(B1273,4),VLOOKUP(LEFT(B1273,LEN(B1273)-5),Feuil1!$E$3:$F$19,2,FALSE)+1,10),DATE(RIGHT(B1273,4),VLOOKUP(LEFT(B1273,LEN(B1273)-5),Feuil1!$E$3:$F$19,2,FALSE)+1,7))</f>
        <v>45301</v>
      </c>
      <c r="K1273" s="19">
        <f t="shared" si="2"/>
        <v>1</v>
      </c>
      <c r="L1273" s="6" t="str">
        <f t="shared" si="3"/>
        <v>DS</v>
      </c>
    </row>
    <row r="1274" ht="14.25" customHeight="1">
      <c r="A1274" s="14" t="str">
        <f>Base_report!A1266</f>
        <v>SUD-COMOE</v>
      </c>
      <c r="B1274" s="14" t="str">
        <f>Base_report!B1266</f>
        <v>DECEMBRE 2023</v>
      </c>
      <c r="C1274" s="15" t="str">
        <f>Base_report!C1266</f>
        <v>C1679</v>
      </c>
      <c r="D1274" s="14" t="str">
        <f>TRIM(IF(ISNUMBER(FIND("PNSME",Base_report!D1266,1)),SUBSTITUTE(Base_report!D1266,"PNSME",""),IF(ISNUMBER(FIND("PHG",Base_report!D1266,1)),SUBSTITUTE(Base_report!D1266,"PHG",""),IF(ISNUMBER(FIND("PCS",Base_report!D1266,1)),SUBSTITUTE(Base_report!D1266,"PCS",""),IF(ISNUMBER(FIND("CMU",Base_report!D1266,1)),SUBSTITUTE(Base_report!D1266,"CMU",""),Base_report!D1266)))))</f>
        <v>HOPITAL GENERAL TIAPOUM</v>
      </c>
      <c r="E1274" s="14" t="str">
        <f>SUBSTITUTE(Base_report!E1266,"-","/")</f>
        <v>PNSME/MEDICAMENTS ET INTRANTS</v>
      </c>
      <c r="F1274" s="14" t="s">
        <v>788</v>
      </c>
      <c r="G1274" s="16">
        <f>DATE(YEAR(SUBSTITUTE(LEFT(Base_report!F1266,10),"-","/")),MONTH(SUBSTITUTE(LEFT(Base_report!F1266,10),"-","/")),DAY(SUBSTITUTE(LEFT(Base_report!F1266,10),"-","/")))</f>
        <v>45298</v>
      </c>
      <c r="H1274" s="16">
        <f>DATE(YEAR(SUBSTITUTE(LEFT(Base_report!G1266,10),"-","/")),MONTH(SUBSTITUTE(LEFT(Base_report!G1266,10),"-","/")),DAY(SUBSTITUTE(LEFT(Base_report!G1266,10),"-","/")))</f>
        <v>45298</v>
      </c>
      <c r="I1274" s="17" t="str">
        <f t="shared" si="1"/>
        <v>OUI</v>
      </c>
      <c r="J1274" s="18">
        <f>IF(L1274="DS",DATE(RIGHT(B1274,4),VLOOKUP(LEFT(B1274,LEN(B1274)-5),Feuil1!$E$3:$F$19,2,FALSE)+1,10),DATE(RIGHT(B1274,4),VLOOKUP(LEFT(B1274,LEN(B1274)-5),Feuil1!$E$3:$F$19,2,FALSE)+1,7))</f>
        <v>45298</v>
      </c>
      <c r="K1274" s="19">
        <f t="shared" si="2"/>
        <v>1</v>
      </c>
      <c r="L1274" s="6" t="str">
        <f t="shared" si="3"/>
        <v>FS</v>
      </c>
    </row>
    <row r="1275" ht="14.25" customHeight="1">
      <c r="A1275" s="14" t="str">
        <f>Base_report!A1267</f>
        <v>HAUT-SASSANDRA</v>
      </c>
      <c r="B1275" s="14" t="str">
        <f>Base_report!B1267</f>
        <v>DECEMBRE 2023</v>
      </c>
      <c r="C1275" s="15" t="str">
        <f>Base_report!C1267</f>
        <v>C2070</v>
      </c>
      <c r="D1275" s="14" t="str">
        <f>TRIM(IF(ISNUMBER(FIND("PNSME",Base_report!D1267,1)),SUBSTITUTE(Base_report!D1267,"PNSME",""),IF(ISNUMBER(FIND("PHG",Base_report!D1267,1)),SUBSTITUTE(Base_report!D1267,"PHG",""),IF(ISNUMBER(FIND("PCS",Base_report!D1267,1)),SUBSTITUTE(Base_report!D1267,"PCS",""),IF(ISNUMBER(FIND("CMU",Base_report!D1267,1)),SUBSTITUTE(Base_report!D1267,"CMU",""),Base_report!D1267)))))</f>
        <v>HOPITAL GENERAL VAVOUA</v>
      </c>
      <c r="E1275" s="14" t="str">
        <f>SUBSTITUTE(Base_report!E1267,"-","/")</f>
        <v>PNLP/MEDICAMENTS ET INTRANTS</v>
      </c>
      <c r="F1275" s="14" t="s">
        <v>788</v>
      </c>
      <c r="G1275" s="16">
        <f>DATE(YEAR(SUBSTITUTE(LEFT(Base_report!F1267,10),"-","/")),MONTH(SUBSTITUTE(LEFT(Base_report!F1267,10),"-","/")),DAY(SUBSTITUTE(LEFT(Base_report!F1267,10),"-","/")))</f>
        <v>45298</v>
      </c>
      <c r="H1275" s="16">
        <f>DATE(YEAR(SUBSTITUTE(LEFT(Base_report!G1267,10),"-","/")),MONTH(SUBSTITUTE(LEFT(Base_report!G1267,10),"-","/")),DAY(SUBSTITUTE(LEFT(Base_report!G1267,10),"-","/")))</f>
        <v>45298</v>
      </c>
      <c r="I1275" s="17" t="str">
        <f t="shared" si="1"/>
        <v>OUI</v>
      </c>
      <c r="J1275" s="18">
        <f>IF(L1275="DS",DATE(RIGHT(B1275,4),VLOOKUP(LEFT(B1275,LEN(B1275)-5),Feuil1!$E$3:$F$19,2,FALSE)+1,10),DATE(RIGHT(B1275,4),VLOOKUP(LEFT(B1275,LEN(B1275)-5),Feuil1!$E$3:$F$19,2,FALSE)+1,7))</f>
        <v>45298</v>
      </c>
      <c r="K1275" s="19">
        <f t="shared" si="2"/>
        <v>1</v>
      </c>
      <c r="L1275" s="6" t="str">
        <f t="shared" si="3"/>
        <v>FS</v>
      </c>
    </row>
    <row r="1276" ht="14.25" customHeight="1">
      <c r="A1276" s="14" t="str">
        <f>Base_report!A1268</f>
        <v>KABADOUGOU</v>
      </c>
      <c r="B1276" s="14" t="str">
        <f>Base_report!B1268</f>
        <v>DECEMBRE 2023</v>
      </c>
      <c r="C1276" s="15" t="str">
        <f>Base_report!C1268</f>
        <v>C5063</v>
      </c>
      <c r="D1276" s="14" t="str">
        <f>TRIM(IF(ISNUMBER(FIND("PNSME",Base_report!D1268,1)),SUBSTITUTE(Base_report!D1268,"PNSME",""),IF(ISNUMBER(FIND("PHG",Base_report!D1268,1)),SUBSTITUTE(Base_report!D1268,"PHG",""),IF(ISNUMBER(FIND("PCS",Base_report!D1268,1)),SUBSTITUTE(Base_report!D1268,"PCS",""),IF(ISNUMBER(FIND("CMU",Base_report!D1268,1)),SUBSTITUTE(Base_report!D1268,"CMU",""),Base_report!D1268)))))</f>
        <v>HOPITAL GENERAL DE MADINANI</v>
      </c>
      <c r="E1276" s="14" t="str">
        <f>SUBSTITUTE(Base_report!E1268,"-","/")</f>
        <v>PNLP/MEDICAMENTS ET INTRANTS</v>
      </c>
      <c r="F1276" s="14" t="s">
        <v>788</v>
      </c>
      <c r="G1276" s="16">
        <f>DATE(YEAR(SUBSTITUTE(LEFT(Base_report!F1268,10),"-","/")),MONTH(SUBSTITUTE(LEFT(Base_report!F1268,10),"-","/")),DAY(SUBSTITUTE(LEFT(Base_report!F1268,10),"-","/")))</f>
        <v>45298</v>
      </c>
      <c r="H1276" s="16">
        <f>DATE(YEAR(SUBSTITUTE(LEFT(Base_report!G1268,10),"-","/")),MONTH(SUBSTITUTE(LEFT(Base_report!G1268,10),"-","/")),DAY(SUBSTITUTE(LEFT(Base_report!G1268,10),"-","/")))</f>
        <v>45298</v>
      </c>
      <c r="I1276" s="17" t="str">
        <f t="shared" si="1"/>
        <v>OUI</v>
      </c>
      <c r="J1276" s="18">
        <f>IF(L1276="DS",DATE(RIGHT(B1276,4),VLOOKUP(LEFT(B1276,LEN(B1276)-5),Feuil1!$E$3:$F$19,2,FALSE)+1,10),DATE(RIGHT(B1276,4),VLOOKUP(LEFT(B1276,LEN(B1276)-5),Feuil1!$E$3:$F$19,2,FALSE)+1,7))</f>
        <v>45298</v>
      </c>
      <c r="K1276" s="19">
        <f t="shared" si="2"/>
        <v>1</v>
      </c>
      <c r="L1276" s="6" t="str">
        <f t="shared" si="3"/>
        <v>FS</v>
      </c>
    </row>
    <row r="1277" ht="14.25" customHeight="1">
      <c r="A1277" s="14" t="str">
        <f>Base_report!A1269</f>
        <v>NAWA</v>
      </c>
      <c r="B1277" s="14" t="str">
        <f>Base_report!B1269</f>
        <v>DECEMBRE 2023</v>
      </c>
      <c r="C1277" s="15" t="str">
        <f>Base_report!C1269</f>
        <v>C2050</v>
      </c>
      <c r="D1277" s="14" t="str">
        <f>TRIM(IF(ISNUMBER(FIND("PNSME",Base_report!D1269,1)),SUBSTITUTE(Base_report!D1269,"PNSME",""),IF(ISNUMBER(FIND("PHG",Base_report!D1269,1)),SUBSTITUTE(Base_report!D1269,"PHG",""),IF(ISNUMBER(FIND("PCS",Base_report!D1269,1)),SUBSTITUTE(Base_report!D1269,"PCS",""),IF(ISNUMBER(FIND("CMU",Base_report!D1269,1)),SUBSTITUTE(Base_report!D1269,"CMU",""),Base_report!D1269)))))</f>
        <v>HOPITAL GENERAL BUYO</v>
      </c>
      <c r="E1277" s="14" t="str">
        <f>SUBSTITUTE(Base_report!E1269,"-","/")</f>
        <v>PNLS/ANTIRETROVIRAUX ET IO</v>
      </c>
      <c r="F1277" s="14" t="s">
        <v>788</v>
      </c>
      <c r="G1277" s="16">
        <f>DATE(YEAR(SUBSTITUTE(LEFT(Base_report!F1269,10),"-","/")),MONTH(SUBSTITUTE(LEFT(Base_report!F1269,10),"-","/")),DAY(SUBSTITUTE(LEFT(Base_report!F1269,10),"-","/")))</f>
        <v>45298</v>
      </c>
      <c r="H1277" s="16">
        <f>DATE(YEAR(SUBSTITUTE(LEFT(Base_report!G1269,10),"-","/")),MONTH(SUBSTITUTE(LEFT(Base_report!G1269,10),"-","/")),DAY(SUBSTITUTE(LEFT(Base_report!G1269,10),"-","/")))</f>
        <v>45298</v>
      </c>
      <c r="I1277" s="17" t="str">
        <f t="shared" si="1"/>
        <v>OUI</v>
      </c>
      <c r="J1277" s="18">
        <f>IF(L1277="DS",DATE(RIGHT(B1277,4),VLOOKUP(LEFT(B1277,LEN(B1277)-5),Feuil1!$E$3:$F$19,2,FALSE)+1,10),DATE(RIGHT(B1277,4),VLOOKUP(LEFT(B1277,LEN(B1277)-5),Feuil1!$E$3:$F$19,2,FALSE)+1,7))</f>
        <v>45298</v>
      </c>
      <c r="K1277" s="19">
        <f t="shared" si="2"/>
        <v>1</v>
      </c>
      <c r="L1277" s="6" t="str">
        <f t="shared" si="3"/>
        <v>FS</v>
      </c>
    </row>
    <row r="1278" ht="14.25" customHeight="1">
      <c r="A1278" s="14" t="str">
        <f>Base_report!A1270</f>
        <v>IFFOU</v>
      </c>
      <c r="B1278" s="14" t="str">
        <f>Base_report!B1270</f>
        <v>DECEMBRE 2023</v>
      </c>
      <c r="C1278" s="15" t="str">
        <f>Base_report!C1270</f>
        <v>C4012</v>
      </c>
      <c r="D1278" s="14" t="str">
        <f>TRIM(IF(ISNUMBER(FIND("PNSME",Base_report!D1270,1)),SUBSTITUTE(Base_report!D1270,"PNSME",""),IF(ISNUMBER(FIND("PHG",Base_report!D1270,1)),SUBSTITUTE(Base_report!D1270,"PHG",""),IF(ISNUMBER(FIND("PCS",Base_report!D1270,1)),SUBSTITUTE(Base_report!D1270,"PCS",""),IF(ISNUMBER(FIND("CMU",Base_report!D1270,1)),SUBSTITUTE(Base_report!D1270,"CMU",""),Base_report!D1270)))))</f>
        <v>DISTRICT SANITAIRE MBAHIAKRO</v>
      </c>
      <c r="E1278" s="14" t="str">
        <f>SUBSTITUTE(Base_report!E1270,"-","/")</f>
        <v>PNSME/MEDICAMENTS ET INTRANTS</v>
      </c>
      <c r="F1278" s="14" t="s">
        <v>788</v>
      </c>
      <c r="G1278" s="16">
        <f>DATE(YEAR(SUBSTITUTE(LEFT(Base_report!F1270,10),"-","/")),MONTH(SUBSTITUTE(LEFT(Base_report!F1270,10),"-","/")),DAY(SUBSTITUTE(LEFT(Base_report!F1270,10),"-","/")))</f>
        <v>45298</v>
      </c>
      <c r="H1278" s="16">
        <f>DATE(YEAR(SUBSTITUTE(LEFT(Base_report!G1270,10),"-","/")),MONTH(SUBSTITUTE(LEFT(Base_report!G1270,10),"-","/")),DAY(SUBSTITUTE(LEFT(Base_report!G1270,10),"-","/")))</f>
        <v>45299</v>
      </c>
      <c r="I1278" s="17" t="str">
        <f t="shared" si="1"/>
        <v>OUI</v>
      </c>
      <c r="J1278" s="18">
        <f>IF(L1278="DS",DATE(RIGHT(B1278,4),VLOOKUP(LEFT(B1278,LEN(B1278)-5),Feuil1!$E$3:$F$19,2,FALSE)+1,10),DATE(RIGHT(B1278,4),VLOOKUP(LEFT(B1278,LEN(B1278)-5),Feuil1!$E$3:$F$19,2,FALSE)+1,7))</f>
        <v>45301</v>
      </c>
      <c r="K1278" s="19">
        <f t="shared" si="2"/>
        <v>1</v>
      </c>
      <c r="L1278" s="6" t="str">
        <f t="shared" si="3"/>
        <v>DS</v>
      </c>
    </row>
    <row r="1279" ht="14.25" customHeight="1">
      <c r="A1279" s="14" t="str">
        <f>Base_report!A1271</f>
        <v>HAUT-SASSANDRA</v>
      </c>
      <c r="B1279" s="14" t="str">
        <f>Base_report!B1271</f>
        <v>DECEMBRE 2023</v>
      </c>
      <c r="C1279" s="15" t="str">
        <f>Base_report!C1271</f>
        <v>C2070</v>
      </c>
      <c r="D1279" s="14" t="str">
        <f>TRIM(IF(ISNUMBER(FIND("PNSME",Base_report!D1271,1)),SUBSTITUTE(Base_report!D1271,"PNSME",""),IF(ISNUMBER(FIND("PHG",Base_report!D1271,1)),SUBSTITUTE(Base_report!D1271,"PHG",""),IF(ISNUMBER(FIND("PCS",Base_report!D1271,1)),SUBSTITUTE(Base_report!D1271,"PCS",""),IF(ISNUMBER(FIND("CMU",Base_report!D1271,1)),SUBSTITUTE(Base_report!D1271,"CMU",""),Base_report!D1271)))))</f>
        <v>HOPITAL GENERAL VAVOUA</v>
      </c>
      <c r="E1279" s="14" t="str">
        <f>SUBSTITUTE(Base_report!E1271,"-","/")</f>
        <v>PNLS/ANTIRETROVIRAUX ET IO</v>
      </c>
      <c r="F1279" s="14" t="s">
        <v>788</v>
      </c>
      <c r="G1279" s="16">
        <f>DATE(YEAR(SUBSTITUTE(LEFT(Base_report!F1271,10),"-","/")),MONTH(SUBSTITUTE(LEFT(Base_report!F1271,10),"-","/")),DAY(SUBSTITUTE(LEFT(Base_report!F1271,10),"-","/")))</f>
        <v>45298</v>
      </c>
      <c r="H1279" s="16">
        <f>DATE(YEAR(SUBSTITUTE(LEFT(Base_report!G1271,10),"-","/")),MONTH(SUBSTITUTE(LEFT(Base_report!G1271,10),"-","/")),DAY(SUBSTITUTE(LEFT(Base_report!G1271,10),"-","/")))</f>
        <v>45298</v>
      </c>
      <c r="I1279" s="17" t="str">
        <f t="shared" si="1"/>
        <v>OUI</v>
      </c>
      <c r="J1279" s="18">
        <f>IF(L1279="DS",DATE(RIGHT(B1279,4),VLOOKUP(LEFT(B1279,LEN(B1279)-5),Feuil1!$E$3:$F$19,2,FALSE)+1,10),DATE(RIGHT(B1279,4),VLOOKUP(LEFT(B1279,LEN(B1279)-5),Feuil1!$E$3:$F$19,2,FALSE)+1,7))</f>
        <v>45298</v>
      </c>
      <c r="K1279" s="19">
        <f t="shared" si="2"/>
        <v>1</v>
      </c>
      <c r="L1279" s="6" t="str">
        <f t="shared" si="3"/>
        <v>FS</v>
      </c>
    </row>
    <row r="1280" ht="14.25" customHeight="1">
      <c r="A1280" s="14" t="str">
        <f>Base_report!A1272</f>
        <v>KABADOUGOU</v>
      </c>
      <c r="B1280" s="14" t="str">
        <f>Base_report!B1272</f>
        <v>DECEMBRE 2023</v>
      </c>
      <c r="C1280" s="15" t="str">
        <f>Base_report!C1272</f>
        <v>C5013</v>
      </c>
      <c r="D1280" s="14" t="str">
        <f>TRIM(IF(ISNUMBER(FIND("PNSME",Base_report!D1272,1)),SUBSTITUTE(Base_report!D1272,"PNSME",""),IF(ISNUMBER(FIND("PHG",Base_report!D1272,1)),SUBSTITUTE(Base_report!D1272,"PHG",""),IF(ISNUMBER(FIND("PCS",Base_report!D1272,1)),SUBSTITUTE(Base_report!D1272,"PCS",""),IF(ISNUMBER(FIND("CMU",Base_report!D1272,1)),SUBSTITUTE(Base_report!D1272,"CMU",""),Base_report!D1272)))))</f>
        <v>DISTRICT SANITAIRE ODIENNE</v>
      </c>
      <c r="E1280" s="14" t="str">
        <f>SUBSTITUTE(Base_report!E1272,"-","/")</f>
        <v>PNLS/TESTS RAPIDES ET CONSOMMABLES</v>
      </c>
      <c r="F1280" s="14" t="s">
        <v>788</v>
      </c>
      <c r="G1280" s="16">
        <f>DATE(YEAR(SUBSTITUTE(LEFT(Base_report!F1272,10),"-","/")),MONTH(SUBSTITUTE(LEFT(Base_report!F1272,10),"-","/")),DAY(SUBSTITUTE(LEFT(Base_report!F1272,10),"-","/")))</f>
        <v>45298</v>
      </c>
      <c r="H1280" s="16">
        <f>DATE(YEAR(SUBSTITUTE(LEFT(Base_report!G1272,10),"-","/")),MONTH(SUBSTITUTE(LEFT(Base_report!G1272,10),"-","/")),DAY(SUBSTITUTE(LEFT(Base_report!G1272,10),"-","/")))</f>
        <v>45298</v>
      </c>
      <c r="I1280" s="17" t="str">
        <f t="shared" si="1"/>
        <v>OUI</v>
      </c>
      <c r="J1280" s="18">
        <f>IF(L1280="DS",DATE(RIGHT(B1280,4),VLOOKUP(LEFT(B1280,LEN(B1280)-5),Feuil1!$E$3:$F$19,2,FALSE)+1,10),DATE(RIGHT(B1280,4),VLOOKUP(LEFT(B1280,LEN(B1280)-5),Feuil1!$E$3:$F$19,2,FALSE)+1,7))</f>
        <v>45301</v>
      </c>
      <c r="K1280" s="19">
        <f t="shared" si="2"/>
        <v>1</v>
      </c>
      <c r="L1280" s="6" t="str">
        <f t="shared" si="3"/>
        <v>DS</v>
      </c>
    </row>
    <row r="1281" ht="14.25" customHeight="1">
      <c r="A1281" s="14" t="str">
        <f>Base_report!A1273</f>
        <v>BAGOUE</v>
      </c>
      <c r="B1281" s="14" t="str">
        <f>Base_report!B1273</f>
        <v>DECEMBRE 2023</v>
      </c>
      <c r="C1281" s="15" t="str">
        <f>Base_report!C1273</f>
        <v>C3014</v>
      </c>
      <c r="D1281" s="14" t="str">
        <f>TRIM(IF(ISNUMBER(FIND("PNSME",Base_report!D1273,1)),SUBSTITUTE(Base_report!D1273,"PNSME",""),IF(ISNUMBER(FIND("PHG",Base_report!D1273,1)),SUBSTITUTE(Base_report!D1273,"PHG",""),IF(ISNUMBER(FIND("PCS",Base_report!D1273,1)),SUBSTITUTE(Base_report!D1273,"PCS",""),IF(ISNUMBER(FIND("CMU",Base_report!D1273,1)),SUBSTITUTE(Base_report!D1273,"CMU",""),Base_report!D1273)))))</f>
        <v>CSU KOLIA</v>
      </c>
      <c r="E1281" s="14" t="str">
        <f>SUBSTITUTE(Base_report!E1273,"-","/")</f>
        <v>PNSME/MEDICAMENTS ET INTRANTS</v>
      </c>
      <c r="F1281" s="14" t="s">
        <v>788</v>
      </c>
      <c r="G1281" s="16">
        <f>DATE(YEAR(SUBSTITUTE(LEFT(Base_report!F1273,10),"-","/")),MONTH(SUBSTITUTE(LEFT(Base_report!F1273,10),"-","/")),DAY(SUBSTITUTE(LEFT(Base_report!F1273,10),"-","/")))</f>
        <v>45298</v>
      </c>
      <c r="H1281" s="16">
        <f>DATE(YEAR(SUBSTITUTE(LEFT(Base_report!G1273,10),"-","/")),MONTH(SUBSTITUTE(LEFT(Base_report!G1273,10),"-","/")),DAY(SUBSTITUTE(LEFT(Base_report!G1273,10),"-","/")))</f>
        <v>45298</v>
      </c>
      <c r="I1281" s="17" t="str">
        <f t="shared" si="1"/>
        <v>OUI</v>
      </c>
      <c r="J1281" s="18">
        <f>IF(L1281="DS",DATE(RIGHT(B1281,4),VLOOKUP(LEFT(B1281,LEN(B1281)-5),Feuil1!$E$3:$F$19,2,FALSE)+1,10),DATE(RIGHT(B1281,4),VLOOKUP(LEFT(B1281,LEN(B1281)-5),Feuil1!$E$3:$F$19,2,FALSE)+1,7))</f>
        <v>45298</v>
      </c>
      <c r="K1281" s="19">
        <f t="shared" si="2"/>
        <v>1</v>
      </c>
      <c r="L1281" s="6" t="str">
        <f t="shared" si="3"/>
        <v>FS</v>
      </c>
    </row>
    <row r="1282" ht="14.25" customHeight="1">
      <c r="A1282" s="14" t="str">
        <f>Base_report!A1274</f>
        <v>IFFOU</v>
      </c>
      <c r="B1282" s="14" t="str">
        <f>Base_report!B1274</f>
        <v>DECEMBRE 2023</v>
      </c>
      <c r="C1282" s="15" t="str">
        <f>Base_report!C1274</f>
        <v>C4012</v>
      </c>
      <c r="D1282" s="14" t="str">
        <f>TRIM(IF(ISNUMBER(FIND("PNSME",Base_report!D1274,1)),SUBSTITUTE(Base_report!D1274,"PNSME",""),IF(ISNUMBER(FIND("PHG",Base_report!D1274,1)),SUBSTITUTE(Base_report!D1274,"PHG",""),IF(ISNUMBER(FIND("PCS",Base_report!D1274,1)),SUBSTITUTE(Base_report!D1274,"PCS",""),IF(ISNUMBER(FIND("CMU",Base_report!D1274,1)),SUBSTITUTE(Base_report!D1274,"CMU",""),Base_report!D1274)))))</f>
        <v>DISTRICT SANITAIRE MBAHIAKRO</v>
      </c>
      <c r="E1282" s="14" t="str">
        <f>SUBSTITUTE(Base_report!E1274,"-","/")</f>
        <v>PNN/MEDICAMENTS ET INTRANTS</v>
      </c>
      <c r="F1282" s="14" t="s">
        <v>788</v>
      </c>
      <c r="G1282" s="16">
        <f>DATE(YEAR(SUBSTITUTE(LEFT(Base_report!F1274,10),"-","/")),MONTH(SUBSTITUTE(LEFT(Base_report!F1274,10),"-","/")),DAY(SUBSTITUTE(LEFT(Base_report!F1274,10),"-","/")))</f>
        <v>45298</v>
      </c>
      <c r="H1282" s="16">
        <f>DATE(YEAR(SUBSTITUTE(LEFT(Base_report!G1274,10),"-","/")),MONTH(SUBSTITUTE(LEFT(Base_report!G1274,10),"-","/")),DAY(SUBSTITUTE(LEFT(Base_report!G1274,10),"-","/")))</f>
        <v>45299</v>
      </c>
      <c r="I1282" s="17" t="str">
        <f t="shared" si="1"/>
        <v>OUI</v>
      </c>
      <c r="J1282" s="18">
        <f>IF(L1282="DS",DATE(RIGHT(B1282,4),VLOOKUP(LEFT(B1282,LEN(B1282)-5),Feuil1!$E$3:$F$19,2,FALSE)+1,10),DATE(RIGHT(B1282,4),VLOOKUP(LEFT(B1282,LEN(B1282)-5),Feuil1!$E$3:$F$19,2,FALSE)+1,7))</f>
        <v>45301</v>
      </c>
      <c r="K1282" s="19">
        <f t="shared" si="2"/>
        <v>1</v>
      </c>
      <c r="L1282" s="6" t="str">
        <f t="shared" si="3"/>
        <v>DS</v>
      </c>
    </row>
    <row r="1283" ht="14.25" customHeight="1">
      <c r="A1283" s="14" t="str">
        <f>Base_report!A1275</f>
        <v>KABADOUGOU</v>
      </c>
      <c r="B1283" s="14" t="str">
        <f>Base_report!B1275</f>
        <v>DECEMBRE 2023</v>
      </c>
      <c r="C1283" s="15" t="str">
        <f>Base_report!C1275</f>
        <v>C5063</v>
      </c>
      <c r="D1283" s="14" t="str">
        <f>TRIM(IF(ISNUMBER(FIND("PNSME",Base_report!D1275,1)),SUBSTITUTE(Base_report!D1275,"PNSME",""),IF(ISNUMBER(FIND("PHG",Base_report!D1275,1)),SUBSTITUTE(Base_report!D1275,"PHG",""),IF(ISNUMBER(FIND("PCS",Base_report!D1275,1)),SUBSTITUTE(Base_report!D1275,"PCS",""),IF(ISNUMBER(FIND("CMU",Base_report!D1275,1)),SUBSTITUTE(Base_report!D1275,"CMU",""),Base_report!D1275)))))</f>
        <v>HOPITAL GENERAL DE MADINANI</v>
      </c>
      <c r="E1283" s="14" t="str">
        <f>SUBSTITUTE(Base_report!E1275,"-","/")</f>
        <v>PNLS/ANTIRETROVIRAUX ET IO</v>
      </c>
      <c r="F1283" s="14" t="s">
        <v>788</v>
      </c>
      <c r="G1283" s="16">
        <f>DATE(YEAR(SUBSTITUTE(LEFT(Base_report!F1275,10),"-","/")),MONTH(SUBSTITUTE(LEFT(Base_report!F1275,10),"-","/")),DAY(SUBSTITUTE(LEFT(Base_report!F1275,10),"-","/")))</f>
        <v>45298</v>
      </c>
      <c r="H1283" s="16">
        <f>DATE(YEAR(SUBSTITUTE(LEFT(Base_report!G1275,10),"-","/")),MONTH(SUBSTITUTE(LEFT(Base_report!G1275,10),"-","/")),DAY(SUBSTITUTE(LEFT(Base_report!G1275,10),"-","/")))</f>
        <v>45298</v>
      </c>
      <c r="I1283" s="17" t="str">
        <f t="shared" si="1"/>
        <v>OUI</v>
      </c>
      <c r="J1283" s="18">
        <f>IF(L1283="DS",DATE(RIGHT(B1283,4),VLOOKUP(LEFT(B1283,LEN(B1283)-5),Feuil1!$E$3:$F$19,2,FALSE)+1,10),DATE(RIGHT(B1283,4),VLOOKUP(LEFT(B1283,LEN(B1283)-5),Feuil1!$E$3:$F$19,2,FALSE)+1,7))</f>
        <v>45298</v>
      </c>
      <c r="K1283" s="19">
        <f t="shared" si="2"/>
        <v>1</v>
      </c>
      <c r="L1283" s="6" t="str">
        <f t="shared" si="3"/>
        <v>FS</v>
      </c>
    </row>
    <row r="1284" ht="14.25" customHeight="1">
      <c r="A1284" s="14" t="str">
        <f>Base_report!A1276</f>
        <v>BAGOUE</v>
      </c>
      <c r="B1284" s="14" t="str">
        <f>Base_report!B1276</f>
        <v>DECEMBRE 2023</v>
      </c>
      <c r="C1284" s="15" t="str">
        <f>Base_report!C1276</f>
        <v>C3014</v>
      </c>
      <c r="D1284" s="14" t="str">
        <f>TRIM(IF(ISNUMBER(FIND("PNSME",Base_report!D1276,1)),SUBSTITUTE(Base_report!D1276,"PNSME",""),IF(ISNUMBER(FIND("PHG",Base_report!D1276,1)),SUBSTITUTE(Base_report!D1276,"PHG",""),IF(ISNUMBER(FIND("PCS",Base_report!D1276,1)),SUBSTITUTE(Base_report!D1276,"PCS",""),IF(ISNUMBER(FIND("CMU",Base_report!D1276,1)),SUBSTITUTE(Base_report!D1276,"CMU",""),Base_report!D1276)))))</f>
        <v>CSU KOLIA</v>
      </c>
      <c r="E1284" s="14" t="str">
        <f>SUBSTITUTE(Base_report!E1276,"-","/")</f>
        <v>PNLP/MEDICAMENTS ET INTRANTS</v>
      </c>
      <c r="F1284" s="14" t="s">
        <v>788</v>
      </c>
      <c r="G1284" s="16">
        <f>DATE(YEAR(SUBSTITUTE(LEFT(Base_report!F1276,10),"-","/")),MONTH(SUBSTITUTE(LEFT(Base_report!F1276,10),"-","/")),DAY(SUBSTITUTE(LEFT(Base_report!F1276,10),"-","/")))</f>
        <v>45298</v>
      </c>
      <c r="H1284" s="16">
        <f>DATE(YEAR(SUBSTITUTE(LEFT(Base_report!G1276,10),"-","/")),MONTH(SUBSTITUTE(LEFT(Base_report!G1276,10),"-","/")),DAY(SUBSTITUTE(LEFT(Base_report!G1276,10),"-","/")))</f>
        <v>45298</v>
      </c>
      <c r="I1284" s="17" t="str">
        <f t="shared" si="1"/>
        <v>OUI</v>
      </c>
      <c r="J1284" s="18">
        <f>IF(L1284="DS",DATE(RIGHT(B1284,4),VLOOKUP(LEFT(B1284,LEN(B1284)-5),Feuil1!$E$3:$F$19,2,FALSE)+1,10),DATE(RIGHT(B1284,4),VLOOKUP(LEFT(B1284,LEN(B1284)-5),Feuil1!$E$3:$F$19,2,FALSE)+1,7))</f>
        <v>45298</v>
      </c>
      <c r="K1284" s="19">
        <f t="shared" si="2"/>
        <v>1</v>
      </c>
      <c r="L1284" s="6" t="str">
        <f t="shared" si="3"/>
        <v>FS</v>
      </c>
    </row>
    <row r="1285" ht="14.25" customHeight="1">
      <c r="A1285" s="14" t="str">
        <f>Base_report!A1277</f>
        <v>HAUT-SASSANDRA</v>
      </c>
      <c r="B1285" s="14" t="str">
        <f>Base_report!B1277</f>
        <v>DECEMBRE 2023</v>
      </c>
      <c r="C1285" s="15" t="str">
        <f>Base_report!C1277</f>
        <v>C2070</v>
      </c>
      <c r="D1285" s="14" t="str">
        <f>TRIM(IF(ISNUMBER(FIND("PNSME",Base_report!D1277,1)),SUBSTITUTE(Base_report!D1277,"PNSME",""),IF(ISNUMBER(FIND("PHG",Base_report!D1277,1)),SUBSTITUTE(Base_report!D1277,"PHG",""),IF(ISNUMBER(FIND("PCS",Base_report!D1277,1)),SUBSTITUTE(Base_report!D1277,"PCS",""),IF(ISNUMBER(FIND("CMU",Base_report!D1277,1)),SUBSTITUTE(Base_report!D1277,"CMU",""),Base_report!D1277)))))</f>
        <v>HOPITAL GENERAL VAVOUA</v>
      </c>
      <c r="E1285" s="14" t="str">
        <f>SUBSTITUTE(Base_report!E1277,"-","/")</f>
        <v>PNLS/CHARGES VIRALES</v>
      </c>
      <c r="F1285" s="14" t="s">
        <v>788</v>
      </c>
      <c r="G1285" s="16">
        <f>DATE(YEAR(SUBSTITUTE(LEFT(Base_report!F1277,10),"-","/")),MONTH(SUBSTITUTE(LEFT(Base_report!F1277,10),"-","/")),DAY(SUBSTITUTE(LEFT(Base_report!F1277,10),"-","/")))</f>
        <v>45298</v>
      </c>
      <c r="H1285" s="16">
        <f>DATE(YEAR(SUBSTITUTE(LEFT(Base_report!G1277,10),"-","/")),MONTH(SUBSTITUTE(LEFT(Base_report!G1277,10),"-","/")),DAY(SUBSTITUTE(LEFT(Base_report!G1277,10),"-","/")))</f>
        <v>45298</v>
      </c>
      <c r="I1285" s="17" t="str">
        <f t="shared" si="1"/>
        <v>OUI</v>
      </c>
      <c r="J1285" s="18">
        <f>IF(L1285="DS",DATE(RIGHT(B1285,4),VLOOKUP(LEFT(B1285,LEN(B1285)-5),Feuil1!$E$3:$F$19,2,FALSE)+1,10),DATE(RIGHT(B1285,4),VLOOKUP(LEFT(B1285,LEN(B1285)-5),Feuil1!$E$3:$F$19,2,FALSE)+1,7))</f>
        <v>45298</v>
      </c>
      <c r="K1285" s="19">
        <f t="shared" si="2"/>
        <v>1</v>
      </c>
      <c r="L1285" s="6" t="str">
        <f t="shared" si="3"/>
        <v>FS</v>
      </c>
    </row>
    <row r="1286" ht="14.25" customHeight="1">
      <c r="A1286" s="14" t="str">
        <f>Base_report!A1278</f>
        <v>SUD-COMOE</v>
      </c>
      <c r="B1286" s="14" t="str">
        <f>Base_report!B1278</f>
        <v>DECEMBRE 2023</v>
      </c>
      <c r="C1286" s="15" t="str">
        <f>Base_report!C1278</f>
        <v>C1679</v>
      </c>
      <c r="D1286" s="14" t="str">
        <f>TRIM(IF(ISNUMBER(FIND("PNSME",Base_report!D1278,1)),SUBSTITUTE(Base_report!D1278,"PNSME",""),IF(ISNUMBER(FIND("PHG",Base_report!D1278,1)),SUBSTITUTE(Base_report!D1278,"PHG",""),IF(ISNUMBER(FIND("PCS",Base_report!D1278,1)),SUBSTITUTE(Base_report!D1278,"PCS",""),IF(ISNUMBER(FIND("CMU",Base_report!D1278,1)),SUBSTITUTE(Base_report!D1278,"CMU",""),Base_report!D1278)))))</f>
        <v>HOPITAL GENERAL TIAPOUM</v>
      </c>
      <c r="E1286" s="14" t="str">
        <f>SUBSTITUTE(Base_report!E1278,"-","/")</f>
        <v>PNN/MEDICAMENTS ET INTRANTS</v>
      </c>
      <c r="F1286" s="14" t="s">
        <v>788</v>
      </c>
      <c r="G1286" s="16">
        <f>DATE(YEAR(SUBSTITUTE(LEFT(Base_report!F1278,10),"-","/")),MONTH(SUBSTITUTE(LEFT(Base_report!F1278,10),"-","/")),DAY(SUBSTITUTE(LEFT(Base_report!F1278,10),"-","/")))</f>
        <v>45298</v>
      </c>
      <c r="H1286" s="16">
        <f>DATE(YEAR(SUBSTITUTE(LEFT(Base_report!G1278,10),"-","/")),MONTH(SUBSTITUTE(LEFT(Base_report!G1278,10),"-","/")),DAY(SUBSTITUTE(LEFT(Base_report!G1278,10),"-","/")))</f>
        <v>45298</v>
      </c>
      <c r="I1286" s="17" t="str">
        <f t="shared" si="1"/>
        <v>OUI</v>
      </c>
      <c r="J1286" s="18">
        <f>IF(L1286="DS",DATE(RIGHT(B1286,4),VLOOKUP(LEFT(B1286,LEN(B1286)-5),Feuil1!$E$3:$F$19,2,FALSE)+1,10),DATE(RIGHT(B1286,4),VLOOKUP(LEFT(B1286,LEN(B1286)-5),Feuil1!$E$3:$F$19,2,FALSE)+1,7))</f>
        <v>45298</v>
      </c>
      <c r="K1286" s="19">
        <f t="shared" si="2"/>
        <v>1</v>
      </c>
      <c r="L1286" s="6" t="str">
        <f t="shared" si="3"/>
        <v>FS</v>
      </c>
    </row>
    <row r="1287" ht="14.25" customHeight="1">
      <c r="A1287" s="14" t="str">
        <f>Base_report!A1279</f>
        <v>KABADOUGOU</v>
      </c>
      <c r="B1287" s="14" t="str">
        <f>Base_report!B1279</f>
        <v>DECEMBRE 2023</v>
      </c>
      <c r="C1287" s="15" t="str">
        <f>Base_report!C1279</f>
        <v>C5063</v>
      </c>
      <c r="D1287" s="14" t="str">
        <f>TRIM(IF(ISNUMBER(FIND("PNSME",Base_report!D1279,1)),SUBSTITUTE(Base_report!D1279,"PNSME",""),IF(ISNUMBER(FIND("PHG",Base_report!D1279,1)),SUBSTITUTE(Base_report!D1279,"PHG",""),IF(ISNUMBER(FIND("PCS",Base_report!D1279,1)),SUBSTITUTE(Base_report!D1279,"PCS",""),IF(ISNUMBER(FIND("CMU",Base_report!D1279,1)),SUBSTITUTE(Base_report!D1279,"CMU",""),Base_report!D1279)))))</f>
        <v>HOPITAL GENERAL DE MADINANI</v>
      </c>
      <c r="E1287" s="14" t="str">
        <f>SUBSTITUTE(Base_report!E1279,"-","/")</f>
        <v>PNLS/PRODUITS DE LABORATOIRE</v>
      </c>
      <c r="F1287" s="14" t="s">
        <v>788</v>
      </c>
      <c r="G1287" s="16">
        <f>DATE(YEAR(SUBSTITUTE(LEFT(Base_report!F1279,10),"-","/")),MONTH(SUBSTITUTE(LEFT(Base_report!F1279,10),"-","/")),DAY(SUBSTITUTE(LEFT(Base_report!F1279,10),"-","/")))</f>
        <v>45298</v>
      </c>
      <c r="H1287" s="16">
        <f>DATE(YEAR(SUBSTITUTE(LEFT(Base_report!G1279,10),"-","/")),MONTH(SUBSTITUTE(LEFT(Base_report!G1279,10),"-","/")),DAY(SUBSTITUTE(LEFT(Base_report!G1279,10),"-","/")))</f>
        <v>45298</v>
      </c>
      <c r="I1287" s="17" t="str">
        <f t="shared" si="1"/>
        <v>OUI</v>
      </c>
      <c r="J1287" s="18">
        <f>IF(L1287="DS",DATE(RIGHT(B1287,4),VLOOKUP(LEFT(B1287,LEN(B1287)-5),Feuil1!$E$3:$F$19,2,FALSE)+1,10),DATE(RIGHT(B1287,4),VLOOKUP(LEFT(B1287,LEN(B1287)-5),Feuil1!$E$3:$F$19,2,FALSE)+1,7))</f>
        <v>45298</v>
      </c>
      <c r="K1287" s="19">
        <f t="shared" si="2"/>
        <v>1</v>
      </c>
      <c r="L1287" s="6" t="str">
        <f t="shared" si="3"/>
        <v>FS</v>
      </c>
    </row>
    <row r="1288" ht="14.25" customHeight="1">
      <c r="A1288" s="14" t="str">
        <f>Base_report!A1280</f>
        <v>HAUT-SASSANDRA</v>
      </c>
      <c r="B1288" s="14" t="str">
        <f>Base_report!B1280</f>
        <v>DECEMBRE 2023</v>
      </c>
      <c r="C1288" s="15" t="str">
        <f>Base_report!C1280</f>
        <v>C2070</v>
      </c>
      <c r="D1288" s="14" t="str">
        <f>TRIM(IF(ISNUMBER(FIND("PNSME",Base_report!D1280,1)),SUBSTITUTE(Base_report!D1280,"PNSME",""),IF(ISNUMBER(FIND("PHG",Base_report!D1280,1)),SUBSTITUTE(Base_report!D1280,"PHG",""),IF(ISNUMBER(FIND("PCS",Base_report!D1280,1)),SUBSTITUTE(Base_report!D1280,"PCS",""),IF(ISNUMBER(FIND("CMU",Base_report!D1280,1)),SUBSTITUTE(Base_report!D1280,"CMU",""),Base_report!D1280)))))</f>
        <v>HOPITAL GENERAL VAVOUA</v>
      </c>
      <c r="E1288" s="14" t="str">
        <f>SUBSTITUTE(Base_report!E1280,"-","/")</f>
        <v>PNLS/PRODUITS DE LABORATOIRE</v>
      </c>
      <c r="F1288" s="14" t="s">
        <v>788</v>
      </c>
      <c r="G1288" s="16">
        <f>DATE(YEAR(SUBSTITUTE(LEFT(Base_report!F1280,10),"-","/")),MONTH(SUBSTITUTE(LEFT(Base_report!F1280,10),"-","/")),DAY(SUBSTITUTE(LEFT(Base_report!F1280,10),"-","/")))</f>
        <v>45298</v>
      </c>
      <c r="H1288" s="16">
        <f>DATE(YEAR(SUBSTITUTE(LEFT(Base_report!G1280,10),"-","/")),MONTH(SUBSTITUTE(LEFT(Base_report!G1280,10),"-","/")),DAY(SUBSTITUTE(LEFT(Base_report!G1280,10),"-","/")))</f>
        <v>45298</v>
      </c>
      <c r="I1288" s="17" t="str">
        <f t="shared" si="1"/>
        <v>OUI</v>
      </c>
      <c r="J1288" s="18">
        <f>IF(L1288="DS",DATE(RIGHT(B1288,4),VLOOKUP(LEFT(B1288,LEN(B1288)-5),Feuil1!$E$3:$F$19,2,FALSE)+1,10),DATE(RIGHT(B1288,4),VLOOKUP(LEFT(B1288,LEN(B1288)-5),Feuil1!$E$3:$F$19,2,FALSE)+1,7))</f>
        <v>45298</v>
      </c>
      <c r="K1288" s="19">
        <f t="shared" si="2"/>
        <v>1</v>
      </c>
      <c r="L1288" s="6" t="str">
        <f t="shared" si="3"/>
        <v>FS</v>
      </c>
    </row>
    <row r="1289" ht="14.25" customHeight="1">
      <c r="A1289" s="14" t="str">
        <f>Base_report!A1281</f>
        <v>KABADOUGOU</v>
      </c>
      <c r="B1289" s="14" t="str">
        <f>Base_report!B1281</f>
        <v>DECEMBRE 2023</v>
      </c>
      <c r="C1289" s="15" t="str">
        <f>Base_report!C1281</f>
        <v>C5063</v>
      </c>
      <c r="D1289" s="14" t="str">
        <f>TRIM(IF(ISNUMBER(FIND("PNSME",Base_report!D1281,1)),SUBSTITUTE(Base_report!D1281,"PNSME",""),IF(ISNUMBER(FIND("PHG",Base_report!D1281,1)),SUBSTITUTE(Base_report!D1281,"PHG",""),IF(ISNUMBER(FIND("PCS",Base_report!D1281,1)),SUBSTITUTE(Base_report!D1281,"PCS",""),IF(ISNUMBER(FIND("CMU",Base_report!D1281,1)),SUBSTITUTE(Base_report!D1281,"CMU",""),Base_report!D1281)))))</f>
        <v>HOPITAL GENERAL DE MADINANI</v>
      </c>
      <c r="E1289" s="14" t="str">
        <f>SUBSTITUTE(Base_report!E1281,"-","/")</f>
        <v>PNLS/TESTS RAPIDES ET CONSOMMABLES</v>
      </c>
      <c r="F1289" s="14" t="s">
        <v>788</v>
      </c>
      <c r="G1289" s="16">
        <f>DATE(YEAR(SUBSTITUTE(LEFT(Base_report!F1281,10),"-","/")),MONTH(SUBSTITUTE(LEFT(Base_report!F1281,10),"-","/")),DAY(SUBSTITUTE(LEFT(Base_report!F1281,10),"-","/")))</f>
        <v>45298</v>
      </c>
      <c r="H1289" s="16">
        <f>DATE(YEAR(SUBSTITUTE(LEFT(Base_report!G1281,10),"-","/")),MONTH(SUBSTITUTE(LEFT(Base_report!G1281,10),"-","/")),DAY(SUBSTITUTE(LEFT(Base_report!G1281,10),"-","/")))</f>
        <v>45298</v>
      </c>
      <c r="I1289" s="17" t="str">
        <f t="shared" si="1"/>
        <v>OUI</v>
      </c>
      <c r="J1289" s="18">
        <f>IF(L1289="DS",DATE(RIGHT(B1289,4),VLOOKUP(LEFT(B1289,LEN(B1289)-5),Feuil1!$E$3:$F$19,2,FALSE)+1,10),DATE(RIGHT(B1289,4),VLOOKUP(LEFT(B1289,LEN(B1289)-5),Feuil1!$E$3:$F$19,2,FALSE)+1,7))</f>
        <v>45298</v>
      </c>
      <c r="K1289" s="19">
        <f t="shared" si="2"/>
        <v>1</v>
      </c>
      <c r="L1289" s="6" t="str">
        <f t="shared" si="3"/>
        <v>FS</v>
      </c>
    </row>
    <row r="1290" ht="14.25" customHeight="1">
      <c r="A1290" s="14" t="str">
        <f>Base_report!A1282</f>
        <v>IFFOU</v>
      </c>
      <c r="B1290" s="14" t="str">
        <f>Base_report!B1282</f>
        <v>DECEMBRE 2023</v>
      </c>
      <c r="C1290" s="15" t="str">
        <f>Base_report!C1282</f>
        <v>C4012</v>
      </c>
      <c r="D1290" s="14" t="str">
        <f>TRIM(IF(ISNUMBER(FIND("PNSME",Base_report!D1282,1)),SUBSTITUTE(Base_report!D1282,"PNSME",""),IF(ISNUMBER(FIND("PHG",Base_report!D1282,1)),SUBSTITUTE(Base_report!D1282,"PHG",""),IF(ISNUMBER(FIND("PCS",Base_report!D1282,1)),SUBSTITUTE(Base_report!D1282,"PCS",""),IF(ISNUMBER(FIND("CMU",Base_report!D1282,1)),SUBSTITUTE(Base_report!D1282,"CMU",""),Base_report!D1282)))))</f>
        <v>DISTRICT SANITAIRE MBAHIAKRO</v>
      </c>
      <c r="E1290" s="14" t="str">
        <f>SUBSTITUTE(Base_report!E1282,"-","/")</f>
        <v>PNLS/ANTIRETROVIRAUX ET IO</v>
      </c>
      <c r="F1290" s="14" t="s">
        <v>788</v>
      </c>
      <c r="G1290" s="16">
        <f>DATE(YEAR(SUBSTITUTE(LEFT(Base_report!F1282,10),"-","/")),MONTH(SUBSTITUTE(LEFT(Base_report!F1282,10),"-","/")),DAY(SUBSTITUTE(LEFT(Base_report!F1282,10),"-","/")))</f>
        <v>45298</v>
      </c>
      <c r="H1290" s="16">
        <f>DATE(YEAR(SUBSTITUTE(LEFT(Base_report!G1282,10),"-","/")),MONTH(SUBSTITUTE(LEFT(Base_report!G1282,10),"-","/")),DAY(SUBSTITUTE(LEFT(Base_report!G1282,10),"-","/")))</f>
        <v>45299</v>
      </c>
      <c r="I1290" s="17" t="str">
        <f t="shared" si="1"/>
        <v>OUI</v>
      </c>
      <c r="J1290" s="18">
        <f>IF(L1290="DS",DATE(RIGHT(B1290,4),VLOOKUP(LEFT(B1290,LEN(B1290)-5),Feuil1!$E$3:$F$19,2,FALSE)+1,10),DATE(RIGHT(B1290,4),VLOOKUP(LEFT(B1290,LEN(B1290)-5),Feuil1!$E$3:$F$19,2,FALSE)+1,7))</f>
        <v>45301</v>
      </c>
      <c r="K1290" s="19">
        <f t="shared" si="2"/>
        <v>1</v>
      </c>
      <c r="L1290" s="6" t="str">
        <f t="shared" si="3"/>
        <v>DS</v>
      </c>
    </row>
    <row r="1291" ht="14.25" customHeight="1">
      <c r="A1291" s="14" t="str">
        <f>Base_report!A1283</f>
        <v>BAGOUE</v>
      </c>
      <c r="B1291" s="14" t="str">
        <f>Base_report!B1283</f>
        <v>DECEMBRE 2023</v>
      </c>
      <c r="C1291" s="15" t="str">
        <f>Base_report!C1283</f>
        <v>C3023</v>
      </c>
      <c r="D1291" s="14" t="str">
        <f>TRIM(IF(ISNUMBER(FIND("PNSME",Base_report!D1283,1)),SUBSTITUTE(Base_report!D1283,"PNSME",""),IF(ISNUMBER(FIND("PHG",Base_report!D1283,1)),SUBSTITUTE(Base_report!D1283,"PHG",""),IF(ISNUMBER(FIND("PCS",Base_report!D1283,1)),SUBSTITUTE(Base_report!D1283,"PCS",""),IF(ISNUMBER(FIND("CMU",Base_report!D1283,1)),SUBSTITUTE(Base_report!D1283,"CMU",""),Base_report!D1283)))))</f>
        <v>HOPITAL GENERAL TENGRELA</v>
      </c>
      <c r="E1291" s="14" t="str">
        <f>SUBSTITUTE(Base_report!E1283,"-","/")</f>
        <v>PNLP/MEDICAMENTS ET INTRANTS</v>
      </c>
      <c r="F1291" s="14" t="s">
        <v>788</v>
      </c>
      <c r="G1291" s="16">
        <f>DATE(YEAR(SUBSTITUTE(LEFT(Base_report!F1283,10),"-","/")),MONTH(SUBSTITUTE(LEFT(Base_report!F1283,10),"-","/")),DAY(SUBSTITUTE(LEFT(Base_report!F1283,10),"-","/")))</f>
        <v>45298</v>
      </c>
      <c r="H1291" s="16">
        <f>DATE(YEAR(SUBSTITUTE(LEFT(Base_report!G1283,10),"-","/")),MONTH(SUBSTITUTE(LEFT(Base_report!G1283,10),"-","/")),DAY(SUBSTITUTE(LEFT(Base_report!G1283,10),"-","/")))</f>
        <v>45298</v>
      </c>
      <c r="I1291" s="17" t="str">
        <f t="shared" si="1"/>
        <v>OUI</v>
      </c>
      <c r="J1291" s="18">
        <f>IF(L1291="DS",DATE(RIGHT(B1291,4),VLOOKUP(LEFT(B1291,LEN(B1291)-5),Feuil1!$E$3:$F$19,2,FALSE)+1,10),DATE(RIGHT(B1291,4),VLOOKUP(LEFT(B1291,LEN(B1291)-5),Feuil1!$E$3:$F$19,2,FALSE)+1,7))</f>
        <v>45298</v>
      </c>
      <c r="K1291" s="19">
        <f t="shared" si="2"/>
        <v>1</v>
      </c>
      <c r="L1291" s="6" t="str">
        <f t="shared" si="3"/>
        <v>FS</v>
      </c>
    </row>
    <row r="1292" ht="14.25" customHeight="1">
      <c r="A1292" s="14" t="str">
        <f>Base_report!A1284</f>
        <v>ABIDJAN 2</v>
      </c>
      <c r="B1292" s="14" t="str">
        <f>Base_report!B1284</f>
        <v>DECEMBRE 2023</v>
      </c>
      <c r="C1292" s="15" t="str">
        <f>Base_report!C1284</f>
        <v>C1086</v>
      </c>
      <c r="D1292" s="14" t="str">
        <f>TRIM(IF(ISNUMBER(FIND("PNSME",Base_report!D1284,1)),SUBSTITUTE(Base_report!D1284,"PNSME",""),IF(ISNUMBER(FIND("PHG",Base_report!D1284,1)),SUBSTITUTE(Base_report!D1284,"PHG",""),IF(ISNUMBER(FIND("PCS",Base_report!D1284,1)),SUBSTITUTE(Base_report!D1284,"PCS",""),IF(ISNUMBER(FIND("CMU",Base_report!D1284,1)),SUBSTITUTE(Base_report!D1284,"CMU",""),Base_report!D1284)))))</f>
        <v>HOPITAL GENERAL BINGERVILLE</v>
      </c>
      <c r="E1292" s="14" t="str">
        <f>SUBSTITUTE(Base_report!E1284,"-","/")</f>
        <v>PNN/MEDICAMENTS ET INTRANTS</v>
      </c>
      <c r="F1292" s="14" t="s">
        <v>788</v>
      </c>
      <c r="G1292" s="16">
        <f>DATE(YEAR(SUBSTITUTE(LEFT(Base_report!F1284,10),"-","/")),MONTH(SUBSTITUTE(LEFT(Base_report!F1284,10),"-","/")),DAY(SUBSTITUTE(LEFT(Base_report!F1284,10),"-","/")))</f>
        <v>45298</v>
      </c>
      <c r="H1292" s="16">
        <f>DATE(YEAR(SUBSTITUTE(LEFT(Base_report!G1284,10),"-","/")),MONTH(SUBSTITUTE(LEFT(Base_report!G1284,10),"-","/")),DAY(SUBSTITUTE(LEFT(Base_report!G1284,10),"-","/")))</f>
        <v>45298</v>
      </c>
      <c r="I1292" s="17" t="str">
        <f t="shared" si="1"/>
        <v>OUI</v>
      </c>
      <c r="J1292" s="18">
        <f>IF(L1292="DS",DATE(RIGHT(B1292,4),VLOOKUP(LEFT(B1292,LEN(B1292)-5),Feuil1!$E$3:$F$19,2,FALSE)+1,10),DATE(RIGHT(B1292,4),VLOOKUP(LEFT(B1292,LEN(B1292)-5),Feuil1!$E$3:$F$19,2,FALSE)+1,7))</f>
        <v>45298</v>
      </c>
      <c r="K1292" s="19">
        <f t="shared" si="2"/>
        <v>1</v>
      </c>
      <c r="L1292" s="6" t="str">
        <f t="shared" si="3"/>
        <v>FS</v>
      </c>
    </row>
    <row r="1293" ht="14.25" customHeight="1">
      <c r="A1293" s="14" t="str">
        <f>Base_report!A1285</f>
        <v>BAGOUE</v>
      </c>
      <c r="B1293" s="14" t="str">
        <f>Base_report!B1285</f>
        <v>DECEMBRE 2023</v>
      </c>
      <c r="C1293" s="15" t="str">
        <f>Base_report!C1285</f>
        <v>C3023</v>
      </c>
      <c r="D1293" s="14" t="str">
        <f>TRIM(IF(ISNUMBER(FIND("PNSME",Base_report!D1285,1)),SUBSTITUTE(Base_report!D1285,"PNSME",""),IF(ISNUMBER(FIND("PHG",Base_report!D1285,1)),SUBSTITUTE(Base_report!D1285,"PHG",""),IF(ISNUMBER(FIND("PCS",Base_report!D1285,1)),SUBSTITUTE(Base_report!D1285,"PCS",""),IF(ISNUMBER(FIND("CMU",Base_report!D1285,1)),SUBSTITUTE(Base_report!D1285,"CMU",""),Base_report!D1285)))))</f>
        <v>HOPITAL GENERAL TENGRELA</v>
      </c>
      <c r="E1293" s="14" t="str">
        <f>SUBSTITUTE(Base_report!E1285,"-","/")</f>
        <v>PNSME/MEDICAMENTS ET INTRANTS</v>
      </c>
      <c r="F1293" s="14" t="s">
        <v>788</v>
      </c>
      <c r="G1293" s="16">
        <f>DATE(YEAR(SUBSTITUTE(LEFT(Base_report!F1285,10),"-","/")),MONTH(SUBSTITUTE(LEFT(Base_report!F1285,10),"-","/")),DAY(SUBSTITUTE(LEFT(Base_report!F1285,10),"-","/")))</f>
        <v>45298</v>
      </c>
      <c r="H1293" s="16">
        <f>DATE(YEAR(SUBSTITUTE(LEFT(Base_report!G1285,10),"-","/")),MONTH(SUBSTITUTE(LEFT(Base_report!G1285,10),"-","/")),DAY(SUBSTITUTE(LEFT(Base_report!G1285,10),"-","/")))</f>
        <v>45298</v>
      </c>
      <c r="I1293" s="17" t="str">
        <f t="shared" si="1"/>
        <v>OUI</v>
      </c>
      <c r="J1293" s="18">
        <f>IF(L1293="DS",DATE(RIGHT(B1293,4),VLOOKUP(LEFT(B1293,LEN(B1293)-5),Feuil1!$E$3:$F$19,2,FALSE)+1,10),DATE(RIGHT(B1293,4),VLOOKUP(LEFT(B1293,LEN(B1293)-5),Feuil1!$E$3:$F$19,2,FALSE)+1,7))</f>
        <v>45298</v>
      </c>
      <c r="K1293" s="19">
        <f t="shared" si="2"/>
        <v>1</v>
      </c>
      <c r="L1293" s="6" t="str">
        <f t="shared" si="3"/>
        <v>FS</v>
      </c>
    </row>
    <row r="1294" ht="14.25" customHeight="1">
      <c r="A1294" s="14" t="str">
        <f>Base_report!A1286</f>
        <v>BAGOUE</v>
      </c>
      <c r="B1294" s="14" t="str">
        <f>Base_report!B1286</f>
        <v>DECEMBRE 2023</v>
      </c>
      <c r="C1294" s="15" t="str">
        <f>Base_report!C1286</f>
        <v>C3023</v>
      </c>
      <c r="D1294" s="14" t="str">
        <f>TRIM(IF(ISNUMBER(FIND("PNSME",Base_report!D1286,1)),SUBSTITUTE(Base_report!D1286,"PNSME",""),IF(ISNUMBER(FIND("PHG",Base_report!D1286,1)),SUBSTITUTE(Base_report!D1286,"PHG",""),IF(ISNUMBER(FIND("PCS",Base_report!D1286,1)),SUBSTITUTE(Base_report!D1286,"PCS",""),IF(ISNUMBER(FIND("CMU",Base_report!D1286,1)),SUBSTITUTE(Base_report!D1286,"CMU",""),Base_report!D1286)))))</f>
        <v>HOPITAL GENERAL TENGRELA</v>
      </c>
      <c r="E1294" s="14" t="str">
        <f>SUBSTITUTE(Base_report!E1286,"-","/")</f>
        <v>PNN/MEDICAMENTS ET INTRANTS</v>
      </c>
      <c r="F1294" s="14" t="s">
        <v>788</v>
      </c>
      <c r="G1294" s="16">
        <f>DATE(YEAR(SUBSTITUTE(LEFT(Base_report!F1286,10),"-","/")),MONTH(SUBSTITUTE(LEFT(Base_report!F1286,10),"-","/")),DAY(SUBSTITUTE(LEFT(Base_report!F1286,10),"-","/")))</f>
        <v>45298</v>
      </c>
      <c r="H1294" s="16">
        <f>DATE(YEAR(SUBSTITUTE(LEFT(Base_report!G1286,10),"-","/")),MONTH(SUBSTITUTE(LEFT(Base_report!G1286,10),"-","/")),DAY(SUBSTITUTE(LEFT(Base_report!G1286,10),"-","/")))</f>
        <v>45298</v>
      </c>
      <c r="I1294" s="17" t="str">
        <f t="shared" si="1"/>
        <v>OUI</v>
      </c>
      <c r="J1294" s="18">
        <f>IF(L1294="DS",DATE(RIGHT(B1294,4),VLOOKUP(LEFT(B1294,LEN(B1294)-5),Feuil1!$E$3:$F$19,2,FALSE)+1,10),DATE(RIGHT(B1294,4),VLOOKUP(LEFT(B1294,LEN(B1294)-5),Feuil1!$E$3:$F$19,2,FALSE)+1,7))</f>
        <v>45298</v>
      </c>
      <c r="K1294" s="19">
        <f t="shared" si="2"/>
        <v>1</v>
      </c>
      <c r="L1294" s="6" t="str">
        <f t="shared" si="3"/>
        <v>FS</v>
      </c>
    </row>
    <row r="1295" ht="14.25" customHeight="1">
      <c r="A1295" s="14" t="str">
        <f>Base_report!A1287</f>
        <v>HAUT-SASSANDRA</v>
      </c>
      <c r="B1295" s="14" t="str">
        <f>Base_report!B1287</f>
        <v>DECEMBRE 2023</v>
      </c>
      <c r="C1295" s="15" t="str">
        <f>Base_report!C1287</f>
        <v>C2070</v>
      </c>
      <c r="D1295" s="14" t="str">
        <f>TRIM(IF(ISNUMBER(FIND("PNSME",Base_report!D1287,1)),SUBSTITUTE(Base_report!D1287,"PNSME",""),IF(ISNUMBER(FIND("PHG",Base_report!D1287,1)),SUBSTITUTE(Base_report!D1287,"PHG",""),IF(ISNUMBER(FIND("PCS",Base_report!D1287,1)),SUBSTITUTE(Base_report!D1287,"PCS",""),IF(ISNUMBER(FIND("CMU",Base_report!D1287,1)),SUBSTITUTE(Base_report!D1287,"CMU",""),Base_report!D1287)))))</f>
        <v>HOPITAL GENERAL VAVOUA</v>
      </c>
      <c r="E1295" s="14" t="str">
        <f>SUBSTITUTE(Base_report!E1287,"-","/")</f>
        <v>PNLS/TESTS RAPIDES ET CONSOMMABLES</v>
      </c>
      <c r="F1295" s="14" t="s">
        <v>788</v>
      </c>
      <c r="G1295" s="16">
        <f>DATE(YEAR(SUBSTITUTE(LEFT(Base_report!F1287,10),"-","/")),MONTH(SUBSTITUTE(LEFT(Base_report!F1287,10),"-","/")),DAY(SUBSTITUTE(LEFT(Base_report!F1287,10),"-","/")))</f>
        <v>45298</v>
      </c>
      <c r="H1295" s="16">
        <f>DATE(YEAR(SUBSTITUTE(LEFT(Base_report!G1287,10),"-","/")),MONTH(SUBSTITUTE(LEFT(Base_report!G1287,10),"-","/")),DAY(SUBSTITUTE(LEFT(Base_report!G1287,10),"-","/")))</f>
        <v>45298</v>
      </c>
      <c r="I1295" s="17" t="str">
        <f t="shared" si="1"/>
        <v>OUI</v>
      </c>
      <c r="J1295" s="18">
        <f>IF(L1295="DS",DATE(RIGHT(B1295,4),VLOOKUP(LEFT(B1295,LEN(B1295)-5),Feuil1!$E$3:$F$19,2,FALSE)+1,10),DATE(RIGHT(B1295,4),VLOOKUP(LEFT(B1295,LEN(B1295)-5),Feuil1!$E$3:$F$19,2,FALSE)+1,7))</f>
        <v>45298</v>
      </c>
      <c r="K1295" s="19">
        <f t="shared" si="2"/>
        <v>1</v>
      </c>
      <c r="L1295" s="6" t="str">
        <f t="shared" si="3"/>
        <v>FS</v>
      </c>
    </row>
    <row r="1296" ht="14.25" customHeight="1">
      <c r="A1296" s="14" t="str">
        <f>Base_report!A1288</f>
        <v>BAGOUE</v>
      </c>
      <c r="B1296" s="14" t="str">
        <f>Base_report!B1288</f>
        <v>DECEMBRE 2023</v>
      </c>
      <c r="C1296" s="15" t="str">
        <f>Base_report!C1288</f>
        <v>C3023</v>
      </c>
      <c r="D1296" s="14" t="str">
        <f>TRIM(IF(ISNUMBER(FIND("PNSME",Base_report!D1288,1)),SUBSTITUTE(Base_report!D1288,"PNSME",""),IF(ISNUMBER(FIND("PHG",Base_report!D1288,1)),SUBSTITUTE(Base_report!D1288,"PHG",""),IF(ISNUMBER(FIND("PCS",Base_report!D1288,1)),SUBSTITUTE(Base_report!D1288,"PCS",""),IF(ISNUMBER(FIND("CMU",Base_report!D1288,1)),SUBSTITUTE(Base_report!D1288,"CMU",""),Base_report!D1288)))))</f>
        <v>HOPITAL GENERAL TENGRELA</v>
      </c>
      <c r="E1296" s="14" t="str">
        <f>SUBSTITUTE(Base_report!E1288,"-","/")</f>
        <v>PNLS/TESTS RAPIDES ET CONSOMMABLES</v>
      </c>
      <c r="F1296" s="14" t="s">
        <v>788</v>
      </c>
      <c r="G1296" s="16">
        <f>DATE(YEAR(SUBSTITUTE(LEFT(Base_report!F1288,10),"-","/")),MONTH(SUBSTITUTE(LEFT(Base_report!F1288,10),"-","/")),DAY(SUBSTITUTE(LEFT(Base_report!F1288,10),"-","/")))</f>
        <v>45298</v>
      </c>
      <c r="H1296" s="16">
        <f>DATE(YEAR(SUBSTITUTE(LEFT(Base_report!G1288,10),"-","/")),MONTH(SUBSTITUTE(LEFT(Base_report!G1288,10),"-","/")),DAY(SUBSTITUTE(LEFT(Base_report!G1288,10),"-","/")))</f>
        <v>45298</v>
      </c>
      <c r="I1296" s="17" t="str">
        <f t="shared" si="1"/>
        <v>OUI</v>
      </c>
      <c r="J1296" s="18">
        <f>IF(L1296="DS",DATE(RIGHT(B1296,4),VLOOKUP(LEFT(B1296,LEN(B1296)-5),Feuil1!$E$3:$F$19,2,FALSE)+1,10),DATE(RIGHT(B1296,4),VLOOKUP(LEFT(B1296,LEN(B1296)-5),Feuil1!$E$3:$F$19,2,FALSE)+1,7))</f>
        <v>45298</v>
      </c>
      <c r="K1296" s="19">
        <f t="shared" si="2"/>
        <v>1</v>
      </c>
      <c r="L1296" s="6" t="str">
        <f t="shared" si="3"/>
        <v>FS</v>
      </c>
    </row>
    <row r="1297" ht="14.25" customHeight="1">
      <c r="A1297" s="14" t="str">
        <f>Base_report!A1289</f>
        <v>SUD-COMOE</v>
      </c>
      <c r="B1297" s="14" t="str">
        <f>Base_report!B1289</f>
        <v>DECEMBRE 2023</v>
      </c>
      <c r="C1297" s="15" t="str">
        <f>Base_report!C1289</f>
        <v>C1679</v>
      </c>
      <c r="D1297" s="14" t="str">
        <f>TRIM(IF(ISNUMBER(FIND("PNSME",Base_report!D1289,1)),SUBSTITUTE(Base_report!D1289,"PNSME",""),IF(ISNUMBER(FIND("PHG",Base_report!D1289,1)),SUBSTITUTE(Base_report!D1289,"PHG",""),IF(ISNUMBER(FIND("PCS",Base_report!D1289,1)),SUBSTITUTE(Base_report!D1289,"PCS",""),IF(ISNUMBER(FIND("CMU",Base_report!D1289,1)),SUBSTITUTE(Base_report!D1289,"CMU",""),Base_report!D1289)))))</f>
        <v>HOPITAL GENERAL TIAPOUM</v>
      </c>
      <c r="E1297" s="14" t="str">
        <f>SUBSTITUTE(Base_report!E1289,"-","/")</f>
        <v>PNLP/MEDICAMENTS ET INTRANTS</v>
      </c>
      <c r="F1297" s="14" t="s">
        <v>788</v>
      </c>
      <c r="G1297" s="16">
        <f>DATE(YEAR(SUBSTITUTE(LEFT(Base_report!F1289,10),"-","/")),MONTH(SUBSTITUTE(LEFT(Base_report!F1289,10),"-","/")),DAY(SUBSTITUTE(LEFT(Base_report!F1289,10),"-","/")))</f>
        <v>45298</v>
      </c>
      <c r="H1297" s="16">
        <f>DATE(YEAR(SUBSTITUTE(LEFT(Base_report!G1289,10),"-","/")),MONTH(SUBSTITUTE(LEFT(Base_report!G1289,10),"-","/")),DAY(SUBSTITUTE(LEFT(Base_report!G1289,10),"-","/")))</f>
        <v>45298</v>
      </c>
      <c r="I1297" s="17" t="str">
        <f t="shared" si="1"/>
        <v>OUI</v>
      </c>
      <c r="J1297" s="18">
        <f>IF(L1297="DS",DATE(RIGHT(B1297,4),VLOOKUP(LEFT(B1297,LEN(B1297)-5),Feuil1!$E$3:$F$19,2,FALSE)+1,10),DATE(RIGHT(B1297,4),VLOOKUP(LEFT(B1297,LEN(B1297)-5),Feuil1!$E$3:$F$19,2,FALSE)+1,7))</f>
        <v>45298</v>
      </c>
      <c r="K1297" s="19">
        <f t="shared" si="2"/>
        <v>1</v>
      </c>
      <c r="L1297" s="6" t="str">
        <f t="shared" si="3"/>
        <v>FS</v>
      </c>
    </row>
    <row r="1298" ht="14.25" customHeight="1">
      <c r="A1298" s="14" t="str">
        <f>Base_report!A1290</f>
        <v>IFFOU</v>
      </c>
      <c r="B1298" s="14" t="str">
        <f>Base_report!B1290</f>
        <v>DECEMBRE 2023</v>
      </c>
      <c r="C1298" s="15" t="str">
        <f>Base_report!C1290</f>
        <v>C4012</v>
      </c>
      <c r="D1298" s="14" t="str">
        <f>TRIM(IF(ISNUMBER(FIND("PNSME",Base_report!D1290,1)),SUBSTITUTE(Base_report!D1290,"PNSME",""),IF(ISNUMBER(FIND("PHG",Base_report!D1290,1)),SUBSTITUTE(Base_report!D1290,"PHG",""),IF(ISNUMBER(FIND("PCS",Base_report!D1290,1)),SUBSTITUTE(Base_report!D1290,"PCS",""),IF(ISNUMBER(FIND("CMU",Base_report!D1290,1)),SUBSTITUTE(Base_report!D1290,"CMU",""),Base_report!D1290)))))</f>
        <v>DISTRICT SANITAIRE MBAHIAKRO</v>
      </c>
      <c r="E1298" s="14" t="str">
        <f>SUBSTITUTE(Base_report!E1290,"-","/")</f>
        <v>PNLP/MEDICAMENTS ET INTRANTS</v>
      </c>
      <c r="F1298" s="14" t="s">
        <v>788</v>
      </c>
      <c r="G1298" s="16">
        <f>DATE(YEAR(SUBSTITUTE(LEFT(Base_report!F1290,10),"-","/")),MONTH(SUBSTITUTE(LEFT(Base_report!F1290,10),"-","/")),DAY(SUBSTITUTE(LEFT(Base_report!F1290,10),"-","/")))</f>
        <v>45298</v>
      </c>
      <c r="H1298" s="16">
        <f>DATE(YEAR(SUBSTITUTE(LEFT(Base_report!G1290,10),"-","/")),MONTH(SUBSTITUTE(LEFT(Base_report!G1290,10),"-","/")),DAY(SUBSTITUTE(LEFT(Base_report!G1290,10),"-","/")))</f>
        <v>45299</v>
      </c>
      <c r="I1298" s="17" t="str">
        <f t="shared" si="1"/>
        <v>OUI</v>
      </c>
      <c r="J1298" s="18">
        <f>IF(L1298="DS",DATE(RIGHT(B1298,4),VLOOKUP(LEFT(B1298,LEN(B1298)-5),Feuil1!$E$3:$F$19,2,FALSE)+1,10),DATE(RIGHT(B1298,4),VLOOKUP(LEFT(B1298,LEN(B1298)-5),Feuil1!$E$3:$F$19,2,FALSE)+1,7))</f>
        <v>45301</v>
      </c>
      <c r="K1298" s="19">
        <f t="shared" si="2"/>
        <v>1</v>
      </c>
      <c r="L1298" s="6" t="str">
        <f t="shared" si="3"/>
        <v>DS</v>
      </c>
    </row>
    <row r="1299" ht="14.25" customHeight="1">
      <c r="A1299" s="14" t="str">
        <f>Base_report!A1291</f>
        <v>BAGOUE</v>
      </c>
      <c r="B1299" s="14" t="str">
        <f>Base_report!B1291</f>
        <v>DECEMBRE 2023</v>
      </c>
      <c r="C1299" s="15" t="str">
        <f>Base_report!C1291</f>
        <v>C3023</v>
      </c>
      <c r="D1299" s="14" t="str">
        <f>TRIM(IF(ISNUMBER(FIND("PNSME",Base_report!D1291,1)),SUBSTITUTE(Base_report!D1291,"PNSME",""),IF(ISNUMBER(FIND("PHG",Base_report!D1291,1)),SUBSTITUTE(Base_report!D1291,"PHG",""),IF(ISNUMBER(FIND("PCS",Base_report!D1291,1)),SUBSTITUTE(Base_report!D1291,"PCS",""),IF(ISNUMBER(FIND("CMU",Base_report!D1291,1)),SUBSTITUTE(Base_report!D1291,"CMU",""),Base_report!D1291)))))</f>
        <v>HOPITAL GENERAL TENGRELA</v>
      </c>
      <c r="E1299" s="14" t="str">
        <f>SUBSTITUTE(Base_report!E1291,"-","/")</f>
        <v>PNLS/PRODUITS DE LABORATOIRE</v>
      </c>
      <c r="F1299" s="14" t="s">
        <v>788</v>
      </c>
      <c r="G1299" s="16">
        <f>DATE(YEAR(SUBSTITUTE(LEFT(Base_report!F1291,10),"-","/")),MONTH(SUBSTITUTE(LEFT(Base_report!F1291,10),"-","/")),DAY(SUBSTITUTE(LEFT(Base_report!F1291,10),"-","/")))</f>
        <v>45298</v>
      </c>
      <c r="H1299" s="16">
        <f>DATE(YEAR(SUBSTITUTE(LEFT(Base_report!G1291,10),"-","/")),MONTH(SUBSTITUTE(LEFT(Base_report!G1291,10),"-","/")),DAY(SUBSTITUTE(LEFT(Base_report!G1291,10),"-","/")))</f>
        <v>45298</v>
      </c>
      <c r="I1299" s="17" t="str">
        <f t="shared" si="1"/>
        <v>OUI</v>
      </c>
      <c r="J1299" s="18">
        <f>IF(L1299="DS",DATE(RIGHT(B1299,4),VLOOKUP(LEFT(B1299,LEN(B1299)-5),Feuil1!$E$3:$F$19,2,FALSE)+1,10),DATE(RIGHT(B1299,4),VLOOKUP(LEFT(B1299,LEN(B1299)-5),Feuil1!$E$3:$F$19,2,FALSE)+1,7))</f>
        <v>45298</v>
      </c>
      <c r="K1299" s="19">
        <f t="shared" si="2"/>
        <v>1</v>
      </c>
      <c r="L1299" s="6" t="str">
        <f t="shared" si="3"/>
        <v>FS</v>
      </c>
    </row>
    <row r="1300" ht="14.25" customHeight="1">
      <c r="A1300" s="14" t="str">
        <f>Base_report!A1292</f>
        <v>BAGOUE</v>
      </c>
      <c r="B1300" s="14" t="str">
        <f>Base_report!B1292</f>
        <v>DECEMBRE 2023</v>
      </c>
      <c r="C1300" s="15" t="str">
        <f>Base_report!C1292</f>
        <v>C3023</v>
      </c>
      <c r="D1300" s="14" t="str">
        <f>TRIM(IF(ISNUMBER(FIND("PNSME",Base_report!D1292,1)),SUBSTITUTE(Base_report!D1292,"PNSME",""),IF(ISNUMBER(FIND("PHG",Base_report!D1292,1)),SUBSTITUTE(Base_report!D1292,"PHG",""),IF(ISNUMBER(FIND("PCS",Base_report!D1292,1)),SUBSTITUTE(Base_report!D1292,"PCS",""),IF(ISNUMBER(FIND("CMU",Base_report!D1292,1)),SUBSTITUTE(Base_report!D1292,"CMU",""),Base_report!D1292)))))</f>
        <v>HOPITAL GENERAL TENGRELA</v>
      </c>
      <c r="E1300" s="14" t="str">
        <f>SUBSTITUTE(Base_report!E1292,"-","/")</f>
        <v>PNLS/ANTIRETROVIRAUX ET IO</v>
      </c>
      <c r="F1300" s="14" t="s">
        <v>788</v>
      </c>
      <c r="G1300" s="16">
        <f>DATE(YEAR(SUBSTITUTE(LEFT(Base_report!F1292,10),"-","/")),MONTH(SUBSTITUTE(LEFT(Base_report!F1292,10),"-","/")),DAY(SUBSTITUTE(LEFT(Base_report!F1292,10),"-","/")))</f>
        <v>45298</v>
      </c>
      <c r="H1300" s="16">
        <f>DATE(YEAR(SUBSTITUTE(LEFT(Base_report!G1292,10),"-","/")),MONTH(SUBSTITUTE(LEFT(Base_report!G1292,10),"-","/")),DAY(SUBSTITUTE(LEFT(Base_report!G1292,10),"-","/")))</f>
        <v>45298</v>
      </c>
      <c r="I1300" s="17" t="str">
        <f t="shared" si="1"/>
        <v>OUI</v>
      </c>
      <c r="J1300" s="18">
        <f>IF(L1300="DS",DATE(RIGHT(B1300,4),VLOOKUP(LEFT(B1300,LEN(B1300)-5),Feuil1!$E$3:$F$19,2,FALSE)+1,10),DATE(RIGHT(B1300,4),VLOOKUP(LEFT(B1300,LEN(B1300)-5),Feuil1!$E$3:$F$19,2,FALSE)+1,7))</f>
        <v>45298</v>
      </c>
      <c r="K1300" s="19">
        <f t="shared" si="2"/>
        <v>1</v>
      </c>
      <c r="L1300" s="6" t="str">
        <f t="shared" si="3"/>
        <v>FS</v>
      </c>
    </row>
    <row r="1301" ht="14.25" customHeight="1">
      <c r="A1301" s="14" t="str">
        <f>Base_report!A1293</f>
        <v>ABIDJAN 2</v>
      </c>
      <c r="B1301" s="14" t="str">
        <f>Base_report!B1293</f>
        <v>DECEMBRE 2023</v>
      </c>
      <c r="C1301" s="15" t="str">
        <f>Base_report!C1293</f>
        <v>C1086</v>
      </c>
      <c r="D1301" s="14" t="str">
        <f>TRIM(IF(ISNUMBER(FIND("PNSME",Base_report!D1293,1)),SUBSTITUTE(Base_report!D1293,"PNSME",""),IF(ISNUMBER(FIND("PHG",Base_report!D1293,1)),SUBSTITUTE(Base_report!D1293,"PHG",""),IF(ISNUMBER(FIND("PCS",Base_report!D1293,1)),SUBSTITUTE(Base_report!D1293,"PCS",""),IF(ISNUMBER(FIND("CMU",Base_report!D1293,1)),SUBSTITUTE(Base_report!D1293,"CMU",""),Base_report!D1293)))))</f>
        <v>HOPITAL GENERAL BINGERVILLE</v>
      </c>
      <c r="E1301" s="14" t="str">
        <f>SUBSTITUTE(Base_report!E1293,"-","/")</f>
        <v>PNLS/TESTS RAPIDES ET CONSOMMABLES</v>
      </c>
      <c r="F1301" s="14" t="s">
        <v>788</v>
      </c>
      <c r="G1301" s="16">
        <f>DATE(YEAR(SUBSTITUTE(LEFT(Base_report!F1293,10),"-","/")),MONTH(SUBSTITUTE(LEFT(Base_report!F1293,10),"-","/")),DAY(SUBSTITUTE(LEFT(Base_report!F1293,10),"-","/")))</f>
        <v>45298</v>
      </c>
      <c r="H1301" s="16">
        <f>DATE(YEAR(SUBSTITUTE(LEFT(Base_report!G1293,10),"-","/")),MONTH(SUBSTITUTE(LEFT(Base_report!G1293,10),"-","/")),DAY(SUBSTITUTE(LEFT(Base_report!G1293,10),"-","/")))</f>
        <v>45298</v>
      </c>
      <c r="I1301" s="17" t="str">
        <f t="shared" si="1"/>
        <v>OUI</v>
      </c>
      <c r="J1301" s="18">
        <f>IF(L1301="DS",DATE(RIGHT(B1301,4),VLOOKUP(LEFT(B1301,LEN(B1301)-5),Feuil1!$E$3:$F$19,2,FALSE)+1,10),DATE(RIGHT(B1301,4),VLOOKUP(LEFT(B1301,LEN(B1301)-5),Feuil1!$E$3:$F$19,2,FALSE)+1,7))</f>
        <v>45298</v>
      </c>
      <c r="K1301" s="19">
        <f t="shared" si="2"/>
        <v>1</v>
      </c>
      <c r="L1301" s="6" t="str">
        <f t="shared" si="3"/>
        <v>FS</v>
      </c>
    </row>
    <row r="1302" ht="14.25" customHeight="1">
      <c r="A1302" s="14" t="str">
        <f>Base_report!A1294</f>
        <v>KABADOUGOU</v>
      </c>
      <c r="B1302" s="14" t="str">
        <f>Base_report!B1294</f>
        <v>DECEMBRE 2023</v>
      </c>
      <c r="C1302" s="15" t="str">
        <f>Base_report!C1294</f>
        <v>C5013</v>
      </c>
      <c r="D1302" s="14" t="str">
        <f>TRIM(IF(ISNUMBER(FIND("PNSME",Base_report!D1294,1)),SUBSTITUTE(Base_report!D1294,"PNSME",""),IF(ISNUMBER(FIND("PHG",Base_report!D1294,1)),SUBSTITUTE(Base_report!D1294,"PHG",""),IF(ISNUMBER(FIND("PCS",Base_report!D1294,1)),SUBSTITUTE(Base_report!D1294,"PCS",""),IF(ISNUMBER(FIND("CMU",Base_report!D1294,1)),SUBSTITUTE(Base_report!D1294,"CMU",""),Base_report!D1294)))))</f>
        <v>DISTRICT SANITAIRE ODIENNE</v>
      </c>
      <c r="E1302" s="14" t="str">
        <f>SUBSTITUTE(Base_report!E1294,"-","/")</f>
        <v>PNN/MEDICAMENTS ET INTRANTS</v>
      </c>
      <c r="F1302" s="14" t="s">
        <v>788</v>
      </c>
      <c r="G1302" s="16">
        <f>DATE(YEAR(SUBSTITUTE(LEFT(Base_report!F1294,10),"-","/")),MONTH(SUBSTITUTE(LEFT(Base_report!F1294,10),"-","/")),DAY(SUBSTITUTE(LEFT(Base_report!F1294,10),"-","/")))</f>
        <v>45298</v>
      </c>
      <c r="H1302" s="16">
        <f>DATE(YEAR(SUBSTITUTE(LEFT(Base_report!G1294,10),"-","/")),MONTH(SUBSTITUTE(LEFT(Base_report!G1294,10),"-","/")),DAY(SUBSTITUTE(LEFT(Base_report!G1294,10),"-","/")))</f>
        <v>45298</v>
      </c>
      <c r="I1302" s="17" t="str">
        <f t="shared" si="1"/>
        <v>OUI</v>
      </c>
      <c r="J1302" s="18">
        <f>IF(L1302="DS",DATE(RIGHT(B1302,4),VLOOKUP(LEFT(B1302,LEN(B1302)-5),Feuil1!$E$3:$F$19,2,FALSE)+1,10),DATE(RIGHT(B1302,4),VLOOKUP(LEFT(B1302,LEN(B1302)-5),Feuil1!$E$3:$F$19,2,FALSE)+1,7))</f>
        <v>45301</v>
      </c>
      <c r="K1302" s="19">
        <f t="shared" si="2"/>
        <v>1</v>
      </c>
      <c r="L1302" s="6" t="str">
        <f t="shared" si="3"/>
        <v>DS</v>
      </c>
    </row>
    <row r="1303" ht="14.25" customHeight="1">
      <c r="A1303" s="14" t="str">
        <f>Base_report!A1295</f>
        <v>HAUT-SASSANDRA</v>
      </c>
      <c r="B1303" s="14" t="str">
        <f>Base_report!B1295</f>
        <v>DECEMBRE 2023</v>
      </c>
      <c r="C1303" s="15" t="str">
        <f>Base_report!C1295</f>
        <v>C2070</v>
      </c>
      <c r="D1303" s="14" t="str">
        <f>TRIM(IF(ISNUMBER(FIND("PNSME",Base_report!D1295,1)),SUBSTITUTE(Base_report!D1295,"PNSME",""),IF(ISNUMBER(FIND("PHG",Base_report!D1295,1)),SUBSTITUTE(Base_report!D1295,"PHG",""),IF(ISNUMBER(FIND("PCS",Base_report!D1295,1)),SUBSTITUTE(Base_report!D1295,"PCS",""),IF(ISNUMBER(FIND("CMU",Base_report!D1295,1)),SUBSTITUTE(Base_report!D1295,"CMU",""),Base_report!D1295)))))</f>
        <v>HOPITAL GENERAL VAVOUA</v>
      </c>
      <c r="E1303" s="14" t="str">
        <f>SUBSTITUTE(Base_report!E1295,"-","/")</f>
        <v>PNN/MEDICAMENTS ET INTRANTS</v>
      </c>
      <c r="F1303" s="14" t="s">
        <v>788</v>
      </c>
      <c r="G1303" s="16">
        <f>DATE(YEAR(SUBSTITUTE(LEFT(Base_report!F1295,10),"-","/")),MONTH(SUBSTITUTE(LEFT(Base_report!F1295,10),"-","/")),DAY(SUBSTITUTE(LEFT(Base_report!F1295,10),"-","/")))</f>
        <v>45298</v>
      </c>
      <c r="H1303" s="16">
        <f>DATE(YEAR(SUBSTITUTE(LEFT(Base_report!G1295,10),"-","/")),MONTH(SUBSTITUTE(LEFT(Base_report!G1295,10),"-","/")),DAY(SUBSTITUTE(LEFT(Base_report!G1295,10),"-","/")))</f>
        <v>45298</v>
      </c>
      <c r="I1303" s="17" t="str">
        <f t="shared" si="1"/>
        <v>OUI</v>
      </c>
      <c r="J1303" s="18">
        <f>IF(L1303="DS",DATE(RIGHT(B1303,4),VLOOKUP(LEFT(B1303,LEN(B1303)-5),Feuil1!$E$3:$F$19,2,FALSE)+1,10),DATE(RIGHT(B1303,4),VLOOKUP(LEFT(B1303,LEN(B1303)-5),Feuil1!$E$3:$F$19,2,FALSE)+1,7))</f>
        <v>45298</v>
      </c>
      <c r="K1303" s="19">
        <f t="shared" si="2"/>
        <v>1</v>
      </c>
      <c r="L1303" s="6" t="str">
        <f t="shared" si="3"/>
        <v>FS</v>
      </c>
    </row>
    <row r="1304" ht="14.25" customHeight="1">
      <c r="A1304" s="14" t="str">
        <f>Base_report!A1296</f>
        <v>HAUT-SASSANDRA</v>
      </c>
      <c r="B1304" s="14" t="str">
        <f>Base_report!B1296</f>
        <v>DECEMBRE 2023</v>
      </c>
      <c r="C1304" s="15" t="str">
        <f>Base_report!C1296</f>
        <v>C2070</v>
      </c>
      <c r="D1304" s="14" t="str">
        <f>TRIM(IF(ISNUMBER(FIND("PNSME",Base_report!D1296,1)),SUBSTITUTE(Base_report!D1296,"PNSME",""),IF(ISNUMBER(FIND("PHG",Base_report!D1296,1)),SUBSTITUTE(Base_report!D1296,"PHG",""),IF(ISNUMBER(FIND("PCS",Base_report!D1296,1)),SUBSTITUTE(Base_report!D1296,"PCS",""),IF(ISNUMBER(FIND("CMU",Base_report!D1296,1)),SUBSTITUTE(Base_report!D1296,"CMU",""),Base_report!D1296)))))</f>
        <v>HOPITAL GENERAL VAVOUA</v>
      </c>
      <c r="E1304" s="14" t="str">
        <f>SUBSTITUTE(Base_report!E1296,"-","/")</f>
        <v>PNSME/MEDICAMENTS ET INTRANTS</v>
      </c>
      <c r="F1304" s="14" t="s">
        <v>788</v>
      </c>
      <c r="G1304" s="16">
        <f>DATE(YEAR(SUBSTITUTE(LEFT(Base_report!F1296,10),"-","/")),MONTH(SUBSTITUTE(LEFT(Base_report!F1296,10),"-","/")),DAY(SUBSTITUTE(LEFT(Base_report!F1296,10),"-","/")))</f>
        <v>45298</v>
      </c>
      <c r="H1304" s="16">
        <f>DATE(YEAR(SUBSTITUTE(LEFT(Base_report!G1296,10),"-","/")),MONTH(SUBSTITUTE(LEFT(Base_report!G1296,10),"-","/")),DAY(SUBSTITUTE(LEFT(Base_report!G1296,10),"-","/")))</f>
        <v>45298</v>
      </c>
      <c r="I1304" s="17" t="str">
        <f t="shared" si="1"/>
        <v>OUI</v>
      </c>
      <c r="J1304" s="18">
        <f>IF(L1304="DS",DATE(RIGHT(B1304,4),VLOOKUP(LEFT(B1304,LEN(B1304)-5),Feuil1!$E$3:$F$19,2,FALSE)+1,10),DATE(RIGHT(B1304,4),VLOOKUP(LEFT(B1304,LEN(B1304)-5),Feuil1!$E$3:$F$19,2,FALSE)+1,7))</f>
        <v>45298</v>
      </c>
      <c r="K1304" s="19">
        <f t="shared" si="2"/>
        <v>1</v>
      </c>
      <c r="L1304" s="6" t="str">
        <f t="shared" si="3"/>
        <v>FS</v>
      </c>
    </row>
    <row r="1305" ht="14.25" customHeight="1">
      <c r="A1305" s="14" t="str">
        <f>Base_report!A1297</f>
        <v>BELIER</v>
      </c>
      <c r="B1305" s="14" t="str">
        <f>Base_report!B1297</f>
        <v>DECEMBRE 2023</v>
      </c>
      <c r="C1305" s="15" t="str">
        <f>Base_report!C1297</f>
        <v>C2068</v>
      </c>
      <c r="D1305" s="14" t="str">
        <f>TRIM(IF(ISNUMBER(FIND("PNSME",Base_report!D1297,1)),SUBSTITUTE(Base_report!D1297,"PNSME",""),IF(ISNUMBER(FIND("PHG",Base_report!D1297,1)),SUBSTITUTE(Base_report!D1297,"PHG",""),IF(ISNUMBER(FIND("PCS",Base_report!D1297,1)),SUBSTITUTE(Base_report!D1297,"PCS",""),IF(ISNUMBER(FIND("CMU",Base_report!D1297,1)),SUBSTITUTE(Base_report!D1297,"CMU",""),Base_report!D1297)))))</f>
        <v>HOPITAL GENERAL TIEBISSOU</v>
      </c>
      <c r="E1305" s="14" t="str">
        <f>SUBSTITUTE(Base_report!E1297,"-","/")</f>
        <v>PNLS/PRODUITS DE LABORATOIRE</v>
      </c>
      <c r="F1305" s="14" t="s">
        <v>788</v>
      </c>
      <c r="G1305" s="16">
        <f>DATE(YEAR(SUBSTITUTE(LEFT(Base_report!F1297,10),"-","/")),MONTH(SUBSTITUTE(LEFT(Base_report!F1297,10),"-","/")),DAY(SUBSTITUTE(LEFT(Base_report!F1297,10),"-","/")))</f>
        <v>45298</v>
      </c>
      <c r="H1305" s="16">
        <f>DATE(YEAR(SUBSTITUTE(LEFT(Base_report!G1297,10),"-","/")),MONTH(SUBSTITUTE(LEFT(Base_report!G1297,10),"-","/")),DAY(SUBSTITUTE(LEFT(Base_report!G1297,10),"-","/")))</f>
        <v>45298</v>
      </c>
      <c r="I1305" s="17" t="str">
        <f t="shared" si="1"/>
        <v>OUI</v>
      </c>
      <c r="J1305" s="18">
        <f>IF(L1305="DS",DATE(RIGHT(B1305,4),VLOOKUP(LEFT(B1305,LEN(B1305)-5),Feuil1!$E$3:$F$19,2,FALSE)+1,10),DATE(RIGHT(B1305,4),VLOOKUP(LEFT(B1305,LEN(B1305)-5),Feuil1!$E$3:$F$19,2,FALSE)+1,7))</f>
        <v>45298</v>
      </c>
      <c r="K1305" s="19">
        <f t="shared" si="2"/>
        <v>1</v>
      </c>
      <c r="L1305" s="6" t="str">
        <f t="shared" si="3"/>
        <v>FS</v>
      </c>
    </row>
    <row r="1306" ht="14.25" customHeight="1">
      <c r="A1306" s="14" t="str">
        <f>Base_report!A1298</f>
        <v>BAFING</v>
      </c>
      <c r="B1306" s="14" t="str">
        <f>Base_report!B1298</f>
        <v>DECEMBRE 2023</v>
      </c>
      <c r="C1306" s="15" t="str">
        <f>Base_report!C1298</f>
        <v>C5076</v>
      </c>
      <c r="D1306" s="14" t="str">
        <f>TRIM(IF(ISNUMBER(FIND("PNSME",Base_report!D1298,1)),SUBSTITUTE(Base_report!D1298,"PNSME",""),IF(ISNUMBER(FIND("PHG",Base_report!D1298,1)),SUBSTITUTE(Base_report!D1298,"PHG",""),IF(ISNUMBER(FIND("PCS",Base_report!D1298,1)),SUBSTITUTE(Base_report!D1298,"PCS",""),IF(ISNUMBER(FIND("CMU",Base_report!D1298,1)),SUBSTITUTE(Base_report!D1298,"CMU",""),Base_report!D1298)))))</f>
        <v>HOPITAL GENERAL KORO</v>
      </c>
      <c r="E1306" s="14" t="str">
        <f>SUBSTITUTE(Base_report!E1298,"-","/")</f>
        <v>PNLP/MEDICAMENTS ET INTRANTS</v>
      </c>
      <c r="F1306" s="14" t="s">
        <v>788</v>
      </c>
      <c r="G1306" s="16">
        <f>DATE(YEAR(SUBSTITUTE(LEFT(Base_report!F1298,10),"-","/")),MONTH(SUBSTITUTE(LEFT(Base_report!F1298,10),"-","/")),DAY(SUBSTITUTE(LEFT(Base_report!F1298,10),"-","/")))</f>
        <v>45298</v>
      </c>
      <c r="H1306" s="16">
        <f>DATE(YEAR(SUBSTITUTE(LEFT(Base_report!G1298,10),"-","/")),MONTH(SUBSTITUTE(LEFT(Base_report!G1298,10),"-","/")),DAY(SUBSTITUTE(LEFT(Base_report!G1298,10),"-","/")))</f>
        <v>45298</v>
      </c>
      <c r="I1306" s="17" t="str">
        <f t="shared" si="1"/>
        <v>OUI</v>
      </c>
      <c r="J1306" s="18">
        <f>IF(L1306="DS",DATE(RIGHT(B1306,4),VLOOKUP(LEFT(B1306,LEN(B1306)-5),Feuil1!$E$3:$F$19,2,FALSE)+1,10),DATE(RIGHT(B1306,4),VLOOKUP(LEFT(B1306,LEN(B1306)-5),Feuil1!$E$3:$F$19,2,FALSE)+1,7))</f>
        <v>45298</v>
      </c>
      <c r="K1306" s="19">
        <f t="shared" si="2"/>
        <v>1</v>
      </c>
      <c r="L1306" s="6" t="str">
        <f t="shared" si="3"/>
        <v>FS</v>
      </c>
    </row>
    <row r="1307" ht="14.25" customHeight="1">
      <c r="A1307" s="14" t="str">
        <f>Base_report!A1299</f>
        <v>SUD-COMOE</v>
      </c>
      <c r="B1307" s="14" t="str">
        <f>Base_report!B1299</f>
        <v>DECEMBRE 2023</v>
      </c>
      <c r="C1307" s="15" t="str">
        <f>Base_report!C1299</f>
        <v>C1679</v>
      </c>
      <c r="D1307" s="14" t="str">
        <f>TRIM(IF(ISNUMBER(FIND("PNSME",Base_report!D1299,1)),SUBSTITUTE(Base_report!D1299,"PNSME",""),IF(ISNUMBER(FIND("PHG",Base_report!D1299,1)),SUBSTITUTE(Base_report!D1299,"PHG",""),IF(ISNUMBER(FIND("PCS",Base_report!D1299,1)),SUBSTITUTE(Base_report!D1299,"PCS",""),IF(ISNUMBER(FIND("CMU",Base_report!D1299,1)),SUBSTITUTE(Base_report!D1299,"CMU",""),Base_report!D1299)))))</f>
        <v>HOPITAL GENERAL TIAPOUM</v>
      </c>
      <c r="E1307" s="14" t="str">
        <f>SUBSTITUTE(Base_report!E1299,"-","/")</f>
        <v>PNLS/ANTIRETROVIRAUX ET IO</v>
      </c>
      <c r="F1307" s="14" t="s">
        <v>788</v>
      </c>
      <c r="G1307" s="16">
        <f>DATE(YEAR(SUBSTITUTE(LEFT(Base_report!F1299,10),"-","/")),MONTH(SUBSTITUTE(LEFT(Base_report!F1299,10),"-","/")),DAY(SUBSTITUTE(LEFT(Base_report!F1299,10),"-","/")))</f>
        <v>45298</v>
      </c>
      <c r="H1307" s="16">
        <f>DATE(YEAR(SUBSTITUTE(LEFT(Base_report!G1299,10),"-","/")),MONTH(SUBSTITUTE(LEFT(Base_report!G1299,10),"-","/")),DAY(SUBSTITUTE(LEFT(Base_report!G1299,10),"-","/")))</f>
        <v>45298</v>
      </c>
      <c r="I1307" s="17" t="str">
        <f t="shared" si="1"/>
        <v>OUI</v>
      </c>
      <c r="J1307" s="18">
        <f>IF(L1307="DS",DATE(RIGHT(B1307,4),VLOOKUP(LEFT(B1307,LEN(B1307)-5),Feuil1!$E$3:$F$19,2,FALSE)+1,10),DATE(RIGHT(B1307,4),VLOOKUP(LEFT(B1307,LEN(B1307)-5),Feuil1!$E$3:$F$19,2,FALSE)+1,7))</f>
        <v>45298</v>
      </c>
      <c r="K1307" s="19">
        <f t="shared" si="2"/>
        <v>1</v>
      </c>
      <c r="L1307" s="6" t="str">
        <f t="shared" si="3"/>
        <v>FS</v>
      </c>
    </row>
    <row r="1308" ht="14.25" customHeight="1">
      <c r="A1308" s="14" t="str">
        <f>Base_report!A1300</f>
        <v>HAMBOL</v>
      </c>
      <c r="B1308" s="14" t="str">
        <f>Base_report!B1300</f>
        <v>DECEMBRE 2023</v>
      </c>
      <c r="C1308" s="15" t="str">
        <f>Base_report!C1300</f>
        <v>C3003</v>
      </c>
      <c r="D1308" s="14" t="str">
        <f>TRIM(IF(ISNUMBER(FIND("PNSME",Base_report!D1300,1)),SUBSTITUTE(Base_report!D1300,"PNSME",""),IF(ISNUMBER(FIND("PHG",Base_report!D1300,1)),SUBSTITUTE(Base_report!D1300,"PHG",""),IF(ISNUMBER(FIND("PCS",Base_report!D1300,1)),SUBSTITUTE(Base_report!D1300,"PCS",""),IF(ISNUMBER(FIND("CMU",Base_report!D1300,1)),SUBSTITUTE(Base_report!D1300,"CMU",""),Base_report!D1300)))))</f>
        <v>DISTRICT SANITAIRE DABAKALA</v>
      </c>
      <c r="E1308" s="14" t="str">
        <f>SUBSTITUTE(Base_report!E1300,"-","/")</f>
        <v>PNSME/MEDICAMENTS ET INTRANTS</v>
      </c>
      <c r="F1308" s="14" t="s">
        <v>788</v>
      </c>
      <c r="G1308" s="16">
        <f>DATE(YEAR(SUBSTITUTE(LEFT(Base_report!F1300,10),"-","/")),MONTH(SUBSTITUTE(LEFT(Base_report!F1300,10),"-","/")),DAY(SUBSTITUTE(LEFT(Base_report!F1300,10),"-","/")))</f>
        <v>45298</v>
      </c>
      <c r="H1308" s="16">
        <f>DATE(YEAR(SUBSTITUTE(LEFT(Base_report!G1300,10),"-","/")),MONTH(SUBSTITUTE(LEFT(Base_report!G1300,10),"-","/")),DAY(SUBSTITUTE(LEFT(Base_report!G1300,10),"-","/")))</f>
        <v>45300</v>
      </c>
      <c r="I1308" s="17" t="str">
        <f t="shared" si="1"/>
        <v>OUI</v>
      </c>
      <c r="J1308" s="18">
        <f>IF(L1308="DS",DATE(RIGHT(B1308,4),VLOOKUP(LEFT(B1308,LEN(B1308)-5),Feuil1!$E$3:$F$19,2,FALSE)+1,10),DATE(RIGHT(B1308,4),VLOOKUP(LEFT(B1308,LEN(B1308)-5),Feuil1!$E$3:$F$19,2,FALSE)+1,7))</f>
        <v>45301</v>
      </c>
      <c r="K1308" s="19">
        <f t="shared" si="2"/>
        <v>1</v>
      </c>
      <c r="L1308" s="6" t="str">
        <f t="shared" si="3"/>
        <v>DS</v>
      </c>
    </row>
    <row r="1309" ht="14.25" customHeight="1">
      <c r="A1309" s="14" t="str">
        <f>Base_report!A1301</f>
        <v>ABIDJAN 2</v>
      </c>
      <c r="B1309" s="14" t="str">
        <f>Base_report!B1301</f>
        <v>DECEMBRE 2023</v>
      </c>
      <c r="C1309" s="15" t="str">
        <f>Base_report!C1301</f>
        <v>C1086</v>
      </c>
      <c r="D1309" s="14" t="str">
        <f>TRIM(IF(ISNUMBER(FIND("PNSME",Base_report!D1301,1)),SUBSTITUTE(Base_report!D1301,"PNSME",""),IF(ISNUMBER(FIND("PHG",Base_report!D1301,1)),SUBSTITUTE(Base_report!D1301,"PHG",""),IF(ISNUMBER(FIND("PCS",Base_report!D1301,1)),SUBSTITUTE(Base_report!D1301,"PCS",""),IF(ISNUMBER(FIND("CMU",Base_report!D1301,1)),SUBSTITUTE(Base_report!D1301,"CMU",""),Base_report!D1301)))))</f>
        <v>HOPITAL GENERAL BINGERVILLE</v>
      </c>
      <c r="E1309" s="14" t="str">
        <f>SUBSTITUTE(Base_report!E1301,"-","/")</f>
        <v>PNSME/MEDICAMENTS ET INTRANTS</v>
      </c>
      <c r="F1309" s="14" t="s">
        <v>788</v>
      </c>
      <c r="G1309" s="16">
        <f>DATE(YEAR(SUBSTITUTE(LEFT(Base_report!F1301,10),"-","/")),MONTH(SUBSTITUTE(LEFT(Base_report!F1301,10),"-","/")),DAY(SUBSTITUTE(LEFT(Base_report!F1301,10),"-","/")))</f>
        <v>45298</v>
      </c>
      <c r="H1309" s="16">
        <f>DATE(YEAR(SUBSTITUTE(LEFT(Base_report!G1301,10),"-","/")),MONTH(SUBSTITUTE(LEFT(Base_report!G1301,10),"-","/")),DAY(SUBSTITUTE(LEFT(Base_report!G1301,10),"-","/")))</f>
        <v>45298</v>
      </c>
      <c r="I1309" s="17" t="str">
        <f t="shared" si="1"/>
        <v>OUI</v>
      </c>
      <c r="J1309" s="18">
        <f>IF(L1309="DS",DATE(RIGHT(B1309,4),VLOOKUP(LEFT(B1309,LEN(B1309)-5),Feuil1!$E$3:$F$19,2,FALSE)+1,10),DATE(RIGHT(B1309,4),VLOOKUP(LEFT(B1309,LEN(B1309)-5),Feuil1!$E$3:$F$19,2,FALSE)+1,7))</f>
        <v>45298</v>
      </c>
      <c r="K1309" s="19">
        <f t="shared" si="2"/>
        <v>1</v>
      </c>
      <c r="L1309" s="6" t="str">
        <f t="shared" si="3"/>
        <v>FS</v>
      </c>
    </row>
    <row r="1310" ht="14.25" customHeight="1">
      <c r="A1310" s="14" t="str">
        <f>Base_report!#REF!</f>
        <v>#ERROR!</v>
      </c>
      <c r="B1310" s="14" t="str">
        <f>Base_report!#REF!</f>
        <v>#ERROR!</v>
      </c>
      <c r="C1310" s="15" t="str">
        <f>Base_report!#REF!</f>
        <v>#ERROR!</v>
      </c>
      <c r="D1310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310" s="14" t="str">
        <f>SUBSTITUTE(Base_report!#REF!,"-","/")</f>
        <v>#ERROR!</v>
      </c>
      <c r="F1310" s="14" t="s">
        <v>788</v>
      </c>
      <c r="G1310" s="16" t="str">
        <f>DATE(YEAR(SUBSTITUTE(LEFT(Base_report!#REF!,10),"-","/")),MONTH(SUBSTITUTE(LEFT(Base_report!#REF!,10),"-","/")),DAY(SUBSTITUTE(LEFT(Base_report!#REF!,10),"-","/")))</f>
        <v>#ERROR!</v>
      </c>
      <c r="H1310" s="16" t="str">
        <f>DATE(YEAR(SUBSTITUTE(LEFT(Base_report!#REF!,10),"-","/")),MONTH(SUBSTITUTE(LEFT(Base_report!#REF!,10),"-","/")),DAY(SUBSTITUTE(LEFT(Base_report!#REF!,10),"-","/")))</f>
        <v>#ERROR!</v>
      </c>
      <c r="I1310" s="17" t="str">
        <f t="shared" si="1"/>
        <v>OUI</v>
      </c>
      <c r="J1310" s="18" t="str">
        <f>IF(L1310="DS",DATE(RIGHT(B1310,4),VLOOKUP(LEFT(B1310,LEN(B1310)-5),Feuil1!$E$3:$F$19,2,FALSE)+1,10),DATE(RIGHT(B1310,4),VLOOKUP(LEFT(B1310,LEN(B1310)-5),Feuil1!$E$3:$F$19,2,FALSE)+1,7))</f>
        <v>#ERROR!</v>
      </c>
      <c r="K1310" s="19" t="str">
        <f t="shared" si="2"/>
        <v>#ERROR!</v>
      </c>
      <c r="L1310" s="6" t="str">
        <f t="shared" si="3"/>
        <v>FS</v>
      </c>
    </row>
    <row r="1311" ht="14.25" customHeight="1">
      <c r="A1311" s="14" t="str">
        <f>Base_report!A1302</f>
        <v>CAVALLY</v>
      </c>
      <c r="B1311" s="14" t="str">
        <f>Base_report!B1302</f>
        <v>DECEMBRE 2023</v>
      </c>
      <c r="C1311" s="15" t="str">
        <f>Base_report!C1302</f>
        <v>C5017</v>
      </c>
      <c r="D1311" s="14" t="str">
        <f>TRIM(IF(ISNUMBER(FIND("PNSME",Base_report!D1302,1)),SUBSTITUTE(Base_report!D1302,"PNSME",""),IF(ISNUMBER(FIND("PHG",Base_report!D1302,1)),SUBSTITUTE(Base_report!D1302,"PHG",""),IF(ISNUMBER(FIND("PCS",Base_report!D1302,1)),SUBSTITUTE(Base_report!D1302,"PCS",""),IF(ISNUMBER(FIND("CMU",Base_report!D1302,1)),SUBSTITUTE(Base_report!D1302,"CMU",""),Base_report!D1302)))))</f>
        <v>HOPITAL GENERAL BLOLEQUIN</v>
      </c>
      <c r="E1311" s="14" t="str">
        <f>SUBSTITUTE(Base_report!E1302,"-","/")</f>
        <v>PNLP/MEDICAMENTS ET INTRANTS</v>
      </c>
      <c r="F1311" s="14" t="s">
        <v>788</v>
      </c>
      <c r="G1311" s="16">
        <f>DATE(YEAR(SUBSTITUTE(LEFT(Base_report!F1302,10),"-","/")),MONTH(SUBSTITUTE(LEFT(Base_report!F1302,10),"-","/")),DAY(SUBSTITUTE(LEFT(Base_report!F1302,10),"-","/")))</f>
        <v>45298</v>
      </c>
      <c r="H1311" s="16">
        <f>DATE(YEAR(SUBSTITUTE(LEFT(Base_report!G1302,10),"-","/")),MONTH(SUBSTITUTE(LEFT(Base_report!G1302,10),"-","/")),DAY(SUBSTITUTE(LEFT(Base_report!G1302,10),"-","/")))</f>
        <v>45301</v>
      </c>
      <c r="I1311" s="17" t="str">
        <f t="shared" si="1"/>
        <v>OUI</v>
      </c>
      <c r="J1311" s="18">
        <f>IF(L1311="DS",DATE(RIGHT(B1311,4),VLOOKUP(LEFT(B1311,LEN(B1311)-5),Feuil1!$E$3:$F$19,2,FALSE)+1,10),DATE(RIGHT(B1311,4),VLOOKUP(LEFT(B1311,LEN(B1311)-5),Feuil1!$E$3:$F$19,2,FALSE)+1,7))</f>
        <v>45298</v>
      </c>
      <c r="K1311" s="19">
        <f t="shared" si="2"/>
        <v>0</v>
      </c>
      <c r="L1311" s="6" t="str">
        <f t="shared" si="3"/>
        <v>FS</v>
      </c>
    </row>
    <row r="1312" ht="14.25" customHeight="1">
      <c r="A1312" s="14" t="str">
        <f>Base_report!A1303</f>
        <v>ABIDJAN 1</v>
      </c>
      <c r="B1312" s="14" t="str">
        <f>Base_report!B1303</f>
        <v>DECEMBRE 2023</v>
      </c>
      <c r="C1312" s="15" t="str">
        <f>Base_report!C1303</f>
        <v>C1905</v>
      </c>
      <c r="D1312" s="14" t="str">
        <f>TRIM(IF(ISNUMBER(FIND("PNSME",Base_report!D1303,1)),SUBSTITUTE(Base_report!D1303,"PNSME",""),IF(ISNUMBER(FIND("PHG",Base_report!D1303,1)),SUBSTITUTE(Base_report!D1303,"PHG",""),IF(ISNUMBER(FIND("PCS",Base_report!D1303,1)),SUBSTITUTE(Base_report!D1303,"PCS",""),IF(ISNUMBER(FIND("CMU",Base_report!D1303,1)),SUBSTITUTE(Base_report!D1303,"CMU",""),Base_report!D1303)))))</f>
        <v>CSU SONGON KASSEMBLE</v>
      </c>
      <c r="E1312" s="14" t="str">
        <f>SUBSTITUTE(Base_report!E1303,"-","/")</f>
        <v>PNLS/PRODUITS DE LABORATOIRE</v>
      </c>
      <c r="F1312" s="14" t="s">
        <v>788</v>
      </c>
      <c r="G1312" s="16">
        <f>DATE(YEAR(SUBSTITUTE(LEFT(Base_report!F1303,10),"-","/")),MONTH(SUBSTITUTE(LEFT(Base_report!F1303,10),"-","/")),DAY(SUBSTITUTE(LEFT(Base_report!F1303,10),"-","/")))</f>
        <v>45298</v>
      </c>
      <c r="H1312" s="16">
        <f>DATE(YEAR(SUBSTITUTE(LEFT(Base_report!G1303,10),"-","/")),MONTH(SUBSTITUTE(LEFT(Base_report!G1303,10),"-","/")),DAY(SUBSTITUTE(LEFT(Base_report!G1303,10),"-","/")))</f>
        <v>45298</v>
      </c>
      <c r="I1312" s="17" t="str">
        <f t="shared" si="1"/>
        <v>OUI</v>
      </c>
      <c r="J1312" s="18">
        <f>IF(L1312="DS",DATE(RIGHT(B1312,4),VLOOKUP(LEFT(B1312,LEN(B1312)-5),Feuil1!$E$3:$F$19,2,FALSE)+1,10),DATE(RIGHT(B1312,4),VLOOKUP(LEFT(B1312,LEN(B1312)-5),Feuil1!$E$3:$F$19,2,FALSE)+1,7))</f>
        <v>45298</v>
      </c>
      <c r="K1312" s="19">
        <f t="shared" si="2"/>
        <v>1</v>
      </c>
      <c r="L1312" s="6" t="str">
        <f t="shared" si="3"/>
        <v>FS</v>
      </c>
    </row>
    <row r="1313" ht="14.25" customHeight="1">
      <c r="A1313" s="14" t="str">
        <f>Base_report!A1304</f>
        <v>BAFING</v>
      </c>
      <c r="B1313" s="14" t="str">
        <f>Base_report!B1304</f>
        <v>DECEMBRE 2023</v>
      </c>
      <c r="C1313" s="15" t="str">
        <f>Base_report!C1304</f>
        <v>C5076</v>
      </c>
      <c r="D1313" s="14" t="str">
        <f>TRIM(IF(ISNUMBER(FIND("PNSME",Base_report!D1304,1)),SUBSTITUTE(Base_report!D1304,"PNSME",""),IF(ISNUMBER(FIND("PHG",Base_report!D1304,1)),SUBSTITUTE(Base_report!D1304,"PHG",""),IF(ISNUMBER(FIND("PCS",Base_report!D1304,1)),SUBSTITUTE(Base_report!D1304,"PCS",""),IF(ISNUMBER(FIND("CMU",Base_report!D1304,1)),SUBSTITUTE(Base_report!D1304,"CMU",""),Base_report!D1304)))))</f>
        <v>HOPITAL GENERAL KORO</v>
      </c>
      <c r="E1313" s="14" t="str">
        <f>SUBSTITUTE(Base_report!E1304,"-","/")</f>
        <v>PNLS/ANTIRETROVIRAUX ET IO</v>
      </c>
      <c r="F1313" s="14" t="s">
        <v>788</v>
      </c>
      <c r="G1313" s="16">
        <f>DATE(YEAR(SUBSTITUTE(LEFT(Base_report!F1304,10),"-","/")),MONTH(SUBSTITUTE(LEFT(Base_report!F1304,10),"-","/")),DAY(SUBSTITUTE(LEFT(Base_report!F1304,10),"-","/")))</f>
        <v>45298</v>
      </c>
      <c r="H1313" s="16">
        <f>DATE(YEAR(SUBSTITUTE(LEFT(Base_report!G1304,10),"-","/")),MONTH(SUBSTITUTE(LEFT(Base_report!G1304,10),"-","/")),DAY(SUBSTITUTE(LEFT(Base_report!G1304,10),"-","/")))</f>
        <v>45298</v>
      </c>
      <c r="I1313" s="17" t="str">
        <f t="shared" si="1"/>
        <v>OUI</v>
      </c>
      <c r="J1313" s="18">
        <f>IF(L1313="DS",DATE(RIGHT(B1313,4),VLOOKUP(LEFT(B1313,LEN(B1313)-5),Feuil1!$E$3:$F$19,2,FALSE)+1,10),DATE(RIGHT(B1313,4),VLOOKUP(LEFT(B1313,LEN(B1313)-5),Feuil1!$E$3:$F$19,2,FALSE)+1,7))</f>
        <v>45298</v>
      </c>
      <c r="K1313" s="19">
        <f t="shared" si="2"/>
        <v>1</v>
      </c>
      <c r="L1313" s="6" t="str">
        <f t="shared" si="3"/>
        <v>FS</v>
      </c>
    </row>
    <row r="1314" ht="14.25" customHeight="1">
      <c r="A1314" s="14" t="str">
        <f>Base_report!A1305</f>
        <v>BELIER</v>
      </c>
      <c r="B1314" s="14" t="str">
        <f>Base_report!B1305</f>
        <v>DECEMBRE 2023</v>
      </c>
      <c r="C1314" s="15" t="str">
        <f>Base_report!C1305</f>
        <v>C2068</v>
      </c>
      <c r="D1314" s="14" t="str">
        <f>TRIM(IF(ISNUMBER(FIND("PNSME",Base_report!D1305,1)),SUBSTITUTE(Base_report!D1305,"PNSME",""),IF(ISNUMBER(FIND("PHG",Base_report!D1305,1)),SUBSTITUTE(Base_report!D1305,"PHG",""),IF(ISNUMBER(FIND("PCS",Base_report!D1305,1)),SUBSTITUTE(Base_report!D1305,"PCS",""),IF(ISNUMBER(FIND("CMU",Base_report!D1305,1)),SUBSTITUTE(Base_report!D1305,"CMU",""),Base_report!D1305)))))</f>
        <v>HOPITAL GENERAL TIEBISSOU</v>
      </c>
      <c r="E1314" s="14" t="str">
        <f>SUBSTITUTE(Base_report!E1305,"-","/")</f>
        <v>PNN/MEDICAMENTS ET INTRANTS</v>
      </c>
      <c r="F1314" s="14" t="s">
        <v>788</v>
      </c>
      <c r="G1314" s="16">
        <f>DATE(YEAR(SUBSTITUTE(LEFT(Base_report!F1305,10),"-","/")),MONTH(SUBSTITUTE(LEFT(Base_report!F1305,10),"-","/")),DAY(SUBSTITUTE(LEFT(Base_report!F1305,10),"-","/")))</f>
        <v>45298</v>
      </c>
      <c r="H1314" s="16">
        <f>DATE(YEAR(SUBSTITUTE(LEFT(Base_report!G1305,10),"-","/")),MONTH(SUBSTITUTE(LEFT(Base_report!G1305,10),"-","/")),DAY(SUBSTITUTE(LEFT(Base_report!G1305,10),"-","/")))</f>
        <v>45298</v>
      </c>
      <c r="I1314" s="17" t="str">
        <f t="shared" si="1"/>
        <v>OUI</v>
      </c>
      <c r="J1314" s="18">
        <f>IF(L1314="DS",DATE(RIGHT(B1314,4),VLOOKUP(LEFT(B1314,LEN(B1314)-5),Feuil1!$E$3:$F$19,2,FALSE)+1,10),DATE(RIGHT(B1314,4),VLOOKUP(LEFT(B1314,LEN(B1314)-5),Feuil1!$E$3:$F$19,2,FALSE)+1,7))</f>
        <v>45298</v>
      </c>
      <c r="K1314" s="19">
        <f t="shared" si="2"/>
        <v>1</v>
      </c>
      <c r="L1314" s="6" t="str">
        <f t="shared" si="3"/>
        <v>FS</v>
      </c>
    </row>
    <row r="1315" ht="14.25" customHeight="1">
      <c r="A1315" s="14" t="str">
        <f>Base_report!A1306</f>
        <v>SUD-COMOE</v>
      </c>
      <c r="B1315" s="14" t="str">
        <f>Base_report!B1306</f>
        <v>DECEMBRE 2023</v>
      </c>
      <c r="C1315" s="15" t="str">
        <f>Base_report!C1306</f>
        <v>C1679</v>
      </c>
      <c r="D1315" s="14" t="str">
        <f>TRIM(IF(ISNUMBER(FIND("PNSME",Base_report!D1306,1)),SUBSTITUTE(Base_report!D1306,"PNSME",""),IF(ISNUMBER(FIND("PHG",Base_report!D1306,1)),SUBSTITUTE(Base_report!D1306,"PHG",""),IF(ISNUMBER(FIND("PCS",Base_report!D1306,1)),SUBSTITUTE(Base_report!D1306,"PCS",""),IF(ISNUMBER(FIND("CMU",Base_report!D1306,1)),SUBSTITUTE(Base_report!D1306,"CMU",""),Base_report!D1306)))))</f>
        <v>HOPITAL GENERAL TIAPOUM</v>
      </c>
      <c r="E1315" s="14" t="str">
        <f>SUBSTITUTE(Base_report!E1306,"-","/")</f>
        <v>PNLS/TESTS RAPIDES ET CONSOMMABLES</v>
      </c>
      <c r="F1315" s="14" t="s">
        <v>788</v>
      </c>
      <c r="G1315" s="16">
        <f>DATE(YEAR(SUBSTITUTE(LEFT(Base_report!F1306,10),"-","/")),MONTH(SUBSTITUTE(LEFT(Base_report!F1306,10),"-","/")),DAY(SUBSTITUTE(LEFT(Base_report!F1306,10),"-","/")))</f>
        <v>45298</v>
      </c>
      <c r="H1315" s="16">
        <f>DATE(YEAR(SUBSTITUTE(LEFT(Base_report!G1306,10),"-","/")),MONTH(SUBSTITUTE(LEFT(Base_report!G1306,10),"-","/")),DAY(SUBSTITUTE(LEFT(Base_report!G1306,10),"-","/")))</f>
        <v>45298</v>
      </c>
      <c r="I1315" s="17" t="str">
        <f t="shared" si="1"/>
        <v>OUI</v>
      </c>
      <c r="J1315" s="18">
        <f>IF(L1315="DS",DATE(RIGHT(B1315,4),VLOOKUP(LEFT(B1315,LEN(B1315)-5),Feuil1!$E$3:$F$19,2,FALSE)+1,10),DATE(RIGHT(B1315,4),VLOOKUP(LEFT(B1315,LEN(B1315)-5),Feuil1!$E$3:$F$19,2,FALSE)+1,7))</f>
        <v>45298</v>
      </c>
      <c r="K1315" s="19">
        <f t="shared" si="2"/>
        <v>1</v>
      </c>
      <c r="L1315" s="6" t="str">
        <f t="shared" si="3"/>
        <v>FS</v>
      </c>
    </row>
    <row r="1316" ht="14.25" customHeight="1">
      <c r="A1316" s="14" t="str">
        <f>Base_report!A1307</f>
        <v>TONKPI</v>
      </c>
      <c r="B1316" s="14" t="str">
        <f>Base_report!B1307</f>
        <v>DECEMBRE 2023</v>
      </c>
      <c r="C1316" s="15" t="str">
        <f>Base_report!C1307</f>
        <v>C5006</v>
      </c>
      <c r="D1316" s="14" t="str">
        <f>TRIM(IF(ISNUMBER(FIND("PNSME",Base_report!D1307,1)),SUBSTITUTE(Base_report!D1307,"PNSME",""),IF(ISNUMBER(FIND("PHG",Base_report!D1307,1)),SUBSTITUTE(Base_report!D1307,"PHG",""),IF(ISNUMBER(FIND("PCS",Base_report!D1307,1)),SUBSTITUTE(Base_report!D1307,"PCS",""),IF(ISNUMBER(FIND("CMU",Base_report!D1307,1)),SUBSTITUTE(Base_report!D1307,"CMU",""),Base_report!D1307)))))</f>
        <v>HOPITAL GENERAL ZOUAN HOUNIEN</v>
      </c>
      <c r="E1316" s="14" t="str">
        <f>SUBSTITUTE(Base_report!E1307,"-","/")</f>
        <v>PNN/MEDICAMENTS ET INTRANTS</v>
      </c>
      <c r="F1316" s="14" t="s">
        <v>788</v>
      </c>
      <c r="G1316" s="16">
        <f>DATE(YEAR(SUBSTITUTE(LEFT(Base_report!F1307,10),"-","/")),MONTH(SUBSTITUTE(LEFT(Base_report!F1307,10),"-","/")),DAY(SUBSTITUTE(LEFT(Base_report!F1307,10),"-","/")))</f>
        <v>45298</v>
      </c>
      <c r="H1316" s="16">
        <f>DATE(YEAR(SUBSTITUTE(LEFT(Base_report!G1307,10),"-","/")),MONTH(SUBSTITUTE(LEFT(Base_report!G1307,10),"-","/")),DAY(SUBSTITUTE(LEFT(Base_report!G1307,10),"-","/")))</f>
        <v>45298</v>
      </c>
      <c r="I1316" s="17" t="str">
        <f t="shared" si="1"/>
        <v>OUI</v>
      </c>
      <c r="J1316" s="18">
        <f>IF(L1316="DS",DATE(RIGHT(B1316,4),VLOOKUP(LEFT(B1316,LEN(B1316)-5),Feuil1!$E$3:$F$19,2,FALSE)+1,10),DATE(RIGHT(B1316,4),VLOOKUP(LEFT(B1316,LEN(B1316)-5),Feuil1!$E$3:$F$19,2,FALSE)+1,7))</f>
        <v>45298</v>
      </c>
      <c r="K1316" s="19">
        <f t="shared" si="2"/>
        <v>1</v>
      </c>
      <c r="L1316" s="6" t="str">
        <f t="shared" si="3"/>
        <v>FS</v>
      </c>
    </row>
    <row r="1317" ht="14.25" customHeight="1">
      <c r="A1317" s="14" t="str">
        <f>Base_report!A1308</f>
        <v>BELIER</v>
      </c>
      <c r="B1317" s="14" t="str">
        <f>Base_report!B1308</f>
        <v>DECEMBRE 2023</v>
      </c>
      <c r="C1317" s="15" t="str">
        <f>Base_report!C1308</f>
        <v>C2068</v>
      </c>
      <c r="D1317" s="14" t="str">
        <f>TRIM(IF(ISNUMBER(FIND("PNSME",Base_report!D1308,1)),SUBSTITUTE(Base_report!D1308,"PNSME",""),IF(ISNUMBER(FIND("PHG",Base_report!D1308,1)),SUBSTITUTE(Base_report!D1308,"PHG",""),IF(ISNUMBER(FIND("PCS",Base_report!D1308,1)),SUBSTITUTE(Base_report!D1308,"PCS",""),IF(ISNUMBER(FIND("CMU",Base_report!D1308,1)),SUBSTITUTE(Base_report!D1308,"CMU",""),Base_report!D1308)))))</f>
        <v>HOPITAL GENERAL TIEBISSOU</v>
      </c>
      <c r="E1317" s="14" t="str">
        <f>SUBSTITUTE(Base_report!E1308,"-","/")</f>
        <v>PNSME/MEDICAMENTS ET INTRANTS</v>
      </c>
      <c r="F1317" s="14" t="s">
        <v>788</v>
      </c>
      <c r="G1317" s="16">
        <f>DATE(YEAR(SUBSTITUTE(LEFT(Base_report!F1308,10),"-","/")),MONTH(SUBSTITUTE(LEFT(Base_report!F1308,10),"-","/")),DAY(SUBSTITUTE(LEFT(Base_report!F1308,10),"-","/")))</f>
        <v>45298</v>
      </c>
      <c r="H1317" s="16">
        <f>DATE(YEAR(SUBSTITUTE(LEFT(Base_report!G1308,10),"-","/")),MONTH(SUBSTITUTE(LEFT(Base_report!G1308,10),"-","/")),DAY(SUBSTITUTE(LEFT(Base_report!G1308,10),"-","/")))</f>
        <v>45298</v>
      </c>
      <c r="I1317" s="17" t="str">
        <f t="shared" si="1"/>
        <v>OUI</v>
      </c>
      <c r="J1317" s="18">
        <f>IF(L1317="DS",DATE(RIGHT(B1317,4),VLOOKUP(LEFT(B1317,LEN(B1317)-5),Feuil1!$E$3:$F$19,2,FALSE)+1,10),DATE(RIGHT(B1317,4),VLOOKUP(LEFT(B1317,LEN(B1317)-5),Feuil1!$E$3:$F$19,2,FALSE)+1,7))</f>
        <v>45298</v>
      </c>
      <c r="K1317" s="19">
        <f t="shared" si="2"/>
        <v>1</v>
      </c>
      <c r="L1317" s="6" t="str">
        <f t="shared" si="3"/>
        <v>FS</v>
      </c>
    </row>
    <row r="1318" ht="14.25" customHeight="1">
      <c r="A1318" s="14" t="str">
        <f>Base_report!A1309</f>
        <v>FOLON</v>
      </c>
      <c r="B1318" s="14" t="str">
        <f>Base_report!B1309</f>
        <v>DECEMBRE 2023</v>
      </c>
      <c r="C1318" s="15" t="str">
        <f>Base_report!C1309</f>
        <v>C5038</v>
      </c>
      <c r="D1318" s="14" t="str">
        <f>TRIM(IF(ISNUMBER(FIND("PNSME",Base_report!D1309,1)),SUBSTITUTE(Base_report!D1309,"PNSME",""),IF(ISNUMBER(FIND("PHG",Base_report!D1309,1)),SUBSTITUTE(Base_report!D1309,"PHG",""),IF(ISNUMBER(FIND("PCS",Base_report!D1309,1)),SUBSTITUTE(Base_report!D1309,"PCS",""),IF(ISNUMBER(FIND("CMU",Base_report!D1309,1)),SUBSTITUTE(Base_report!D1309,"CMU",""),Base_report!D1309)))))</f>
        <v>DISTRICT SANITAIRE MINIGNAN</v>
      </c>
      <c r="E1318" s="14" t="str">
        <f>SUBSTITUTE(Base_report!E1309,"-","/")</f>
        <v>PNSME/MEDICAMENTS ET INTRANTS</v>
      </c>
      <c r="F1318" s="14" t="s">
        <v>788</v>
      </c>
      <c r="G1318" s="16">
        <f>DATE(YEAR(SUBSTITUTE(LEFT(Base_report!F1309,10),"-","/")),MONTH(SUBSTITUTE(LEFT(Base_report!F1309,10),"-","/")),DAY(SUBSTITUTE(LEFT(Base_report!F1309,10),"-","/")))</f>
        <v>45299</v>
      </c>
      <c r="H1318" s="16">
        <f>DATE(YEAR(SUBSTITUTE(LEFT(Base_report!G1309,10),"-","/")),MONTH(SUBSTITUTE(LEFT(Base_report!G1309,10),"-","/")),DAY(SUBSTITUTE(LEFT(Base_report!G1309,10),"-","/")))</f>
        <v>45300</v>
      </c>
      <c r="I1318" s="17" t="str">
        <f t="shared" si="1"/>
        <v>OUI</v>
      </c>
      <c r="J1318" s="18">
        <f>IF(L1318="DS",DATE(RIGHT(B1318,4),VLOOKUP(LEFT(B1318,LEN(B1318)-5),Feuil1!$E$3:$F$19,2,FALSE)+1,10),DATE(RIGHT(B1318,4),VLOOKUP(LEFT(B1318,LEN(B1318)-5),Feuil1!$E$3:$F$19,2,FALSE)+1,7))</f>
        <v>45301</v>
      </c>
      <c r="K1318" s="19">
        <f t="shared" si="2"/>
        <v>1</v>
      </c>
      <c r="L1318" s="6" t="str">
        <f t="shared" si="3"/>
        <v>DS</v>
      </c>
    </row>
    <row r="1319" ht="14.25" customHeight="1">
      <c r="A1319" s="14" t="str">
        <f>Base_report!A1310</f>
        <v>CAVALLY</v>
      </c>
      <c r="B1319" s="14" t="str">
        <f>Base_report!B1310</f>
        <v>DECEMBRE 2023</v>
      </c>
      <c r="C1319" s="15" t="str">
        <f>Base_report!C1310</f>
        <v>C5045</v>
      </c>
      <c r="D1319" s="14" t="str">
        <f>TRIM(IF(ISNUMBER(FIND("PNSME",Base_report!D1310,1)),SUBSTITUTE(Base_report!D1310,"PNSME",""),IF(ISNUMBER(FIND("PHG",Base_report!D1310,1)),SUBSTITUTE(Base_report!D1310,"PHG",""),IF(ISNUMBER(FIND("PCS",Base_report!D1310,1)),SUBSTITUTE(Base_report!D1310,"PCS",""),IF(ISNUMBER(FIND("CMU",Base_report!D1310,1)),SUBSTITUTE(Base_report!D1310,"CMU",""),Base_report!D1310)))))</f>
        <v>DISTRICT SANITAIRE BLOLEQUIN</v>
      </c>
      <c r="E1319" s="14" t="str">
        <f>SUBSTITUTE(Base_report!E1310,"-","/")</f>
        <v>PNN/MEDICAMENTS ET INTRANTS</v>
      </c>
      <c r="F1319" s="14" t="s">
        <v>788</v>
      </c>
      <c r="G1319" s="16">
        <f>DATE(YEAR(SUBSTITUTE(LEFT(Base_report!F1310,10),"-","/")),MONTH(SUBSTITUTE(LEFT(Base_report!F1310,10),"-","/")),DAY(SUBSTITUTE(LEFT(Base_report!F1310,10),"-","/")))</f>
        <v>45300</v>
      </c>
      <c r="H1319" s="16">
        <f>DATE(YEAR(SUBSTITUTE(LEFT(Base_report!G1310,10),"-","/")),MONTH(SUBSTITUTE(LEFT(Base_report!G1310,10),"-","/")),DAY(SUBSTITUTE(LEFT(Base_report!G1310,10),"-","/")))</f>
        <v>45301</v>
      </c>
      <c r="I1319" s="17" t="str">
        <f t="shared" si="1"/>
        <v>OUI</v>
      </c>
      <c r="J1319" s="18">
        <f>IF(L1319="DS",DATE(RIGHT(B1319,4),VLOOKUP(LEFT(B1319,LEN(B1319)-5),Feuil1!$E$3:$F$19,2,FALSE)+1,10),DATE(RIGHT(B1319,4),VLOOKUP(LEFT(B1319,LEN(B1319)-5),Feuil1!$E$3:$F$19,2,FALSE)+1,7))</f>
        <v>45301</v>
      </c>
      <c r="K1319" s="19">
        <f t="shared" si="2"/>
        <v>1</v>
      </c>
      <c r="L1319" s="6" t="str">
        <f t="shared" si="3"/>
        <v>DS</v>
      </c>
    </row>
    <row r="1320" ht="14.25" customHeight="1">
      <c r="A1320" s="14" t="str">
        <f>Base_report!A1311</f>
        <v>TONKPI</v>
      </c>
      <c r="B1320" s="14" t="str">
        <f>Base_report!B1311</f>
        <v>DECEMBRE 2023</v>
      </c>
      <c r="C1320" s="15" t="str">
        <f>Base_report!C1311</f>
        <v>C5006</v>
      </c>
      <c r="D1320" s="14" t="str">
        <f>TRIM(IF(ISNUMBER(FIND("PNSME",Base_report!D1311,1)),SUBSTITUTE(Base_report!D1311,"PNSME",""),IF(ISNUMBER(FIND("PHG",Base_report!D1311,1)),SUBSTITUTE(Base_report!D1311,"PHG",""),IF(ISNUMBER(FIND("PCS",Base_report!D1311,1)),SUBSTITUTE(Base_report!D1311,"PCS",""),IF(ISNUMBER(FIND("CMU",Base_report!D1311,1)),SUBSTITUTE(Base_report!D1311,"CMU",""),Base_report!D1311)))))</f>
        <v>HOPITAL GENERAL ZOUAN HOUNIEN</v>
      </c>
      <c r="E1320" s="14" t="str">
        <f>SUBSTITUTE(Base_report!E1311,"-","/")</f>
        <v>PNLS/ANTIRETROVIRAUX ET IO</v>
      </c>
      <c r="F1320" s="14" t="s">
        <v>788</v>
      </c>
      <c r="G1320" s="16">
        <f>DATE(YEAR(SUBSTITUTE(LEFT(Base_report!F1311,10),"-","/")),MONTH(SUBSTITUTE(LEFT(Base_report!F1311,10),"-","/")),DAY(SUBSTITUTE(LEFT(Base_report!F1311,10),"-","/")))</f>
        <v>45298</v>
      </c>
      <c r="H1320" s="16">
        <f>DATE(YEAR(SUBSTITUTE(LEFT(Base_report!G1311,10),"-","/")),MONTH(SUBSTITUTE(LEFT(Base_report!G1311,10),"-","/")),DAY(SUBSTITUTE(LEFT(Base_report!G1311,10),"-","/")))</f>
        <v>45298</v>
      </c>
      <c r="I1320" s="17" t="str">
        <f t="shared" si="1"/>
        <v>OUI</v>
      </c>
      <c r="J1320" s="18">
        <f>IF(L1320="DS",DATE(RIGHT(B1320,4),VLOOKUP(LEFT(B1320,LEN(B1320)-5),Feuil1!$E$3:$F$19,2,FALSE)+1,10),DATE(RIGHT(B1320,4),VLOOKUP(LEFT(B1320,LEN(B1320)-5),Feuil1!$E$3:$F$19,2,FALSE)+1,7))</f>
        <v>45298</v>
      </c>
      <c r="K1320" s="19">
        <f t="shared" si="2"/>
        <v>1</v>
      </c>
      <c r="L1320" s="6" t="str">
        <f t="shared" si="3"/>
        <v>FS</v>
      </c>
    </row>
    <row r="1321" ht="14.25" customHeight="1">
      <c r="A1321" s="14" t="str">
        <f>Base_report!A1312</f>
        <v>CAVALLY</v>
      </c>
      <c r="B1321" s="14" t="str">
        <f>Base_report!B1312</f>
        <v>DECEMBRE 2023</v>
      </c>
      <c r="C1321" s="15" t="str">
        <f>Base_report!C1312</f>
        <v>C5045</v>
      </c>
      <c r="D1321" s="14" t="str">
        <f>TRIM(IF(ISNUMBER(FIND("PNSME",Base_report!D1312,1)),SUBSTITUTE(Base_report!D1312,"PNSME",""),IF(ISNUMBER(FIND("PHG",Base_report!D1312,1)),SUBSTITUTE(Base_report!D1312,"PHG",""),IF(ISNUMBER(FIND("PCS",Base_report!D1312,1)),SUBSTITUTE(Base_report!D1312,"PCS",""),IF(ISNUMBER(FIND("CMU",Base_report!D1312,1)),SUBSTITUTE(Base_report!D1312,"CMU",""),Base_report!D1312)))))</f>
        <v>DISTRICT SANITAIRE BLOLEQUIN</v>
      </c>
      <c r="E1321" s="14" t="str">
        <f>SUBSTITUTE(Base_report!E1312,"-","/")</f>
        <v>PNLS/TESTS RAPIDES ET CONSOMMABLES</v>
      </c>
      <c r="F1321" s="14" t="s">
        <v>788</v>
      </c>
      <c r="G1321" s="16">
        <f>DATE(YEAR(SUBSTITUTE(LEFT(Base_report!F1312,10),"-","/")),MONTH(SUBSTITUTE(LEFT(Base_report!F1312,10),"-","/")),DAY(SUBSTITUTE(LEFT(Base_report!F1312,10),"-","/")))</f>
        <v>45300</v>
      </c>
      <c r="H1321" s="16">
        <f>DATE(YEAR(SUBSTITUTE(LEFT(Base_report!G1312,10),"-","/")),MONTH(SUBSTITUTE(LEFT(Base_report!G1312,10),"-","/")),DAY(SUBSTITUTE(LEFT(Base_report!G1312,10),"-","/")))</f>
        <v>45301</v>
      </c>
      <c r="I1321" s="17" t="str">
        <f t="shared" si="1"/>
        <v>OUI</v>
      </c>
      <c r="J1321" s="18">
        <f>IF(L1321="DS",DATE(RIGHT(B1321,4),VLOOKUP(LEFT(B1321,LEN(B1321)-5),Feuil1!$E$3:$F$19,2,FALSE)+1,10),DATE(RIGHT(B1321,4),VLOOKUP(LEFT(B1321,LEN(B1321)-5),Feuil1!$E$3:$F$19,2,FALSE)+1,7))</f>
        <v>45301</v>
      </c>
      <c r="K1321" s="19">
        <f t="shared" si="2"/>
        <v>1</v>
      </c>
      <c r="L1321" s="6" t="str">
        <f t="shared" si="3"/>
        <v>DS</v>
      </c>
    </row>
    <row r="1322" ht="14.25" customHeight="1">
      <c r="A1322" s="14" t="str">
        <f>Base_report!A1313</f>
        <v>BELIER</v>
      </c>
      <c r="B1322" s="14" t="str">
        <f>Base_report!B1313</f>
        <v>DECEMBRE 2023</v>
      </c>
      <c r="C1322" s="15" t="str">
        <f>Base_report!C1313</f>
        <v>C2051</v>
      </c>
      <c r="D1322" s="14" t="str">
        <f>TRIM(IF(ISNUMBER(FIND("PNSME",Base_report!D1313,1)),SUBSTITUTE(Base_report!D1313,"PNSME",""),IF(ISNUMBER(FIND("PHG",Base_report!D1313,1)),SUBSTITUTE(Base_report!D1313,"PHG",""),IF(ISNUMBER(FIND("PCS",Base_report!D1313,1)),SUBSTITUTE(Base_report!D1313,"PCS",""),IF(ISNUMBER(FIND("CMU",Base_report!D1313,1)),SUBSTITUTE(Base_report!D1313,"CMU",""),Base_report!D1313)))))</f>
        <v>HOPITAL GENERAL DIDIEVI</v>
      </c>
      <c r="E1322" s="14" t="str">
        <f>SUBSTITUTE(Base_report!E1313,"-","/")</f>
        <v>PNLP/MEDICAMENTS ET INTRANTS</v>
      </c>
      <c r="F1322" s="14" t="s">
        <v>788</v>
      </c>
      <c r="G1322" s="16">
        <f>DATE(YEAR(SUBSTITUTE(LEFT(Base_report!F1313,10),"-","/")),MONTH(SUBSTITUTE(LEFT(Base_report!F1313,10),"-","/")),DAY(SUBSTITUTE(LEFT(Base_report!F1313,10),"-","/")))</f>
        <v>45298</v>
      </c>
      <c r="H1322" s="16">
        <f>DATE(YEAR(SUBSTITUTE(LEFT(Base_report!G1313,10),"-","/")),MONTH(SUBSTITUTE(LEFT(Base_report!G1313,10),"-","/")),DAY(SUBSTITUTE(LEFT(Base_report!G1313,10),"-","/")))</f>
        <v>45298</v>
      </c>
      <c r="I1322" s="17" t="str">
        <f t="shared" si="1"/>
        <v>OUI</v>
      </c>
      <c r="J1322" s="18">
        <f>IF(L1322="DS",DATE(RIGHT(B1322,4),VLOOKUP(LEFT(B1322,LEN(B1322)-5),Feuil1!$E$3:$F$19,2,FALSE)+1,10),DATE(RIGHT(B1322,4),VLOOKUP(LEFT(B1322,LEN(B1322)-5),Feuil1!$E$3:$F$19,2,FALSE)+1,7))</f>
        <v>45298</v>
      </c>
      <c r="K1322" s="19">
        <f t="shared" si="2"/>
        <v>1</v>
      </c>
      <c r="L1322" s="6" t="str">
        <f t="shared" si="3"/>
        <v>FS</v>
      </c>
    </row>
    <row r="1323" ht="14.25" customHeight="1">
      <c r="A1323" s="14" t="str">
        <f>Base_report!A1314</f>
        <v>GUEMON</v>
      </c>
      <c r="B1323" s="14" t="str">
        <f>Base_report!B1314</f>
        <v>DECEMBRE 2023</v>
      </c>
      <c r="C1323" s="15" t="str">
        <f>Base_report!C1314</f>
        <v>C5010</v>
      </c>
      <c r="D1323" s="14" t="str">
        <f>TRIM(IF(ISNUMBER(FIND("PNSME",Base_report!D1314,1)),SUBSTITUTE(Base_report!D1314,"PNSME",""),IF(ISNUMBER(FIND("PHG",Base_report!D1314,1)),SUBSTITUTE(Base_report!D1314,"PHG",""),IF(ISNUMBER(FIND("PCS",Base_report!D1314,1)),SUBSTITUTE(Base_report!D1314,"PCS",""),IF(ISNUMBER(FIND("CMU",Base_report!D1314,1)),SUBSTITUTE(Base_report!D1314,"CMU",""),Base_report!D1314)))))</f>
        <v>DISTRICT SANITAIRE DUEKOUE</v>
      </c>
      <c r="E1323" s="14" t="str">
        <f>SUBSTITUTE(Base_report!E1314,"-","/")</f>
        <v>PNLP/MEDICAMENTS ET INTRANTS</v>
      </c>
      <c r="F1323" s="14" t="s">
        <v>788</v>
      </c>
      <c r="G1323" s="16">
        <f>DATE(YEAR(SUBSTITUTE(LEFT(Base_report!F1314,10),"-","/")),MONTH(SUBSTITUTE(LEFT(Base_report!F1314,10),"-","/")),DAY(SUBSTITUTE(LEFT(Base_report!F1314,10),"-","/")))</f>
        <v>45301</v>
      </c>
      <c r="H1323" s="16">
        <f>DATE(YEAR(SUBSTITUTE(LEFT(Base_report!G1314,10),"-","/")),MONTH(SUBSTITUTE(LEFT(Base_report!G1314,10),"-","/")),DAY(SUBSTITUTE(LEFT(Base_report!G1314,10),"-","/")))</f>
        <v>45301</v>
      </c>
      <c r="I1323" s="17" t="str">
        <f t="shared" si="1"/>
        <v>OUI</v>
      </c>
      <c r="J1323" s="18">
        <f>IF(L1323="DS",DATE(RIGHT(B1323,4),VLOOKUP(LEFT(B1323,LEN(B1323)-5),Feuil1!$E$3:$F$19,2,FALSE)+1,10),DATE(RIGHT(B1323,4),VLOOKUP(LEFT(B1323,LEN(B1323)-5),Feuil1!$E$3:$F$19,2,FALSE)+1,7))</f>
        <v>45301</v>
      </c>
      <c r="K1323" s="19">
        <f t="shared" si="2"/>
        <v>1</v>
      </c>
      <c r="L1323" s="6" t="str">
        <f t="shared" si="3"/>
        <v>DS</v>
      </c>
    </row>
    <row r="1324" ht="14.25" customHeight="1">
      <c r="A1324" s="14" t="str">
        <f>Base_report!A1315</f>
        <v>BELIER</v>
      </c>
      <c r="B1324" s="14" t="str">
        <f>Base_report!B1315</f>
        <v>DECEMBRE 2023</v>
      </c>
      <c r="C1324" s="15" t="str">
        <f>Base_report!C1315</f>
        <v>C2051</v>
      </c>
      <c r="D1324" s="14" t="str">
        <f>TRIM(IF(ISNUMBER(FIND("PNSME",Base_report!D1315,1)),SUBSTITUTE(Base_report!D1315,"PNSME",""),IF(ISNUMBER(FIND("PHG",Base_report!D1315,1)),SUBSTITUTE(Base_report!D1315,"PHG",""),IF(ISNUMBER(FIND("PCS",Base_report!D1315,1)),SUBSTITUTE(Base_report!D1315,"PCS",""),IF(ISNUMBER(FIND("CMU",Base_report!D1315,1)),SUBSTITUTE(Base_report!D1315,"CMU",""),Base_report!D1315)))))</f>
        <v>HOPITAL GENERAL DIDIEVI</v>
      </c>
      <c r="E1324" s="14" t="str">
        <f>SUBSTITUTE(Base_report!E1315,"-","/")</f>
        <v>PNLS/TESTS RAPIDES ET CONSOMMABLES</v>
      </c>
      <c r="F1324" s="14" t="s">
        <v>788</v>
      </c>
      <c r="G1324" s="16">
        <f>DATE(YEAR(SUBSTITUTE(LEFT(Base_report!F1315,10),"-","/")),MONTH(SUBSTITUTE(LEFT(Base_report!F1315,10),"-","/")),DAY(SUBSTITUTE(LEFT(Base_report!F1315,10),"-","/")))</f>
        <v>45298</v>
      </c>
      <c r="H1324" s="16">
        <f>DATE(YEAR(SUBSTITUTE(LEFT(Base_report!G1315,10),"-","/")),MONTH(SUBSTITUTE(LEFT(Base_report!G1315,10),"-","/")),DAY(SUBSTITUTE(LEFT(Base_report!G1315,10),"-","/")))</f>
        <v>45298</v>
      </c>
      <c r="I1324" s="17" t="str">
        <f t="shared" si="1"/>
        <v>OUI</v>
      </c>
      <c r="J1324" s="18">
        <f>IF(L1324="DS",DATE(RIGHT(B1324,4),VLOOKUP(LEFT(B1324,LEN(B1324)-5),Feuil1!$E$3:$F$19,2,FALSE)+1,10),DATE(RIGHT(B1324,4),VLOOKUP(LEFT(B1324,LEN(B1324)-5),Feuil1!$E$3:$F$19,2,FALSE)+1,7))</f>
        <v>45298</v>
      </c>
      <c r="K1324" s="19">
        <f t="shared" si="2"/>
        <v>1</v>
      </c>
      <c r="L1324" s="6" t="str">
        <f t="shared" si="3"/>
        <v>FS</v>
      </c>
    </row>
    <row r="1325" ht="14.25" customHeight="1">
      <c r="A1325" s="14" t="str">
        <f>Base_report!A1316</f>
        <v>ABIDJAN 1</v>
      </c>
      <c r="B1325" s="14" t="str">
        <f>Base_report!B1316</f>
        <v>DECEMBRE 2023</v>
      </c>
      <c r="C1325" s="15" t="str">
        <f>Base_report!C1316</f>
        <v>C1084</v>
      </c>
      <c r="D1325" s="14" t="str">
        <f>TRIM(IF(ISNUMBER(FIND("PNSME",Base_report!D1316,1)),SUBSTITUTE(Base_report!D1316,"PNSME",""),IF(ISNUMBER(FIND("PHG",Base_report!D1316,1)),SUBSTITUTE(Base_report!D1316,"PHG",""),IF(ISNUMBER(FIND("PCS",Base_report!D1316,1)),SUBSTITUTE(Base_report!D1316,"PCS",""),IF(ISNUMBER(FIND("CMU",Base_report!D1316,1)),SUBSTITUTE(Base_report!D1316,"CMU",""),Base_report!D1316)))))</f>
        <v>HOPITAL GENERAL ANYAMA</v>
      </c>
      <c r="E1325" s="14" t="str">
        <f>SUBSTITUTE(Base_report!E1316,"-","/")</f>
        <v>PNN/MEDICAMENTS ET INTRANTS</v>
      </c>
      <c r="F1325" s="14" t="s">
        <v>788</v>
      </c>
      <c r="G1325" s="16">
        <f>DATE(YEAR(SUBSTITUTE(LEFT(Base_report!F1316,10),"-","/")),MONTH(SUBSTITUTE(LEFT(Base_report!F1316,10),"-","/")),DAY(SUBSTITUTE(LEFT(Base_report!F1316,10),"-","/")))</f>
        <v>45298</v>
      </c>
      <c r="H1325" s="16">
        <f>DATE(YEAR(SUBSTITUTE(LEFT(Base_report!G1316,10),"-","/")),MONTH(SUBSTITUTE(LEFT(Base_report!G1316,10),"-","/")),DAY(SUBSTITUTE(LEFT(Base_report!G1316,10),"-","/")))</f>
        <v>45298</v>
      </c>
      <c r="I1325" s="17" t="str">
        <f t="shared" si="1"/>
        <v>OUI</v>
      </c>
      <c r="J1325" s="18">
        <f>IF(L1325="DS",DATE(RIGHT(B1325,4),VLOOKUP(LEFT(B1325,LEN(B1325)-5),Feuil1!$E$3:$F$19,2,FALSE)+1,10),DATE(RIGHT(B1325,4),VLOOKUP(LEFT(B1325,LEN(B1325)-5),Feuil1!$E$3:$F$19,2,FALSE)+1,7))</f>
        <v>45298</v>
      </c>
      <c r="K1325" s="19">
        <f t="shared" si="2"/>
        <v>1</v>
      </c>
      <c r="L1325" s="6" t="str">
        <f t="shared" si="3"/>
        <v>FS</v>
      </c>
    </row>
    <row r="1326" ht="14.25" customHeight="1">
      <c r="A1326" s="14" t="str">
        <f>Base_report!A1317</f>
        <v>BELIER</v>
      </c>
      <c r="B1326" s="14" t="str">
        <f>Base_report!B1317</f>
        <v>DECEMBRE 2023</v>
      </c>
      <c r="C1326" s="15" t="str">
        <f>Base_report!C1317</f>
        <v>C2051</v>
      </c>
      <c r="D1326" s="14" t="str">
        <f>TRIM(IF(ISNUMBER(FIND("PNSME",Base_report!D1317,1)),SUBSTITUTE(Base_report!D1317,"PNSME",""),IF(ISNUMBER(FIND("PHG",Base_report!D1317,1)),SUBSTITUTE(Base_report!D1317,"PHG",""),IF(ISNUMBER(FIND("PCS",Base_report!D1317,1)),SUBSTITUTE(Base_report!D1317,"PCS",""),IF(ISNUMBER(FIND("CMU",Base_report!D1317,1)),SUBSTITUTE(Base_report!D1317,"CMU",""),Base_report!D1317)))))</f>
        <v>HOPITAL GENERAL DIDIEVI</v>
      </c>
      <c r="E1326" s="14" t="str">
        <f>SUBSTITUTE(Base_report!E1317,"-","/")</f>
        <v>PNLS/PRODUITS DE LABORATOIRE</v>
      </c>
      <c r="F1326" s="14" t="s">
        <v>788</v>
      </c>
      <c r="G1326" s="16">
        <f>DATE(YEAR(SUBSTITUTE(LEFT(Base_report!F1317,10),"-","/")),MONTH(SUBSTITUTE(LEFT(Base_report!F1317,10),"-","/")),DAY(SUBSTITUTE(LEFT(Base_report!F1317,10),"-","/")))</f>
        <v>45298</v>
      </c>
      <c r="H1326" s="16">
        <f>DATE(YEAR(SUBSTITUTE(LEFT(Base_report!G1317,10),"-","/")),MONTH(SUBSTITUTE(LEFT(Base_report!G1317,10),"-","/")),DAY(SUBSTITUTE(LEFT(Base_report!G1317,10),"-","/")))</f>
        <v>45298</v>
      </c>
      <c r="I1326" s="17" t="str">
        <f t="shared" si="1"/>
        <v>OUI</v>
      </c>
      <c r="J1326" s="18">
        <f>IF(L1326="DS",DATE(RIGHT(B1326,4),VLOOKUP(LEFT(B1326,LEN(B1326)-5),Feuil1!$E$3:$F$19,2,FALSE)+1,10),DATE(RIGHT(B1326,4),VLOOKUP(LEFT(B1326,LEN(B1326)-5),Feuil1!$E$3:$F$19,2,FALSE)+1,7))</f>
        <v>45298</v>
      </c>
      <c r="K1326" s="19">
        <f t="shared" si="2"/>
        <v>1</v>
      </c>
      <c r="L1326" s="6" t="str">
        <f t="shared" si="3"/>
        <v>FS</v>
      </c>
    </row>
    <row r="1327" ht="14.25" customHeight="1">
      <c r="A1327" s="14" t="str">
        <f>Base_report!A1318</f>
        <v>BAFING</v>
      </c>
      <c r="B1327" s="14" t="str">
        <f>Base_report!B1318</f>
        <v>DECEMBRE 2023</v>
      </c>
      <c r="C1327" s="15" t="str">
        <f>Base_report!C1318</f>
        <v>C5076</v>
      </c>
      <c r="D1327" s="14" t="str">
        <f>TRIM(IF(ISNUMBER(FIND("PNSME",Base_report!D1318,1)),SUBSTITUTE(Base_report!D1318,"PNSME",""),IF(ISNUMBER(FIND("PHG",Base_report!D1318,1)),SUBSTITUTE(Base_report!D1318,"PHG",""),IF(ISNUMBER(FIND("PCS",Base_report!D1318,1)),SUBSTITUTE(Base_report!D1318,"PCS",""),IF(ISNUMBER(FIND("CMU",Base_report!D1318,1)),SUBSTITUTE(Base_report!D1318,"CMU",""),Base_report!D1318)))))</f>
        <v>HOPITAL GENERAL KORO</v>
      </c>
      <c r="E1327" s="14" t="str">
        <f>SUBSTITUTE(Base_report!E1318,"-","/")</f>
        <v>PNLS/TESTS RAPIDES ET CONSOMMABLES</v>
      </c>
      <c r="F1327" s="14" t="s">
        <v>788</v>
      </c>
      <c r="G1327" s="16">
        <f>DATE(YEAR(SUBSTITUTE(LEFT(Base_report!F1318,10),"-","/")),MONTH(SUBSTITUTE(LEFT(Base_report!F1318,10),"-","/")),DAY(SUBSTITUTE(LEFT(Base_report!F1318,10),"-","/")))</f>
        <v>45298</v>
      </c>
      <c r="H1327" s="16">
        <f>DATE(YEAR(SUBSTITUTE(LEFT(Base_report!G1318,10),"-","/")),MONTH(SUBSTITUTE(LEFT(Base_report!G1318,10),"-","/")),DAY(SUBSTITUTE(LEFT(Base_report!G1318,10),"-","/")))</f>
        <v>45298</v>
      </c>
      <c r="I1327" s="17" t="str">
        <f t="shared" si="1"/>
        <v>OUI</v>
      </c>
      <c r="J1327" s="18">
        <f>IF(L1327="DS",DATE(RIGHT(B1327,4),VLOOKUP(LEFT(B1327,LEN(B1327)-5),Feuil1!$E$3:$F$19,2,FALSE)+1,10),DATE(RIGHT(B1327,4),VLOOKUP(LEFT(B1327,LEN(B1327)-5),Feuil1!$E$3:$F$19,2,FALSE)+1,7))</f>
        <v>45298</v>
      </c>
      <c r="K1327" s="19">
        <f t="shared" si="2"/>
        <v>1</v>
      </c>
      <c r="L1327" s="6" t="str">
        <f t="shared" si="3"/>
        <v>FS</v>
      </c>
    </row>
    <row r="1328" ht="14.25" customHeight="1">
      <c r="A1328" s="14" t="str">
        <f>Base_report!A1319</f>
        <v>FOLON</v>
      </c>
      <c r="B1328" s="14" t="str">
        <f>Base_report!B1319</f>
        <v>DECEMBRE 2023</v>
      </c>
      <c r="C1328" s="15" t="str">
        <f>Base_report!C1319</f>
        <v>C5082</v>
      </c>
      <c r="D1328" s="14" t="str">
        <f>TRIM(IF(ISNUMBER(FIND("PNSME",Base_report!D1319,1)),SUBSTITUTE(Base_report!D1319,"PNSME",""),IF(ISNUMBER(FIND("PHG",Base_report!D1319,1)),SUBSTITUTE(Base_report!D1319,"PHG",""),IF(ISNUMBER(FIND("PCS",Base_report!D1319,1)),SUBSTITUTE(Base_report!D1319,"PCS",""),IF(ISNUMBER(FIND("CMU",Base_report!D1319,1)),SUBSTITUTE(Base_report!D1319,"CMU",""),Base_report!D1319)))))</f>
        <v>DISTRICT SANITAIRE KANIASSO</v>
      </c>
      <c r="E1328" s="14" t="str">
        <f>SUBSTITUTE(Base_report!E1319,"-","/")</f>
        <v>PNSME/MEDICAMENTS ET INTRANTS</v>
      </c>
      <c r="F1328" s="14" t="s">
        <v>788</v>
      </c>
      <c r="G1328" s="16">
        <f>DATE(YEAR(SUBSTITUTE(LEFT(Base_report!F1319,10),"-","/")),MONTH(SUBSTITUTE(LEFT(Base_report!F1319,10),"-","/")),DAY(SUBSTITUTE(LEFT(Base_report!F1319,10),"-","/")))</f>
        <v>45298</v>
      </c>
      <c r="H1328" s="16">
        <f>DATE(YEAR(SUBSTITUTE(LEFT(Base_report!G1319,10),"-","/")),MONTH(SUBSTITUTE(LEFT(Base_report!G1319,10),"-","/")),DAY(SUBSTITUTE(LEFT(Base_report!G1319,10),"-","/")))</f>
        <v>45298</v>
      </c>
      <c r="I1328" s="17" t="str">
        <f t="shared" si="1"/>
        <v>OUI</v>
      </c>
      <c r="J1328" s="18">
        <f>IF(L1328="DS",DATE(RIGHT(B1328,4),VLOOKUP(LEFT(B1328,LEN(B1328)-5),Feuil1!$E$3:$F$19,2,FALSE)+1,10),DATE(RIGHT(B1328,4),VLOOKUP(LEFT(B1328,LEN(B1328)-5),Feuil1!$E$3:$F$19,2,FALSE)+1,7))</f>
        <v>45301</v>
      </c>
      <c r="K1328" s="19">
        <f t="shared" si="2"/>
        <v>1</v>
      </c>
      <c r="L1328" s="6" t="str">
        <f t="shared" si="3"/>
        <v>DS</v>
      </c>
    </row>
    <row r="1329" ht="14.25" customHeight="1">
      <c r="A1329" s="14" t="str">
        <f>Base_report!A1320</f>
        <v>BAFING</v>
      </c>
      <c r="B1329" s="14" t="str">
        <f>Base_report!B1320</f>
        <v>DECEMBRE 2023</v>
      </c>
      <c r="C1329" s="15" t="str">
        <f>Base_report!C1320</f>
        <v>C5076</v>
      </c>
      <c r="D1329" s="14" t="str">
        <f>TRIM(IF(ISNUMBER(FIND("PNSME",Base_report!D1320,1)),SUBSTITUTE(Base_report!D1320,"PNSME",""),IF(ISNUMBER(FIND("PHG",Base_report!D1320,1)),SUBSTITUTE(Base_report!D1320,"PHG",""),IF(ISNUMBER(FIND("PCS",Base_report!D1320,1)),SUBSTITUTE(Base_report!D1320,"PCS",""),IF(ISNUMBER(FIND("CMU",Base_report!D1320,1)),SUBSTITUTE(Base_report!D1320,"CMU",""),Base_report!D1320)))))</f>
        <v>HOPITAL GENERAL KORO</v>
      </c>
      <c r="E1329" s="14" t="str">
        <f>SUBSTITUTE(Base_report!E1320,"-","/")</f>
        <v>PNN/MEDICAMENTS ET INTRANTS</v>
      </c>
      <c r="F1329" s="14" t="s">
        <v>788</v>
      </c>
      <c r="G1329" s="16">
        <f>DATE(YEAR(SUBSTITUTE(LEFT(Base_report!F1320,10),"-","/")),MONTH(SUBSTITUTE(LEFT(Base_report!F1320,10),"-","/")),DAY(SUBSTITUTE(LEFT(Base_report!F1320,10),"-","/")))</f>
        <v>45298</v>
      </c>
      <c r="H1329" s="16">
        <f>DATE(YEAR(SUBSTITUTE(LEFT(Base_report!G1320,10),"-","/")),MONTH(SUBSTITUTE(LEFT(Base_report!G1320,10),"-","/")),DAY(SUBSTITUTE(LEFT(Base_report!G1320,10),"-","/")))</f>
        <v>45298</v>
      </c>
      <c r="I1329" s="17" t="str">
        <f t="shared" si="1"/>
        <v>OUI</v>
      </c>
      <c r="J1329" s="18">
        <f>IF(L1329="DS",DATE(RIGHT(B1329,4),VLOOKUP(LEFT(B1329,LEN(B1329)-5),Feuil1!$E$3:$F$19,2,FALSE)+1,10),DATE(RIGHT(B1329,4),VLOOKUP(LEFT(B1329,LEN(B1329)-5),Feuil1!$E$3:$F$19,2,FALSE)+1,7))</f>
        <v>45298</v>
      </c>
      <c r="K1329" s="19">
        <f t="shared" si="2"/>
        <v>1</v>
      </c>
      <c r="L1329" s="6" t="str">
        <f t="shared" si="3"/>
        <v>FS</v>
      </c>
    </row>
    <row r="1330" ht="14.25" customHeight="1">
      <c r="A1330" s="14" t="str">
        <f>Base_report!A1321</f>
        <v>BAFING</v>
      </c>
      <c r="B1330" s="14" t="str">
        <f>Base_report!B1321</f>
        <v>DECEMBRE 2023</v>
      </c>
      <c r="C1330" s="15" t="str">
        <f>Base_report!C1321</f>
        <v>C5076</v>
      </c>
      <c r="D1330" s="14" t="str">
        <f>TRIM(IF(ISNUMBER(FIND("PNSME",Base_report!D1321,1)),SUBSTITUTE(Base_report!D1321,"PNSME",""),IF(ISNUMBER(FIND("PHG",Base_report!D1321,1)),SUBSTITUTE(Base_report!D1321,"PHG",""),IF(ISNUMBER(FIND("PCS",Base_report!D1321,1)),SUBSTITUTE(Base_report!D1321,"PCS",""),IF(ISNUMBER(FIND("CMU",Base_report!D1321,1)),SUBSTITUTE(Base_report!D1321,"CMU",""),Base_report!D1321)))))</f>
        <v>HOPITAL GENERAL KORO</v>
      </c>
      <c r="E1330" s="14" t="str">
        <f>SUBSTITUTE(Base_report!E1321,"-","/")</f>
        <v>PNSME/MEDICAMENTS ET INTRANTS</v>
      </c>
      <c r="F1330" s="14" t="s">
        <v>788</v>
      </c>
      <c r="G1330" s="16">
        <f>DATE(YEAR(SUBSTITUTE(LEFT(Base_report!F1321,10),"-","/")),MONTH(SUBSTITUTE(LEFT(Base_report!F1321,10),"-","/")),DAY(SUBSTITUTE(LEFT(Base_report!F1321,10),"-","/")))</f>
        <v>45298</v>
      </c>
      <c r="H1330" s="16">
        <f>DATE(YEAR(SUBSTITUTE(LEFT(Base_report!G1321,10),"-","/")),MONTH(SUBSTITUTE(LEFT(Base_report!G1321,10),"-","/")),DAY(SUBSTITUTE(LEFT(Base_report!G1321,10),"-","/")))</f>
        <v>45298</v>
      </c>
      <c r="I1330" s="17" t="str">
        <f t="shared" si="1"/>
        <v>OUI</v>
      </c>
      <c r="J1330" s="18">
        <f>IF(L1330="DS",DATE(RIGHT(B1330,4),VLOOKUP(LEFT(B1330,LEN(B1330)-5),Feuil1!$E$3:$F$19,2,FALSE)+1,10),DATE(RIGHT(B1330,4),VLOOKUP(LEFT(B1330,LEN(B1330)-5),Feuil1!$E$3:$F$19,2,FALSE)+1,7))</f>
        <v>45298</v>
      </c>
      <c r="K1330" s="19">
        <f t="shared" si="2"/>
        <v>1</v>
      </c>
      <c r="L1330" s="6" t="str">
        <f t="shared" si="3"/>
        <v>FS</v>
      </c>
    </row>
    <row r="1331" ht="14.25" customHeight="1">
      <c r="A1331" s="14" t="str">
        <f>Base_report!#REF!</f>
        <v>#ERROR!</v>
      </c>
      <c r="B1331" s="14" t="str">
        <f>Base_report!#REF!</f>
        <v>#ERROR!</v>
      </c>
      <c r="C1331" s="15" t="str">
        <f>Base_report!#REF!</f>
        <v>#ERROR!</v>
      </c>
      <c r="D1331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331" s="14" t="str">
        <f>SUBSTITUTE(Base_report!#REF!,"-","/")</f>
        <v>#ERROR!</v>
      </c>
      <c r="F1331" s="14" t="s">
        <v>788</v>
      </c>
      <c r="G1331" s="16" t="str">
        <f>DATE(YEAR(SUBSTITUTE(LEFT(Base_report!#REF!,10),"-","/")),MONTH(SUBSTITUTE(LEFT(Base_report!#REF!,10),"-","/")),DAY(SUBSTITUTE(LEFT(Base_report!#REF!,10),"-","/")))</f>
        <v>#ERROR!</v>
      </c>
      <c r="H1331" s="16" t="str">
        <f>DATE(YEAR(SUBSTITUTE(LEFT(Base_report!#REF!,10),"-","/")),MONTH(SUBSTITUTE(LEFT(Base_report!#REF!,10),"-","/")),DAY(SUBSTITUTE(LEFT(Base_report!#REF!,10),"-","/")))</f>
        <v>#ERROR!</v>
      </c>
      <c r="I1331" s="17" t="str">
        <f t="shared" si="1"/>
        <v>OUI</v>
      </c>
      <c r="J1331" s="18" t="str">
        <f>IF(L1331="DS",DATE(RIGHT(B1331,4),VLOOKUP(LEFT(B1331,LEN(B1331)-5),Feuil1!$E$3:$F$19,2,FALSE)+1,10),DATE(RIGHT(B1331,4),VLOOKUP(LEFT(B1331,LEN(B1331)-5),Feuil1!$E$3:$F$19,2,FALSE)+1,7))</f>
        <v>#ERROR!</v>
      </c>
      <c r="K1331" s="19" t="str">
        <f t="shared" si="2"/>
        <v>#ERROR!</v>
      </c>
      <c r="L1331" s="6" t="str">
        <f t="shared" si="3"/>
        <v>FS</v>
      </c>
    </row>
    <row r="1332" ht="14.25" customHeight="1">
      <c r="A1332" s="14" t="str">
        <f>Base_report!A1322</f>
        <v>N'ZI</v>
      </c>
      <c r="B1332" s="14" t="str">
        <f>Base_report!B1322</f>
        <v>DECEMBRE 2023</v>
      </c>
      <c r="C1332" s="15" t="str">
        <f>Base_report!C1322</f>
        <v>C2004</v>
      </c>
      <c r="D1332" s="14" t="str">
        <f>TRIM(IF(ISNUMBER(FIND("PNSME",Base_report!D1322,1)),SUBSTITUTE(Base_report!D1322,"PNSME",""),IF(ISNUMBER(FIND("PHG",Base_report!D1322,1)),SUBSTITUTE(Base_report!D1322,"PHG",""),IF(ISNUMBER(FIND("PCS",Base_report!D1322,1)),SUBSTITUTE(Base_report!D1322,"PCS",""),IF(ISNUMBER(FIND("CMU",Base_report!D1322,1)),SUBSTITUTE(Base_report!D1322,"CMU",""),Base_report!D1322)))))</f>
        <v>CHR DIMBOKRO</v>
      </c>
      <c r="E1332" s="14" t="str">
        <f>SUBSTITUTE(Base_report!E1322,"-","/")</f>
        <v>PNLS/CHARGES VIRALES</v>
      </c>
      <c r="F1332" s="14" t="s">
        <v>788</v>
      </c>
      <c r="G1332" s="16">
        <f>DATE(YEAR(SUBSTITUTE(LEFT(Base_report!F1322,10),"-","/")),MONTH(SUBSTITUTE(LEFT(Base_report!F1322,10),"-","/")),DAY(SUBSTITUTE(LEFT(Base_report!F1322,10),"-","/")))</f>
        <v>45298</v>
      </c>
      <c r="H1332" s="16">
        <f>DATE(YEAR(SUBSTITUTE(LEFT(Base_report!G1322,10),"-","/")),MONTH(SUBSTITUTE(LEFT(Base_report!G1322,10),"-","/")),DAY(SUBSTITUTE(LEFT(Base_report!G1322,10),"-","/")))</f>
        <v>45298</v>
      </c>
      <c r="I1332" s="17" t="str">
        <f t="shared" si="1"/>
        <v>OUI</v>
      </c>
      <c r="J1332" s="18">
        <f>IF(L1332="DS",DATE(RIGHT(B1332,4),VLOOKUP(LEFT(B1332,LEN(B1332)-5),Feuil1!$E$3:$F$19,2,FALSE)+1,10),DATE(RIGHT(B1332,4),VLOOKUP(LEFT(B1332,LEN(B1332)-5),Feuil1!$E$3:$F$19,2,FALSE)+1,7))</f>
        <v>45298</v>
      </c>
      <c r="K1332" s="19">
        <f t="shared" si="2"/>
        <v>1</v>
      </c>
      <c r="L1332" s="6" t="str">
        <f t="shared" si="3"/>
        <v>FS</v>
      </c>
    </row>
    <row r="1333" ht="14.25" customHeight="1">
      <c r="A1333" s="14" t="str">
        <f>Base_report!A1323</f>
        <v>KABADOUGOU</v>
      </c>
      <c r="B1333" s="14" t="str">
        <f>Base_report!B1323</f>
        <v>DECEMBRE 2023</v>
      </c>
      <c r="C1333" s="15" t="str">
        <f>Base_report!C1323</f>
        <v>C5063</v>
      </c>
      <c r="D1333" s="14" t="str">
        <f>TRIM(IF(ISNUMBER(FIND("PNSME",Base_report!D1323,1)),SUBSTITUTE(Base_report!D1323,"PNSME",""),IF(ISNUMBER(FIND("PHG",Base_report!D1323,1)),SUBSTITUTE(Base_report!D1323,"PHG",""),IF(ISNUMBER(FIND("PCS",Base_report!D1323,1)),SUBSTITUTE(Base_report!D1323,"PCS",""),IF(ISNUMBER(FIND("CMU",Base_report!D1323,1)),SUBSTITUTE(Base_report!D1323,"CMU",""),Base_report!D1323)))))</f>
        <v>HOPITAL GENERAL DE MADINANI</v>
      </c>
      <c r="E1333" s="14" t="str">
        <f>SUBSTITUTE(Base_report!E1323,"-","/")</f>
        <v>PNSME/MEDICAMENTS ET INTRANTS</v>
      </c>
      <c r="F1333" s="14" t="s">
        <v>788</v>
      </c>
      <c r="G1333" s="16">
        <f>DATE(YEAR(SUBSTITUTE(LEFT(Base_report!F1323,10),"-","/")),MONTH(SUBSTITUTE(LEFT(Base_report!F1323,10),"-","/")),DAY(SUBSTITUTE(LEFT(Base_report!F1323,10),"-","/")))</f>
        <v>45298</v>
      </c>
      <c r="H1333" s="16">
        <f>DATE(YEAR(SUBSTITUTE(LEFT(Base_report!G1323,10),"-","/")),MONTH(SUBSTITUTE(LEFT(Base_report!G1323,10),"-","/")),DAY(SUBSTITUTE(LEFT(Base_report!G1323,10),"-","/")))</f>
        <v>45298</v>
      </c>
      <c r="I1333" s="17" t="str">
        <f t="shared" si="1"/>
        <v>OUI</v>
      </c>
      <c r="J1333" s="18">
        <f>IF(L1333="DS",DATE(RIGHT(B1333,4),VLOOKUP(LEFT(B1333,LEN(B1333)-5),Feuil1!$E$3:$F$19,2,FALSE)+1,10),DATE(RIGHT(B1333,4),VLOOKUP(LEFT(B1333,LEN(B1333)-5),Feuil1!$E$3:$F$19,2,FALSE)+1,7))</f>
        <v>45298</v>
      </c>
      <c r="K1333" s="19">
        <f t="shared" si="2"/>
        <v>1</v>
      </c>
      <c r="L1333" s="6" t="str">
        <f t="shared" si="3"/>
        <v>FS</v>
      </c>
    </row>
    <row r="1334" ht="14.25" customHeight="1">
      <c r="A1334" s="14" t="str">
        <f>Base_report!A1324</f>
        <v>HAMBOL</v>
      </c>
      <c r="B1334" s="14" t="str">
        <f>Base_report!B1324</f>
        <v>DECEMBRE 2023</v>
      </c>
      <c r="C1334" s="15" t="str">
        <f>Base_report!C1324</f>
        <v>C3022</v>
      </c>
      <c r="D1334" s="14" t="str">
        <f>TRIM(IF(ISNUMBER(FIND("PNSME",Base_report!D1324,1)),SUBSTITUTE(Base_report!D1324,"PNSME",""),IF(ISNUMBER(FIND("PHG",Base_report!D1324,1)),SUBSTITUTE(Base_report!D1324,"PHG",""),IF(ISNUMBER(FIND("PCS",Base_report!D1324,1)),SUBSTITUTE(Base_report!D1324,"PCS",""),IF(ISNUMBER(FIND("CMU",Base_report!D1324,1)),SUBSTITUTE(Base_report!D1324,"CMU",""),Base_report!D1324)))))</f>
        <v>HOPITAL GENERAL TAFIRE</v>
      </c>
      <c r="E1334" s="14" t="str">
        <f>SUBSTITUTE(Base_report!E1324,"-","/")</f>
        <v>PNLP/MEDICAMENTS ET INTRANTS</v>
      </c>
      <c r="F1334" s="14" t="s">
        <v>788</v>
      </c>
      <c r="G1334" s="16">
        <f>DATE(YEAR(SUBSTITUTE(LEFT(Base_report!F1324,10),"-","/")),MONTH(SUBSTITUTE(LEFT(Base_report!F1324,10),"-","/")),DAY(SUBSTITUTE(LEFT(Base_report!F1324,10),"-","/")))</f>
        <v>45298</v>
      </c>
      <c r="H1334" s="16">
        <f>DATE(YEAR(SUBSTITUTE(LEFT(Base_report!G1324,10),"-","/")),MONTH(SUBSTITUTE(LEFT(Base_report!G1324,10),"-","/")),DAY(SUBSTITUTE(LEFT(Base_report!G1324,10),"-","/")))</f>
        <v>45298</v>
      </c>
      <c r="I1334" s="17" t="str">
        <f t="shared" si="1"/>
        <v>OUI</v>
      </c>
      <c r="J1334" s="18">
        <f>IF(L1334="DS",DATE(RIGHT(B1334,4),VLOOKUP(LEFT(B1334,LEN(B1334)-5),Feuil1!$E$3:$F$19,2,FALSE)+1,10),DATE(RIGHT(B1334,4),VLOOKUP(LEFT(B1334,LEN(B1334)-5),Feuil1!$E$3:$F$19,2,FALSE)+1,7))</f>
        <v>45298</v>
      </c>
      <c r="K1334" s="19">
        <f t="shared" si="2"/>
        <v>1</v>
      </c>
      <c r="L1334" s="6" t="str">
        <f t="shared" si="3"/>
        <v>FS</v>
      </c>
    </row>
    <row r="1335" ht="14.25" customHeight="1">
      <c r="A1335" s="14" t="str">
        <f>Base_report!A1325</f>
        <v>TONKPI</v>
      </c>
      <c r="B1335" s="14" t="str">
        <f>Base_report!B1325</f>
        <v>DECEMBRE 2023</v>
      </c>
      <c r="C1335" s="15" t="str">
        <f>Base_report!C1325</f>
        <v>C5006</v>
      </c>
      <c r="D1335" s="14" t="str">
        <f>TRIM(IF(ISNUMBER(FIND("PNSME",Base_report!D1325,1)),SUBSTITUTE(Base_report!D1325,"PNSME",""),IF(ISNUMBER(FIND("PHG",Base_report!D1325,1)),SUBSTITUTE(Base_report!D1325,"PHG",""),IF(ISNUMBER(FIND("PCS",Base_report!D1325,1)),SUBSTITUTE(Base_report!D1325,"PCS",""),IF(ISNUMBER(FIND("CMU",Base_report!D1325,1)),SUBSTITUTE(Base_report!D1325,"CMU",""),Base_report!D1325)))))</f>
        <v>HOPITAL GENERAL ZOUAN HOUNIEN</v>
      </c>
      <c r="E1335" s="14" t="str">
        <f>SUBSTITUTE(Base_report!E1325,"-","/")</f>
        <v>PNSME/MEDICAMENTS ET INTRANTS</v>
      </c>
      <c r="F1335" s="14" t="s">
        <v>788</v>
      </c>
      <c r="G1335" s="16">
        <f>DATE(YEAR(SUBSTITUTE(LEFT(Base_report!F1325,10),"-","/")),MONTH(SUBSTITUTE(LEFT(Base_report!F1325,10),"-","/")),DAY(SUBSTITUTE(LEFT(Base_report!F1325,10),"-","/")))</f>
        <v>45298</v>
      </c>
      <c r="H1335" s="16">
        <f>DATE(YEAR(SUBSTITUTE(LEFT(Base_report!G1325,10),"-","/")),MONTH(SUBSTITUTE(LEFT(Base_report!G1325,10),"-","/")),DAY(SUBSTITUTE(LEFT(Base_report!G1325,10),"-","/")))</f>
        <v>45298</v>
      </c>
      <c r="I1335" s="17" t="str">
        <f t="shared" si="1"/>
        <v>OUI</v>
      </c>
      <c r="J1335" s="18">
        <f>IF(L1335="DS",DATE(RIGHT(B1335,4),VLOOKUP(LEFT(B1335,LEN(B1335)-5),Feuil1!$E$3:$F$19,2,FALSE)+1,10),DATE(RIGHT(B1335,4),VLOOKUP(LEFT(B1335,LEN(B1335)-5),Feuil1!$E$3:$F$19,2,FALSE)+1,7))</f>
        <v>45298</v>
      </c>
      <c r="K1335" s="19">
        <f t="shared" si="2"/>
        <v>1</v>
      </c>
      <c r="L1335" s="6" t="str">
        <f t="shared" si="3"/>
        <v>FS</v>
      </c>
    </row>
    <row r="1336" ht="14.25" customHeight="1">
      <c r="A1336" s="14" t="str">
        <f>Base_report!A1326</f>
        <v>AGNEBY-TIASSA</v>
      </c>
      <c r="B1336" s="14" t="str">
        <f>Base_report!B1326</f>
        <v>DECEMBRE 2023</v>
      </c>
      <c r="C1336" s="15" t="str">
        <f>Base_report!C1326</f>
        <v>C1045</v>
      </c>
      <c r="D1336" s="14" t="str">
        <f>TRIM(IF(ISNUMBER(FIND("PNSME",Base_report!D1326,1)),SUBSTITUTE(Base_report!D1326,"PNSME",""),IF(ISNUMBER(FIND("PHG",Base_report!D1326,1)),SUBSTITUTE(Base_report!D1326,"PHG",""),IF(ISNUMBER(FIND("PCS",Base_report!D1326,1)),SUBSTITUTE(Base_report!D1326,"PCS",""),IF(ISNUMBER(FIND("CMU",Base_report!D1326,1)),SUBSTITUTE(Base_report!D1326,"CMU",""),Base_report!D1326)))))</f>
        <v>DISTRICT SANITAIRE AGBOVILLE</v>
      </c>
      <c r="E1336" s="14" t="str">
        <f>SUBSTITUTE(Base_report!E1326,"-","/")</f>
        <v>PNLS/ANTIRETROVIRAUX ET IO</v>
      </c>
      <c r="F1336" s="14" t="s">
        <v>788</v>
      </c>
      <c r="G1336" s="16">
        <f>DATE(YEAR(SUBSTITUTE(LEFT(Base_report!F1326,10),"-","/")),MONTH(SUBSTITUTE(LEFT(Base_report!F1326,10),"-","/")),DAY(SUBSTITUTE(LEFT(Base_report!F1326,10),"-","/")))</f>
        <v>45300</v>
      </c>
      <c r="H1336" s="16">
        <f>DATE(YEAR(SUBSTITUTE(LEFT(Base_report!G1326,10),"-","/")),MONTH(SUBSTITUTE(LEFT(Base_report!G1326,10),"-","/")),DAY(SUBSTITUTE(LEFT(Base_report!G1326,10),"-","/")))</f>
        <v>45301</v>
      </c>
      <c r="I1336" s="17" t="str">
        <f t="shared" si="1"/>
        <v>OUI</v>
      </c>
      <c r="J1336" s="18">
        <f>IF(L1336="DS",DATE(RIGHT(B1336,4),VLOOKUP(LEFT(B1336,LEN(B1336)-5),Feuil1!$E$3:$F$19,2,FALSE)+1,10),DATE(RIGHT(B1336,4),VLOOKUP(LEFT(B1336,LEN(B1336)-5),Feuil1!$E$3:$F$19,2,FALSE)+1,7))</f>
        <v>45301</v>
      </c>
      <c r="K1336" s="19">
        <f t="shared" si="2"/>
        <v>1</v>
      </c>
      <c r="L1336" s="6" t="str">
        <f t="shared" si="3"/>
        <v>DS</v>
      </c>
    </row>
    <row r="1337" ht="14.25" customHeight="1">
      <c r="A1337" s="14" t="str">
        <f>Base_report!A1327</f>
        <v>LOH-DJIBOUA</v>
      </c>
      <c r="B1337" s="14" t="str">
        <f>Base_report!B1327</f>
        <v>DECEMBRE 2023</v>
      </c>
      <c r="C1337" s="15" t="str">
        <f>Base_report!C1327</f>
        <v>C21880</v>
      </c>
      <c r="D1337" s="14" t="str">
        <f>TRIM(IF(ISNUMBER(FIND("PNSME",Base_report!D1327,1)),SUBSTITUTE(Base_report!D1327,"PNSME",""),IF(ISNUMBER(FIND("PHG",Base_report!D1327,1)),SUBSTITUTE(Base_report!D1327,"PHG",""),IF(ISNUMBER(FIND("PCS",Base_report!D1327,1)),SUBSTITUTE(Base_report!D1327,"PCS",""),IF(ISNUMBER(FIND("CMU",Base_report!D1327,1)),SUBSTITUTE(Base_report!D1327,"CMU",""),Base_report!D1327)))))</f>
        <v>DISTRICT SANITAIRE DE GUITRY</v>
      </c>
      <c r="E1337" s="14" t="str">
        <f>SUBSTITUTE(Base_report!E1327,"-","/")</f>
        <v>PNLP/MEDICAMENTS ET INTRANTS</v>
      </c>
      <c r="F1337" s="14" t="s">
        <v>788</v>
      </c>
      <c r="G1337" s="16">
        <f>DATE(YEAR(SUBSTITUTE(LEFT(Base_report!F1327,10),"-","/")),MONTH(SUBSTITUTE(LEFT(Base_report!F1327,10),"-","/")),DAY(SUBSTITUTE(LEFT(Base_report!F1327,10),"-","/")))</f>
        <v>45299</v>
      </c>
      <c r="H1337" s="16">
        <f>DATE(YEAR(SUBSTITUTE(LEFT(Base_report!G1327,10),"-","/")),MONTH(SUBSTITUTE(LEFT(Base_report!G1327,10),"-","/")),DAY(SUBSTITUTE(LEFT(Base_report!G1327,10),"-","/")))</f>
        <v>45299</v>
      </c>
      <c r="I1337" s="17" t="str">
        <f t="shared" si="1"/>
        <v>OUI</v>
      </c>
      <c r="J1337" s="18">
        <f>IF(L1337="DS",DATE(RIGHT(B1337,4),VLOOKUP(LEFT(B1337,LEN(B1337)-5),Feuil1!$E$3:$F$19,2,FALSE)+1,10),DATE(RIGHT(B1337,4),VLOOKUP(LEFT(B1337,LEN(B1337)-5),Feuil1!$E$3:$F$19,2,FALSE)+1,7))</f>
        <v>45301</v>
      </c>
      <c r="K1337" s="19">
        <f t="shared" si="2"/>
        <v>1</v>
      </c>
      <c r="L1337" s="6" t="str">
        <f t="shared" si="3"/>
        <v>DS</v>
      </c>
    </row>
    <row r="1338" ht="14.25" customHeight="1">
      <c r="A1338" s="14" t="str">
        <f>Base_report!A1328</f>
        <v>AGNEBY-TIASSA</v>
      </c>
      <c r="B1338" s="14" t="str">
        <f>Base_report!B1328</f>
        <v>DECEMBRE 2023</v>
      </c>
      <c r="C1338" s="15" t="str">
        <f>Base_report!C1328</f>
        <v>C1045</v>
      </c>
      <c r="D1338" s="14" t="str">
        <f>TRIM(IF(ISNUMBER(FIND("PNSME",Base_report!D1328,1)),SUBSTITUTE(Base_report!D1328,"PNSME",""),IF(ISNUMBER(FIND("PHG",Base_report!D1328,1)),SUBSTITUTE(Base_report!D1328,"PHG",""),IF(ISNUMBER(FIND("PCS",Base_report!D1328,1)),SUBSTITUTE(Base_report!D1328,"PCS",""),IF(ISNUMBER(FIND("CMU",Base_report!D1328,1)),SUBSTITUTE(Base_report!D1328,"CMU",""),Base_report!D1328)))))</f>
        <v>DISTRICT SANITAIRE AGBOVILLE</v>
      </c>
      <c r="E1338" s="14" t="str">
        <f>SUBSTITUTE(Base_report!E1328,"-","/")</f>
        <v>PNLS/TESTS RAPIDES ET CONSOMMABLES</v>
      </c>
      <c r="F1338" s="14" t="s">
        <v>788</v>
      </c>
      <c r="G1338" s="16">
        <f>DATE(YEAR(SUBSTITUTE(LEFT(Base_report!F1328,10),"-","/")),MONTH(SUBSTITUTE(LEFT(Base_report!F1328,10),"-","/")),DAY(SUBSTITUTE(LEFT(Base_report!F1328,10),"-","/")))</f>
        <v>45300</v>
      </c>
      <c r="H1338" s="16">
        <f>DATE(YEAR(SUBSTITUTE(LEFT(Base_report!G1328,10),"-","/")),MONTH(SUBSTITUTE(LEFT(Base_report!G1328,10),"-","/")),DAY(SUBSTITUTE(LEFT(Base_report!G1328,10),"-","/")))</f>
        <v>45301</v>
      </c>
      <c r="I1338" s="17" t="str">
        <f t="shared" si="1"/>
        <v>OUI</v>
      </c>
      <c r="J1338" s="18">
        <f>IF(L1338="DS",DATE(RIGHT(B1338,4),VLOOKUP(LEFT(B1338,LEN(B1338)-5),Feuil1!$E$3:$F$19,2,FALSE)+1,10),DATE(RIGHT(B1338,4),VLOOKUP(LEFT(B1338,LEN(B1338)-5),Feuil1!$E$3:$F$19,2,FALSE)+1,7))</f>
        <v>45301</v>
      </c>
      <c r="K1338" s="19">
        <f t="shared" si="2"/>
        <v>1</v>
      </c>
      <c r="L1338" s="6" t="str">
        <f t="shared" si="3"/>
        <v>DS</v>
      </c>
    </row>
    <row r="1339" ht="14.25" customHeight="1">
      <c r="A1339" s="14" t="str">
        <f>Base_report!A1329</f>
        <v>HAMBOL</v>
      </c>
      <c r="B1339" s="14" t="str">
        <f>Base_report!B1329</f>
        <v>DECEMBRE 2023</v>
      </c>
      <c r="C1339" s="15" t="str">
        <f>Base_report!C1329</f>
        <v>C3022</v>
      </c>
      <c r="D1339" s="14" t="str">
        <f>TRIM(IF(ISNUMBER(FIND("PNSME",Base_report!D1329,1)),SUBSTITUTE(Base_report!D1329,"PNSME",""),IF(ISNUMBER(FIND("PHG",Base_report!D1329,1)),SUBSTITUTE(Base_report!D1329,"PHG",""),IF(ISNUMBER(FIND("PCS",Base_report!D1329,1)),SUBSTITUTE(Base_report!D1329,"PCS",""),IF(ISNUMBER(FIND("CMU",Base_report!D1329,1)),SUBSTITUTE(Base_report!D1329,"CMU",""),Base_report!D1329)))))</f>
        <v>HOPITAL GENERAL TAFIRE</v>
      </c>
      <c r="E1339" s="14" t="str">
        <f>SUBSTITUTE(Base_report!E1329,"-","/")</f>
        <v>PNSME/MEDICAMENTS ET INTRANTS</v>
      </c>
      <c r="F1339" s="14" t="s">
        <v>788</v>
      </c>
      <c r="G1339" s="16">
        <f>DATE(YEAR(SUBSTITUTE(LEFT(Base_report!F1329,10),"-","/")),MONTH(SUBSTITUTE(LEFT(Base_report!F1329,10),"-","/")),DAY(SUBSTITUTE(LEFT(Base_report!F1329,10),"-","/")))</f>
        <v>45298</v>
      </c>
      <c r="H1339" s="16">
        <f>DATE(YEAR(SUBSTITUTE(LEFT(Base_report!G1329,10),"-","/")),MONTH(SUBSTITUTE(LEFT(Base_report!G1329,10),"-","/")),DAY(SUBSTITUTE(LEFT(Base_report!G1329,10),"-","/")))</f>
        <v>45298</v>
      </c>
      <c r="I1339" s="17" t="str">
        <f t="shared" si="1"/>
        <v>OUI</v>
      </c>
      <c r="J1339" s="18">
        <f>IF(L1339="DS",DATE(RIGHT(B1339,4),VLOOKUP(LEFT(B1339,LEN(B1339)-5),Feuil1!$E$3:$F$19,2,FALSE)+1,10),DATE(RIGHT(B1339,4),VLOOKUP(LEFT(B1339,LEN(B1339)-5),Feuil1!$E$3:$F$19,2,FALSE)+1,7))</f>
        <v>45298</v>
      </c>
      <c r="K1339" s="19">
        <f t="shared" si="2"/>
        <v>1</v>
      </c>
      <c r="L1339" s="6" t="str">
        <f t="shared" si="3"/>
        <v>FS</v>
      </c>
    </row>
    <row r="1340" ht="14.25" customHeight="1">
      <c r="A1340" s="14" t="str">
        <f>Base_report!A1330</f>
        <v>N'ZI</v>
      </c>
      <c r="B1340" s="14" t="str">
        <f>Base_report!B1330</f>
        <v>DECEMBRE 2023</v>
      </c>
      <c r="C1340" s="15" t="str">
        <f>Base_report!C1330</f>
        <v>C2004</v>
      </c>
      <c r="D1340" s="14" t="str">
        <f>TRIM(IF(ISNUMBER(FIND("PNSME",Base_report!D1330,1)),SUBSTITUTE(Base_report!D1330,"PNSME",""),IF(ISNUMBER(FIND("PHG",Base_report!D1330,1)),SUBSTITUTE(Base_report!D1330,"PHG",""),IF(ISNUMBER(FIND("PCS",Base_report!D1330,1)),SUBSTITUTE(Base_report!D1330,"PCS",""),IF(ISNUMBER(FIND("CMU",Base_report!D1330,1)),SUBSTITUTE(Base_report!D1330,"CMU",""),Base_report!D1330)))))</f>
        <v>CHR DIMBOKRO</v>
      </c>
      <c r="E1340" s="14" t="str">
        <f>SUBSTITUTE(Base_report!E1330,"-","/")</f>
        <v>PNLS/PRODUITS DE LABORATOIRE</v>
      </c>
      <c r="F1340" s="14" t="s">
        <v>788</v>
      </c>
      <c r="G1340" s="16">
        <f>DATE(YEAR(SUBSTITUTE(LEFT(Base_report!F1330,10),"-","/")),MONTH(SUBSTITUTE(LEFT(Base_report!F1330,10),"-","/")),DAY(SUBSTITUTE(LEFT(Base_report!F1330,10),"-","/")))</f>
        <v>45298</v>
      </c>
      <c r="H1340" s="16">
        <f>DATE(YEAR(SUBSTITUTE(LEFT(Base_report!G1330,10),"-","/")),MONTH(SUBSTITUTE(LEFT(Base_report!G1330,10),"-","/")),DAY(SUBSTITUTE(LEFT(Base_report!G1330,10),"-","/")))</f>
        <v>45298</v>
      </c>
      <c r="I1340" s="17" t="str">
        <f t="shared" si="1"/>
        <v>OUI</v>
      </c>
      <c r="J1340" s="18">
        <f>IF(L1340="DS",DATE(RIGHT(B1340,4),VLOOKUP(LEFT(B1340,LEN(B1340)-5),Feuil1!$E$3:$F$19,2,FALSE)+1,10),DATE(RIGHT(B1340,4),VLOOKUP(LEFT(B1340,LEN(B1340)-5),Feuil1!$E$3:$F$19,2,FALSE)+1,7))</f>
        <v>45298</v>
      </c>
      <c r="K1340" s="19">
        <f t="shared" si="2"/>
        <v>1</v>
      </c>
      <c r="L1340" s="6" t="str">
        <f t="shared" si="3"/>
        <v>FS</v>
      </c>
    </row>
    <row r="1341" ht="14.25" customHeight="1">
      <c r="A1341" s="14" t="str">
        <f>Base_report!A1331</f>
        <v>TONKPI</v>
      </c>
      <c r="B1341" s="14" t="str">
        <f>Base_report!B1331</f>
        <v>DECEMBRE 2023</v>
      </c>
      <c r="C1341" s="15" t="str">
        <f>Base_report!C1331</f>
        <v>C5006</v>
      </c>
      <c r="D1341" s="14" t="str">
        <f>TRIM(IF(ISNUMBER(FIND("PNSME",Base_report!D1331,1)),SUBSTITUTE(Base_report!D1331,"PNSME",""),IF(ISNUMBER(FIND("PHG",Base_report!D1331,1)),SUBSTITUTE(Base_report!D1331,"PHG",""),IF(ISNUMBER(FIND("PCS",Base_report!D1331,1)),SUBSTITUTE(Base_report!D1331,"PCS",""),IF(ISNUMBER(FIND("CMU",Base_report!D1331,1)),SUBSTITUTE(Base_report!D1331,"CMU",""),Base_report!D1331)))))</f>
        <v>HOPITAL GENERAL ZOUAN HOUNIEN</v>
      </c>
      <c r="E1341" s="14" t="str">
        <f>SUBSTITUTE(Base_report!E1331,"-","/")</f>
        <v>PNLS/TESTS RAPIDES ET CONSOMMABLES</v>
      </c>
      <c r="F1341" s="14" t="s">
        <v>788</v>
      </c>
      <c r="G1341" s="16">
        <f>DATE(YEAR(SUBSTITUTE(LEFT(Base_report!F1331,10),"-","/")),MONTH(SUBSTITUTE(LEFT(Base_report!F1331,10),"-","/")),DAY(SUBSTITUTE(LEFT(Base_report!F1331,10),"-","/")))</f>
        <v>45298</v>
      </c>
      <c r="H1341" s="16">
        <f>DATE(YEAR(SUBSTITUTE(LEFT(Base_report!G1331,10),"-","/")),MONTH(SUBSTITUTE(LEFT(Base_report!G1331,10),"-","/")),DAY(SUBSTITUTE(LEFT(Base_report!G1331,10),"-","/")))</f>
        <v>45298</v>
      </c>
      <c r="I1341" s="17" t="str">
        <f t="shared" si="1"/>
        <v>OUI</v>
      </c>
      <c r="J1341" s="18">
        <f>IF(L1341="DS",DATE(RIGHT(B1341,4),VLOOKUP(LEFT(B1341,LEN(B1341)-5),Feuil1!$E$3:$F$19,2,FALSE)+1,10),DATE(RIGHT(B1341,4),VLOOKUP(LEFT(B1341,LEN(B1341)-5),Feuil1!$E$3:$F$19,2,FALSE)+1,7))</f>
        <v>45298</v>
      </c>
      <c r="K1341" s="19">
        <f t="shared" si="2"/>
        <v>1</v>
      </c>
      <c r="L1341" s="6" t="str">
        <f t="shared" si="3"/>
        <v>FS</v>
      </c>
    </row>
    <row r="1342" ht="14.25" customHeight="1">
      <c r="A1342" s="14" t="str">
        <f>Base_report!A1332</f>
        <v>IFFOU</v>
      </c>
      <c r="B1342" s="14" t="str">
        <f>Base_report!B1332</f>
        <v>DECEMBRE 2023</v>
      </c>
      <c r="C1342" s="15" t="str">
        <f>Base_report!C1332</f>
        <v>C4022</v>
      </c>
      <c r="D1342" s="14" t="str">
        <f>TRIM(IF(ISNUMBER(FIND("PNSME",Base_report!D1332,1)),SUBSTITUTE(Base_report!D1332,"PNSME",""),IF(ISNUMBER(FIND("PHG",Base_report!D1332,1)),SUBSTITUTE(Base_report!D1332,"PHG",""),IF(ISNUMBER(FIND("PCS",Base_report!D1332,1)),SUBSTITUTE(Base_report!D1332,"PCS",""),IF(ISNUMBER(FIND("CMU",Base_report!D1332,1)),SUBSTITUTE(Base_report!D1332,"CMU",""),Base_report!D1332)))))</f>
        <v>HOPITAL GENERAL MBAHIAKRO</v>
      </c>
      <c r="E1342" s="14" t="str">
        <f>SUBSTITUTE(Base_report!E1332,"-","/")</f>
        <v>PNLP/MEDICAMENTS ET INTRANTS</v>
      </c>
      <c r="F1342" s="14" t="s">
        <v>788</v>
      </c>
      <c r="G1342" s="16">
        <f>DATE(YEAR(SUBSTITUTE(LEFT(Base_report!F1332,10),"-","/")),MONTH(SUBSTITUTE(LEFT(Base_report!F1332,10),"-","/")),DAY(SUBSTITUTE(LEFT(Base_report!F1332,10),"-","/")))</f>
        <v>45298</v>
      </c>
      <c r="H1342" s="16">
        <f>DATE(YEAR(SUBSTITUTE(LEFT(Base_report!G1332,10),"-","/")),MONTH(SUBSTITUTE(LEFT(Base_report!G1332,10),"-","/")),DAY(SUBSTITUTE(LEFT(Base_report!G1332,10),"-","/")))</f>
        <v>45298</v>
      </c>
      <c r="I1342" s="17" t="str">
        <f t="shared" si="1"/>
        <v>OUI</v>
      </c>
      <c r="J1342" s="18">
        <f>IF(L1342="DS",DATE(RIGHT(B1342,4),VLOOKUP(LEFT(B1342,LEN(B1342)-5),Feuil1!$E$3:$F$19,2,FALSE)+1,10),DATE(RIGHT(B1342,4),VLOOKUP(LEFT(B1342,LEN(B1342)-5),Feuil1!$E$3:$F$19,2,FALSE)+1,7))</f>
        <v>45298</v>
      </c>
      <c r="K1342" s="19">
        <f t="shared" si="2"/>
        <v>1</v>
      </c>
      <c r="L1342" s="6" t="str">
        <f t="shared" si="3"/>
        <v>FS</v>
      </c>
    </row>
    <row r="1343" ht="14.25" customHeight="1">
      <c r="A1343" s="14" t="str">
        <f>Base_report!A1333</f>
        <v>MORONOU</v>
      </c>
      <c r="B1343" s="14" t="str">
        <f>Base_report!B1333</f>
        <v>DECEMBRE 2023</v>
      </c>
      <c r="C1343" s="15" t="str">
        <f>Base_report!C1333</f>
        <v>C4017</v>
      </c>
      <c r="D1343" s="14" t="str">
        <f>TRIM(IF(ISNUMBER(FIND("PNSME",Base_report!D1333,1)),SUBSTITUTE(Base_report!D1333,"PNSME",""),IF(ISNUMBER(FIND("PHG",Base_report!D1333,1)),SUBSTITUTE(Base_report!D1333,"PHG",""),IF(ISNUMBER(FIND("PCS",Base_report!D1333,1)),SUBSTITUTE(Base_report!D1333,"PCS",""),IF(ISNUMBER(FIND("CMU",Base_report!D1333,1)),SUBSTITUTE(Base_report!D1333,"CMU",""),Base_report!D1333)))))</f>
        <v>HOPITAL GENERAL BONGOUANOU</v>
      </c>
      <c r="E1343" s="14" t="str">
        <f>SUBSTITUTE(Base_report!E1333,"-","/")</f>
        <v>PNLP/MEDICAMENTS ET INTRANTS</v>
      </c>
      <c r="F1343" s="14" t="s">
        <v>788</v>
      </c>
      <c r="G1343" s="16">
        <f>DATE(YEAR(SUBSTITUTE(LEFT(Base_report!F1333,10),"-","/")),MONTH(SUBSTITUTE(LEFT(Base_report!F1333,10),"-","/")),DAY(SUBSTITUTE(LEFT(Base_report!F1333,10),"-","/")))</f>
        <v>45298</v>
      </c>
      <c r="H1343" s="16">
        <f>DATE(YEAR(SUBSTITUTE(LEFT(Base_report!G1333,10),"-","/")),MONTH(SUBSTITUTE(LEFT(Base_report!G1333,10),"-","/")),DAY(SUBSTITUTE(LEFT(Base_report!G1333,10),"-","/")))</f>
        <v>45298</v>
      </c>
      <c r="I1343" s="17" t="str">
        <f t="shared" si="1"/>
        <v>OUI</v>
      </c>
      <c r="J1343" s="18">
        <f>IF(L1343="DS",DATE(RIGHT(B1343,4),VLOOKUP(LEFT(B1343,LEN(B1343)-5),Feuil1!$E$3:$F$19,2,FALSE)+1,10),DATE(RIGHT(B1343,4),VLOOKUP(LEFT(B1343,LEN(B1343)-5),Feuil1!$E$3:$F$19,2,FALSE)+1,7))</f>
        <v>45298</v>
      </c>
      <c r="K1343" s="19">
        <f t="shared" si="2"/>
        <v>1</v>
      </c>
      <c r="L1343" s="6" t="str">
        <f t="shared" si="3"/>
        <v>FS</v>
      </c>
    </row>
    <row r="1344" ht="14.25" customHeight="1">
      <c r="A1344" s="14" t="str">
        <f>Base_report!A1334</f>
        <v>ABIDJAN 1</v>
      </c>
      <c r="B1344" s="14" t="str">
        <f>Base_report!B1334</f>
        <v>DECEMBRE 2023</v>
      </c>
      <c r="C1344" s="15" t="str">
        <f>Base_report!C1334</f>
        <v>C1084</v>
      </c>
      <c r="D1344" s="14" t="str">
        <f>TRIM(IF(ISNUMBER(FIND("PNSME",Base_report!D1334,1)),SUBSTITUTE(Base_report!D1334,"PNSME",""),IF(ISNUMBER(FIND("PHG",Base_report!D1334,1)),SUBSTITUTE(Base_report!D1334,"PHG",""),IF(ISNUMBER(FIND("PCS",Base_report!D1334,1)),SUBSTITUTE(Base_report!D1334,"PCS",""),IF(ISNUMBER(FIND("CMU",Base_report!D1334,1)),SUBSTITUTE(Base_report!D1334,"CMU",""),Base_report!D1334)))))</f>
        <v>HOPITAL GENERAL ANYAMA</v>
      </c>
      <c r="E1344" s="14" t="str">
        <f>SUBSTITUTE(Base_report!E1334,"-","/")</f>
        <v>PNLP/MEDICAMENTS ET INTRANTS</v>
      </c>
      <c r="F1344" s="14" t="s">
        <v>788</v>
      </c>
      <c r="G1344" s="16">
        <f>DATE(YEAR(SUBSTITUTE(LEFT(Base_report!F1334,10),"-","/")),MONTH(SUBSTITUTE(LEFT(Base_report!F1334,10),"-","/")),DAY(SUBSTITUTE(LEFT(Base_report!F1334,10),"-","/")))</f>
        <v>45298</v>
      </c>
      <c r="H1344" s="16">
        <f>DATE(YEAR(SUBSTITUTE(LEFT(Base_report!G1334,10),"-","/")),MONTH(SUBSTITUTE(LEFT(Base_report!G1334,10),"-","/")),DAY(SUBSTITUTE(LEFT(Base_report!G1334,10),"-","/")))</f>
        <v>45298</v>
      </c>
      <c r="I1344" s="17" t="str">
        <f t="shared" si="1"/>
        <v>OUI</v>
      </c>
      <c r="J1344" s="18">
        <f>IF(L1344="DS",DATE(RIGHT(B1344,4),VLOOKUP(LEFT(B1344,LEN(B1344)-5),Feuil1!$E$3:$F$19,2,FALSE)+1,10),DATE(RIGHT(B1344,4),VLOOKUP(LEFT(B1344,LEN(B1344)-5),Feuil1!$E$3:$F$19,2,FALSE)+1,7))</f>
        <v>45298</v>
      </c>
      <c r="K1344" s="19">
        <f t="shared" si="2"/>
        <v>1</v>
      </c>
      <c r="L1344" s="6" t="str">
        <f t="shared" si="3"/>
        <v>FS</v>
      </c>
    </row>
    <row r="1345" ht="14.25" customHeight="1">
      <c r="A1345" s="14" t="str">
        <f>Base_report!A1335</f>
        <v>NAWA</v>
      </c>
      <c r="B1345" s="14" t="str">
        <f>Base_report!B1335</f>
        <v>DECEMBRE 2023</v>
      </c>
      <c r="C1345" s="15" t="str">
        <f>Base_report!C1335</f>
        <v>C2050</v>
      </c>
      <c r="D1345" s="14" t="str">
        <f>TRIM(IF(ISNUMBER(FIND("PNSME",Base_report!D1335,1)),SUBSTITUTE(Base_report!D1335,"PNSME",""),IF(ISNUMBER(FIND("PHG",Base_report!D1335,1)),SUBSTITUTE(Base_report!D1335,"PHG",""),IF(ISNUMBER(FIND("PCS",Base_report!D1335,1)),SUBSTITUTE(Base_report!D1335,"PCS",""),IF(ISNUMBER(FIND("CMU",Base_report!D1335,1)),SUBSTITUTE(Base_report!D1335,"CMU",""),Base_report!D1335)))))</f>
        <v>HOPITAL GENERAL BUYO</v>
      </c>
      <c r="E1345" s="14" t="str">
        <f>SUBSTITUTE(Base_report!E1335,"-","/")</f>
        <v>PNLS/PRODUITS DE LABORATOIRE</v>
      </c>
      <c r="F1345" s="14" t="s">
        <v>788</v>
      </c>
      <c r="G1345" s="16">
        <f>DATE(YEAR(SUBSTITUTE(LEFT(Base_report!F1335,10),"-","/")),MONTH(SUBSTITUTE(LEFT(Base_report!F1335,10),"-","/")),DAY(SUBSTITUTE(LEFT(Base_report!F1335,10),"-","/")))</f>
        <v>45298</v>
      </c>
      <c r="H1345" s="16">
        <f>DATE(YEAR(SUBSTITUTE(LEFT(Base_report!G1335,10),"-","/")),MONTH(SUBSTITUTE(LEFT(Base_report!G1335,10),"-","/")),DAY(SUBSTITUTE(LEFT(Base_report!G1335,10),"-","/")))</f>
        <v>45298</v>
      </c>
      <c r="I1345" s="17" t="str">
        <f t="shared" si="1"/>
        <v>OUI</v>
      </c>
      <c r="J1345" s="18">
        <f>IF(L1345="DS",DATE(RIGHT(B1345,4),VLOOKUP(LEFT(B1345,LEN(B1345)-5),Feuil1!$E$3:$F$19,2,FALSE)+1,10),DATE(RIGHT(B1345,4),VLOOKUP(LEFT(B1345,LEN(B1345)-5),Feuil1!$E$3:$F$19,2,FALSE)+1,7))</f>
        <v>45298</v>
      </c>
      <c r="K1345" s="19">
        <f t="shared" si="2"/>
        <v>1</v>
      </c>
      <c r="L1345" s="6" t="str">
        <f t="shared" si="3"/>
        <v>FS</v>
      </c>
    </row>
    <row r="1346" ht="14.25" customHeight="1">
      <c r="A1346" s="14" t="str">
        <f>Base_report!A1336</f>
        <v>IFFOU</v>
      </c>
      <c r="B1346" s="14" t="str">
        <f>Base_report!B1336</f>
        <v>DECEMBRE 2023</v>
      </c>
      <c r="C1346" s="15" t="str">
        <f>Base_report!C1336</f>
        <v>C4019</v>
      </c>
      <c r="D1346" s="14" t="str">
        <f>TRIM(IF(ISNUMBER(FIND("PNSME",Base_report!D1336,1)),SUBSTITUTE(Base_report!D1336,"PNSME",""),IF(ISNUMBER(FIND("PHG",Base_report!D1336,1)),SUBSTITUTE(Base_report!D1336,"PHG",""),IF(ISNUMBER(FIND("PCS",Base_report!D1336,1)),SUBSTITUTE(Base_report!D1336,"PCS",""),IF(ISNUMBER(FIND("CMU",Base_report!D1336,1)),SUBSTITUTE(Base_report!D1336,"CMU",""),Base_report!D1336)))))</f>
        <v>HOPITAL GENERAL DAOUKRO</v>
      </c>
      <c r="E1346" s="14" t="str">
        <f>SUBSTITUTE(Base_report!E1336,"-","/")</f>
        <v>PNN/MEDICAMENTS ET INTRANTS</v>
      </c>
      <c r="F1346" s="14" t="s">
        <v>788</v>
      </c>
      <c r="G1346" s="16">
        <f>DATE(YEAR(SUBSTITUTE(LEFT(Base_report!F1336,10),"-","/")),MONTH(SUBSTITUTE(LEFT(Base_report!F1336,10),"-","/")),DAY(SUBSTITUTE(LEFT(Base_report!F1336,10),"-","/")))</f>
        <v>45300</v>
      </c>
      <c r="H1346" s="16">
        <f>DATE(YEAR(SUBSTITUTE(LEFT(Base_report!G1336,10),"-","/")),MONTH(SUBSTITUTE(LEFT(Base_report!G1336,10),"-","/")),DAY(SUBSTITUTE(LEFT(Base_report!G1336,10),"-","/")))</f>
        <v>45300</v>
      </c>
      <c r="I1346" s="17" t="str">
        <f t="shared" si="1"/>
        <v>OUI</v>
      </c>
      <c r="J1346" s="18">
        <f>IF(L1346="DS",DATE(RIGHT(B1346,4),VLOOKUP(LEFT(B1346,LEN(B1346)-5),Feuil1!$E$3:$F$19,2,FALSE)+1,10),DATE(RIGHT(B1346,4),VLOOKUP(LEFT(B1346,LEN(B1346)-5),Feuil1!$E$3:$F$19,2,FALSE)+1,7))</f>
        <v>45298</v>
      </c>
      <c r="K1346" s="19">
        <f t="shared" si="2"/>
        <v>0</v>
      </c>
      <c r="L1346" s="6" t="str">
        <f t="shared" si="3"/>
        <v>FS</v>
      </c>
    </row>
    <row r="1347" ht="14.25" customHeight="1">
      <c r="A1347" s="14" t="str">
        <f>Base_report!A1337</f>
        <v>TONKPI</v>
      </c>
      <c r="B1347" s="14" t="str">
        <f>Base_report!B1337</f>
        <v>DECEMBRE 2023</v>
      </c>
      <c r="C1347" s="15" t="str">
        <f>Base_report!C1337</f>
        <v>C5006</v>
      </c>
      <c r="D1347" s="14" t="str">
        <f>TRIM(IF(ISNUMBER(FIND("PNSME",Base_report!D1337,1)),SUBSTITUTE(Base_report!D1337,"PNSME",""),IF(ISNUMBER(FIND("PHG",Base_report!D1337,1)),SUBSTITUTE(Base_report!D1337,"PHG",""),IF(ISNUMBER(FIND("PCS",Base_report!D1337,1)),SUBSTITUTE(Base_report!D1337,"PCS",""),IF(ISNUMBER(FIND("CMU",Base_report!D1337,1)),SUBSTITUTE(Base_report!D1337,"CMU",""),Base_report!D1337)))))</f>
        <v>HOPITAL GENERAL ZOUAN HOUNIEN</v>
      </c>
      <c r="E1347" s="14" t="str">
        <f>SUBSTITUTE(Base_report!E1337,"-","/")</f>
        <v>PNLS/PRODUITS DE LABORATOIRE</v>
      </c>
      <c r="F1347" s="14" t="s">
        <v>788</v>
      </c>
      <c r="G1347" s="16">
        <f>DATE(YEAR(SUBSTITUTE(LEFT(Base_report!F1337,10),"-","/")),MONTH(SUBSTITUTE(LEFT(Base_report!F1337,10),"-","/")),DAY(SUBSTITUTE(LEFT(Base_report!F1337,10),"-","/")))</f>
        <v>45298</v>
      </c>
      <c r="H1347" s="16">
        <f>DATE(YEAR(SUBSTITUTE(LEFT(Base_report!G1337,10),"-","/")),MONTH(SUBSTITUTE(LEFT(Base_report!G1337,10),"-","/")),DAY(SUBSTITUTE(LEFT(Base_report!G1337,10),"-","/")))</f>
        <v>45298</v>
      </c>
      <c r="I1347" s="17" t="str">
        <f t="shared" si="1"/>
        <v>OUI</v>
      </c>
      <c r="J1347" s="18">
        <f>IF(L1347="DS",DATE(RIGHT(B1347,4),VLOOKUP(LEFT(B1347,LEN(B1347)-5),Feuil1!$E$3:$F$19,2,FALSE)+1,10),DATE(RIGHT(B1347,4),VLOOKUP(LEFT(B1347,LEN(B1347)-5),Feuil1!$E$3:$F$19,2,FALSE)+1,7))</f>
        <v>45298</v>
      </c>
      <c r="K1347" s="19">
        <f t="shared" si="2"/>
        <v>1</v>
      </c>
      <c r="L1347" s="6" t="str">
        <f t="shared" si="3"/>
        <v>FS</v>
      </c>
    </row>
    <row r="1348" ht="14.25" customHeight="1">
      <c r="A1348" s="14" t="str">
        <f>Base_report!A1338</f>
        <v>NAWA</v>
      </c>
      <c r="B1348" s="14" t="str">
        <f>Base_report!B1338</f>
        <v>DECEMBRE 2023</v>
      </c>
      <c r="C1348" s="15" t="str">
        <f>Base_report!C1338</f>
        <v>C2050</v>
      </c>
      <c r="D1348" s="14" t="str">
        <f>TRIM(IF(ISNUMBER(FIND("PNSME",Base_report!D1338,1)),SUBSTITUTE(Base_report!D1338,"PNSME",""),IF(ISNUMBER(FIND("PHG",Base_report!D1338,1)),SUBSTITUTE(Base_report!D1338,"PHG",""),IF(ISNUMBER(FIND("PCS",Base_report!D1338,1)),SUBSTITUTE(Base_report!D1338,"PCS",""),IF(ISNUMBER(FIND("CMU",Base_report!D1338,1)),SUBSTITUTE(Base_report!D1338,"CMU",""),Base_report!D1338)))))</f>
        <v>HOPITAL GENERAL BUYO</v>
      </c>
      <c r="E1348" s="14" t="str">
        <f>SUBSTITUTE(Base_report!E1338,"-","/")</f>
        <v>PNLS/TESTS RAPIDES ET CONSOMMABLES</v>
      </c>
      <c r="F1348" s="14" t="s">
        <v>788</v>
      </c>
      <c r="G1348" s="16">
        <f>DATE(YEAR(SUBSTITUTE(LEFT(Base_report!F1338,10),"-","/")),MONTH(SUBSTITUTE(LEFT(Base_report!F1338,10),"-","/")),DAY(SUBSTITUTE(LEFT(Base_report!F1338,10),"-","/")))</f>
        <v>45298</v>
      </c>
      <c r="H1348" s="16">
        <f>DATE(YEAR(SUBSTITUTE(LEFT(Base_report!G1338,10),"-","/")),MONTH(SUBSTITUTE(LEFT(Base_report!G1338,10),"-","/")),DAY(SUBSTITUTE(LEFT(Base_report!G1338,10),"-","/")))</f>
        <v>45298</v>
      </c>
      <c r="I1348" s="17" t="str">
        <f t="shared" si="1"/>
        <v>OUI</v>
      </c>
      <c r="J1348" s="18">
        <f>IF(L1348="DS",DATE(RIGHT(B1348,4),VLOOKUP(LEFT(B1348,LEN(B1348)-5),Feuil1!$E$3:$F$19,2,FALSE)+1,10),DATE(RIGHT(B1348,4),VLOOKUP(LEFT(B1348,LEN(B1348)-5),Feuil1!$E$3:$F$19,2,FALSE)+1,7))</f>
        <v>45298</v>
      </c>
      <c r="K1348" s="19">
        <f t="shared" si="2"/>
        <v>1</v>
      </c>
      <c r="L1348" s="6" t="str">
        <f t="shared" si="3"/>
        <v>FS</v>
      </c>
    </row>
    <row r="1349" ht="14.25" customHeight="1">
      <c r="A1349" s="14" t="str">
        <f>Base_report!A1339</f>
        <v>IFFOU</v>
      </c>
      <c r="B1349" s="14" t="str">
        <f>Base_report!B1339</f>
        <v>DECEMBRE 2023</v>
      </c>
      <c r="C1349" s="15" t="str">
        <f>Base_report!C1339</f>
        <v>C4022</v>
      </c>
      <c r="D1349" s="14" t="str">
        <f>TRIM(IF(ISNUMBER(FIND("PNSME",Base_report!D1339,1)),SUBSTITUTE(Base_report!D1339,"PNSME",""),IF(ISNUMBER(FIND("PHG",Base_report!D1339,1)),SUBSTITUTE(Base_report!D1339,"PHG",""),IF(ISNUMBER(FIND("PCS",Base_report!D1339,1)),SUBSTITUTE(Base_report!D1339,"PCS",""),IF(ISNUMBER(FIND("CMU",Base_report!D1339,1)),SUBSTITUTE(Base_report!D1339,"CMU",""),Base_report!D1339)))))</f>
        <v>HOPITAL GENERAL MBAHIAKRO</v>
      </c>
      <c r="E1349" s="14" t="str">
        <f>SUBSTITUTE(Base_report!E1339,"-","/")</f>
        <v>PNLS/ANTIRETROVIRAUX ET IO</v>
      </c>
      <c r="F1349" s="14" t="s">
        <v>788</v>
      </c>
      <c r="G1349" s="16">
        <f>DATE(YEAR(SUBSTITUTE(LEFT(Base_report!F1339,10),"-","/")),MONTH(SUBSTITUTE(LEFT(Base_report!F1339,10),"-","/")),DAY(SUBSTITUTE(LEFT(Base_report!F1339,10),"-","/")))</f>
        <v>45298</v>
      </c>
      <c r="H1349" s="16">
        <f>DATE(YEAR(SUBSTITUTE(LEFT(Base_report!G1339,10),"-","/")),MONTH(SUBSTITUTE(LEFT(Base_report!G1339,10),"-","/")),DAY(SUBSTITUTE(LEFT(Base_report!G1339,10),"-","/")))</f>
        <v>45298</v>
      </c>
      <c r="I1349" s="17" t="str">
        <f t="shared" si="1"/>
        <v>OUI</v>
      </c>
      <c r="J1349" s="18">
        <f>IF(L1349="DS",DATE(RIGHT(B1349,4),VLOOKUP(LEFT(B1349,LEN(B1349)-5),Feuil1!$E$3:$F$19,2,FALSE)+1,10),DATE(RIGHT(B1349,4),VLOOKUP(LEFT(B1349,LEN(B1349)-5),Feuil1!$E$3:$F$19,2,FALSE)+1,7))</f>
        <v>45298</v>
      </c>
      <c r="K1349" s="19">
        <f t="shared" si="2"/>
        <v>1</v>
      </c>
      <c r="L1349" s="6" t="str">
        <f t="shared" si="3"/>
        <v>FS</v>
      </c>
    </row>
    <row r="1350" ht="14.25" customHeight="1">
      <c r="A1350" s="14" t="str">
        <f>Base_report!A1340</f>
        <v>ABIDJAN 1</v>
      </c>
      <c r="B1350" s="14" t="str">
        <f>Base_report!B1340</f>
        <v>DECEMBRE 2023</v>
      </c>
      <c r="C1350" s="15" t="str">
        <f>Base_report!C1340</f>
        <v>C1084</v>
      </c>
      <c r="D1350" s="14" t="str">
        <f>TRIM(IF(ISNUMBER(FIND("PNSME",Base_report!D1340,1)),SUBSTITUTE(Base_report!D1340,"PNSME",""),IF(ISNUMBER(FIND("PHG",Base_report!D1340,1)),SUBSTITUTE(Base_report!D1340,"PHG",""),IF(ISNUMBER(FIND("PCS",Base_report!D1340,1)),SUBSTITUTE(Base_report!D1340,"PCS",""),IF(ISNUMBER(FIND("CMU",Base_report!D1340,1)),SUBSTITUTE(Base_report!D1340,"CMU",""),Base_report!D1340)))))</f>
        <v>HOPITAL GENERAL ANYAMA</v>
      </c>
      <c r="E1350" s="14" t="str">
        <f>SUBSTITUTE(Base_report!E1340,"-","/")</f>
        <v>PNLS/PRODUITS DE LABORATOIRE</v>
      </c>
      <c r="F1350" s="14" t="s">
        <v>788</v>
      </c>
      <c r="G1350" s="16">
        <f>DATE(YEAR(SUBSTITUTE(LEFT(Base_report!F1340,10),"-","/")),MONTH(SUBSTITUTE(LEFT(Base_report!F1340,10),"-","/")),DAY(SUBSTITUTE(LEFT(Base_report!F1340,10),"-","/")))</f>
        <v>45298</v>
      </c>
      <c r="H1350" s="16">
        <f>DATE(YEAR(SUBSTITUTE(LEFT(Base_report!G1340,10),"-","/")),MONTH(SUBSTITUTE(LEFT(Base_report!G1340,10),"-","/")),DAY(SUBSTITUTE(LEFT(Base_report!G1340,10),"-","/")))</f>
        <v>45298</v>
      </c>
      <c r="I1350" s="17" t="str">
        <f t="shared" si="1"/>
        <v>OUI</v>
      </c>
      <c r="J1350" s="18">
        <f>IF(L1350="DS",DATE(RIGHT(B1350,4),VLOOKUP(LEFT(B1350,LEN(B1350)-5),Feuil1!$E$3:$F$19,2,FALSE)+1,10),DATE(RIGHT(B1350,4),VLOOKUP(LEFT(B1350,LEN(B1350)-5),Feuil1!$E$3:$F$19,2,FALSE)+1,7))</f>
        <v>45298</v>
      </c>
      <c r="K1350" s="19">
        <f t="shared" si="2"/>
        <v>1</v>
      </c>
      <c r="L1350" s="6" t="str">
        <f t="shared" si="3"/>
        <v>FS</v>
      </c>
    </row>
    <row r="1351" ht="14.25" customHeight="1">
      <c r="A1351" s="14" t="str">
        <f>Base_report!A1341</f>
        <v>TONKPI</v>
      </c>
      <c r="B1351" s="14" t="str">
        <f>Base_report!B1341</f>
        <v>DECEMBRE 2023</v>
      </c>
      <c r="C1351" s="15" t="str">
        <f>Base_report!C1341</f>
        <v>C5006</v>
      </c>
      <c r="D1351" s="14" t="str">
        <f>TRIM(IF(ISNUMBER(FIND("PNSME",Base_report!D1341,1)),SUBSTITUTE(Base_report!D1341,"PNSME",""),IF(ISNUMBER(FIND("PHG",Base_report!D1341,1)),SUBSTITUTE(Base_report!D1341,"PHG",""),IF(ISNUMBER(FIND("PCS",Base_report!D1341,1)),SUBSTITUTE(Base_report!D1341,"PCS",""),IF(ISNUMBER(FIND("CMU",Base_report!D1341,1)),SUBSTITUTE(Base_report!D1341,"CMU",""),Base_report!D1341)))))</f>
        <v>HOPITAL GENERAL ZOUAN HOUNIEN</v>
      </c>
      <c r="E1351" s="14" t="str">
        <f>SUBSTITUTE(Base_report!E1341,"-","/")</f>
        <v>PNLP/MEDICAMENTS ET INTRANTS</v>
      </c>
      <c r="F1351" s="14" t="s">
        <v>788</v>
      </c>
      <c r="G1351" s="16">
        <f>DATE(YEAR(SUBSTITUTE(LEFT(Base_report!F1341,10),"-","/")),MONTH(SUBSTITUTE(LEFT(Base_report!F1341,10),"-","/")),DAY(SUBSTITUTE(LEFT(Base_report!F1341,10),"-","/")))</f>
        <v>45298</v>
      </c>
      <c r="H1351" s="16">
        <f>DATE(YEAR(SUBSTITUTE(LEFT(Base_report!G1341,10),"-","/")),MONTH(SUBSTITUTE(LEFT(Base_report!G1341,10),"-","/")),DAY(SUBSTITUTE(LEFT(Base_report!G1341,10),"-","/")))</f>
        <v>45298</v>
      </c>
      <c r="I1351" s="17" t="str">
        <f t="shared" si="1"/>
        <v>OUI</v>
      </c>
      <c r="J1351" s="18">
        <f>IF(L1351="DS",DATE(RIGHT(B1351,4),VLOOKUP(LEFT(B1351,LEN(B1351)-5),Feuil1!$E$3:$F$19,2,FALSE)+1,10),DATE(RIGHT(B1351,4),VLOOKUP(LEFT(B1351,LEN(B1351)-5),Feuil1!$E$3:$F$19,2,FALSE)+1,7))</f>
        <v>45298</v>
      </c>
      <c r="K1351" s="19">
        <f t="shared" si="2"/>
        <v>1</v>
      </c>
      <c r="L1351" s="6" t="str">
        <f t="shared" si="3"/>
        <v>FS</v>
      </c>
    </row>
    <row r="1352" ht="14.25" customHeight="1">
      <c r="A1352" s="14" t="str">
        <f>Base_report!A1342</f>
        <v>ABIDJAN 1</v>
      </c>
      <c r="B1352" s="14" t="str">
        <f>Base_report!B1342</f>
        <v>DECEMBRE 2023</v>
      </c>
      <c r="C1352" s="15" t="str">
        <f>Base_report!C1342</f>
        <v>C1084</v>
      </c>
      <c r="D1352" s="14" t="str">
        <f>TRIM(IF(ISNUMBER(FIND("PNSME",Base_report!D1342,1)),SUBSTITUTE(Base_report!D1342,"PNSME",""),IF(ISNUMBER(FIND("PHG",Base_report!D1342,1)),SUBSTITUTE(Base_report!D1342,"PHG",""),IF(ISNUMBER(FIND("PCS",Base_report!D1342,1)),SUBSTITUTE(Base_report!D1342,"PCS",""),IF(ISNUMBER(FIND("CMU",Base_report!D1342,1)),SUBSTITUTE(Base_report!D1342,"CMU",""),Base_report!D1342)))))</f>
        <v>HOPITAL GENERAL ANYAMA</v>
      </c>
      <c r="E1352" s="14" t="str">
        <f>SUBSTITUTE(Base_report!E1342,"-","/")</f>
        <v>PNLS/ANTIRETROVIRAUX ET IO</v>
      </c>
      <c r="F1352" s="14" t="s">
        <v>788</v>
      </c>
      <c r="G1352" s="16">
        <f>DATE(YEAR(SUBSTITUTE(LEFT(Base_report!F1342,10),"-","/")),MONTH(SUBSTITUTE(LEFT(Base_report!F1342,10),"-","/")),DAY(SUBSTITUTE(LEFT(Base_report!F1342,10),"-","/")))</f>
        <v>45298</v>
      </c>
      <c r="H1352" s="16">
        <f>DATE(YEAR(SUBSTITUTE(LEFT(Base_report!G1342,10),"-","/")),MONTH(SUBSTITUTE(LEFT(Base_report!G1342,10),"-","/")),DAY(SUBSTITUTE(LEFT(Base_report!G1342,10),"-","/")))</f>
        <v>45298</v>
      </c>
      <c r="I1352" s="17" t="str">
        <f t="shared" si="1"/>
        <v>OUI</v>
      </c>
      <c r="J1352" s="18">
        <f>IF(L1352="DS",DATE(RIGHT(B1352,4),VLOOKUP(LEFT(B1352,LEN(B1352)-5),Feuil1!$E$3:$F$19,2,FALSE)+1,10),DATE(RIGHT(B1352,4),VLOOKUP(LEFT(B1352,LEN(B1352)-5),Feuil1!$E$3:$F$19,2,FALSE)+1,7))</f>
        <v>45298</v>
      </c>
      <c r="K1352" s="19">
        <f t="shared" si="2"/>
        <v>1</v>
      </c>
      <c r="L1352" s="6" t="str">
        <f t="shared" si="3"/>
        <v>FS</v>
      </c>
    </row>
    <row r="1353" ht="14.25" customHeight="1">
      <c r="A1353" s="14" t="str">
        <f>Base_report!A1343</f>
        <v>IFFOU</v>
      </c>
      <c r="B1353" s="14" t="str">
        <f>Base_report!B1343</f>
        <v>DECEMBRE 2023</v>
      </c>
      <c r="C1353" s="15" t="str">
        <f>Base_report!C1343</f>
        <v>C4022</v>
      </c>
      <c r="D1353" s="14" t="str">
        <f>TRIM(IF(ISNUMBER(FIND("PNSME",Base_report!D1343,1)),SUBSTITUTE(Base_report!D1343,"PNSME",""),IF(ISNUMBER(FIND("PHG",Base_report!D1343,1)),SUBSTITUTE(Base_report!D1343,"PHG",""),IF(ISNUMBER(FIND("PCS",Base_report!D1343,1)),SUBSTITUTE(Base_report!D1343,"PCS",""),IF(ISNUMBER(FIND("CMU",Base_report!D1343,1)),SUBSTITUTE(Base_report!D1343,"CMU",""),Base_report!D1343)))))</f>
        <v>HOPITAL GENERAL MBAHIAKRO</v>
      </c>
      <c r="E1353" s="14" t="str">
        <f>SUBSTITUTE(Base_report!E1343,"-","/")</f>
        <v>PNSME/MEDICAMENTS ET INTRANTS</v>
      </c>
      <c r="F1353" s="14" t="s">
        <v>788</v>
      </c>
      <c r="G1353" s="16">
        <f>DATE(YEAR(SUBSTITUTE(LEFT(Base_report!F1343,10),"-","/")),MONTH(SUBSTITUTE(LEFT(Base_report!F1343,10),"-","/")),DAY(SUBSTITUTE(LEFT(Base_report!F1343,10),"-","/")))</f>
        <v>45298</v>
      </c>
      <c r="H1353" s="16">
        <f>DATE(YEAR(SUBSTITUTE(LEFT(Base_report!G1343,10),"-","/")),MONTH(SUBSTITUTE(LEFT(Base_report!G1343,10),"-","/")),DAY(SUBSTITUTE(LEFT(Base_report!G1343,10),"-","/")))</f>
        <v>45298</v>
      </c>
      <c r="I1353" s="17" t="str">
        <f t="shared" si="1"/>
        <v>OUI</v>
      </c>
      <c r="J1353" s="18">
        <f>IF(L1353="DS",DATE(RIGHT(B1353,4),VLOOKUP(LEFT(B1353,LEN(B1353)-5),Feuil1!$E$3:$F$19,2,FALSE)+1,10),DATE(RIGHT(B1353,4),VLOOKUP(LEFT(B1353,LEN(B1353)-5),Feuil1!$E$3:$F$19,2,FALSE)+1,7))</f>
        <v>45298</v>
      </c>
      <c r="K1353" s="19">
        <f t="shared" si="2"/>
        <v>1</v>
      </c>
      <c r="L1353" s="6" t="str">
        <f t="shared" si="3"/>
        <v>FS</v>
      </c>
    </row>
    <row r="1354" ht="14.25" customHeight="1">
      <c r="A1354" s="14" t="str">
        <f>Base_report!A1344</f>
        <v>IFFOU</v>
      </c>
      <c r="B1354" s="14" t="str">
        <f>Base_report!B1344</f>
        <v>DECEMBRE 2023</v>
      </c>
      <c r="C1354" s="15" t="str">
        <f>Base_report!C1344</f>
        <v>C4022</v>
      </c>
      <c r="D1354" s="14" t="str">
        <f>TRIM(IF(ISNUMBER(FIND("PNSME",Base_report!D1344,1)),SUBSTITUTE(Base_report!D1344,"PNSME",""),IF(ISNUMBER(FIND("PHG",Base_report!D1344,1)),SUBSTITUTE(Base_report!D1344,"PHG",""),IF(ISNUMBER(FIND("PCS",Base_report!D1344,1)),SUBSTITUTE(Base_report!D1344,"PCS",""),IF(ISNUMBER(FIND("CMU",Base_report!D1344,1)),SUBSTITUTE(Base_report!D1344,"CMU",""),Base_report!D1344)))))</f>
        <v>HOPITAL GENERAL MBAHIAKRO</v>
      </c>
      <c r="E1354" s="14" t="str">
        <f>SUBSTITUTE(Base_report!E1344,"-","/")</f>
        <v>PNN/MEDICAMENTS ET INTRANTS</v>
      </c>
      <c r="F1354" s="14" t="s">
        <v>788</v>
      </c>
      <c r="G1354" s="16">
        <f>DATE(YEAR(SUBSTITUTE(LEFT(Base_report!F1344,10),"-","/")),MONTH(SUBSTITUTE(LEFT(Base_report!F1344,10),"-","/")),DAY(SUBSTITUTE(LEFT(Base_report!F1344,10),"-","/")))</f>
        <v>45298</v>
      </c>
      <c r="H1354" s="16">
        <f>DATE(YEAR(SUBSTITUTE(LEFT(Base_report!G1344,10),"-","/")),MONTH(SUBSTITUTE(LEFT(Base_report!G1344,10),"-","/")),DAY(SUBSTITUTE(LEFT(Base_report!G1344,10),"-","/")))</f>
        <v>45298</v>
      </c>
      <c r="I1354" s="17" t="str">
        <f t="shared" si="1"/>
        <v>OUI</v>
      </c>
      <c r="J1354" s="18">
        <f>IF(L1354="DS",DATE(RIGHT(B1354,4),VLOOKUP(LEFT(B1354,LEN(B1354)-5),Feuil1!$E$3:$F$19,2,FALSE)+1,10),DATE(RIGHT(B1354,4),VLOOKUP(LEFT(B1354,LEN(B1354)-5),Feuil1!$E$3:$F$19,2,FALSE)+1,7))</f>
        <v>45298</v>
      </c>
      <c r="K1354" s="19">
        <f t="shared" si="2"/>
        <v>1</v>
      </c>
      <c r="L1354" s="6" t="str">
        <f t="shared" si="3"/>
        <v>FS</v>
      </c>
    </row>
    <row r="1355" ht="14.25" customHeight="1">
      <c r="A1355" s="14" t="str">
        <f>Base_report!A1345</f>
        <v>TONKPI</v>
      </c>
      <c r="B1355" s="14" t="str">
        <f>Base_report!B1345</f>
        <v>DECEMBRE 2023</v>
      </c>
      <c r="C1355" s="15" t="str">
        <f>Base_report!C1345</f>
        <v>C5018</v>
      </c>
      <c r="D1355" s="14" t="str">
        <f>TRIM(IF(ISNUMBER(FIND("PNSME",Base_report!D1345,1)),SUBSTITUTE(Base_report!D1345,"PNSME",""),IF(ISNUMBER(FIND("PHG",Base_report!D1345,1)),SUBSTITUTE(Base_report!D1345,"PHG",""),IF(ISNUMBER(FIND("PCS",Base_report!D1345,1)),SUBSTITUTE(Base_report!D1345,"PCS",""),IF(ISNUMBER(FIND("CMU",Base_report!D1345,1)),SUBSTITUTE(Base_report!D1345,"CMU",""),Base_report!D1345)))))</f>
        <v>HOPITAL GENERAL DANANE</v>
      </c>
      <c r="E1355" s="14" t="str">
        <f>SUBSTITUTE(Base_report!E1345,"-","/")</f>
        <v>PNLS/PRODUITS DE LABORATOIRE</v>
      </c>
      <c r="F1355" s="14" t="s">
        <v>788</v>
      </c>
      <c r="G1355" s="16">
        <f>DATE(YEAR(SUBSTITUTE(LEFT(Base_report!F1345,10),"-","/")),MONTH(SUBSTITUTE(LEFT(Base_report!F1345,10),"-","/")),DAY(SUBSTITUTE(LEFT(Base_report!F1345,10),"-","/")))</f>
        <v>45298</v>
      </c>
      <c r="H1355" s="16">
        <f>DATE(YEAR(SUBSTITUTE(LEFT(Base_report!G1345,10),"-","/")),MONTH(SUBSTITUTE(LEFT(Base_report!G1345,10),"-","/")),DAY(SUBSTITUTE(LEFT(Base_report!G1345,10),"-","/")))</f>
        <v>45298</v>
      </c>
      <c r="I1355" s="17" t="str">
        <f t="shared" si="1"/>
        <v>OUI</v>
      </c>
      <c r="J1355" s="18">
        <f>IF(L1355="DS",DATE(RIGHT(B1355,4),VLOOKUP(LEFT(B1355,LEN(B1355)-5),Feuil1!$E$3:$F$19,2,FALSE)+1,10),DATE(RIGHT(B1355,4),VLOOKUP(LEFT(B1355,LEN(B1355)-5),Feuil1!$E$3:$F$19,2,FALSE)+1,7))</f>
        <v>45298</v>
      </c>
      <c r="K1355" s="19">
        <f t="shared" si="2"/>
        <v>1</v>
      </c>
      <c r="L1355" s="6" t="str">
        <f t="shared" si="3"/>
        <v>FS</v>
      </c>
    </row>
    <row r="1356" ht="14.25" customHeight="1">
      <c r="A1356" s="14" t="str">
        <f>Base_report!A1346</f>
        <v>IFFOU</v>
      </c>
      <c r="B1356" s="14" t="str">
        <f>Base_report!B1346</f>
        <v>DECEMBRE 2023</v>
      </c>
      <c r="C1356" s="15" t="str">
        <f>Base_report!C1346</f>
        <v>C4022</v>
      </c>
      <c r="D1356" s="14" t="str">
        <f>TRIM(IF(ISNUMBER(FIND("PNSME",Base_report!D1346,1)),SUBSTITUTE(Base_report!D1346,"PNSME",""),IF(ISNUMBER(FIND("PHG",Base_report!D1346,1)),SUBSTITUTE(Base_report!D1346,"PHG",""),IF(ISNUMBER(FIND("PCS",Base_report!D1346,1)),SUBSTITUTE(Base_report!D1346,"PCS",""),IF(ISNUMBER(FIND("CMU",Base_report!D1346,1)),SUBSTITUTE(Base_report!D1346,"CMU",""),Base_report!D1346)))))</f>
        <v>HOPITAL GENERAL MBAHIAKRO</v>
      </c>
      <c r="E1356" s="14" t="str">
        <f>SUBSTITUTE(Base_report!E1346,"-","/")</f>
        <v>PNLS/TESTS RAPIDES ET CONSOMMABLES</v>
      </c>
      <c r="F1356" s="14" t="s">
        <v>788</v>
      </c>
      <c r="G1356" s="16">
        <f>DATE(YEAR(SUBSTITUTE(LEFT(Base_report!F1346,10),"-","/")),MONTH(SUBSTITUTE(LEFT(Base_report!F1346,10),"-","/")),DAY(SUBSTITUTE(LEFT(Base_report!F1346,10),"-","/")))</f>
        <v>45298</v>
      </c>
      <c r="H1356" s="16">
        <f>DATE(YEAR(SUBSTITUTE(LEFT(Base_report!G1346,10),"-","/")),MONTH(SUBSTITUTE(LEFT(Base_report!G1346,10),"-","/")),DAY(SUBSTITUTE(LEFT(Base_report!G1346,10),"-","/")))</f>
        <v>45298</v>
      </c>
      <c r="I1356" s="17" t="str">
        <f t="shared" si="1"/>
        <v>OUI</v>
      </c>
      <c r="J1356" s="18">
        <f>IF(L1356="DS",DATE(RIGHT(B1356,4),VLOOKUP(LEFT(B1356,LEN(B1356)-5),Feuil1!$E$3:$F$19,2,FALSE)+1,10),DATE(RIGHT(B1356,4),VLOOKUP(LEFT(B1356,LEN(B1356)-5),Feuil1!$E$3:$F$19,2,FALSE)+1,7))</f>
        <v>45298</v>
      </c>
      <c r="K1356" s="19">
        <f t="shared" si="2"/>
        <v>1</v>
      </c>
      <c r="L1356" s="6" t="str">
        <f t="shared" si="3"/>
        <v>FS</v>
      </c>
    </row>
    <row r="1357" ht="14.25" customHeight="1">
      <c r="A1357" s="14" t="str">
        <f>Base_report!A1347</f>
        <v>IFFOU</v>
      </c>
      <c r="B1357" s="14" t="str">
        <f>Base_report!B1347</f>
        <v>DECEMBRE 2023</v>
      </c>
      <c r="C1357" s="15" t="str">
        <f>Base_report!C1347</f>
        <v>C4022</v>
      </c>
      <c r="D1357" s="14" t="str">
        <f>TRIM(IF(ISNUMBER(FIND("PNSME",Base_report!D1347,1)),SUBSTITUTE(Base_report!D1347,"PNSME",""),IF(ISNUMBER(FIND("PHG",Base_report!D1347,1)),SUBSTITUTE(Base_report!D1347,"PHG",""),IF(ISNUMBER(FIND("PCS",Base_report!D1347,1)),SUBSTITUTE(Base_report!D1347,"PCS",""),IF(ISNUMBER(FIND("CMU",Base_report!D1347,1)),SUBSTITUTE(Base_report!D1347,"CMU",""),Base_report!D1347)))))</f>
        <v>HOPITAL GENERAL MBAHIAKRO</v>
      </c>
      <c r="E1357" s="14" t="str">
        <f>SUBSTITUTE(Base_report!E1347,"-","/")</f>
        <v>PNLS/PRODUITS DE LABORATOIRE</v>
      </c>
      <c r="F1357" s="14" t="s">
        <v>788</v>
      </c>
      <c r="G1357" s="16">
        <f>DATE(YEAR(SUBSTITUTE(LEFT(Base_report!F1347,10),"-","/")),MONTH(SUBSTITUTE(LEFT(Base_report!F1347,10),"-","/")),DAY(SUBSTITUTE(LEFT(Base_report!F1347,10),"-","/")))</f>
        <v>45298</v>
      </c>
      <c r="H1357" s="16">
        <f>DATE(YEAR(SUBSTITUTE(LEFT(Base_report!G1347,10),"-","/")),MONTH(SUBSTITUTE(LEFT(Base_report!G1347,10),"-","/")),DAY(SUBSTITUTE(LEFT(Base_report!G1347,10),"-","/")))</f>
        <v>45298</v>
      </c>
      <c r="I1357" s="17" t="str">
        <f t="shared" si="1"/>
        <v>OUI</v>
      </c>
      <c r="J1357" s="18">
        <f>IF(L1357="DS",DATE(RIGHT(B1357,4),VLOOKUP(LEFT(B1357,LEN(B1357)-5),Feuil1!$E$3:$F$19,2,FALSE)+1,10),DATE(RIGHT(B1357,4),VLOOKUP(LEFT(B1357,LEN(B1357)-5),Feuil1!$E$3:$F$19,2,FALSE)+1,7))</f>
        <v>45298</v>
      </c>
      <c r="K1357" s="19">
        <f t="shared" si="2"/>
        <v>1</v>
      </c>
      <c r="L1357" s="6" t="str">
        <f t="shared" si="3"/>
        <v>FS</v>
      </c>
    </row>
    <row r="1358" ht="14.25" customHeight="1">
      <c r="A1358" s="14" t="str">
        <f>Base_report!A1348</f>
        <v>ABIDJAN 1</v>
      </c>
      <c r="B1358" s="14" t="str">
        <f>Base_report!B1348</f>
        <v>DECEMBRE 2023</v>
      </c>
      <c r="C1358" s="15" t="str">
        <f>Base_report!C1348</f>
        <v>C1084</v>
      </c>
      <c r="D1358" s="14" t="str">
        <f>TRIM(IF(ISNUMBER(FIND("PNSME",Base_report!D1348,1)),SUBSTITUTE(Base_report!D1348,"PNSME",""),IF(ISNUMBER(FIND("PHG",Base_report!D1348,1)),SUBSTITUTE(Base_report!D1348,"PHG",""),IF(ISNUMBER(FIND("PCS",Base_report!D1348,1)),SUBSTITUTE(Base_report!D1348,"PCS",""),IF(ISNUMBER(FIND("CMU",Base_report!D1348,1)),SUBSTITUTE(Base_report!D1348,"CMU",""),Base_report!D1348)))))</f>
        <v>HOPITAL GENERAL ANYAMA</v>
      </c>
      <c r="E1358" s="14" t="str">
        <f>SUBSTITUTE(Base_report!E1348,"-","/")</f>
        <v>PNLS/TESTS RAPIDES ET CONSOMMABLES</v>
      </c>
      <c r="F1358" s="14" t="s">
        <v>788</v>
      </c>
      <c r="G1358" s="16">
        <f>DATE(YEAR(SUBSTITUTE(LEFT(Base_report!F1348,10),"-","/")),MONTH(SUBSTITUTE(LEFT(Base_report!F1348,10),"-","/")),DAY(SUBSTITUTE(LEFT(Base_report!F1348,10),"-","/")))</f>
        <v>45298</v>
      </c>
      <c r="H1358" s="16">
        <f>DATE(YEAR(SUBSTITUTE(LEFT(Base_report!G1348,10),"-","/")),MONTH(SUBSTITUTE(LEFT(Base_report!G1348,10),"-","/")),DAY(SUBSTITUTE(LEFT(Base_report!G1348,10),"-","/")))</f>
        <v>45298</v>
      </c>
      <c r="I1358" s="17" t="str">
        <f t="shared" si="1"/>
        <v>OUI</v>
      </c>
      <c r="J1358" s="18">
        <f>IF(L1358="DS",DATE(RIGHT(B1358,4),VLOOKUP(LEFT(B1358,LEN(B1358)-5),Feuil1!$E$3:$F$19,2,FALSE)+1,10),DATE(RIGHT(B1358,4),VLOOKUP(LEFT(B1358,LEN(B1358)-5),Feuil1!$E$3:$F$19,2,FALSE)+1,7))</f>
        <v>45298</v>
      </c>
      <c r="K1358" s="19">
        <f t="shared" si="2"/>
        <v>1</v>
      </c>
      <c r="L1358" s="6" t="str">
        <f t="shared" si="3"/>
        <v>FS</v>
      </c>
    </row>
    <row r="1359" ht="14.25" customHeight="1">
      <c r="A1359" s="14" t="str">
        <f>Base_report!A1349</f>
        <v>ABIDJAN 2</v>
      </c>
      <c r="B1359" s="14" t="str">
        <f>Base_report!B1349</f>
        <v>DECEMBRE 2023</v>
      </c>
      <c r="C1359" s="15" t="str">
        <f>Base_report!C1349</f>
        <v>C1061</v>
      </c>
      <c r="D1359" s="14" t="str">
        <f>TRIM(IF(ISNUMBER(FIND("PNSME",Base_report!D1349,1)),SUBSTITUTE(Base_report!D1349,"PNSME",""),IF(ISNUMBER(FIND("PHG",Base_report!D1349,1)),SUBSTITUTE(Base_report!D1349,"PHG",""),IF(ISNUMBER(FIND("PCS",Base_report!D1349,1)),SUBSTITUTE(Base_report!D1349,"PCS",""),IF(ISNUMBER(FIND("CMU",Base_report!D1349,1)),SUBSTITUTE(Base_report!D1349,"CMU",""),Base_report!D1349)))))</f>
        <v>HOPITAL GENERAL DE TREICHVILLE (JEAN DELAFOSSE)</v>
      </c>
      <c r="E1359" s="14" t="str">
        <f>SUBSTITUTE(Base_report!E1349,"-","/")</f>
        <v>PNLP/MEDICAMENTS ET INTRANTS</v>
      </c>
      <c r="F1359" s="14" t="s">
        <v>788</v>
      </c>
      <c r="G1359" s="16">
        <f>DATE(YEAR(SUBSTITUTE(LEFT(Base_report!F1349,10),"-","/")),MONTH(SUBSTITUTE(LEFT(Base_report!F1349,10),"-","/")),DAY(SUBSTITUTE(LEFT(Base_report!F1349,10),"-","/")))</f>
        <v>45298</v>
      </c>
      <c r="H1359" s="16">
        <f>DATE(YEAR(SUBSTITUTE(LEFT(Base_report!G1349,10),"-","/")),MONTH(SUBSTITUTE(LEFT(Base_report!G1349,10),"-","/")),DAY(SUBSTITUTE(LEFT(Base_report!G1349,10),"-","/")))</f>
        <v>45298</v>
      </c>
      <c r="I1359" s="17" t="str">
        <f t="shared" si="1"/>
        <v>OUI</v>
      </c>
      <c r="J1359" s="18">
        <f>IF(L1359="DS",DATE(RIGHT(B1359,4),VLOOKUP(LEFT(B1359,LEN(B1359)-5),Feuil1!$E$3:$F$19,2,FALSE)+1,10),DATE(RIGHT(B1359,4),VLOOKUP(LEFT(B1359,LEN(B1359)-5),Feuil1!$E$3:$F$19,2,FALSE)+1,7))</f>
        <v>45298</v>
      </c>
      <c r="K1359" s="19">
        <f t="shared" si="2"/>
        <v>1</v>
      </c>
      <c r="L1359" s="6" t="str">
        <f t="shared" si="3"/>
        <v>FS</v>
      </c>
    </row>
    <row r="1360" ht="14.25" customHeight="1">
      <c r="A1360" s="14" t="str">
        <f>Base_report!A1350</f>
        <v>ABIDJAN 2</v>
      </c>
      <c r="B1360" s="14" t="str">
        <f>Base_report!B1350</f>
        <v>DECEMBRE 2023</v>
      </c>
      <c r="C1360" s="15" t="str">
        <f>Base_report!C1350</f>
        <v>C1061</v>
      </c>
      <c r="D1360" s="14" t="str">
        <f>TRIM(IF(ISNUMBER(FIND("PNSME",Base_report!D1350,1)),SUBSTITUTE(Base_report!D1350,"PNSME",""),IF(ISNUMBER(FIND("PHG",Base_report!D1350,1)),SUBSTITUTE(Base_report!D1350,"PHG",""),IF(ISNUMBER(FIND("PCS",Base_report!D1350,1)),SUBSTITUTE(Base_report!D1350,"PCS",""),IF(ISNUMBER(FIND("CMU",Base_report!D1350,1)),SUBSTITUTE(Base_report!D1350,"CMU",""),Base_report!D1350)))))</f>
        <v>HOPITAL GENERAL DE TREICHVILLE (JEAN DELAFOSSE)</v>
      </c>
      <c r="E1360" s="14" t="str">
        <f>SUBSTITUTE(Base_report!E1350,"-","/")</f>
        <v>PNSME/MEDICAMENTS ET INTRANTS</v>
      </c>
      <c r="F1360" s="14" t="s">
        <v>788</v>
      </c>
      <c r="G1360" s="16">
        <f>DATE(YEAR(SUBSTITUTE(LEFT(Base_report!F1350,10),"-","/")),MONTH(SUBSTITUTE(LEFT(Base_report!F1350,10),"-","/")),DAY(SUBSTITUTE(LEFT(Base_report!F1350,10),"-","/")))</f>
        <v>45298</v>
      </c>
      <c r="H1360" s="16">
        <f>DATE(YEAR(SUBSTITUTE(LEFT(Base_report!G1350,10),"-","/")),MONTH(SUBSTITUTE(LEFT(Base_report!G1350,10),"-","/")),DAY(SUBSTITUTE(LEFT(Base_report!G1350,10),"-","/")))</f>
        <v>45298</v>
      </c>
      <c r="I1360" s="17" t="str">
        <f t="shared" si="1"/>
        <v>OUI</v>
      </c>
      <c r="J1360" s="18">
        <f>IF(L1360="DS",DATE(RIGHT(B1360,4),VLOOKUP(LEFT(B1360,LEN(B1360)-5),Feuil1!$E$3:$F$19,2,FALSE)+1,10),DATE(RIGHT(B1360,4),VLOOKUP(LEFT(B1360,LEN(B1360)-5),Feuil1!$E$3:$F$19,2,FALSE)+1,7))</f>
        <v>45298</v>
      </c>
      <c r="K1360" s="19">
        <f t="shared" si="2"/>
        <v>1</v>
      </c>
      <c r="L1360" s="6" t="str">
        <f t="shared" si="3"/>
        <v>FS</v>
      </c>
    </row>
    <row r="1361" ht="14.25" customHeight="1">
      <c r="A1361" s="14" t="str">
        <f>Base_report!A1351</f>
        <v>ABIDJAN 2</v>
      </c>
      <c r="B1361" s="14" t="str">
        <f>Base_report!B1351</f>
        <v>DECEMBRE 2023</v>
      </c>
      <c r="C1361" s="15" t="str">
        <f>Base_report!C1351</f>
        <v>C1061</v>
      </c>
      <c r="D1361" s="14" t="str">
        <f>TRIM(IF(ISNUMBER(FIND("PNSME",Base_report!D1351,1)),SUBSTITUTE(Base_report!D1351,"PNSME",""),IF(ISNUMBER(FIND("PHG",Base_report!D1351,1)),SUBSTITUTE(Base_report!D1351,"PHG",""),IF(ISNUMBER(FIND("PCS",Base_report!D1351,1)),SUBSTITUTE(Base_report!D1351,"PCS",""),IF(ISNUMBER(FIND("CMU",Base_report!D1351,1)),SUBSTITUTE(Base_report!D1351,"CMU",""),Base_report!D1351)))))</f>
        <v>HOPITAL GENERAL DE TREICHVILLE (JEAN DELAFOSSE)</v>
      </c>
      <c r="E1361" s="14" t="str">
        <f>SUBSTITUTE(Base_report!E1351,"-","/")</f>
        <v>PNLS/ANTIRETROVIRAUX ET IO</v>
      </c>
      <c r="F1361" s="14" t="s">
        <v>788</v>
      </c>
      <c r="G1361" s="16">
        <f>DATE(YEAR(SUBSTITUTE(LEFT(Base_report!F1351,10),"-","/")),MONTH(SUBSTITUTE(LEFT(Base_report!F1351,10),"-","/")),DAY(SUBSTITUTE(LEFT(Base_report!F1351,10),"-","/")))</f>
        <v>45298</v>
      </c>
      <c r="H1361" s="16">
        <f>DATE(YEAR(SUBSTITUTE(LEFT(Base_report!G1351,10),"-","/")),MONTH(SUBSTITUTE(LEFT(Base_report!G1351,10),"-","/")),DAY(SUBSTITUTE(LEFT(Base_report!G1351,10),"-","/")))</f>
        <v>45298</v>
      </c>
      <c r="I1361" s="17" t="str">
        <f t="shared" si="1"/>
        <v>OUI</v>
      </c>
      <c r="J1361" s="18">
        <f>IF(L1361="DS",DATE(RIGHT(B1361,4),VLOOKUP(LEFT(B1361,LEN(B1361)-5),Feuil1!$E$3:$F$19,2,FALSE)+1,10),DATE(RIGHT(B1361,4),VLOOKUP(LEFT(B1361,LEN(B1361)-5),Feuil1!$E$3:$F$19,2,FALSE)+1,7))</f>
        <v>45298</v>
      </c>
      <c r="K1361" s="19">
        <f t="shared" si="2"/>
        <v>1</v>
      </c>
      <c r="L1361" s="6" t="str">
        <f t="shared" si="3"/>
        <v>FS</v>
      </c>
    </row>
    <row r="1362" ht="14.25" customHeight="1">
      <c r="A1362" s="14" t="str">
        <f>Base_report!A1352</f>
        <v>ABIDJAN 2</v>
      </c>
      <c r="B1362" s="14" t="str">
        <f>Base_report!B1352</f>
        <v>DECEMBRE 2023</v>
      </c>
      <c r="C1362" s="15" t="str">
        <f>Base_report!C1352</f>
        <v>C1094</v>
      </c>
      <c r="D1362" s="14" t="str">
        <f>TRIM(IF(ISNUMBER(FIND("PNSME",Base_report!D1352,1)),SUBSTITUTE(Base_report!D1352,"PNSME",""),IF(ISNUMBER(FIND("PHG",Base_report!D1352,1)),SUBSTITUTE(Base_report!D1352,"PHG",""),IF(ISNUMBER(FIND("PCS",Base_report!D1352,1)),SUBSTITUTE(Base_report!D1352,"PCS",""),IF(ISNUMBER(FIND("CMU",Base_report!D1352,1)),SUBSTITUTE(Base_report!D1352,"CMU",""),Base_report!D1352)))))</f>
        <v>HOPITAL GENERAL PORT-BOUET</v>
      </c>
      <c r="E1362" s="14" t="str">
        <f>SUBSTITUTE(Base_report!E1352,"-","/")</f>
        <v>PNLS/CHARGES VIRALES</v>
      </c>
      <c r="F1362" s="14" t="s">
        <v>788</v>
      </c>
      <c r="G1362" s="16">
        <f>DATE(YEAR(SUBSTITUTE(LEFT(Base_report!F1352,10),"-","/")),MONTH(SUBSTITUTE(LEFT(Base_report!F1352,10),"-","/")),DAY(SUBSTITUTE(LEFT(Base_report!F1352,10),"-","/")))</f>
        <v>45299</v>
      </c>
      <c r="H1362" s="16">
        <f>DATE(YEAR(SUBSTITUTE(LEFT(Base_report!G1352,10),"-","/")),MONTH(SUBSTITUTE(LEFT(Base_report!G1352,10),"-","/")),DAY(SUBSTITUTE(LEFT(Base_report!G1352,10),"-","/")))</f>
        <v>45299</v>
      </c>
      <c r="I1362" s="17" t="str">
        <f t="shared" si="1"/>
        <v>OUI</v>
      </c>
      <c r="J1362" s="18">
        <f>IF(L1362="DS",DATE(RIGHT(B1362,4),VLOOKUP(LEFT(B1362,LEN(B1362)-5),Feuil1!$E$3:$F$19,2,FALSE)+1,10),DATE(RIGHT(B1362,4),VLOOKUP(LEFT(B1362,LEN(B1362)-5),Feuil1!$E$3:$F$19,2,FALSE)+1,7))</f>
        <v>45298</v>
      </c>
      <c r="K1362" s="19">
        <f t="shared" si="2"/>
        <v>0</v>
      </c>
      <c r="L1362" s="6" t="str">
        <f t="shared" si="3"/>
        <v>FS</v>
      </c>
    </row>
    <row r="1363" ht="14.25" customHeight="1">
      <c r="A1363" s="14" t="str">
        <f>Base_report!A1353</f>
        <v>ABIDJAN 2</v>
      </c>
      <c r="B1363" s="14" t="str">
        <f>Base_report!B1353</f>
        <v>DECEMBRE 2023</v>
      </c>
      <c r="C1363" s="15" t="str">
        <f>Base_report!C1353</f>
        <v>C1094</v>
      </c>
      <c r="D1363" s="14" t="str">
        <f>TRIM(IF(ISNUMBER(FIND("PNSME",Base_report!D1353,1)),SUBSTITUTE(Base_report!D1353,"PNSME",""),IF(ISNUMBER(FIND("PHG",Base_report!D1353,1)),SUBSTITUTE(Base_report!D1353,"PHG",""),IF(ISNUMBER(FIND("PCS",Base_report!D1353,1)),SUBSTITUTE(Base_report!D1353,"PCS",""),IF(ISNUMBER(FIND("CMU",Base_report!D1353,1)),SUBSTITUTE(Base_report!D1353,"CMU",""),Base_report!D1353)))))</f>
        <v>HOPITAL GENERAL PORT-BOUET</v>
      </c>
      <c r="E1363" s="14" t="str">
        <f>SUBSTITUTE(Base_report!E1353,"-","/")</f>
        <v>PNLS/PRODUITS DE LABORATOIRE</v>
      </c>
      <c r="F1363" s="14" t="s">
        <v>788</v>
      </c>
      <c r="G1363" s="16">
        <f>DATE(YEAR(SUBSTITUTE(LEFT(Base_report!F1353,10),"-","/")),MONTH(SUBSTITUTE(LEFT(Base_report!F1353,10),"-","/")),DAY(SUBSTITUTE(LEFT(Base_report!F1353,10),"-","/")))</f>
        <v>45299</v>
      </c>
      <c r="H1363" s="16">
        <f>DATE(YEAR(SUBSTITUTE(LEFT(Base_report!G1353,10),"-","/")),MONTH(SUBSTITUTE(LEFT(Base_report!G1353,10),"-","/")),DAY(SUBSTITUTE(LEFT(Base_report!G1353,10),"-","/")))</f>
        <v>45299</v>
      </c>
      <c r="I1363" s="17" t="str">
        <f t="shared" si="1"/>
        <v>OUI</v>
      </c>
      <c r="J1363" s="18">
        <f>IF(L1363="DS",DATE(RIGHT(B1363,4),VLOOKUP(LEFT(B1363,LEN(B1363)-5),Feuil1!$E$3:$F$19,2,FALSE)+1,10),DATE(RIGHT(B1363,4),VLOOKUP(LEFT(B1363,LEN(B1363)-5),Feuil1!$E$3:$F$19,2,FALSE)+1,7))</f>
        <v>45298</v>
      </c>
      <c r="K1363" s="19">
        <f t="shared" si="2"/>
        <v>0</v>
      </c>
      <c r="L1363" s="6" t="str">
        <f t="shared" si="3"/>
        <v>FS</v>
      </c>
    </row>
    <row r="1364" ht="14.25" customHeight="1">
      <c r="A1364" s="14" t="str">
        <f>Base_report!A1354</f>
        <v>ABIDJAN 2</v>
      </c>
      <c r="B1364" s="14" t="str">
        <f>Base_report!B1354</f>
        <v>DECEMBRE 2023</v>
      </c>
      <c r="C1364" s="15" t="str">
        <f>Base_report!C1354</f>
        <v>C1094</v>
      </c>
      <c r="D1364" s="14" t="str">
        <f>TRIM(IF(ISNUMBER(FIND("PNSME",Base_report!D1354,1)),SUBSTITUTE(Base_report!D1354,"PNSME",""),IF(ISNUMBER(FIND("PHG",Base_report!D1354,1)),SUBSTITUTE(Base_report!D1354,"PHG",""),IF(ISNUMBER(FIND("PCS",Base_report!D1354,1)),SUBSTITUTE(Base_report!D1354,"PCS",""),IF(ISNUMBER(FIND("CMU",Base_report!D1354,1)),SUBSTITUTE(Base_report!D1354,"CMU",""),Base_report!D1354)))))</f>
        <v>HOPITAL GENERAL PORT-BOUET</v>
      </c>
      <c r="E1364" s="14" t="str">
        <f>SUBSTITUTE(Base_report!E1354,"-","/")</f>
        <v>PNLS/TESTS RAPIDES ET CONSOMMABLES</v>
      </c>
      <c r="F1364" s="14" t="s">
        <v>788</v>
      </c>
      <c r="G1364" s="16">
        <f>DATE(YEAR(SUBSTITUTE(LEFT(Base_report!F1354,10),"-","/")),MONTH(SUBSTITUTE(LEFT(Base_report!F1354,10),"-","/")),DAY(SUBSTITUTE(LEFT(Base_report!F1354,10),"-","/")))</f>
        <v>45299</v>
      </c>
      <c r="H1364" s="16">
        <f>DATE(YEAR(SUBSTITUTE(LEFT(Base_report!G1354,10),"-","/")),MONTH(SUBSTITUTE(LEFT(Base_report!G1354,10),"-","/")),DAY(SUBSTITUTE(LEFT(Base_report!G1354,10),"-","/")))</f>
        <v>45299</v>
      </c>
      <c r="I1364" s="17" t="str">
        <f t="shared" si="1"/>
        <v>OUI</v>
      </c>
      <c r="J1364" s="18">
        <f>IF(L1364="DS",DATE(RIGHT(B1364,4),VLOOKUP(LEFT(B1364,LEN(B1364)-5),Feuil1!$E$3:$F$19,2,FALSE)+1,10),DATE(RIGHT(B1364,4),VLOOKUP(LEFT(B1364,LEN(B1364)-5),Feuil1!$E$3:$F$19,2,FALSE)+1,7))</f>
        <v>45298</v>
      </c>
      <c r="K1364" s="19">
        <f t="shared" si="2"/>
        <v>0</v>
      </c>
      <c r="L1364" s="6" t="str">
        <f t="shared" si="3"/>
        <v>FS</v>
      </c>
    </row>
    <row r="1365" ht="14.25" customHeight="1">
      <c r="A1365" s="14" t="str">
        <f>Base_report!A1355</f>
        <v>CAVALLY</v>
      </c>
      <c r="B1365" s="14" t="str">
        <f>Base_report!B1355</f>
        <v>DECEMBRE 2023</v>
      </c>
      <c r="C1365" s="15" t="str">
        <f>Base_report!C1355</f>
        <v>C5021</v>
      </c>
      <c r="D1365" s="14" t="str">
        <f>TRIM(IF(ISNUMBER(FIND("PNSME",Base_report!D1355,1)),SUBSTITUTE(Base_report!D1355,"PNSME",""),IF(ISNUMBER(FIND("PHG",Base_report!D1355,1)),SUBSTITUTE(Base_report!D1355,"PHG",""),IF(ISNUMBER(FIND("PCS",Base_report!D1355,1)),SUBSTITUTE(Base_report!D1355,"PCS",""),IF(ISNUMBER(FIND("CMU",Base_report!D1355,1)),SUBSTITUTE(Base_report!D1355,"CMU",""),Base_report!D1355)))))</f>
        <v>HOPITAL GENERAL TOULEPLEU</v>
      </c>
      <c r="E1365" s="14" t="str">
        <f>SUBSTITUTE(Base_report!E1355,"-","/")</f>
        <v>PNSME/MEDICAMENTS ET INTRANTS</v>
      </c>
      <c r="F1365" s="14" t="s">
        <v>788</v>
      </c>
      <c r="G1365" s="16">
        <f>DATE(YEAR(SUBSTITUTE(LEFT(Base_report!F1355,10),"-","/")),MONTH(SUBSTITUTE(LEFT(Base_report!F1355,10),"-","/")),DAY(SUBSTITUTE(LEFT(Base_report!F1355,10),"-","/")))</f>
        <v>45299</v>
      </c>
      <c r="H1365" s="16">
        <f>DATE(YEAR(SUBSTITUTE(LEFT(Base_report!G1355,10),"-","/")),MONTH(SUBSTITUTE(LEFT(Base_report!G1355,10),"-","/")),DAY(SUBSTITUTE(LEFT(Base_report!G1355,10),"-","/")))</f>
        <v>45299</v>
      </c>
      <c r="I1365" s="17" t="str">
        <f t="shared" si="1"/>
        <v>OUI</v>
      </c>
      <c r="J1365" s="18">
        <f>IF(L1365="DS",DATE(RIGHT(B1365,4),VLOOKUP(LEFT(B1365,LEN(B1365)-5),Feuil1!$E$3:$F$19,2,FALSE)+1,10),DATE(RIGHT(B1365,4),VLOOKUP(LEFT(B1365,LEN(B1365)-5),Feuil1!$E$3:$F$19,2,FALSE)+1,7))</f>
        <v>45298</v>
      </c>
      <c r="K1365" s="19">
        <f t="shared" si="2"/>
        <v>0</v>
      </c>
      <c r="L1365" s="6" t="str">
        <f t="shared" si="3"/>
        <v>FS</v>
      </c>
    </row>
    <row r="1366" ht="14.25" customHeight="1">
      <c r="A1366" s="14" t="str">
        <f>Base_report!A1356</f>
        <v>CAVALLY</v>
      </c>
      <c r="B1366" s="14" t="str">
        <f>Base_report!B1356</f>
        <v>DECEMBRE 2023</v>
      </c>
      <c r="C1366" s="15" t="str">
        <f>Base_report!C1356</f>
        <v>C5021</v>
      </c>
      <c r="D1366" s="14" t="str">
        <f>TRIM(IF(ISNUMBER(FIND("PNSME",Base_report!D1356,1)),SUBSTITUTE(Base_report!D1356,"PNSME",""),IF(ISNUMBER(FIND("PHG",Base_report!D1356,1)),SUBSTITUTE(Base_report!D1356,"PHG",""),IF(ISNUMBER(FIND("PCS",Base_report!D1356,1)),SUBSTITUTE(Base_report!D1356,"PCS",""),IF(ISNUMBER(FIND("CMU",Base_report!D1356,1)),SUBSTITUTE(Base_report!D1356,"CMU",""),Base_report!D1356)))))</f>
        <v>HOPITAL GENERAL TOULEPLEU</v>
      </c>
      <c r="E1366" s="14" t="str">
        <f>SUBSTITUTE(Base_report!E1356,"-","/")</f>
        <v>PNN/MEDICAMENTS ET INTRANTS</v>
      </c>
      <c r="F1366" s="14" t="s">
        <v>788</v>
      </c>
      <c r="G1366" s="16">
        <f>DATE(YEAR(SUBSTITUTE(LEFT(Base_report!F1356,10),"-","/")),MONTH(SUBSTITUTE(LEFT(Base_report!F1356,10),"-","/")),DAY(SUBSTITUTE(LEFT(Base_report!F1356,10),"-","/")))</f>
        <v>45299</v>
      </c>
      <c r="H1366" s="16">
        <f>DATE(YEAR(SUBSTITUTE(LEFT(Base_report!G1356,10),"-","/")),MONTH(SUBSTITUTE(LEFT(Base_report!G1356,10),"-","/")),DAY(SUBSTITUTE(LEFT(Base_report!G1356,10),"-","/")))</f>
        <v>45299</v>
      </c>
      <c r="I1366" s="17" t="str">
        <f t="shared" si="1"/>
        <v>OUI</v>
      </c>
      <c r="J1366" s="18">
        <f>IF(L1366="DS",DATE(RIGHT(B1366,4),VLOOKUP(LEFT(B1366,LEN(B1366)-5),Feuil1!$E$3:$F$19,2,FALSE)+1,10),DATE(RIGHT(B1366,4),VLOOKUP(LEFT(B1366,LEN(B1366)-5),Feuil1!$E$3:$F$19,2,FALSE)+1,7))</f>
        <v>45298</v>
      </c>
      <c r="K1366" s="19">
        <f t="shared" si="2"/>
        <v>0</v>
      </c>
      <c r="L1366" s="6" t="str">
        <f t="shared" si="3"/>
        <v>FS</v>
      </c>
    </row>
    <row r="1367" ht="14.25" customHeight="1">
      <c r="A1367" s="14" t="str">
        <f>Base_report!A1357</f>
        <v>CAVALLY</v>
      </c>
      <c r="B1367" s="14" t="str">
        <f>Base_report!B1357</f>
        <v>DECEMBRE 2023</v>
      </c>
      <c r="C1367" s="15" t="str">
        <f>Base_report!C1357</f>
        <v>C5021</v>
      </c>
      <c r="D1367" s="14" t="str">
        <f>TRIM(IF(ISNUMBER(FIND("PNSME",Base_report!D1357,1)),SUBSTITUTE(Base_report!D1357,"PNSME",""),IF(ISNUMBER(FIND("PHG",Base_report!D1357,1)),SUBSTITUTE(Base_report!D1357,"PHG",""),IF(ISNUMBER(FIND("PCS",Base_report!D1357,1)),SUBSTITUTE(Base_report!D1357,"PCS",""),IF(ISNUMBER(FIND("CMU",Base_report!D1357,1)),SUBSTITUTE(Base_report!D1357,"CMU",""),Base_report!D1357)))))</f>
        <v>HOPITAL GENERAL TOULEPLEU</v>
      </c>
      <c r="E1367" s="14" t="str">
        <f>SUBSTITUTE(Base_report!E1357,"-","/")</f>
        <v>PNLS/TESTS RAPIDES ET CONSOMMABLES</v>
      </c>
      <c r="F1367" s="14" t="s">
        <v>788</v>
      </c>
      <c r="G1367" s="16">
        <f>DATE(YEAR(SUBSTITUTE(LEFT(Base_report!F1357,10),"-","/")),MONTH(SUBSTITUTE(LEFT(Base_report!F1357,10),"-","/")),DAY(SUBSTITUTE(LEFT(Base_report!F1357,10),"-","/")))</f>
        <v>45299</v>
      </c>
      <c r="H1367" s="16">
        <f>DATE(YEAR(SUBSTITUTE(LEFT(Base_report!G1357,10),"-","/")),MONTH(SUBSTITUTE(LEFT(Base_report!G1357,10),"-","/")),DAY(SUBSTITUTE(LEFT(Base_report!G1357,10),"-","/")))</f>
        <v>45299</v>
      </c>
      <c r="I1367" s="17" t="str">
        <f t="shared" si="1"/>
        <v>OUI</v>
      </c>
      <c r="J1367" s="18">
        <f>IF(L1367="DS",DATE(RIGHT(B1367,4),VLOOKUP(LEFT(B1367,LEN(B1367)-5),Feuil1!$E$3:$F$19,2,FALSE)+1,10),DATE(RIGHT(B1367,4),VLOOKUP(LEFT(B1367,LEN(B1367)-5),Feuil1!$E$3:$F$19,2,FALSE)+1,7))</f>
        <v>45298</v>
      </c>
      <c r="K1367" s="19">
        <f t="shared" si="2"/>
        <v>0</v>
      </c>
      <c r="L1367" s="6" t="str">
        <f t="shared" si="3"/>
        <v>FS</v>
      </c>
    </row>
    <row r="1368" ht="14.25" customHeight="1">
      <c r="A1368" s="14" t="str">
        <f>Base_report!A1358</f>
        <v>KABADOUGOU</v>
      </c>
      <c r="B1368" s="14" t="str">
        <f>Base_report!B1358</f>
        <v>DECEMBRE 2023</v>
      </c>
      <c r="C1368" s="15" t="str">
        <f>Base_report!C1358</f>
        <v>C5013</v>
      </c>
      <c r="D1368" s="14" t="str">
        <f>TRIM(IF(ISNUMBER(FIND("PNSME",Base_report!D1358,1)),SUBSTITUTE(Base_report!D1358,"PNSME",""),IF(ISNUMBER(FIND("PHG",Base_report!D1358,1)),SUBSTITUTE(Base_report!D1358,"PHG",""),IF(ISNUMBER(FIND("PCS",Base_report!D1358,1)),SUBSTITUTE(Base_report!D1358,"PCS",""),IF(ISNUMBER(FIND("CMU",Base_report!D1358,1)),SUBSTITUTE(Base_report!D1358,"CMU",""),Base_report!D1358)))))</f>
        <v>DISTRICT SANITAIRE ODIENNE</v>
      </c>
      <c r="E1368" s="14" t="str">
        <f>SUBSTITUTE(Base_report!E1358,"-","/")</f>
        <v>PNSME/MEDICAMENTS ET INTRANTS</v>
      </c>
      <c r="F1368" s="14" t="s">
        <v>788</v>
      </c>
      <c r="G1368" s="16">
        <f>DATE(YEAR(SUBSTITUTE(LEFT(Base_report!F1358,10),"-","/")),MONTH(SUBSTITUTE(LEFT(Base_report!F1358,10),"-","/")),DAY(SUBSTITUTE(LEFT(Base_report!F1358,10),"-","/")))</f>
        <v>45299</v>
      </c>
      <c r="H1368" s="16">
        <f>DATE(YEAR(SUBSTITUTE(LEFT(Base_report!G1358,10),"-","/")),MONTH(SUBSTITUTE(LEFT(Base_report!G1358,10),"-","/")),DAY(SUBSTITUTE(LEFT(Base_report!G1358,10),"-","/")))</f>
        <v>45299</v>
      </c>
      <c r="I1368" s="17" t="str">
        <f t="shared" si="1"/>
        <v>OUI</v>
      </c>
      <c r="J1368" s="18">
        <f>IF(L1368="DS",DATE(RIGHT(B1368,4),VLOOKUP(LEFT(B1368,LEN(B1368)-5),Feuil1!$E$3:$F$19,2,FALSE)+1,10),DATE(RIGHT(B1368,4),VLOOKUP(LEFT(B1368,LEN(B1368)-5),Feuil1!$E$3:$F$19,2,FALSE)+1,7))</f>
        <v>45301</v>
      </c>
      <c r="K1368" s="19">
        <f t="shared" si="2"/>
        <v>1</v>
      </c>
      <c r="L1368" s="6" t="str">
        <f t="shared" si="3"/>
        <v>DS</v>
      </c>
    </row>
    <row r="1369" ht="14.25" customHeight="1">
      <c r="A1369" s="14" t="str">
        <f>Base_report!#REF!</f>
        <v>#ERROR!</v>
      </c>
      <c r="B1369" s="14" t="str">
        <f>Base_report!#REF!</f>
        <v>#ERROR!</v>
      </c>
      <c r="C1369" s="15" t="str">
        <f>Base_report!#REF!</f>
        <v>#ERROR!</v>
      </c>
      <c r="D1369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369" s="14" t="str">
        <f>SUBSTITUTE(Base_report!#REF!,"-","/")</f>
        <v>#ERROR!</v>
      </c>
      <c r="F1369" s="14" t="s">
        <v>788</v>
      </c>
      <c r="G1369" s="16" t="str">
        <f>DATE(YEAR(SUBSTITUTE(LEFT(Base_report!#REF!,10),"-","/")),MONTH(SUBSTITUTE(LEFT(Base_report!#REF!,10),"-","/")),DAY(SUBSTITUTE(LEFT(Base_report!#REF!,10),"-","/")))</f>
        <v>#ERROR!</v>
      </c>
      <c r="H1369" s="16" t="str">
        <f>DATE(YEAR(SUBSTITUTE(LEFT(Base_report!#REF!,10),"-","/")),MONTH(SUBSTITUTE(LEFT(Base_report!#REF!,10),"-","/")),DAY(SUBSTITUTE(LEFT(Base_report!#REF!,10),"-","/")))</f>
        <v>#ERROR!</v>
      </c>
      <c r="I1369" s="17" t="str">
        <f t="shared" si="1"/>
        <v>OUI</v>
      </c>
      <c r="J1369" s="18" t="str">
        <f>IF(L1369="DS",DATE(RIGHT(B1369,4),VLOOKUP(LEFT(B1369,LEN(B1369)-5),Feuil1!$E$3:$F$19,2,FALSE)+1,10),DATE(RIGHT(B1369,4),VLOOKUP(LEFT(B1369,LEN(B1369)-5),Feuil1!$E$3:$F$19,2,FALSE)+1,7))</f>
        <v>#ERROR!</v>
      </c>
      <c r="K1369" s="19" t="str">
        <f t="shared" si="2"/>
        <v>#ERROR!</v>
      </c>
      <c r="L1369" s="6" t="str">
        <f t="shared" si="3"/>
        <v>FS</v>
      </c>
    </row>
    <row r="1370" ht="14.25" customHeight="1">
      <c r="A1370" s="14" t="str">
        <f>Base_report!A1359</f>
        <v>CAVALLY</v>
      </c>
      <c r="B1370" s="14" t="str">
        <f>Base_report!B1359</f>
        <v>DECEMBRE 2023</v>
      </c>
      <c r="C1370" s="15" t="str">
        <f>Base_report!C1359</f>
        <v>C5021</v>
      </c>
      <c r="D1370" s="14" t="str">
        <f>TRIM(IF(ISNUMBER(FIND("PNSME",Base_report!D1359,1)),SUBSTITUTE(Base_report!D1359,"PNSME",""),IF(ISNUMBER(FIND("PHG",Base_report!D1359,1)),SUBSTITUTE(Base_report!D1359,"PHG",""),IF(ISNUMBER(FIND("PCS",Base_report!D1359,1)),SUBSTITUTE(Base_report!D1359,"PCS",""),IF(ISNUMBER(FIND("CMU",Base_report!D1359,1)),SUBSTITUTE(Base_report!D1359,"CMU",""),Base_report!D1359)))))</f>
        <v>HOPITAL GENERAL TOULEPLEU</v>
      </c>
      <c r="E1370" s="14" t="str">
        <f>SUBSTITUTE(Base_report!E1359,"-","/")</f>
        <v>PNLS/PRODUITS DE LABORATOIRE</v>
      </c>
      <c r="F1370" s="14" t="s">
        <v>788</v>
      </c>
      <c r="G1370" s="16">
        <f>DATE(YEAR(SUBSTITUTE(LEFT(Base_report!F1359,10),"-","/")),MONTH(SUBSTITUTE(LEFT(Base_report!F1359,10),"-","/")),DAY(SUBSTITUTE(LEFT(Base_report!F1359,10),"-","/")))</f>
        <v>45299</v>
      </c>
      <c r="H1370" s="16">
        <f>DATE(YEAR(SUBSTITUTE(LEFT(Base_report!G1359,10),"-","/")),MONTH(SUBSTITUTE(LEFT(Base_report!G1359,10),"-","/")),DAY(SUBSTITUTE(LEFT(Base_report!G1359,10),"-","/")))</f>
        <v>45299</v>
      </c>
      <c r="I1370" s="17" t="str">
        <f t="shared" si="1"/>
        <v>OUI</v>
      </c>
      <c r="J1370" s="18">
        <f>IF(L1370="DS",DATE(RIGHT(B1370,4),VLOOKUP(LEFT(B1370,LEN(B1370)-5),Feuil1!$E$3:$F$19,2,FALSE)+1,10),DATE(RIGHT(B1370,4),VLOOKUP(LEFT(B1370,LEN(B1370)-5),Feuil1!$E$3:$F$19,2,FALSE)+1,7))</f>
        <v>45298</v>
      </c>
      <c r="K1370" s="19">
        <f t="shared" si="2"/>
        <v>0</v>
      </c>
      <c r="L1370" s="6" t="str">
        <f t="shared" si="3"/>
        <v>FS</v>
      </c>
    </row>
    <row r="1371" ht="14.25" customHeight="1">
      <c r="A1371" s="14" t="str">
        <f>Base_report!A1360</f>
        <v>CAVALLY</v>
      </c>
      <c r="B1371" s="14" t="str">
        <f>Base_report!B1360</f>
        <v>DECEMBRE 2023</v>
      </c>
      <c r="C1371" s="15" t="str">
        <f>Base_report!C1360</f>
        <v>C5021</v>
      </c>
      <c r="D1371" s="14" t="str">
        <f>TRIM(IF(ISNUMBER(FIND("PNSME",Base_report!D1360,1)),SUBSTITUTE(Base_report!D1360,"PNSME",""),IF(ISNUMBER(FIND("PHG",Base_report!D1360,1)),SUBSTITUTE(Base_report!D1360,"PHG",""),IF(ISNUMBER(FIND("PCS",Base_report!D1360,1)),SUBSTITUTE(Base_report!D1360,"PCS",""),IF(ISNUMBER(FIND("CMU",Base_report!D1360,1)),SUBSTITUTE(Base_report!D1360,"CMU",""),Base_report!D1360)))))</f>
        <v>HOPITAL GENERAL TOULEPLEU</v>
      </c>
      <c r="E1371" s="14" t="str">
        <f>SUBSTITUTE(Base_report!E1360,"-","/")</f>
        <v>PNLS/ANTIRETROVIRAUX ET IO</v>
      </c>
      <c r="F1371" s="14" t="s">
        <v>788</v>
      </c>
      <c r="G1371" s="16">
        <f>DATE(YEAR(SUBSTITUTE(LEFT(Base_report!F1360,10),"-","/")),MONTH(SUBSTITUTE(LEFT(Base_report!F1360,10),"-","/")),DAY(SUBSTITUTE(LEFT(Base_report!F1360,10),"-","/")))</f>
        <v>45299</v>
      </c>
      <c r="H1371" s="16">
        <f>DATE(YEAR(SUBSTITUTE(LEFT(Base_report!G1360,10),"-","/")),MONTH(SUBSTITUTE(LEFT(Base_report!G1360,10),"-","/")),DAY(SUBSTITUTE(LEFT(Base_report!G1360,10),"-","/")))</f>
        <v>45299</v>
      </c>
      <c r="I1371" s="17" t="str">
        <f t="shared" si="1"/>
        <v>OUI</v>
      </c>
      <c r="J1371" s="18">
        <f>IF(L1371="DS",DATE(RIGHT(B1371,4),VLOOKUP(LEFT(B1371,LEN(B1371)-5),Feuil1!$E$3:$F$19,2,FALSE)+1,10),DATE(RIGHT(B1371,4),VLOOKUP(LEFT(B1371,LEN(B1371)-5),Feuil1!$E$3:$F$19,2,FALSE)+1,7))</f>
        <v>45298</v>
      </c>
      <c r="K1371" s="19">
        <f t="shared" si="2"/>
        <v>0</v>
      </c>
      <c r="L1371" s="6" t="str">
        <f t="shared" si="3"/>
        <v>FS</v>
      </c>
    </row>
    <row r="1372" ht="14.25" customHeight="1">
      <c r="A1372" s="14" t="str">
        <f>Base_report!A1361</f>
        <v>KABADOUGOU</v>
      </c>
      <c r="B1372" s="14" t="str">
        <f>Base_report!B1361</f>
        <v>DECEMBRE 2023</v>
      </c>
      <c r="C1372" s="15" t="str">
        <f>Base_report!C1361</f>
        <v>C5013</v>
      </c>
      <c r="D1372" s="14" t="str">
        <f>TRIM(IF(ISNUMBER(FIND("PNSME",Base_report!D1361,1)),SUBSTITUTE(Base_report!D1361,"PNSME",""),IF(ISNUMBER(FIND("PHG",Base_report!D1361,1)),SUBSTITUTE(Base_report!D1361,"PHG",""),IF(ISNUMBER(FIND("PCS",Base_report!D1361,1)),SUBSTITUTE(Base_report!D1361,"PCS",""),IF(ISNUMBER(FIND("CMU",Base_report!D1361,1)),SUBSTITUTE(Base_report!D1361,"CMU",""),Base_report!D1361)))))</f>
        <v>DISTRICT SANITAIRE ODIENNE</v>
      </c>
      <c r="E1372" s="14" t="str">
        <f>SUBSTITUTE(Base_report!E1361,"-","/")</f>
        <v>PNLP/MEDICAMENTS ET INTRANTS</v>
      </c>
      <c r="F1372" s="14" t="s">
        <v>788</v>
      </c>
      <c r="G1372" s="16">
        <f>DATE(YEAR(SUBSTITUTE(LEFT(Base_report!F1361,10),"-","/")),MONTH(SUBSTITUTE(LEFT(Base_report!F1361,10),"-","/")),DAY(SUBSTITUTE(LEFT(Base_report!F1361,10),"-","/")))</f>
        <v>45299</v>
      </c>
      <c r="H1372" s="16">
        <f>DATE(YEAR(SUBSTITUTE(LEFT(Base_report!G1361,10),"-","/")),MONTH(SUBSTITUTE(LEFT(Base_report!G1361,10),"-","/")),DAY(SUBSTITUTE(LEFT(Base_report!G1361,10),"-","/")))</f>
        <v>45299</v>
      </c>
      <c r="I1372" s="17" t="str">
        <f t="shared" si="1"/>
        <v>OUI</v>
      </c>
      <c r="J1372" s="18">
        <f>IF(L1372="DS",DATE(RIGHT(B1372,4),VLOOKUP(LEFT(B1372,LEN(B1372)-5),Feuil1!$E$3:$F$19,2,FALSE)+1,10),DATE(RIGHT(B1372,4),VLOOKUP(LEFT(B1372,LEN(B1372)-5),Feuil1!$E$3:$F$19,2,FALSE)+1,7))</f>
        <v>45301</v>
      </c>
      <c r="K1372" s="19">
        <f t="shared" si="2"/>
        <v>1</v>
      </c>
      <c r="L1372" s="6" t="str">
        <f t="shared" si="3"/>
        <v>DS</v>
      </c>
    </row>
    <row r="1373" ht="14.25" customHeight="1">
      <c r="A1373" s="14" t="str">
        <f>Base_report!A1362</f>
        <v>CAVALLY</v>
      </c>
      <c r="B1373" s="14" t="str">
        <f>Base_report!B1362</f>
        <v>DECEMBRE 2023</v>
      </c>
      <c r="C1373" s="15" t="str">
        <f>Base_report!C1362</f>
        <v>C5021</v>
      </c>
      <c r="D1373" s="14" t="str">
        <f>TRIM(IF(ISNUMBER(FIND("PNSME",Base_report!D1362,1)),SUBSTITUTE(Base_report!D1362,"PNSME",""),IF(ISNUMBER(FIND("PHG",Base_report!D1362,1)),SUBSTITUTE(Base_report!D1362,"PHG",""),IF(ISNUMBER(FIND("PCS",Base_report!D1362,1)),SUBSTITUTE(Base_report!D1362,"PCS",""),IF(ISNUMBER(FIND("CMU",Base_report!D1362,1)),SUBSTITUTE(Base_report!D1362,"CMU",""),Base_report!D1362)))))</f>
        <v>HOPITAL GENERAL TOULEPLEU</v>
      </c>
      <c r="E1373" s="14" t="str">
        <f>SUBSTITUTE(Base_report!E1362,"-","/")</f>
        <v>PNLP/MEDICAMENTS ET INTRANTS</v>
      </c>
      <c r="F1373" s="14" t="s">
        <v>788</v>
      </c>
      <c r="G1373" s="16">
        <f>DATE(YEAR(SUBSTITUTE(LEFT(Base_report!F1362,10),"-","/")),MONTH(SUBSTITUTE(LEFT(Base_report!F1362,10),"-","/")),DAY(SUBSTITUTE(LEFT(Base_report!F1362,10),"-","/")))</f>
        <v>45299</v>
      </c>
      <c r="H1373" s="16">
        <f>DATE(YEAR(SUBSTITUTE(LEFT(Base_report!G1362,10),"-","/")),MONTH(SUBSTITUTE(LEFT(Base_report!G1362,10),"-","/")),DAY(SUBSTITUTE(LEFT(Base_report!G1362,10),"-","/")))</f>
        <v>45299</v>
      </c>
      <c r="I1373" s="17" t="str">
        <f t="shared" si="1"/>
        <v>OUI</v>
      </c>
      <c r="J1373" s="18">
        <f>IF(L1373="DS",DATE(RIGHT(B1373,4),VLOOKUP(LEFT(B1373,LEN(B1373)-5),Feuil1!$E$3:$F$19,2,FALSE)+1,10),DATE(RIGHT(B1373,4),VLOOKUP(LEFT(B1373,LEN(B1373)-5),Feuil1!$E$3:$F$19,2,FALSE)+1,7))</f>
        <v>45298</v>
      </c>
      <c r="K1373" s="19">
        <f t="shared" si="2"/>
        <v>0</v>
      </c>
      <c r="L1373" s="6" t="str">
        <f t="shared" si="3"/>
        <v>FS</v>
      </c>
    </row>
    <row r="1374" ht="14.25" customHeight="1">
      <c r="A1374" s="14" t="str">
        <f>Base_report!A1363</f>
        <v>CAVALLY</v>
      </c>
      <c r="B1374" s="14" t="str">
        <f>Base_report!B1363</f>
        <v>DECEMBRE 2023</v>
      </c>
      <c r="C1374" s="15" t="str">
        <f>Base_report!C1363</f>
        <v>C5070</v>
      </c>
      <c r="D1374" s="14" t="str">
        <f>TRIM(IF(ISNUMBER(FIND("PNSME",Base_report!D1363,1)),SUBSTITUTE(Base_report!D1363,"PNSME",""),IF(ISNUMBER(FIND("PHG",Base_report!D1363,1)),SUBSTITUTE(Base_report!D1363,"PHG",""),IF(ISNUMBER(FIND("PCS",Base_report!D1363,1)),SUBSTITUTE(Base_report!D1363,"PCS",""),IF(ISNUMBER(FIND("CMU",Base_report!D1363,1)),SUBSTITUTE(Base_report!D1363,"CMU",""),Base_report!D1363)))))</f>
        <v>DISTRICT SANITAIRE TAI</v>
      </c>
      <c r="E1374" s="14" t="str">
        <f>SUBSTITUTE(Base_report!E1363,"-","/")</f>
        <v>PNLS/ANTIRETROVIRAUX ET IO</v>
      </c>
      <c r="F1374" s="14" t="s">
        <v>788</v>
      </c>
      <c r="G1374" s="16">
        <f>DATE(YEAR(SUBSTITUTE(LEFT(Base_report!F1363,10),"-","/")),MONTH(SUBSTITUTE(LEFT(Base_report!F1363,10),"-","/")),DAY(SUBSTITUTE(LEFT(Base_report!F1363,10),"-","/")))</f>
        <v>45301</v>
      </c>
      <c r="H1374" s="16">
        <f>DATE(YEAR(SUBSTITUTE(LEFT(Base_report!G1363,10),"-","/")),MONTH(SUBSTITUTE(LEFT(Base_report!G1363,10),"-","/")),DAY(SUBSTITUTE(LEFT(Base_report!G1363,10),"-","/")))</f>
        <v>45301</v>
      </c>
      <c r="I1374" s="17" t="str">
        <f t="shared" si="1"/>
        <v>OUI</v>
      </c>
      <c r="J1374" s="18">
        <f>IF(L1374="DS",DATE(RIGHT(B1374,4),VLOOKUP(LEFT(B1374,LEN(B1374)-5),Feuil1!$E$3:$F$19,2,FALSE)+1,10),DATE(RIGHT(B1374,4),VLOOKUP(LEFT(B1374,LEN(B1374)-5),Feuil1!$E$3:$F$19,2,FALSE)+1,7))</f>
        <v>45301</v>
      </c>
      <c r="K1374" s="19">
        <f t="shared" si="2"/>
        <v>1</v>
      </c>
      <c r="L1374" s="6" t="str">
        <f t="shared" si="3"/>
        <v>DS</v>
      </c>
    </row>
    <row r="1375" ht="14.25" customHeight="1">
      <c r="A1375" s="14" t="str">
        <f>Base_report!A1364</f>
        <v>WORODOUGOU</v>
      </c>
      <c r="B1375" s="14" t="str">
        <f>Base_report!B1364</f>
        <v>DECEMBRE 2023</v>
      </c>
      <c r="C1375" s="15" t="str">
        <f>Base_report!C1364</f>
        <v>C2036</v>
      </c>
      <c r="D1375" s="14" t="str">
        <f>TRIM(IF(ISNUMBER(FIND("PNSME",Base_report!D1364,1)),SUBSTITUTE(Base_report!D1364,"PNSME",""),IF(ISNUMBER(FIND("PHG",Base_report!D1364,1)),SUBSTITUTE(Base_report!D1364,"PHG",""),IF(ISNUMBER(FIND("PCS",Base_report!D1364,1)),SUBSTITUTE(Base_report!D1364,"PCS",""),IF(ISNUMBER(FIND("CMU",Base_report!D1364,1)),SUBSTITUTE(Base_report!D1364,"CMU",""),Base_report!D1364)))))</f>
        <v>DISTRICT SANITAIRE SEGUELA</v>
      </c>
      <c r="E1375" s="14" t="str">
        <f>SUBSTITUTE(Base_report!E1364,"-","/")</f>
        <v>PNLP/MEDICAMENTS ET INTRANTS</v>
      </c>
      <c r="F1375" s="14" t="s">
        <v>788</v>
      </c>
      <c r="G1375" s="16">
        <f>DATE(YEAR(SUBSTITUTE(LEFT(Base_report!F1364,10),"-","/")),MONTH(SUBSTITUTE(LEFT(Base_report!F1364,10),"-","/")),DAY(SUBSTITUTE(LEFT(Base_report!F1364,10),"-","/")))</f>
        <v>45300</v>
      </c>
      <c r="H1375" s="16">
        <f>DATE(YEAR(SUBSTITUTE(LEFT(Base_report!G1364,10),"-","/")),MONTH(SUBSTITUTE(LEFT(Base_report!G1364,10),"-","/")),DAY(SUBSTITUTE(LEFT(Base_report!G1364,10),"-","/")))</f>
        <v>45301</v>
      </c>
      <c r="I1375" s="17" t="str">
        <f t="shared" si="1"/>
        <v>OUI</v>
      </c>
      <c r="J1375" s="18">
        <f>IF(L1375="DS",DATE(RIGHT(B1375,4),VLOOKUP(LEFT(B1375,LEN(B1375)-5),Feuil1!$E$3:$F$19,2,FALSE)+1,10),DATE(RIGHT(B1375,4),VLOOKUP(LEFT(B1375,LEN(B1375)-5),Feuil1!$E$3:$F$19,2,FALSE)+1,7))</f>
        <v>45301</v>
      </c>
      <c r="K1375" s="19">
        <f t="shared" si="2"/>
        <v>1</v>
      </c>
      <c r="L1375" s="6" t="str">
        <f t="shared" si="3"/>
        <v>DS</v>
      </c>
    </row>
    <row r="1376" ht="14.25" customHeight="1">
      <c r="A1376" s="14" t="str">
        <f>Base_report!A1365</f>
        <v>FOLON</v>
      </c>
      <c r="B1376" s="14" t="str">
        <f>Base_report!B1365</f>
        <v>DECEMBRE 2023</v>
      </c>
      <c r="C1376" s="15" t="str">
        <f>Base_report!C1365</f>
        <v>C5082</v>
      </c>
      <c r="D1376" s="14" t="str">
        <f>TRIM(IF(ISNUMBER(FIND("PNSME",Base_report!D1365,1)),SUBSTITUTE(Base_report!D1365,"PNSME",""),IF(ISNUMBER(FIND("PHG",Base_report!D1365,1)),SUBSTITUTE(Base_report!D1365,"PHG",""),IF(ISNUMBER(FIND("PCS",Base_report!D1365,1)),SUBSTITUTE(Base_report!D1365,"PCS",""),IF(ISNUMBER(FIND("CMU",Base_report!D1365,1)),SUBSTITUTE(Base_report!D1365,"CMU",""),Base_report!D1365)))))</f>
        <v>DISTRICT SANITAIRE KANIASSO</v>
      </c>
      <c r="E1376" s="14" t="str">
        <f>SUBSTITUTE(Base_report!E1365,"-","/")</f>
        <v>PNLP/MEDICAMENTS ET INTRANTS</v>
      </c>
      <c r="F1376" s="14" t="s">
        <v>788</v>
      </c>
      <c r="G1376" s="16">
        <f>DATE(YEAR(SUBSTITUTE(LEFT(Base_report!F1365,10),"-","/")),MONTH(SUBSTITUTE(LEFT(Base_report!F1365,10),"-","/")),DAY(SUBSTITUTE(LEFT(Base_report!F1365,10),"-","/")))</f>
        <v>45299</v>
      </c>
      <c r="H1376" s="16">
        <f>DATE(YEAR(SUBSTITUTE(LEFT(Base_report!G1365,10),"-","/")),MONTH(SUBSTITUTE(LEFT(Base_report!G1365,10),"-","/")),DAY(SUBSTITUTE(LEFT(Base_report!G1365,10),"-","/")))</f>
        <v>45302</v>
      </c>
      <c r="I1376" s="17" t="str">
        <f t="shared" si="1"/>
        <v>OUI</v>
      </c>
      <c r="J1376" s="18">
        <f>IF(L1376="DS",DATE(RIGHT(B1376,4),VLOOKUP(LEFT(B1376,LEN(B1376)-5),Feuil1!$E$3:$F$19,2,FALSE)+1,10),DATE(RIGHT(B1376,4),VLOOKUP(LEFT(B1376,LEN(B1376)-5),Feuil1!$E$3:$F$19,2,FALSE)+1,7))</f>
        <v>45301</v>
      </c>
      <c r="K1376" s="19">
        <f t="shared" si="2"/>
        <v>0</v>
      </c>
      <c r="L1376" s="6" t="str">
        <f t="shared" si="3"/>
        <v>DS</v>
      </c>
    </row>
    <row r="1377" ht="14.25" customHeight="1">
      <c r="A1377" s="14" t="str">
        <f>Base_report!A1366</f>
        <v>GBEKE</v>
      </c>
      <c r="B1377" s="14" t="str">
        <f>Base_report!B1366</f>
        <v>DECEMBRE 2023</v>
      </c>
      <c r="C1377" s="15" t="str">
        <f>Base_report!C1366</f>
        <v>C2010</v>
      </c>
      <c r="D1377" s="14" t="str">
        <f>TRIM(IF(ISNUMBER(FIND("PNSME",Base_report!D1366,1)),SUBSTITUTE(Base_report!D1366,"PNSME",""),IF(ISNUMBER(FIND("PHG",Base_report!D1366,1)),SUBSTITUTE(Base_report!D1366,"PHG",""),IF(ISNUMBER(FIND("PCS",Base_report!D1366,1)),SUBSTITUTE(Base_report!D1366,"PCS",""),IF(ISNUMBER(FIND("CMU",Base_report!D1366,1)),SUBSTITUTE(Base_report!D1366,"CMU",""),Base_report!D1366)))))</f>
        <v>CHU BOUAKE</v>
      </c>
      <c r="E1377" s="14" t="str">
        <f>SUBSTITUTE(Base_report!E1366,"-","/")</f>
        <v>PNLP/MEDICAMENTS ET INTRANTS</v>
      </c>
      <c r="F1377" s="14" t="s">
        <v>788</v>
      </c>
      <c r="G1377" s="16">
        <f>DATE(YEAR(SUBSTITUTE(LEFT(Base_report!F1366,10),"-","/")),MONTH(SUBSTITUTE(LEFT(Base_report!F1366,10),"-","/")),DAY(SUBSTITUTE(LEFT(Base_report!F1366,10),"-","/")))</f>
        <v>45299</v>
      </c>
      <c r="H1377" s="16">
        <f>DATE(YEAR(SUBSTITUTE(LEFT(Base_report!G1366,10),"-","/")),MONTH(SUBSTITUTE(LEFT(Base_report!G1366,10),"-","/")),DAY(SUBSTITUTE(LEFT(Base_report!G1366,10),"-","/")))</f>
        <v>45299</v>
      </c>
      <c r="I1377" s="17" t="str">
        <f t="shared" si="1"/>
        <v>OUI</v>
      </c>
      <c r="J1377" s="18">
        <f>IF(L1377="DS",DATE(RIGHT(B1377,4),VLOOKUP(LEFT(B1377,LEN(B1377)-5),Feuil1!$E$3:$F$19,2,FALSE)+1,10),DATE(RIGHT(B1377,4),VLOOKUP(LEFT(B1377,LEN(B1377)-5),Feuil1!$E$3:$F$19,2,FALSE)+1,7))</f>
        <v>45298</v>
      </c>
      <c r="K1377" s="19">
        <f t="shared" si="2"/>
        <v>0</v>
      </c>
      <c r="L1377" s="6" t="str">
        <f t="shared" si="3"/>
        <v>FS</v>
      </c>
    </row>
    <row r="1378" ht="14.25" customHeight="1">
      <c r="A1378" s="14" t="str">
        <f>Base_report!A1367</f>
        <v>CAVALLY</v>
      </c>
      <c r="B1378" s="14" t="str">
        <f>Base_report!B1367</f>
        <v>DECEMBRE 2023</v>
      </c>
      <c r="C1378" s="15" t="str">
        <f>Base_report!C1367</f>
        <v>C5002</v>
      </c>
      <c r="D1378" s="14" t="str">
        <f>TRIM(IF(ISNUMBER(FIND("PNSME",Base_report!D1367,1)),SUBSTITUTE(Base_report!D1367,"PNSME",""),IF(ISNUMBER(FIND("PHG",Base_report!D1367,1)),SUBSTITUTE(Base_report!D1367,"PHG",""),IF(ISNUMBER(FIND("PCS",Base_report!D1367,1)),SUBSTITUTE(Base_report!D1367,"PCS",""),IF(ISNUMBER(FIND("CMU",Base_report!D1367,1)),SUBSTITUTE(Base_report!D1367,"CMU",""),Base_report!D1367)))))</f>
        <v>CHR GUIGLO</v>
      </c>
      <c r="E1378" s="14" t="str">
        <f>SUBSTITUTE(Base_report!E1367,"-","/")</f>
        <v>PNN/MEDICAMENTS ET INTRANTS</v>
      </c>
      <c r="F1378" s="14" t="s">
        <v>788</v>
      </c>
      <c r="G1378" s="16">
        <f>DATE(YEAR(SUBSTITUTE(LEFT(Base_report!F1367,10),"-","/")),MONTH(SUBSTITUTE(LEFT(Base_report!F1367,10),"-","/")),DAY(SUBSTITUTE(LEFT(Base_report!F1367,10),"-","/")))</f>
        <v>45299</v>
      </c>
      <c r="H1378" s="16">
        <f>DATE(YEAR(SUBSTITUTE(LEFT(Base_report!G1367,10),"-","/")),MONTH(SUBSTITUTE(LEFT(Base_report!G1367,10),"-","/")),DAY(SUBSTITUTE(LEFT(Base_report!G1367,10),"-","/")))</f>
        <v>45299</v>
      </c>
      <c r="I1378" s="17" t="str">
        <f t="shared" si="1"/>
        <v>OUI</v>
      </c>
      <c r="J1378" s="18">
        <f>IF(L1378="DS",DATE(RIGHT(B1378,4),VLOOKUP(LEFT(B1378,LEN(B1378)-5),Feuil1!$E$3:$F$19,2,FALSE)+1,10),DATE(RIGHT(B1378,4),VLOOKUP(LEFT(B1378,LEN(B1378)-5),Feuil1!$E$3:$F$19,2,FALSE)+1,7))</f>
        <v>45298</v>
      </c>
      <c r="K1378" s="19">
        <f t="shared" si="2"/>
        <v>0</v>
      </c>
      <c r="L1378" s="6" t="str">
        <f t="shared" si="3"/>
        <v>FS</v>
      </c>
    </row>
    <row r="1379" ht="14.25" customHeight="1">
      <c r="A1379" s="14" t="str">
        <f>Base_report!A1368</f>
        <v>CAVALLY</v>
      </c>
      <c r="B1379" s="14" t="str">
        <f>Base_report!B1368</f>
        <v>DECEMBRE 2023</v>
      </c>
      <c r="C1379" s="15" t="str">
        <f>Base_report!C1368</f>
        <v>C5002</v>
      </c>
      <c r="D1379" s="14" t="str">
        <f>TRIM(IF(ISNUMBER(FIND("PNSME",Base_report!D1368,1)),SUBSTITUTE(Base_report!D1368,"PNSME",""),IF(ISNUMBER(FIND("PHG",Base_report!D1368,1)),SUBSTITUTE(Base_report!D1368,"PHG",""),IF(ISNUMBER(FIND("PCS",Base_report!D1368,1)),SUBSTITUTE(Base_report!D1368,"PCS",""),IF(ISNUMBER(FIND("CMU",Base_report!D1368,1)),SUBSTITUTE(Base_report!D1368,"CMU",""),Base_report!D1368)))))</f>
        <v>CHR GUIGLO</v>
      </c>
      <c r="E1379" s="14" t="str">
        <f>SUBSTITUTE(Base_report!E1368,"-","/")</f>
        <v>PNSME/MEDICAMENTS ET INTRANTS</v>
      </c>
      <c r="F1379" s="14" t="s">
        <v>788</v>
      </c>
      <c r="G1379" s="16">
        <f>DATE(YEAR(SUBSTITUTE(LEFT(Base_report!F1368,10),"-","/")),MONTH(SUBSTITUTE(LEFT(Base_report!F1368,10),"-","/")),DAY(SUBSTITUTE(LEFT(Base_report!F1368,10),"-","/")))</f>
        <v>45299</v>
      </c>
      <c r="H1379" s="16">
        <f>DATE(YEAR(SUBSTITUTE(LEFT(Base_report!G1368,10),"-","/")),MONTH(SUBSTITUTE(LEFT(Base_report!G1368,10),"-","/")),DAY(SUBSTITUTE(LEFT(Base_report!G1368,10),"-","/")))</f>
        <v>45299</v>
      </c>
      <c r="I1379" s="17" t="str">
        <f t="shared" si="1"/>
        <v>OUI</v>
      </c>
      <c r="J1379" s="18">
        <f>IF(L1379="DS",DATE(RIGHT(B1379,4),VLOOKUP(LEFT(B1379,LEN(B1379)-5),Feuil1!$E$3:$F$19,2,FALSE)+1,10),DATE(RIGHT(B1379,4),VLOOKUP(LEFT(B1379,LEN(B1379)-5),Feuil1!$E$3:$F$19,2,FALSE)+1,7))</f>
        <v>45298</v>
      </c>
      <c r="K1379" s="19">
        <f t="shared" si="2"/>
        <v>0</v>
      </c>
      <c r="L1379" s="6" t="str">
        <f t="shared" si="3"/>
        <v>FS</v>
      </c>
    </row>
    <row r="1380" ht="14.25" customHeight="1">
      <c r="A1380" s="14" t="str">
        <f>Base_report!A1369</f>
        <v>GOH</v>
      </c>
      <c r="B1380" s="14" t="str">
        <f>Base_report!B1369</f>
        <v>DECEMBRE 2023</v>
      </c>
      <c r="C1380" s="15" t="str">
        <f>Base_report!C1369</f>
        <v>C2033</v>
      </c>
      <c r="D1380" s="14" t="str">
        <f>TRIM(IF(ISNUMBER(FIND("PNSME",Base_report!D1369,1)),SUBSTITUTE(Base_report!D1369,"PNSME",""),IF(ISNUMBER(FIND("PHG",Base_report!D1369,1)),SUBSTITUTE(Base_report!D1369,"PHG",""),IF(ISNUMBER(FIND("PCS",Base_report!D1369,1)),SUBSTITUTE(Base_report!D1369,"PCS",""),IF(ISNUMBER(FIND("CMU",Base_report!D1369,1)),SUBSTITUTE(Base_report!D1369,"CMU",""),Base_report!D1369)))))</f>
        <v>DISTRICT SANITAIRE OUME</v>
      </c>
      <c r="E1380" s="14" t="str">
        <f>SUBSTITUTE(Base_report!E1369,"-","/")</f>
        <v>PNLP/MEDICAMENTS ET INTRANTS</v>
      </c>
      <c r="F1380" s="14" t="s">
        <v>788</v>
      </c>
      <c r="G1380" s="16">
        <f>DATE(YEAR(SUBSTITUTE(LEFT(Base_report!F1369,10),"-","/")),MONTH(SUBSTITUTE(LEFT(Base_report!F1369,10),"-","/")),DAY(SUBSTITUTE(LEFT(Base_report!F1369,10),"-","/")))</f>
        <v>45299</v>
      </c>
      <c r="H1380" s="16">
        <f>DATE(YEAR(SUBSTITUTE(LEFT(Base_report!G1369,10),"-","/")),MONTH(SUBSTITUTE(LEFT(Base_report!G1369,10),"-","/")),DAY(SUBSTITUTE(LEFT(Base_report!G1369,10),"-","/")))</f>
        <v>45299</v>
      </c>
      <c r="I1380" s="17" t="str">
        <f t="shared" si="1"/>
        <v>OUI</v>
      </c>
      <c r="J1380" s="18">
        <f>IF(L1380="DS",DATE(RIGHT(B1380,4),VLOOKUP(LEFT(B1380,LEN(B1380)-5),Feuil1!$E$3:$F$19,2,FALSE)+1,10),DATE(RIGHT(B1380,4),VLOOKUP(LEFT(B1380,LEN(B1380)-5),Feuil1!$E$3:$F$19,2,FALSE)+1,7))</f>
        <v>45301</v>
      </c>
      <c r="K1380" s="19">
        <f t="shared" si="2"/>
        <v>1</v>
      </c>
      <c r="L1380" s="6" t="str">
        <f t="shared" si="3"/>
        <v>DS</v>
      </c>
    </row>
    <row r="1381" ht="14.25" customHeight="1">
      <c r="A1381" s="14" t="str">
        <f>Base_report!A1370</f>
        <v>LOH-DJIBOUA</v>
      </c>
      <c r="B1381" s="14" t="str">
        <f>Base_report!B1370</f>
        <v>DECEMBRE 2023</v>
      </c>
      <c r="C1381" s="15" t="str">
        <f>Base_report!C1370</f>
        <v>C2028</v>
      </c>
      <c r="D1381" s="14" t="str">
        <f>TRIM(IF(ISNUMBER(FIND("PNSME",Base_report!D1370,1)),SUBSTITUTE(Base_report!D1370,"PNSME",""),IF(ISNUMBER(FIND("PHG",Base_report!D1370,1)),SUBSTITUTE(Base_report!D1370,"PHG",""),IF(ISNUMBER(FIND("PCS",Base_report!D1370,1)),SUBSTITUTE(Base_report!D1370,"PCS",""),IF(ISNUMBER(FIND("CMU",Base_report!D1370,1)),SUBSTITUTE(Base_report!D1370,"CMU",""),Base_report!D1370)))))</f>
        <v>DISTRICT SANITAIRE DIVO</v>
      </c>
      <c r="E1381" s="14" t="str">
        <f>SUBSTITUTE(Base_report!E1370,"-","/")</f>
        <v>PNLP/MEDICAMENTS ET INTRANTS</v>
      </c>
      <c r="F1381" s="14" t="s">
        <v>788</v>
      </c>
      <c r="G1381" s="16">
        <f>DATE(YEAR(SUBSTITUTE(LEFT(Base_report!F1370,10),"-","/")),MONTH(SUBSTITUTE(LEFT(Base_report!F1370,10),"-","/")),DAY(SUBSTITUTE(LEFT(Base_report!F1370,10),"-","/")))</f>
        <v>45299</v>
      </c>
      <c r="H1381" s="16">
        <f>DATE(YEAR(SUBSTITUTE(LEFT(Base_report!G1370,10),"-","/")),MONTH(SUBSTITUTE(LEFT(Base_report!G1370,10),"-","/")),DAY(SUBSTITUTE(LEFT(Base_report!G1370,10),"-","/")))</f>
        <v>45301</v>
      </c>
      <c r="I1381" s="17" t="str">
        <f t="shared" si="1"/>
        <v>OUI</v>
      </c>
      <c r="J1381" s="18">
        <f>IF(L1381="DS",DATE(RIGHT(B1381,4),VLOOKUP(LEFT(B1381,LEN(B1381)-5),Feuil1!$E$3:$F$19,2,FALSE)+1,10),DATE(RIGHT(B1381,4),VLOOKUP(LEFT(B1381,LEN(B1381)-5),Feuil1!$E$3:$F$19,2,FALSE)+1,7))</f>
        <v>45301</v>
      </c>
      <c r="K1381" s="19">
        <f t="shared" si="2"/>
        <v>1</v>
      </c>
      <c r="L1381" s="6" t="str">
        <f t="shared" si="3"/>
        <v>DS</v>
      </c>
    </row>
    <row r="1382" ht="14.25" customHeight="1">
      <c r="A1382" s="14" t="str">
        <f>Base_report!A1371</f>
        <v>INDENIE-DJUABLIN</v>
      </c>
      <c r="B1382" s="14" t="str">
        <f>Base_report!B1371</f>
        <v>DECEMBRE 2023</v>
      </c>
      <c r="C1382" s="15" t="str">
        <f>Base_report!C1371</f>
        <v>C4049</v>
      </c>
      <c r="D1382" s="14" t="str">
        <f>TRIM(IF(ISNUMBER(FIND("PNSME",Base_report!D1371,1)),SUBSTITUTE(Base_report!D1371,"PNSME",""),IF(ISNUMBER(FIND("PHG",Base_report!D1371,1)),SUBSTITUTE(Base_report!D1371,"PHG",""),IF(ISNUMBER(FIND("PCS",Base_report!D1371,1)),SUBSTITUTE(Base_report!D1371,"PCS",""),IF(ISNUMBER(FIND("CMU",Base_report!D1371,1)),SUBSTITUTE(Base_report!D1371,"CMU",""),Base_report!D1371)))))</f>
        <v>DISTRICT SANITAIRE BETTIE</v>
      </c>
      <c r="E1382" s="14" t="str">
        <f>SUBSTITUTE(Base_report!E1371,"-","/")</f>
        <v>PNLS/ANTIRETROVIRAUX ET IO</v>
      </c>
      <c r="F1382" s="14" t="s">
        <v>788</v>
      </c>
      <c r="G1382" s="16">
        <f>DATE(YEAR(SUBSTITUTE(LEFT(Base_report!F1371,10),"-","/")),MONTH(SUBSTITUTE(LEFT(Base_report!F1371,10),"-","/")),DAY(SUBSTITUTE(LEFT(Base_report!F1371,10),"-","/")))</f>
        <v>45299</v>
      </c>
      <c r="H1382" s="16">
        <f>DATE(YEAR(SUBSTITUTE(LEFT(Base_report!G1371,10),"-","/")),MONTH(SUBSTITUTE(LEFT(Base_report!G1371,10),"-","/")),DAY(SUBSTITUTE(LEFT(Base_report!G1371,10),"-","/")))</f>
        <v>45299</v>
      </c>
      <c r="I1382" s="17" t="str">
        <f t="shared" si="1"/>
        <v>OUI</v>
      </c>
      <c r="J1382" s="18">
        <f>IF(L1382="DS",DATE(RIGHT(B1382,4),VLOOKUP(LEFT(B1382,LEN(B1382)-5),Feuil1!$E$3:$F$19,2,FALSE)+1,10),DATE(RIGHT(B1382,4),VLOOKUP(LEFT(B1382,LEN(B1382)-5),Feuil1!$E$3:$F$19,2,FALSE)+1,7))</f>
        <v>45301</v>
      </c>
      <c r="K1382" s="19">
        <f t="shared" si="2"/>
        <v>1</v>
      </c>
      <c r="L1382" s="6" t="str">
        <f t="shared" si="3"/>
        <v>DS</v>
      </c>
    </row>
    <row r="1383" ht="14.25" customHeight="1">
      <c r="A1383" s="14" t="str">
        <f>Base_report!A1372</f>
        <v>TONKPI</v>
      </c>
      <c r="B1383" s="14" t="str">
        <f>Base_report!B1372</f>
        <v>DECEMBRE 2023</v>
      </c>
      <c r="C1383" s="15" t="str">
        <f>Base_report!C1372</f>
        <v>C5040</v>
      </c>
      <c r="D1383" s="14" t="str">
        <f>TRIM(IF(ISNUMBER(FIND("PNSME",Base_report!D1372,1)),SUBSTITUTE(Base_report!D1372,"PNSME",""),IF(ISNUMBER(FIND("PHG",Base_report!D1372,1)),SUBSTITUTE(Base_report!D1372,"PHG",""),IF(ISNUMBER(FIND("PCS",Base_report!D1372,1)),SUBSTITUTE(Base_report!D1372,"PCS",""),IF(ISNUMBER(FIND("CMU",Base_report!D1372,1)),SUBSTITUTE(Base_report!D1372,"CMU",""),Base_report!D1372)))))</f>
        <v>DISTRICT SANITAIRE ZOUAN-HOUNIEN</v>
      </c>
      <c r="E1383" s="14" t="str">
        <f>SUBSTITUTE(Base_report!E1372,"-","/")</f>
        <v>PNLP/MEDICAMENTS ET INTRANTS</v>
      </c>
      <c r="F1383" s="14" t="s">
        <v>788</v>
      </c>
      <c r="G1383" s="16">
        <f>DATE(YEAR(SUBSTITUTE(LEFT(Base_report!F1372,10),"-","/")),MONTH(SUBSTITUTE(LEFT(Base_report!F1372,10),"-","/")),DAY(SUBSTITUTE(LEFT(Base_report!F1372,10),"-","/")))</f>
        <v>45301</v>
      </c>
      <c r="H1383" s="16">
        <f>DATE(YEAR(SUBSTITUTE(LEFT(Base_report!G1372,10),"-","/")),MONTH(SUBSTITUTE(LEFT(Base_report!G1372,10),"-","/")),DAY(SUBSTITUTE(LEFT(Base_report!G1372,10),"-","/")))</f>
        <v>45301</v>
      </c>
      <c r="I1383" s="17" t="str">
        <f t="shared" si="1"/>
        <v>OUI</v>
      </c>
      <c r="J1383" s="18">
        <f>IF(L1383="DS",DATE(RIGHT(B1383,4),VLOOKUP(LEFT(B1383,LEN(B1383)-5),Feuil1!$E$3:$F$19,2,FALSE)+1,10),DATE(RIGHT(B1383,4),VLOOKUP(LEFT(B1383,LEN(B1383)-5),Feuil1!$E$3:$F$19,2,FALSE)+1,7))</f>
        <v>45301</v>
      </c>
      <c r="K1383" s="19">
        <f t="shared" si="2"/>
        <v>1</v>
      </c>
      <c r="L1383" s="6" t="str">
        <f t="shared" si="3"/>
        <v>DS</v>
      </c>
    </row>
    <row r="1384" ht="14.25" customHeight="1">
      <c r="A1384" s="14" t="str">
        <f>Base_report!A1373</f>
        <v>SUD-COMOE</v>
      </c>
      <c r="B1384" s="14" t="str">
        <f>Base_report!B1373</f>
        <v>DECEMBRE 2023</v>
      </c>
      <c r="C1384" s="15" t="str">
        <f>Base_report!C1373</f>
        <v>C1764</v>
      </c>
      <c r="D1384" s="14" t="str">
        <f>TRIM(IF(ISNUMBER(FIND("PNSME",Base_report!D1373,1)),SUBSTITUTE(Base_report!D1373,"PNSME",""),IF(ISNUMBER(FIND("PHG",Base_report!D1373,1)),SUBSTITUTE(Base_report!D1373,"PHG",""),IF(ISNUMBER(FIND("PCS",Base_report!D1373,1)),SUBSTITUTE(Base_report!D1373,"PCS",""),IF(ISNUMBER(FIND("CMU",Base_report!D1373,1)),SUBSTITUTE(Base_report!D1373,"CMU",""),Base_report!D1373)))))</f>
        <v>DISTRICT SANITAIRE TIAPOUM</v>
      </c>
      <c r="E1384" s="14" t="str">
        <f>SUBSTITUTE(Base_report!E1373,"-","/")</f>
        <v>PNLP/MEDICAMENTS ET INTRANTS</v>
      </c>
      <c r="F1384" s="14" t="s">
        <v>788</v>
      </c>
      <c r="G1384" s="16">
        <f>DATE(YEAR(SUBSTITUTE(LEFT(Base_report!F1373,10),"-","/")),MONTH(SUBSTITUTE(LEFT(Base_report!F1373,10),"-","/")),DAY(SUBSTITUTE(LEFT(Base_report!F1373,10),"-","/")))</f>
        <v>45300</v>
      </c>
      <c r="H1384" s="16">
        <f>DATE(YEAR(SUBSTITUTE(LEFT(Base_report!G1373,10),"-","/")),MONTH(SUBSTITUTE(LEFT(Base_report!G1373,10),"-","/")),DAY(SUBSTITUTE(LEFT(Base_report!G1373,10),"-","/")))</f>
        <v>45301</v>
      </c>
      <c r="I1384" s="17" t="str">
        <f t="shared" si="1"/>
        <v>OUI</v>
      </c>
      <c r="J1384" s="18">
        <f>IF(L1384="DS",DATE(RIGHT(B1384,4),VLOOKUP(LEFT(B1384,LEN(B1384)-5),Feuil1!$E$3:$F$19,2,FALSE)+1,10),DATE(RIGHT(B1384,4),VLOOKUP(LEFT(B1384,LEN(B1384)-5),Feuil1!$E$3:$F$19,2,FALSE)+1,7))</f>
        <v>45301</v>
      </c>
      <c r="K1384" s="19">
        <f t="shared" si="2"/>
        <v>1</v>
      </c>
      <c r="L1384" s="6" t="str">
        <f t="shared" si="3"/>
        <v>DS</v>
      </c>
    </row>
    <row r="1385" ht="14.25" customHeight="1">
      <c r="A1385" s="14" t="str">
        <f>Base_report!A1374</f>
        <v>BOUNKANI</v>
      </c>
      <c r="B1385" s="14" t="str">
        <f>Base_report!B1374</f>
        <v>DECEMBRE 2023</v>
      </c>
      <c r="C1385" s="15" t="str">
        <f>Base_report!C1374</f>
        <v>C4084</v>
      </c>
      <c r="D1385" s="14" t="str">
        <f>TRIM(IF(ISNUMBER(FIND("PNSME",Base_report!D1374,1)),SUBSTITUTE(Base_report!D1374,"PNSME",""),IF(ISNUMBER(FIND("PHG",Base_report!D1374,1)),SUBSTITUTE(Base_report!D1374,"PHG",""),IF(ISNUMBER(FIND("PCS",Base_report!D1374,1)),SUBSTITUTE(Base_report!D1374,"PCS",""),IF(ISNUMBER(FIND("CMU",Base_report!D1374,1)),SUBSTITUTE(Base_report!D1374,"CMU",""),Base_report!D1374)))))</f>
        <v>DISTRICT SANITAIRE TEHINI</v>
      </c>
      <c r="E1385" s="14" t="str">
        <f>SUBSTITUTE(Base_report!E1374,"-","/")</f>
        <v>PNSME/MEDICAMENTS ET INTRANTS</v>
      </c>
      <c r="F1385" s="14" t="s">
        <v>788</v>
      </c>
      <c r="G1385" s="16">
        <f>DATE(YEAR(SUBSTITUTE(LEFT(Base_report!F1374,10),"-","/")),MONTH(SUBSTITUTE(LEFT(Base_report!F1374,10),"-","/")),DAY(SUBSTITUTE(LEFT(Base_report!F1374,10),"-","/")))</f>
        <v>45300</v>
      </c>
      <c r="H1385" s="16">
        <f>DATE(YEAR(SUBSTITUTE(LEFT(Base_report!G1374,10),"-","/")),MONTH(SUBSTITUTE(LEFT(Base_report!G1374,10),"-","/")),DAY(SUBSTITUTE(LEFT(Base_report!G1374,10),"-","/")))</f>
        <v>45300</v>
      </c>
      <c r="I1385" s="17" t="str">
        <f t="shared" si="1"/>
        <v>OUI</v>
      </c>
      <c r="J1385" s="18">
        <f>IF(L1385="DS",DATE(RIGHT(B1385,4),VLOOKUP(LEFT(B1385,LEN(B1385)-5),Feuil1!$E$3:$F$19,2,FALSE)+1,10),DATE(RIGHT(B1385,4),VLOOKUP(LEFT(B1385,LEN(B1385)-5),Feuil1!$E$3:$F$19,2,FALSE)+1,7))</f>
        <v>45301</v>
      </c>
      <c r="K1385" s="19">
        <f t="shared" si="2"/>
        <v>1</v>
      </c>
      <c r="L1385" s="6" t="str">
        <f t="shared" si="3"/>
        <v>DS</v>
      </c>
    </row>
    <row r="1386" ht="14.25" customHeight="1">
      <c r="A1386" s="14" t="str">
        <f>Base_report!A1375</f>
        <v>PORO</v>
      </c>
      <c r="B1386" s="14" t="str">
        <f>Base_report!B1375</f>
        <v>DECEMBRE 2023</v>
      </c>
      <c r="C1386" s="15" t="str">
        <f>Base_report!C1375</f>
        <v>C3056</v>
      </c>
      <c r="D1386" s="14" t="str">
        <f>TRIM(IF(ISNUMBER(FIND("PNSME",Base_report!D1375,1)),SUBSTITUTE(Base_report!D1375,"PNSME",""),IF(ISNUMBER(FIND("PHG",Base_report!D1375,1)),SUBSTITUTE(Base_report!D1375,"PHG",""),IF(ISNUMBER(FIND("PCS",Base_report!D1375,1)),SUBSTITUTE(Base_report!D1375,"PCS",""),IF(ISNUMBER(FIND("CMU",Base_report!D1375,1)),SUBSTITUTE(Base_report!D1375,"CMU",""),Base_report!D1375)))))</f>
        <v>DISTRICT SANITAIRE M'BENGUE</v>
      </c>
      <c r="E1386" s="14" t="str">
        <f>SUBSTITUTE(Base_report!E1375,"-","/")</f>
        <v>PNLP/MEDICAMENTS ET INTRANTS</v>
      </c>
      <c r="F1386" s="14" t="s">
        <v>788</v>
      </c>
      <c r="G1386" s="16">
        <f>DATE(YEAR(SUBSTITUTE(LEFT(Base_report!F1375,10),"-","/")),MONTH(SUBSTITUTE(LEFT(Base_report!F1375,10),"-","/")),DAY(SUBSTITUTE(LEFT(Base_report!F1375,10),"-","/")))</f>
        <v>45299</v>
      </c>
      <c r="H1386" s="16">
        <f>DATE(YEAR(SUBSTITUTE(LEFT(Base_report!G1375,10),"-","/")),MONTH(SUBSTITUTE(LEFT(Base_report!G1375,10),"-","/")),DAY(SUBSTITUTE(LEFT(Base_report!G1375,10),"-","/")))</f>
        <v>45299</v>
      </c>
      <c r="I1386" s="17" t="str">
        <f t="shared" si="1"/>
        <v>OUI</v>
      </c>
      <c r="J1386" s="18">
        <f>IF(L1386="DS",DATE(RIGHT(B1386,4),VLOOKUP(LEFT(B1386,LEN(B1386)-5),Feuil1!$E$3:$F$19,2,FALSE)+1,10),DATE(RIGHT(B1386,4),VLOOKUP(LEFT(B1386,LEN(B1386)-5),Feuil1!$E$3:$F$19,2,FALSE)+1,7))</f>
        <v>45301</v>
      </c>
      <c r="K1386" s="19">
        <f t="shared" si="2"/>
        <v>1</v>
      </c>
      <c r="L1386" s="6" t="str">
        <f t="shared" si="3"/>
        <v>DS</v>
      </c>
    </row>
    <row r="1387" ht="14.25" customHeight="1">
      <c r="A1387" s="14" t="str">
        <f>Base_report!A1376</f>
        <v>PORO</v>
      </c>
      <c r="B1387" s="14" t="str">
        <f>Base_report!B1376</f>
        <v>DECEMBRE 2023</v>
      </c>
      <c r="C1387" s="15" t="str">
        <f>Base_report!C1376</f>
        <v>C3006</v>
      </c>
      <c r="D1387" s="14" t="str">
        <f>TRIM(IF(ISNUMBER(FIND("PNSME",Base_report!D1376,1)),SUBSTITUTE(Base_report!D1376,"PNSME",""),IF(ISNUMBER(FIND("PHG",Base_report!D1376,1)),SUBSTITUTE(Base_report!D1376,"PHG",""),IF(ISNUMBER(FIND("PCS",Base_report!D1376,1)),SUBSTITUTE(Base_report!D1376,"PCS",""),IF(ISNUMBER(FIND("CMU",Base_report!D1376,1)),SUBSTITUTE(Base_report!D1376,"CMU",""),Base_report!D1376)))))</f>
        <v>DISTRICT SANITAIRE KORHOGO 1</v>
      </c>
      <c r="E1387" s="14" t="str">
        <f>SUBSTITUTE(Base_report!E1376,"-","/")</f>
        <v>PNSME/MEDICAMENTS ET INTRANTS</v>
      </c>
      <c r="F1387" s="14" t="s">
        <v>788</v>
      </c>
      <c r="G1387" s="16">
        <f>DATE(YEAR(SUBSTITUTE(LEFT(Base_report!F1376,10),"-","/")),MONTH(SUBSTITUTE(LEFT(Base_report!F1376,10),"-","/")),DAY(SUBSTITUTE(LEFT(Base_report!F1376,10),"-","/")))</f>
        <v>45300</v>
      </c>
      <c r="H1387" s="16">
        <f>DATE(YEAR(SUBSTITUTE(LEFT(Base_report!G1376,10),"-","/")),MONTH(SUBSTITUTE(LEFT(Base_report!G1376,10),"-","/")),DAY(SUBSTITUTE(LEFT(Base_report!G1376,10),"-","/")))</f>
        <v>45300</v>
      </c>
      <c r="I1387" s="17" t="str">
        <f t="shared" si="1"/>
        <v>OUI</v>
      </c>
      <c r="J1387" s="18">
        <f>IF(L1387="DS",DATE(RIGHT(B1387,4),VLOOKUP(LEFT(B1387,LEN(B1387)-5),Feuil1!$E$3:$F$19,2,FALSE)+1,10),DATE(RIGHT(B1387,4),VLOOKUP(LEFT(B1387,LEN(B1387)-5),Feuil1!$E$3:$F$19,2,FALSE)+1,7))</f>
        <v>45301</v>
      </c>
      <c r="K1387" s="19">
        <f t="shared" si="2"/>
        <v>1</v>
      </c>
      <c r="L1387" s="6" t="str">
        <f t="shared" si="3"/>
        <v>DS</v>
      </c>
    </row>
    <row r="1388" ht="14.25" customHeight="1">
      <c r="A1388" s="14" t="str">
        <f>Base_report!A1377</f>
        <v>PORO</v>
      </c>
      <c r="B1388" s="14" t="str">
        <f>Base_report!B1377</f>
        <v>DECEMBRE 2023</v>
      </c>
      <c r="C1388" s="15" t="str">
        <f>Base_report!C1377</f>
        <v>C3058</v>
      </c>
      <c r="D1388" s="14" t="str">
        <f>TRIM(IF(ISNUMBER(FIND("PNSME",Base_report!D1377,1)),SUBSTITUTE(Base_report!D1377,"PNSME",""),IF(ISNUMBER(FIND("PHG",Base_report!D1377,1)),SUBSTITUTE(Base_report!D1377,"PHG",""),IF(ISNUMBER(FIND("PCS",Base_report!D1377,1)),SUBSTITUTE(Base_report!D1377,"PCS",""),IF(ISNUMBER(FIND("CMU",Base_report!D1377,1)),SUBSTITUTE(Base_report!D1377,"CMU",""),Base_report!D1377)))))</f>
        <v>DISTRICT SANITAIRE DIKODOUGOU</v>
      </c>
      <c r="E1388" s="14" t="str">
        <f>SUBSTITUTE(Base_report!E1377,"-","/")</f>
        <v>PNLP/MEDICAMENTS ET INTRANTS</v>
      </c>
      <c r="F1388" s="14" t="s">
        <v>788</v>
      </c>
      <c r="G1388" s="16">
        <f>DATE(YEAR(SUBSTITUTE(LEFT(Base_report!F1377,10),"-","/")),MONTH(SUBSTITUTE(LEFT(Base_report!F1377,10),"-","/")),DAY(SUBSTITUTE(LEFT(Base_report!F1377,10),"-","/")))</f>
        <v>45300</v>
      </c>
      <c r="H1388" s="16">
        <f>DATE(YEAR(SUBSTITUTE(LEFT(Base_report!G1377,10),"-","/")),MONTH(SUBSTITUTE(LEFT(Base_report!G1377,10),"-","/")),DAY(SUBSTITUTE(LEFT(Base_report!G1377,10),"-","/")))</f>
        <v>45302</v>
      </c>
      <c r="I1388" s="17" t="str">
        <f t="shared" si="1"/>
        <v>OUI</v>
      </c>
      <c r="J1388" s="18">
        <f>IF(L1388="DS",DATE(RIGHT(B1388,4),VLOOKUP(LEFT(B1388,LEN(B1388)-5),Feuil1!$E$3:$F$19,2,FALSE)+1,10),DATE(RIGHT(B1388,4),VLOOKUP(LEFT(B1388,LEN(B1388)-5),Feuil1!$E$3:$F$19,2,FALSE)+1,7))</f>
        <v>45301</v>
      </c>
      <c r="K1388" s="19">
        <f t="shared" si="2"/>
        <v>0</v>
      </c>
      <c r="L1388" s="6" t="str">
        <f t="shared" si="3"/>
        <v>DS</v>
      </c>
    </row>
    <row r="1389" ht="14.25" customHeight="1">
      <c r="A1389" s="14" t="str">
        <f>Base_report!A1378</f>
        <v>FOLON</v>
      </c>
      <c r="B1389" s="14" t="str">
        <f>Base_report!B1378</f>
        <v>DECEMBRE 2023</v>
      </c>
      <c r="C1389" s="15" t="str">
        <f>Base_report!C1378</f>
        <v>C5082</v>
      </c>
      <c r="D1389" s="14" t="str">
        <f>TRIM(IF(ISNUMBER(FIND("PNSME",Base_report!D1378,1)),SUBSTITUTE(Base_report!D1378,"PNSME",""),IF(ISNUMBER(FIND("PHG",Base_report!D1378,1)),SUBSTITUTE(Base_report!D1378,"PHG",""),IF(ISNUMBER(FIND("PCS",Base_report!D1378,1)),SUBSTITUTE(Base_report!D1378,"PCS",""),IF(ISNUMBER(FIND("CMU",Base_report!D1378,1)),SUBSTITUTE(Base_report!D1378,"CMU",""),Base_report!D1378)))))</f>
        <v>DISTRICT SANITAIRE KANIASSO</v>
      </c>
      <c r="E1389" s="14" t="str">
        <f>SUBSTITUTE(Base_report!E1378,"-","/")</f>
        <v>PNN/MEDICAMENTS ET INTRANTS</v>
      </c>
      <c r="F1389" s="14" t="s">
        <v>788</v>
      </c>
      <c r="G1389" s="16">
        <f>DATE(YEAR(SUBSTITUTE(LEFT(Base_report!F1378,10),"-","/")),MONTH(SUBSTITUTE(LEFT(Base_report!F1378,10),"-","/")),DAY(SUBSTITUTE(LEFT(Base_report!F1378,10),"-","/")))</f>
        <v>45302</v>
      </c>
      <c r="H1389" s="16">
        <f>DATE(YEAR(SUBSTITUTE(LEFT(Base_report!G1378,10),"-","/")),MONTH(SUBSTITUTE(LEFT(Base_report!G1378,10),"-","/")),DAY(SUBSTITUTE(LEFT(Base_report!G1378,10),"-","/")))</f>
        <v>45302</v>
      </c>
      <c r="I1389" s="17" t="str">
        <f t="shared" si="1"/>
        <v>OUI</v>
      </c>
      <c r="J1389" s="18">
        <f>IF(L1389="DS",DATE(RIGHT(B1389,4),VLOOKUP(LEFT(B1389,LEN(B1389)-5),Feuil1!$E$3:$F$19,2,FALSE)+1,10),DATE(RIGHT(B1389,4),VLOOKUP(LEFT(B1389,LEN(B1389)-5),Feuil1!$E$3:$F$19,2,FALSE)+1,7))</f>
        <v>45301</v>
      </c>
      <c r="K1389" s="19">
        <f t="shared" si="2"/>
        <v>0</v>
      </c>
      <c r="L1389" s="6" t="str">
        <f t="shared" si="3"/>
        <v>DS</v>
      </c>
    </row>
    <row r="1390" ht="14.25" customHeight="1">
      <c r="A1390" s="14" t="str">
        <f>Base_report!A1379</f>
        <v>GOH</v>
      </c>
      <c r="B1390" s="14" t="str">
        <f>Base_report!B1379</f>
        <v>DECEMBRE 2023</v>
      </c>
      <c r="C1390" s="15" t="str">
        <f>Base_report!C1379</f>
        <v>C2088</v>
      </c>
      <c r="D1390" s="14" t="str">
        <f>TRIM(IF(ISNUMBER(FIND("PNSME",Base_report!D1379,1)),SUBSTITUTE(Base_report!D1379,"PNSME",""),IF(ISNUMBER(FIND("PHG",Base_report!D1379,1)),SUBSTITUTE(Base_report!D1379,"PHG",""),IF(ISNUMBER(FIND("PCS",Base_report!D1379,1)),SUBSTITUTE(Base_report!D1379,"PCS",""),IF(ISNUMBER(FIND("CMU",Base_report!D1379,1)),SUBSTITUTE(Base_report!D1379,"CMU",""),Base_report!D1379)))))</f>
        <v>DISTRICT SANITAIRE GAGNOA 2</v>
      </c>
      <c r="E1390" s="14" t="str">
        <f>SUBSTITUTE(Base_report!E1379,"-","/")</f>
        <v>PNLS/ANTIRETROVIRAUX ET IO</v>
      </c>
      <c r="F1390" s="14" t="s">
        <v>788</v>
      </c>
      <c r="G1390" s="16">
        <f>DATE(YEAR(SUBSTITUTE(LEFT(Base_report!F1379,10),"-","/")),MONTH(SUBSTITUTE(LEFT(Base_report!F1379,10),"-","/")),DAY(SUBSTITUTE(LEFT(Base_report!F1379,10),"-","/")))</f>
        <v>45300</v>
      </c>
      <c r="H1390" s="16">
        <f>DATE(YEAR(SUBSTITUTE(LEFT(Base_report!G1379,10),"-","/")),MONTH(SUBSTITUTE(LEFT(Base_report!G1379,10),"-","/")),DAY(SUBSTITUTE(LEFT(Base_report!G1379,10),"-","/")))</f>
        <v>45300</v>
      </c>
      <c r="I1390" s="17" t="str">
        <f t="shared" si="1"/>
        <v>OUI</v>
      </c>
      <c r="J1390" s="18">
        <f>IF(L1390="DS",DATE(RIGHT(B1390,4),VLOOKUP(LEFT(B1390,LEN(B1390)-5),Feuil1!$E$3:$F$19,2,FALSE)+1,10),DATE(RIGHT(B1390,4),VLOOKUP(LEFT(B1390,LEN(B1390)-5),Feuil1!$E$3:$F$19,2,FALSE)+1,7))</f>
        <v>45301</v>
      </c>
      <c r="K1390" s="19">
        <f t="shared" si="2"/>
        <v>1</v>
      </c>
      <c r="L1390" s="6" t="str">
        <f t="shared" si="3"/>
        <v>DS</v>
      </c>
    </row>
    <row r="1391" ht="14.25" customHeight="1">
      <c r="A1391" s="14" t="str">
        <f>Base_report!A1380</f>
        <v>BOUNKANI</v>
      </c>
      <c r="B1391" s="14" t="str">
        <f>Base_report!B1380</f>
        <v>DECEMBRE 2023</v>
      </c>
      <c r="C1391" s="15" t="str">
        <f>Base_report!C1380</f>
        <v>C4084</v>
      </c>
      <c r="D1391" s="14" t="str">
        <f>TRIM(IF(ISNUMBER(FIND("PNSME",Base_report!D1380,1)),SUBSTITUTE(Base_report!D1380,"PNSME",""),IF(ISNUMBER(FIND("PHG",Base_report!D1380,1)),SUBSTITUTE(Base_report!D1380,"PHG",""),IF(ISNUMBER(FIND("PCS",Base_report!D1380,1)),SUBSTITUTE(Base_report!D1380,"PCS",""),IF(ISNUMBER(FIND("CMU",Base_report!D1380,1)),SUBSTITUTE(Base_report!D1380,"CMU",""),Base_report!D1380)))))</f>
        <v>DISTRICT SANITAIRE TEHINI</v>
      </c>
      <c r="E1391" s="14" t="str">
        <f>SUBSTITUTE(Base_report!E1380,"-","/")</f>
        <v>PNLP/MEDICAMENTS ET INTRANTS</v>
      </c>
      <c r="F1391" s="14" t="s">
        <v>788</v>
      </c>
      <c r="G1391" s="16">
        <f>DATE(YEAR(SUBSTITUTE(LEFT(Base_report!F1380,10),"-","/")),MONTH(SUBSTITUTE(LEFT(Base_report!F1380,10),"-","/")),DAY(SUBSTITUTE(LEFT(Base_report!F1380,10),"-","/")))</f>
        <v>45300</v>
      </c>
      <c r="H1391" s="16">
        <f>DATE(YEAR(SUBSTITUTE(LEFT(Base_report!G1380,10),"-","/")),MONTH(SUBSTITUTE(LEFT(Base_report!G1380,10),"-","/")),DAY(SUBSTITUTE(LEFT(Base_report!G1380,10),"-","/")))</f>
        <v>45300</v>
      </c>
      <c r="I1391" s="17" t="str">
        <f t="shared" si="1"/>
        <v>OUI</v>
      </c>
      <c r="J1391" s="18">
        <f>IF(L1391="DS",DATE(RIGHT(B1391,4),VLOOKUP(LEFT(B1391,LEN(B1391)-5),Feuil1!$E$3:$F$19,2,FALSE)+1,10),DATE(RIGHT(B1391,4),VLOOKUP(LEFT(B1391,LEN(B1391)-5),Feuil1!$E$3:$F$19,2,FALSE)+1,7))</f>
        <v>45301</v>
      </c>
      <c r="K1391" s="19">
        <f t="shared" si="2"/>
        <v>1</v>
      </c>
      <c r="L1391" s="6" t="str">
        <f t="shared" si="3"/>
        <v>DS</v>
      </c>
    </row>
    <row r="1392" ht="14.25" customHeight="1">
      <c r="A1392" s="14" t="str">
        <f>Base_report!A1381</f>
        <v>WORODOUGOU</v>
      </c>
      <c r="B1392" s="14" t="str">
        <f>Base_report!B1381</f>
        <v>DECEMBRE 2023</v>
      </c>
      <c r="C1392" s="15" t="str">
        <f>Base_report!C1381</f>
        <v>C5072</v>
      </c>
      <c r="D1392" s="14" t="str">
        <f>TRIM(IF(ISNUMBER(FIND("PNSME",Base_report!D1381,1)),SUBSTITUTE(Base_report!D1381,"PNSME",""),IF(ISNUMBER(FIND("PHG",Base_report!D1381,1)),SUBSTITUTE(Base_report!D1381,"PHG",""),IF(ISNUMBER(FIND("PCS",Base_report!D1381,1)),SUBSTITUTE(Base_report!D1381,"PCS",""),IF(ISNUMBER(FIND("CMU",Base_report!D1381,1)),SUBSTITUTE(Base_report!D1381,"CMU",""),Base_report!D1381)))))</f>
        <v>DISTRICT SANITAIRE KANI</v>
      </c>
      <c r="E1392" s="14" t="str">
        <f>SUBSTITUTE(Base_report!E1381,"-","/")</f>
        <v>PNSME/MEDICAMENTS ET INTRANTS</v>
      </c>
      <c r="F1392" s="14" t="s">
        <v>788</v>
      </c>
      <c r="G1392" s="16">
        <f>DATE(YEAR(SUBSTITUTE(LEFT(Base_report!F1381,10),"-","/")),MONTH(SUBSTITUTE(LEFT(Base_report!F1381,10),"-","/")),DAY(SUBSTITUTE(LEFT(Base_report!F1381,10),"-","/")))</f>
        <v>45300</v>
      </c>
      <c r="H1392" s="16">
        <f>DATE(YEAR(SUBSTITUTE(LEFT(Base_report!G1381,10),"-","/")),MONTH(SUBSTITUTE(LEFT(Base_report!G1381,10),"-","/")),DAY(SUBSTITUTE(LEFT(Base_report!G1381,10),"-","/")))</f>
        <v>45300</v>
      </c>
      <c r="I1392" s="17" t="str">
        <f t="shared" si="1"/>
        <v>OUI</v>
      </c>
      <c r="J1392" s="18">
        <f>IF(L1392="DS",DATE(RIGHT(B1392,4),VLOOKUP(LEFT(B1392,LEN(B1392)-5),Feuil1!$E$3:$F$19,2,FALSE)+1,10),DATE(RIGHT(B1392,4),VLOOKUP(LEFT(B1392,LEN(B1392)-5),Feuil1!$E$3:$F$19,2,FALSE)+1,7))</f>
        <v>45301</v>
      </c>
      <c r="K1392" s="19">
        <f t="shared" si="2"/>
        <v>1</v>
      </c>
      <c r="L1392" s="6" t="str">
        <f t="shared" si="3"/>
        <v>DS</v>
      </c>
    </row>
    <row r="1393" ht="14.25" customHeight="1">
      <c r="A1393" s="14" t="str">
        <f>Base_report!A1382</f>
        <v>BOUNKANI</v>
      </c>
      <c r="B1393" s="14" t="str">
        <f>Base_report!B1382</f>
        <v>DECEMBRE 2023</v>
      </c>
      <c r="C1393" s="15" t="str">
        <f>Base_report!C1382</f>
        <v>C4084</v>
      </c>
      <c r="D1393" s="14" t="str">
        <f>TRIM(IF(ISNUMBER(FIND("PNSME",Base_report!D1382,1)),SUBSTITUTE(Base_report!D1382,"PNSME",""),IF(ISNUMBER(FIND("PHG",Base_report!D1382,1)),SUBSTITUTE(Base_report!D1382,"PHG",""),IF(ISNUMBER(FIND("PCS",Base_report!D1382,1)),SUBSTITUTE(Base_report!D1382,"PCS",""),IF(ISNUMBER(FIND("CMU",Base_report!D1382,1)),SUBSTITUTE(Base_report!D1382,"CMU",""),Base_report!D1382)))))</f>
        <v>DISTRICT SANITAIRE TEHINI</v>
      </c>
      <c r="E1393" s="14" t="str">
        <f>SUBSTITUTE(Base_report!E1382,"-","/")</f>
        <v>PNLS/TESTS RAPIDES ET CONSOMMABLES</v>
      </c>
      <c r="F1393" s="14" t="s">
        <v>788</v>
      </c>
      <c r="G1393" s="16">
        <f>DATE(YEAR(SUBSTITUTE(LEFT(Base_report!F1382,10),"-","/")),MONTH(SUBSTITUTE(LEFT(Base_report!F1382,10),"-","/")),DAY(SUBSTITUTE(LEFT(Base_report!F1382,10),"-","/")))</f>
        <v>45300</v>
      </c>
      <c r="H1393" s="16">
        <f>DATE(YEAR(SUBSTITUTE(LEFT(Base_report!G1382,10),"-","/")),MONTH(SUBSTITUTE(LEFT(Base_report!G1382,10),"-","/")),DAY(SUBSTITUTE(LEFT(Base_report!G1382,10),"-","/")))</f>
        <v>45300</v>
      </c>
      <c r="I1393" s="17" t="str">
        <f t="shared" si="1"/>
        <v>OUI</v>
      </c>
      <c r="J1393" s="18">
        <f>IF(L1393="DS",DATE(RIGHT(B1393,4),VLOOKUP(LEFT(B1393,LEN(B1393)-5),Feuil1!$E$3:$F$19,2,FALSE)+1,10),DATE(RIGHT(B1393,4),VLOOKUP(LEFT(B1393,LEN(B1393)-5),Feuil1!$E$3:$F$19,2,FALSE)+1,7))</f>
        <v>45301</v>
      </c>
      <c r="K1393" s="19">
        <f t="shared" si="2"/>
        <v>1</v>
      </c>
      <c r="L1393" s="6" t="str">
        <f t="shared" si="3"/>
        <v>DS</v>
      </c>
    </row>
    <row r="1394" ht="14.25" customHeight="1">
      <c r="A1394" s="14" t="str">
        <f>Base_report!A1383</f>
        <v>WORODOUGOU</v>
      </c>
      <c r="B1394" s="14" t="str">
        <f>Base_report!B1383</f>
        <v>DECEMBRE 2023</v>
      </c>
      <c r="C1394" s="15" t="str">
        <f>Base_report!C1383</f>
        <v>C5072</v>
      </c>
      <c r="D1394" s="14" t="str">
        <f>TRIM(IF(ISNUMBER(FIND("PNSME",Base_report!D1383,1)),SUBSTITUTE(Base_report!D1383,"PNSME",""),IF(ISNUMBER(FIND("PHG",Base_report!D1383,1)),SUBSTITUTE(Base_report!D1383,"PHG",""),IF(ISNUMBER(FIND("PCS",Base_report!D1383,1)),SUBSTITUTE(Base_report!D1383,"PCS",""),IF(ISNUMBER(FIND("CMU",Base_report!D1383,1)),SUBSTITUTE(Base_report!D1383,"CMU",""),Base_report!D1383)))))</f>
        <v>DISTRICT SANITAIRE KANI</v>
      </c>
      <c r="E1394" s="14" t="str">
        <f>SUBSTITUTE(Base_report!E1383,"-","/")</f>
        <v>PNLS/ANTIRETROVIRAUX ET IO</v>
      </c>
      <c r="F1394" s="14" t="s">
        <v>788</v>
      </c>
      <c r="G1394" s="16">
        <f>DATE(YEAR(SUBSTITUTE(LEFT(Base_report!F1383,10),"-","/")),MONTH(SUBSTITUTE(LEFT(Base_report!F1383,10),"-","/")),DAY(SUBSTITUTE(LEFT(Base_report!F1383,10),"-","/")))</f>
        <v>45301</v>
      </c>
      <c r="H1394" s="16">
        <f>DATE(YEAR(SUBSTITUTE(LEFT(Base_report!G1383,10),"-","/")),MONTH(SUBSTITUTE(LEFT(Base_report!G1383,10),"-","/")),DAY(SUBSTITUTE(LEFT(Base_report!G1383,10),"-","/")))</f>
        <v>45301</v>
      </c>
      <c r="I1394" s="17" t="str">
        <f t="shared" si="1"/>
        <v>OUI</v>
      </c>
      <c r="J1394" s="18">
        <f>IF(L1394="DS",DATE(RIGHT(B1394,4),VLOOKUP(LEFT(B1394,LEN(B1394)-5),Feuil1!$E$3:$F$19,2,FALSE)+1,10),DATE(RIGHT(B1394,4),VLOOKUP(LEFT(B1394,LEN(B1394)-5),Feuil1!$E$3:$F$19,2,FALSE)+1,7))</f>
        <v>45301</v>
      </c>
      <c r="K1394" s="19">
        <f t="shared" si="2"/>
        <v>1</v>
      </c>
      <c r="L1394" s="6" t="str">
        <f t="shared" si="3"/>
        <v>DS</v>
      </c>
    </row>
    <row r="1395" ht="14.25" customHeight="1">
      <c r="A1395" s="14" t="str">
        <f>Base_report!A1384</f>
        <v>SAN PEDRO</v>
      </c>
      <c r="B1395" s="14" t="str">
        <f>Base_report!B1384</f>
        <v>DECEMBRE 2023</v>
      </c>
      <c r="C1395" s="15" t="str">
        <f>Base_report!C1384</f>
        <v>C2035</v>
      </c>
      <c r="D1395" s="14" t="str">
        <f>TRIM(IF(ISNUMBER(FIND("PNSME",Base_report!D1384,1)),SUBSTITUTE(Base_report!D1384,"PNSME",""),IF(ISNUMBER(FIND("PHG",Base_report!D1384,1)),SUBSTITUTE(Base_report!D1384,"PHG",""),IF(ISNUMBER(FIND("PCS",Base_report!D1384,1)),SUBSTITUTE(Base_report!D1384,"PCS",""),IF(ISNUMBER(FIND("CMU",Base_report!D1384,1)),SUBSTITUTE(Base_report!D1384,"CMU",""),Base_report!D1384)))))</f>
        <v>DISTRICT SANITAIRE SAN-PEDRO</v>
      </c>
      <c r="E1395" s="14" t="str">
        <f>SUBSTITUTE(Base_report!E1384,"-","/")</f>
        <v>PNSME/MEDICAMENTS ET INTRANTS</v>
      </c>
      <c r="F1395" s="14" t="s">
        <v>788</v>
      </c>
      <c r="G1395" s="16">
        <f>DATE(YEAR(SUBSTITUTE(LEFT(Base_report!F1384,10),"-","/")),MONTH(SUBSTITUTE(LEFT(Base_report!F1384,10),"-","/")),DAY(SUBSTITUTE(LEFT(Base_report!F1384,10),"-","/")))</f>
        <v>45299</v>
      </c>
      <c r="H1395" s="16">
        <f>DATE(YEAR(SUBSTITUTE(LEFT(Base_report!G1384,10),"-","/")),MONTH(SUBSTITUTE(LEFT(Base_report!G1384,10),"-","/")),DAY(SUBSTITUTE(LEFT(Base_report!G1384,10),"-","/")))</f>
        <v>45301</v>
      </c>
      <c r="I1395" s="17" t="str">
        <f t="shared" si="1"/>
        <v>OUI</v>
      </c>
      <c r="J1395" s="18">
        <f>IF(L1395="DS",DATE(RIGHT(B1395,4),VLOOKUP(LEFT(B1395,LEN(B1395)-5),Feuil1!$E$3:$F$19,2,FALSE)+1,10),DATE(RIGHT(B1395,4),VLOOKUP(LEFT(B1395,LEN(B1395)-5),Feuil1!$E$3:$F$19,2,FALSE)+1,7))</f>
        <v>45301</v>
      </c>
      <c r="K1395" s="19">
        <f t="shared" si="2"/>
        <v>1</v>
      </c>
      <c r="L1395" s="6" t="str">
        <f t="shared" si="3"/>
        <v>DS</v>
      </c>
    </row>
    <row r="1396" ht="14.25" customHeight="1">
      <c r="A1396" s="14" t="str">
        <f>Base_report!A1385</f>
        <v>BAGOUE</v>
      </c>
      <c r="B1396" s="14" t="str">
        <f>Base_report!B1385</f>
        <v>DECEMBRE 2023</v>
      </c>
      <c r="C1396" s="15" t="str">
        <f>Base_report!C1385</f>
        <v>C3008</v>
      </c>
      <c r="D1396" s="14" t="str">
        <f>TRIM(IF(ISNUMBER(FIND("PNSME",Base_report!D1385,1)),SUBSTITUTE(Base_report!D1385,"PNSME",""),IF(ISNUMBER(FIND("PHG",Base_report!D1385,1)),SUBSTITUTE(Base_report!D1385,"PHG",""),IF(ISNUMBER(FIND("PCS",Base_report!D1385,1)),SUBSTITUTE(Base_report!D1385,"PCS",""),IF(ISNUMBER(FIND("CMU",Base_report!D1385,1)),SUBSTITUTE(Base_report!D1385,"CMU",""),Base_report!D1385)))))</f>
        <v>DISTRICT SANITAIRE TENGRELA</v>
      </c>
      <c r="E1396" s="14" t="str">
        <f>SUBSTITUTE(Base_report!E1385,"-","/")</f>
        <v>PNLS/TESTS RAPIDES ET CONSOMMABLES</v>
      </c>
      <c r="F1396" s="14" t="s">
        <v>788</v>
      </c>
      <c r="G1396" s="16">
        <f>DATE(YEAR(SUBSTITUTE(LEFT(Base_report!F1385,10),"-","/")),MONTH(SUBSTITUTE(LEFT(Base_report!F1385,10),"-","/")),DAY(SUBSTITUTE(LEFT(Base_report!F1385,10),"-","/")))</f>
        <v>45300</v>
      </c>
      <c r="H1396" s="16">
        <f>DATE(YEAR(SUBSTITUTE(LEFT(Base_report!G1385,10),"-","/")),MONTH(SUBSTITUTE(LEFT(Base_report!G1385,10),"-","/")),DAY(SUBSTITUTE(LEFT(Base_report!G1385,10),"-","/")))</f>
        <v>45300</v>
      </c>
      <c r="I1396" s="17" t="str">
        <f t="shared" si="1"/>
        <v>OUI</v>
      </c>
      <c r="J1396" s="18">
        <f>IF(L1396="DS",DATE(RIGHT(B1396,4),VLOOKUP(LEFT(B1396,LEN(B1396)-5),Feuil1!$E$3:$F$19,2,FALSE)+1,10),DATE(RIGHT(B1396,4),VLOOKUP(LEFT(B1396,LEN(B1396)-5),Feuil1!$E$3:$F$19,2,FALSE)+1,7))</f>
        <v>45301</v>
      </c>
      <c r="K1396" s="19">
        <f t="shared" si="2"/>
        <v>1</v>
      </c>
      <c r="L1396" s="6" t="str">
        <f t="shared" si="3"/>
        <v>DS</v>
      </c>
    </row>
    <row r="1397" ht="14.25" customHeight="1">
      <c r="A1397" s="14" t="str">
        <f>Base_report!A1386</f>
        <v>MORONOU</v>
      </c>
      <c r="B1397" s="14" t="str">
        <f>Base_report!B1386</f>
        <v>DECEMBRE 2023</v>
      </c>
      <c r="C1397" s="15" t="str">
        <f>Base_report!C1386</f>
        <v>C4073</v>
      </c>
      <c r="D1397" s="14" t="str">
        <f>TRIM(IF(ISNUMBER(FIND("PNSME",Base_report!D1386,1)),SUBSTITUTE(Base_report!D1386,"PNSME",""),IF(ISNUMBER(FIND("PHG",Base_report!D1386,1)),SUBSTITUTE(Base_report!D1386,"PHG",""),IF(ISNUMBER(FIND("PCS",Base_report!D1386,1)),SUBSTITUTE(Base_report!D1386,"PCS",""),IF(ISNUMBER(FIND("CMU",Base_report!D1386,1)),SUBSTITUTE(Base_report!D1386,"CMU",""),Base_report!D1386)))))</f>
        <v>DISTRICT SANITAIRE ARRAH</v>
      </c>
      <c r="E1397" s="14" t="str">
        <f>SUBSTITUTE(Base_report!E1386,"-","/")</f>
        <v>PNSME/MEDICAMENTS ET INTRANTS</v>
      </c>
      <c r="F1397" s="14" t="s">
        <v>788</v>
      </c>
      <c r="G1397" s="16">
        <f>DATE(YEAR(SUBSTITUTE(LEFT(Base_report!F1386,10),"-","/")),MONTH(SUBSTITUTE(LEFT(Base_report!F1386,10),"-","/")),DAY(SUBSTITUTE(LEFT(Base_report!F1386,10),"-","/")))</f>
        <v>45299</v>
      </c>
      <c r="H1397" s="16">
        <f>DATE(YEAR(SUBSTITUTE(LEFT(Base_report!G1386,10),"-","/")),MONTH(SUBSTITUTE(LEFT(Base_report!G1386,10),"-","/")),DAY(SUBSTITUTE(LEFT(Base_report!G1386,10),"-","/")))</f>
        <v>45300</v>
      </c>
      <c r="I1397" s="17" t="str">
        <f t="shared" si="1"/>
        <v>OUI</v>
      </c>
      <c r="J1397" s="18">
        <f>IF(L1397="DS",DATE(RIGHT(B1397,4),VLOOKUP(LEFT(B1397,LEN(B1397)-5),Feuil1!$E$3:$F$19,2,FALSE)+1,10),DATE(RIGHT(B1397,4),VLOOKUP(LEFT(B1397,LEN(B1397)-5),Feuil1!$E$3:$F$19,2,FALSE)+1,7))</f>
        <v>45301</v>
      </c>
      <c r="K1397" s="19">
        <f t="shared" si="2"/>
        <v>1</v>
      </c>
      <c r="L1397" s="6" t="str">
        <f t="shared" si="3"/>
        <v>DS</v>
      </c>
    </row>
    <row r="1398" ht="14.25" customHeight="1">
      <c r="A1398" s="14" t="str">
        <f>Base_report!A1387</f>
        <v>BAGOUE</v>
      </c>
      <c r="B1398" s="14" t="str">
        <f>Base_report!B1387</f>
        <v>DECEMBRE 2023</v>
      </c>
      <c r="C1398" s="15" t="str">
        <f>Base_report!C1387</f>
        <v>C3008</v>
      </c>
      <c r="D1398" s="14" t="str">
        <f>TRIM(IF(ISNUMBER(FIND("PNSME",Base_report!D1387,1)),SUBSTITUTE(Base_report!D1387,"PNSME",""),IF(ISNUMBER(FIND("PHG",Base_report!D1387,1)),SUBSTITUTE(Base_report!D1387,"PHG",""),IF(ISNUMBER(FIND("PCS",Base_report!D1387,1)),SUBSTITUTE(Base_report!D1387,"PCS",""),IF(ISNUMBER(FIND("CMU",Base_report!D1387,1)),SUBSTITUTE(Base_report!D1387,"CMU",""),Base_report!D1387)))))</f>
        <v>DISTRICT SANITAIRE TENGRELA</v>
      </c>
      <c r="E1398" s="14" t="str">
        <f>SUBSTITUTE(Base_report!E1387,"-","/")</f>
        <v>PNLS/ANTIRETROVIRAUX ET IO</v>
      </c>
      <c r="F1398" s="14" t="s">
        <v>788</v>
      </c>
      <c r="G1398" s="16">
        <f>DATE(YEAR(SUBSTITUTE(LEFT(Base_report!F1387,10),"-","/")),MONTH(SUBSTITUTE(LEFT(Base_report!F1387,10),"-","/")),DAY(SUBSTITUTE(LEFT(Base_report!F1387,10),"-","/")))</f>
        <v>45299</v>
      </c>
      <c r="H1398" s="16">
        <f>DATE(YEAR(SUBSTITUTE(LEFT(Base_report!G1387,10),"-","/")),MONTH(SUBSTITUTE(LEFT(Base_report!G1387,10),"-","/")),DAY(SUBSTITUTE(LEFT(Base_report!G1387,10),"-","/")))</f>
        <v>45300</v>
      </c>
      <c r="I1398" s="17" t="str">
        <f t="shared" si="1"/>
        <v>OUI</v>
      </c>
      <c r="J1398" s="18">
        <f>IF(L1398="DS",DATE(RIGHT(B1398,4),VLOOKUP(LEFT(B1398,LEN(B1398)-5),Feuil1!$E$3:$F$19,2,FALSE)+1,10),DATE(RIGHT(B1398,4),VLOOKUP(LEFT(B1398,LEN(B1398)-5),Feuil1!$E$3:$F$19,2,FALSE)+1,7))</f>
        <v>45301</v>
      </c>
      <c r="K1398" s="19">
        <f t="shared" si="2"/>
        <v>1</v>
      </c>
      <c r="L1398" s="6" t="str">
        <f t="shared" si="3"/>
        <v>DS</v>
      </c>
    </row>
    <row r="1399" ht="14.25" customHeight="1">
      <c r="A1399" s="14" t="str">
        <f>Base_report!A1388</f>
        <v>BAGOUE</v>
      </c>
      <c r="B1399" s="14" t="str">
        <f>Base_report!B1388</f>
        <v>DECEMBRE 2023</v>
      </c>
      <c r="C1399" s="15" t="str">
        <f>Base_report!C1388</f>
        <v>C3008</v>
      </c>
      <c r="D1399" s="14" t="str">
        <f>TRIM(IF(ISNUMBER(FIND("PNSME",Base_report!D1388,1)),SUBSTITUTE(Base_report!D1388,"PNSME",""),IF(ISNUMBER(FIND("PHG",Base_report!D1388,1)),SUBSTITUTE(Base_report!D1388,"PHG",""),IF(ISNUMBER(FIND("PCS",Base_report!D1388,1)),SUBSTITUTE(Base_report!D1388,"PCS",""),IF(ISNUMBER(FIND("CMU",Base_report!D1388,1)),SUBSTITUTE(Base_report!D1388,"CMU",""),Base_report!D1388)))))</f>
        <v>DISTRICT SANITAIRE TENGRELA</v>
      </c>
      <c r="E1399" s="14" t="str">
        <f>SUBSTITUTE(Base_report!E1388,"-","/")</f>
        <v>PNN/MEDICAMENTS ET INTRANTS</v>
      </c>
      <c r="F1399" s="14" t="s">
        <v>788</v>
      </c>
      <c r="G1399" s="16">
        <f>DATE(YEAR(SUBSTITUTE(LEFT(Base_report!F1388,10),"-","/")),MONTH(SUBSTITUTE(LEFT(Base_report!F1388,10),"-","/")),DAY(SUBSTITUTE(LEFT(Base_report!F1388,10),"-","/")))</f>
        <v>45300</v>
      </c>
      <c r="H1399" s="16">
        <f>DATE(YEAR(SUBSTITUTE(LEFT(Base_report!G1388,10),"-","/")),MONTH(SUBSTITUTE(LEFT(Base_report!G1388,10),"-","/")),DAY(SUBSTITUTE(LEFT(Base_report!G1388,10),"-","/")))</f>
        <v>45300</v>
      </c>
      <c r="I1399" s="17" t="str">
        <f t="shared" si="1"/>
        <v>OUI</v>
      </c>
      <c r="J1399" s="18">
        <f>IF(L1399="DS",DATE(RIGHT(B1399,4),VLOOKUP(LEFT(B1399,LEN(B1399)-5),Feuil1!$E$3:$F$19,2,FALSE)+1,10),DATE(RIGHT(B1399,4),VLOOKUP(LEFT(B1399,LEN(B1399)-5),Feuil1!$E$3:$F$19,2,FALSE)+1,7))</f>
        <v>45301</v>
      </c>
      <c r="K1399" s="19">
        <f t="shared" si="2"/>
        <v>1</v>
      </c>
      <c r="L1399" s="6" t="str">
        <f t="shared" si="3"/>
        <v>DS</v>
      </c>
    </row>
    <row r="1400" ht="14.25" customHeight="1">
      <c r="A1400" s="14" t="str">
        <f>Base_report!A1389</f>
        <v>BAGOUE</v>
      </c>
      <c r="B1400" s="14" t="str">
        <f>Base_report!B1389</f>
        <v>DECEMBRE 2023</v>
      </c>
      <c r="C1400" s="15" t="str">
        <f>Base_report!C1389</f>
        <v>C3008</v>
      </c>
      <c r="D1400" s="14" t="str">
        <f>TRIM(IF(ISNUMBER(FIND("PNSME",Base_report!D1389,1)),SUBSTITUTE(Base_report!D1389,"PNSME",""),IF(ISNUMBER(FIND("PHG",Base_report!D1389,1)),SUBSTITUTE(Base_report!D1389,"PHG",""),IF(ISNUMBER(FIND("PCS",Base_report!D1389,1)),SUBSTITUTE(Base_report!D1389,"PCS",""),IF(ISNUMBER(FIND("CMU",Base_report!D1389,1)),SUBSTITUTE(Base_report!D1389,"CMU",""),Base_report!D1389)))))</f>
        <v>DISTRICT SANITAIRE TENGRELA</v>
      </c>
      <c r="E1400" s="14" t="str">
        <f>SUBSTITUTE(Base_report!E1389,"-","/")</f>
        <v>PNSME/MEDICAMENTS ET INTRANTS</v>
      </c>
      <c r="F1400" s="14" t="s">
        <v>788</v>
      </c>
      <c r="G1400" s="16">
        <f>DATE(YEAR(SUBSTITUTE(LEFT(Base_report!F1389,10),"-","/")),MONTH(SUBSTITUTE(LEFT(Base_report!F1389,10),"-","/")),DAY(SUBSTITUTE(LEFT(Base_report!F1389,10),"-","/")))</f>
        <v>45300</v>
      </c>
      <c r="H1400" s="16">
        <f>DATE(YEAR(SUBSTITUTE(LEFT(Base_report!G1389,10),"-","/")),MONTH(SUBSTITUTE(LEFT(Base_report!G1389,10),"-","/")),DAY(SUBSTITUTE(LEFT(Base_report!G1389,10),"-","/")))</f>
        <v>45300</v>
      </c>
      <c r="I1400" s="17" t="str">
        <f t="shared" si="1"/>
        <v>OUI</v>
      </c>
      <c r="J1400" s="18">
        <f>IF(L1400="DS",DATE(RIGHT(B1400,4),VLOOKUP(LEFT(B1400,LEN(B1400)-5),Feuil1!$E$3:$F$19,2,FALSE)+1,10),DATE(RIGHT(B1400,4),VLOOKUP(LEFT(B1400,LEN(B1400)-5),Feuil1!$E$3:$F$19,2,FALSE)+1,7))</f>
        <v>45301</v>
      </c>
      <c r="K1400" s="19">
        <f t="shared" si="2"/>
        <v>1</v>
      </c>
      <c r="L1400" s="6" t="str">
        <f t="shared" si="3"/>
        <v>DS</v>
      </c>
    </row>
    <row r="1401" ht="14.25" customHeight="1">
      <c r="A1401" s="14" t="str">
        <f>Base_report!A1390</f>
        <v>BAGOUE</v>
      </c>
      <c r="B1401" s="14" t="str">
        <f>Base_report!B1390</f>
        <v>DECEMBRE 2023</v>
      </c>
      <c r="C1401" s="15" t="str">
        <f>Base_report!C1390</f>
        <v>C3008</v>
      </c>
      <c r="D1401" s="14" t="str">
        <f>TRIM(IF(ISNUMBER(FIND("PNSME",Base_report!D1390,1)),SUBSTITUTE(Base_report!D1390,"PNSME",""),IF(ISNUMBER(FIND("PHG",Base_report!D1390,1)),SUBSTITUTE(Base_report!D1390,"PHG",""),IF(ISNUMBER(FIND("PCS",Base_report!D1390,1)),SUBSTITUTE(Base_report!D1390,"PCS",""),IF(ISNUMBER(FIND("CMU",Base_report!D1390,1)),SUBSTITUTE(Base_report!D1390,"CMU",""),Base_report!D1390)))))</f>
        <v>DISTRICT SANITAIRE TENGRELA</v>
      </c>
      <c r="E1401" s="14" t="str">
        <f>SUBSTITUTE(Base_report!E1390,"-","/")</f>
        <v>PNLP/MEDICAMENTS ET INTRANTS</v>
      </c>
      <c r="F1401" s="14" t="s">
        <v>788</v>
      </c>
      <c r="G1401" s="16">
        <f>DATE(YEAR(SUBSTITUTE(LEFT(Base_report!F1390,10),"-","/")),MONTH(SUBSTITUTE(LEFT(Base_report!F1390,10),"-","/")),DAY(SUBSTITUTE(LEFT(Base_report!F1390,10),"-","/")))</f>
        <v>45300</v>
      </c>
      <c r="H1401" s="16">
        <f>DATE(YEAR(SUBSTITUTE(LEFT(Base_report!G1390,10),"-","/")),MONTH(SUBSTITUTE(LEFT(Base_report!G1390,10),"-","/")),DAY(SUBSTITUTE(LEFT(Base_report!G1390,10),"-","/")))</f>
        <v>45300</v>
      </c>
      <c r="I1401" s="17" t="str">
        <f t="shared" si="1"/>
        <v>OUI</v>
      </c>
      <c r="J1401" s="18">
        <f>IF(L1401="DS",DATE(RIGHT(B1401,4),VLOOKUP(LEFT(B1401,LEN(B1401)-5),Feuil1!$E$3:$F$19,2,FALSE)+1,10),DATE(RIGHT(B1401,4),VLOOKUP(LEFT(B1401,LEN(B1401)-5),Feuil1!$E$3:$F$19,2,FALSE)+1,7))</f>
        <v>45301</v>
      </c>
      <c r="K1401" s="19">
        <f t="shared" si="2"/>
        <v>1</v>
      </c>
      <c r="L1401" s="6" t="str">
        <f t="shared" si="3"/>
        <v>DS</v>
      </c>
    </row>
    <row r="1402" ht="14.25" customHeight="1">
      <c r="A1402" s="14" t="str">
        <f>Base_report!A1391</f>
        <v>MORONOU</v>
      </c>
      <c r="B1402" s="14" t="str">
        <f>Base_report!B1391</f>
        <v>DECEMBRE 2023</v>
      </c>
      <c r="C1402" s="15" t="str">
        <f>Base_report!C1391</f>
        <v>C4073</v>
      </c>
      <c r="D1402" s="14" t="str">
        <f>TRIM(IF(ISNUMBER(FIND("PNSME",Base_report!D1391,1)),SUBSTITUTE(Base_report!D1391,"PNSME",""),IF(ISNUMBER(FIND("PHG",Base_report!D1391,1)),SUBSTITUTE(Base_report!D1391,"PHG",""),IF(ISNUMBER(FIND("PCS",Base_report!D1391,1)),SUBSTITUTE(Base_report!D1391,"PCS",""),IF(ISNUMBER(FIND("CMU",Base_report!D1391,1)),SUBSTITUTE(Base_report!D1391,"CMU",""),Base_report!D1391)))))</f>
        <v>DISTRICT SANITAIRE ARRAH</v>
      </c>
      <c r="E1402" s="14" t="str">
        <f>SUBSTITUTE(Base_report!E1391,"-","/")</f>
        <v>PNN/MEDICAMENTS ET INTRANTS</v>
      </c>
      <c r="F1402" s="14" t="s">
        <v>788</v>
      </c>
      <c r="G1402" s="16">
        <f>DATE(YEAR(SUBSTITUTE(LEFT(Base_report!F1391,10),"-","/")),MONTH(SUBSTITUTE(LEFT(Base_report!F1391,10),"-","/")),DAY(SUBSTITUTE(LEFT(Base_report!F1391,10),"-","/")))</f>
        <v>45299</v>
      </c>
      <c r="H1402" s="16">
        <f>DATE(YEAR(SUBSTITUTE(LEFT(Base_report!G1391,10),"-","/")),MONTH(SUBSTITUTE(LEFT(Base_report!G1391,10),"-","/")),DAY(SUBSTITUTE(LEFT(Base_report!G1391,10),"-","/")))</f>
        <v>45300</v>
      </c>
      <c r="I1402" s="17" t="str">
        <f t="shared" si="1"/>
        <v>OUI</v>
      </c>
      <c r="J1402" s="18">
        <f>IF(L1402="DS",DATE(RIGHT(B1402,4),VLOOKUP(LEFT(B1402,LEN(B1402)-5),Feuil1!$E$3:$F$19,2,FALSE)+1,10),DATE(RIGHT(B1402,4),VLOOKUP(LEFT(B1402,LEN(B1402)-5),Feuil1!$E$3:$F$19,2,FALSE)+1,7))</f>
        <v>45301</v>
      </c>
      <c r="K1402" s="19">
        <f t="shared" si="2"/>
        <v>1</v>
      </c>
      <c r="L1402" s="6" t="str">
        <f t="shared" si="3"/>
        <v>DS</v>
      </c>
    </row>
    <row r="1403" ht="14.25" customHeight="1">
      <c r="A1403" s="14" t="str">
        <f>Base_report!A1392</f>
        <v>SUD-COMOE</v>
      </c>
      <c r="B1403" s="14" t="str">
        <f>Base_report!B1392</f>
        <v>DECEMBRE 2023</v>
      </c>
      <c r="C1403" s="15" t="str">
        <f>Base_report!C1392</f>
        <v>C1764</v>
      </c>
      <c r="D1403" s="14" t="str">
        <f>TRIM(IF(ISNUMBER(FIND("PNSME",Base_report!D1392,1)),SUBSTITUTE(Base_report!D1392,"PNSME",""),IF(ISNUMBER(FIND("PHG",Base_report!D1392,1)),SUBSTITUTE(Base_report!D1392,"PHG",""),IF(ISNUMBER(FIND("PCS",Base_report!D1392,1)),SUBSTITUTE(Base_report!D1392,"PCS",""),IF(ISNUMBER(FIND("CMU",Base_report!D1392,1)),SUBSTITUTE(Base_report!D1392,"CMU",""),Base_report!D1392)))))</f>
        <v>DISTRICT SANITAIRE TIAPOUM</v>
      </c>
      <c r="E1403" s="14" t="str">
        <f>SUBSTITUTE(Base_report!E1392,"-","/")</f>
        <v>PNLS/ANTIRETROVIRAUX ET IO</v>
      </c>
      <c r="F1403" s="14" t="s">
        <v>788</v>
      </c>
      <c r="G1403" s="16">
        <f>DATE(YEAR(SUBSTITUTE(LEFT(Base_report!F1392,10),"-","/")),MONTH(SUBSTITUTE(LEFT(Base_report!F1392,10),"-","/")),DAY(SUBSTITUTE(LEFT(Base_report!F1392,10),"-","/")))</f>
        <v>45300</v>
      </c>
      <c r="H1403" s="16">
        <f>DATE(YEAR(SUBSTITUTE(LEFT(Base_report!G1392,10),"-","/")),MONTH(SUBSTITUTE(LEFT(Base_report!G1392,10),"-","/")),DAY(SUBSTITUTE(LEFT(Base_report!G1392,10),"-","/")))</f>
        <v>45301</v>
      </c>
      <c r="I1403" s="17" t="str">
        <f t="shared" si="1"/>
        <v>OUI</v>
      </c>
      <c r="J1403" s="18">
        <f>IF(L1403="DS",DATE(RIGHT(B1403,4),VLOOKUP(LEFT(B1403,LEN(B1403)-5),Feuil1!$E$3:$F$19,2,FALSE)+1,10),DATE(RIGHT(B1403,4),VLOOKUP(LEFT(B1403,LEN(B1403)-5),Feuil1!$E$3:$F$19,2,FALSE)+1,7))</f>
        <v>45301</v>
      </c>
      <c r="K1403" s="19">
        <f t="shared" si="2"/>
        <v>1</v>
      </c>
      <c r="L1403" s="6" t="str">
        <f t="shared" si="3"/>
        <v>DS</v>
      </c>
    </row>
    <row r="1404" ht="14.25" customHeight="1">
      <c r="A1404" s="14" t="str">
        <f>Base_report!A1393</f>
        <v>GOH</v>
      </c>
      <c r="B1404" s="14" t="str">
        <f>Base_report!B1393</f>
        <v>DECEMBRE 2023</v>
      </c>
      <c r="C1404" s="15" t="str">
        <f>Base_report!C1393</f>
        <v>C2088</v>
      </c>
      <c r="D1404" s="14" t="str">
        <f>TRIM(IF(ISNUMBER(FIND("PNSME",Base_report!D1393,1)),SUBSTITUTE(Base_report!D1393,"PNSME",""),IF(ISNUMBER(FIND("PHG",Base_report!D1393,1)),SUBSTITUTE(Base_report!D1393,"PHG",""),IF(ISNUMBER(FIND("PCS",Base_report!D1393,1)),SUBSTITUTE(Base_report!D1393,"PCS",""),IF(ISNUMBER(FIND("CMU",Base_report!D1393,1)),SUBSTITUTE(Base_report!D1393,"CMU",""),Base_report!D1393)))))</f>
        <v>DISTRICT SANITAIRE GAGNOA 2</v>
      </c>
      <c r="E1404" s="14" t="str">
        <f>SUBSTITUTE(Base_report!E1393,"-","/")</f>
        <v>PNLS/TESTS RAPIDES ET CONSOMMABLES</v>
      </c>
      <c r="F1404" s="14" t="s">
        <v>788</v>
      </c>
      <c r="G1404" s="16">
        <f>DATE(YEAR(SUBSTITUTE(LEFT(Base_report!F1393,10),"-","/")),MONTH(SUBSTITUTE(LEFT(Base_report!F1393,10),"-","/")),DAY(SUBSTITUTE(LEFT(Base_report!F1393,10),"-","/")))</f>
        <v>45300</v>
      </c>
      <c r="H1404" s="16">
        <f>DATE(YEAR(SUBSTITUTE(LEFT(Base_report!G1393,10),"-","/")),MONTH(SUBSTITUTE(LEFT(Base_report!G1393,10),"-","/")),DAY(SUBSTITUTE(LEFT(Base_report!G1393,10),"-","/")))</f>
        <v>45300</v>
      </c>
      <c r="I1404" s="17" t="str">
        <f t="shared" si="1"/>
        <v>OUI</v>
      </c>
      <c r="J1404" s="18">
        <f>IF(L1404="DS",DATE(RIGHT(B1404,4),VLOOKUP(LEFT(B1404,LEN(B1404)-5),Feuil1!$E$3:$F$19,2,FALSE)+1,10),DATE(RIGHT(B1404,4),VLOOKUP(LEFT(B1404,LEN(B1404)-5),Feuil1!$E$3:$F$19,2,FALSE)+1,7))</f>
        <v>45301</v>
      </c>
      <c r="K1404" s="19">
        <f t="shared" si="2"/>
        <v>1</v>
      </c>
      <c r="L1404" s="6" t="str">
        <f t="shared" si="3"/>
        <v>DS</v>
      </c>
    </row>
    <row r="1405" ht="14.25" customHeight="1">
      <c r="A1405" s="14" t="str">
        <f>Base_report!A1394</f>
        <v>ABIDJAN 2</v>
      </c>
      <c r="B1405" s="14" t="str">
        <f>Base_report!B1394</f>
        <v>DECEMBRE 2023</v>
      </c>
      <c r="C1405" s="15" t="str">
        <f>Base_report!C1394</f>
        <v>C1904</v>
      </c>
      <c r="D1405" s="14" t="str">
        <f>TRIM(IF(ISNUMBER(FIND("PNSME",Base_report!D1394,1)),SUBSTITUTE(Base_report!D1394,"PNSME",""),IF(ISNUMBER(FIND("PHG",Base_report!D1394,1)),SUBSTITUTE(Base_report!D1394,"PHG",""),IF(ISNUMBER(FIND("PCS",Base_report!D1394,1)),SUBSTITUTE(Base_report!D1394,"PCS",""),IF(ISNUMBER(FIND("CMU",Base_report!D1394,1)),SUBSTITUTE(Base_report!D1394,"CMU",""),Base_report!D1394)))))</f>
        <v>DISTRICT SANITAIRE KOUMASSI</v>
      </c>
      <c r="E1405" s="14" t="str">
        <f>SUBSTITUTE(Base_report!E1394,"-","/")</f>
        <v>PNSME/MEDICAMENTS ET INTRANTS</v>
      </c>
      <c r="F1405" s="14" t="s">
        <v>788</v>
      </c>
      <c r="G1405" s="16">
        <f>DATE(YEAR(SUBSTITUTE(LEFT(Base_report!F1394,10),"-","/")),MONTH(SUBSTITUTE(LEFT(Base_report!F1394,10),"-","/")),DAY(SUBSTITUTE(LEFT(Base_report!F1394,10),"-","/")))</f>
        <v>45299</v>
      </c>
      <c r="H1405" s="16">
        <f>DATE(YEAR(SUBSTITUTE(LEFT(Base_report!G1394,10),"-","/")),MONTH(SUBSTITUTE(LEFT(Base_report!G1394,10),"-","/")),DAY(SUBSTITUTE(LEFT(Base_report!G1394,10),"-","/")))</f>
        <v>45301</v>
      </c>
      <c r="I1405" s="17" t="str">
        <f t="shared" si="1"/>
        <v>OUI</v>
      </c>
      <c r="J1405" s="18">
        <f>IF(L1405="DS",DATE(RIGHT(B1405,4),VLOOKUP(LEFT(B1405,LEN(B1405)-5),Feuil1!$E$3:$F$19,2,FALSE)+1,10),DATE(RIGHT(B1405,4),VLOOKUP(LEFT(B1405,LEN(B1405)-5),Feuil1!$E$3:$F$19,2,FALSE)+1,7))</f>
        <v>45301</v>
      </c>
      <c r="K1405" s="19">
        <f t="shared" si="2"/>
        <v>1</v>
      </c>
      <c r="L1405" s="6" t="str">
        <f t="shared" si="3"/>
        <v>DS</v>
      </c>
    </row>
    <row r="1406" ht="14.25" customHeight="1">
      <c r="A1406" s="14" t="str">
        <f>Base_report!A1395</f>
        <v>MORONOU</v>
      </c>
      <c r="B1406" s="14" t="str">
        <f>Base_report!B1395</f>
        <v>DECEMBRE 2023</v>
      </c>
      <c r="C1406" s="15" t="str">
        <f>Base_report!C1395</f>
        <v>C4073</v>
      </c>
      <c r="D1406" s="14" t="str">
        <f>TRIM(IF(ISNUMBER(FIND("PNSME",Base_report!D1395,1)),SUBSTITUTE(Base_report!D1395,"PNSME",""),IF(ISNUMBER(FIND("PHG",Base_report!D1395,1)),SUBSTITUTE(Base_report!D1395,"PHG",""),IF(ISNUMBER(FIND("PCS",Base_report!D1395,1)),SUBSTITUTE(Base_report!D1395,"PCS",""),IF(ISNUMBER(FIND("CMU",Base_report!D1395,1)),SUBSTITUTE(Base_report!D1395,"CMU",""),Base_report!D1395)))))</f>
        <v>DISTRICT SANITAIRE ARRAH</v>
      </c>
      <c r="E1406" s="14" t="str">
        <f>SUBSTITUTE(Base_report!E1395,"-","/")</f>
        <v>PNLP/MEDICAMENTS ET INTRANTS</v>
      </c>
      <c r="F1406" s="14" t="s">
        <v>788</v>
      </c>
      <c r="G1406" s="16">
        <f>DATE(YEAR(SUBSTITUTE(LEFT(Base_report!F1395,10),"-","/")),MONTH(SUBSTITUTE(LEFT(Base_report!F1395,10),"-","/")),DAY(SUBSTITUTE(LEFT(Base_report!F1395,10),"-","/")))</f>
        <v>45299</v>
      </c>
      <c r="H1406" s="16">
        <f>DATE(YEAR(SUBSTITUTE(LEFT(Base_report!G1395,10),"-","/")),MONTH(SUBSTITUTE(LEFT(Base_report!G1395,10),"-","/")),DAY(SUBSTITUTE(LEFT(Base_report!G1395,10),"-","/")))</f>
        <v>45300</v>
      </c>
      <c r="I1406" s="17" t="str">
        <f t="shared" si="1"/>
        <v>OUI</v>
      </c>
      <c r="J1406" s="18">
        <f>IF(L1406="DS",DATE(RIGHT(B1406,4),VLOOKUP(LEFT(B1406,LEN(B1406)-5),Feuil1!$E$3:$F$19,2,FALSE)+1,10),DATE(RIGHT(B1406,4),VLOOKUP(LEFT(B1406,LEN(B1406)-5),Feuil1!$E$3:$F$19,2,FALSE)+1,7))</f>
        <v>45301</v>
      </c>
      <c r="K1406" s="19">
        <f t="shared" si="2"/>
        <v>1</v>
      </c>
      <c r="L1406" s="6" t="str">
        <f t="shared" si="3"/>
        <v>DS</v>
      </c>
    </row>
    <row r="1407" ht="14.25" customHeight="1">
      <c r="A1407" s="14" t="str">
        <f>Base_report!A1396</f>
        <v>ABIDJAN 1</v>
      </c>
      <c r="B1407" s="14" t="str">
        <f>Base_report!B1396</f>
        <v>DECEMBRE 2023</v>
      </c>
      <c r="C1407" s="15" t="str">
        <f>Base_report!C1396</f>
        <v>C1065</v>
      </c>
      <c r="D1407" s="14" t="str">
        <f>TRIM(IF(ISNUMBER(FIND("PNSME",Base_report!D1396,1)),SUBSTITUTE(Base_report!D1396,"PNSME",""),IF(ISNUMBER(FIND("PHG",Base_report!D1396,1)),SUBSTITUTE(Base_report!D1396,"PHG",""),IF(ISNUMBER(FIND("PCS",Base_report!D1396,1)),SUBSTITUTE(Base_report!D1396,"PCS",""),IF(ISNUMBER(FIND("CMU",Base_report!D1396,1)),SUBSTITUTE(Base_report!D1396,"CMU",""),Base_report!D1396)))))</f>
        <v>FSU COM ABOBO SAGBE</v>
      </c>
      <c r="E1407" s="14" t="str">
        <f>SUBSTITUTE(Base_report!E1396,"-","/")</f>
        <v>PNLS/TESTS RAPIDES ET CONSOMMABLES</v>
      </c>
      <c r="F1407" s="14" t="s">
        <v>788</v>
      </c>
      <c r="G1407" s="16">
        <f>DATE(YEAR(SUBSTITUTE(LEFT(Base_report!F1396,10),"-","/")),MONTH(SUBSTITUTE(LEFT(Base_report!F1396,10),"-","/")),DAY(SUBSTITUTE(LEFT(Base_report!F1396,10),"-","/")))</f>
        <v>45299</v>
      </c>
      <c r="H1407" s="16">
        <f>DATE(YEAR(SUBSTITUTE(LEFT(Base_report!G1396,10),"-","/")),MONTH(SUBSTITUTE(LEFT(Base_report!G1396,10),"-","/")),DAY(SUBSTITUTE(LEFT(Base_report!G1396,10),"-","/")))</f>
        <v>45299</v>
      </c>
      <c r="I1407" s="17" t="str">
        <f t="shared" si="1"/>
        <v>OUI</v>
      </c>
      <c r="J1407" s="18">
        <f>IF(L1407="DS",DATE(RIGHT(B1407,4),VLOOKUP(LEFT(B1407,LEN(B1407)-5),Feuil1!$E$3:$F$19,2,FALSE)+1,10),DATE(RIGHT(B1407,4),VLOOKUP(LEFT(B1407,LEN(B1407)-5),Feuil1!$E$3:$F$19,2,FALSE)+1,7))</f>
        <v>45298</v>
      </c>
      <c r="K1407" s="19">
        <f t="shared" si="2"/>
        <v>0</v>
      </c>
      <c r="L1407" s="6" t="str">
        <f t="shared" si="3"/>
        <v>FS</v>
      </c>
    </row>
    <row r="1408" ht="14.25" customHeight="1">
      <c r="A1408" s="14" t="str">
        <f>Base_report!A1397</f>
        <v>GOH</v>
      </c>
      <c r="B1408" s="14" t="str">
        <f>Base_report!B1397</f>
        <v>DECEMBRE 2023</v>
      </c>
      <c r="C1408" s="15" t="str">
        <f>Base_report!C1397</f>
        <v>C2088</v>
      </c>
      <c r="D1408" s="14" t="str">
        <f>TRIM(IF(ISNUMBER(FIND("PNSME",Base_report!D1397,1)),SUBSTITUTE(Base_report!D1397,"PNSME",""),IF(ISNUMBER(FIND("PHG",Base_report!D1397,1)),SUBSTITUTE(Base_report!D1397,"PHG",""),IF(ISNUMBER(FIND("PCS",Base_report!D1397,1)),SUBSTITUTE(Base_report!D1397,"PCS",""),IF(ISNUMBER(FIND("CMU",Base_report!D1397,1)),SUBSTITUTE(Base_report!D1397,"CMU",""),Base_report!D1397)))))</f>
        <v>DISTRICT SANITAIRE GAGNOA 2</v>
      </c>
      <c r="E1408" s="14" t="str">
        <f>SUBSTITUTE(Base_report!E1397,"-","/")</f>
        <v>PNLS/PRODUITS DE LABORATOIRE</v>
      </c>
      <c r="F1408" s="14" t="s">
        <v>788</v>
      </c>
      <c r="G1408" s="16">
        <f>DATE(YEAR(SUBSTITUTE(LEFT(Base_report!F1397,10),"-","/")),MONTH(SUBSTITUTE(LEFT(Base_report!F1397,10),"-","/")),DAY(SUBSTITUTE(LEFT(Base_report!F1397,10),"-","/")))</f>
        <v>45300</v>
      </c>
      <c r="H1408" s="16">
        <f>DATE(YEAR(SUBSTITUTE(LEFT(Base_report!G1397,10),"-","/")),MONTH(SUBSTITUTE(LEFT(Base_report!G1397,10),"-","/")),DAY(SUBSTITUTE(LEFT(Base_report!G1397,10),"-","/")))</f>
        <v>45300</v>
      </c>
      <c r="I1408" s="17" t="str">
        <f t="shared" si="1"/>
        <v>OUI</v>
      </c>
      <c r="J1408" s="18">
        <f>IF(L1408="DS",DATE(RIGHT(B1408,4),VLOOKUP(LEFT(B1408,LEN(B1408)-5),Feuil1!$E$3:$F$19,2,FALSE)+1,10),DATE(RIGHT(B1408,4),VLOOKUP(LEFT(B1408,LEN(B1408)-5),Feuil1!$E$3:$F$19,2,FALSE)+1,7))</f>
        <v>45301</v>
      </c>
      <c r="K1408" s="19">
        <f t="shared" si="2"/>
        <v>1</v>
      </c>
      <c r="L1408" s="6" t="str">
        <f t="shared" si="3"/>
        <v>DS</v>
      </c>
    </row>
    <row r="1409" ht="14.25" customHeight="1">
      <c r="A1409" s="14" t="str">
        <f>Base_report!A1398</f>
        <v>MORONOU</v>
      </c>
      <c r="B1409" s="14" t="str">
        <f>Base_report!B1398</f>
        <v>DECEMBRE 2023</v>
      </c>
      <c r="C1409" s="15" t="str">
        <f>Base_report!C1398</f>
        <v>C4073</v>
      </c>
      <c r="D1409" s="14" t="str">
        <f>TRIM(IF(ISNUMBER(FIND("PNSME",Base_report!D1398,1)),SUBSTITUTE(Base_report!D1398,"PNSME",""),IF(ISNUMBER(FIND("PHG",Base_report!D1398,1)),SUBSTITUTE(Base_report!D1398,"PHG",""),IF(ISNUMBER(FIND("PCS",Base_report!D1398,1)),SUBSTITUTE(Base_report!D1398,"PCS",""),IF(ISNUMBER(FIND("CMU",Base_report!D1398,1)),SUBSTITUTE(Base_report!D1398,"CMU",""),Base_report!D1398)))))</f>
        <v>DISTRICT SANITAIRE ARRAH</v>
      </c>
      <c r="E1409" s="14" t="str">
        <f>SUBSTITUTE(Base_report!E1398,"-","/")</f>
        <v>PNLS/TESTS RAPIDES ET CONSOMMABLES</v>
      </c>
      <c r="F1409" s="14" t="s">
        <v>788</v>
      </c>
      <c r="G1409" s="16">
        <f>DATE(YEAR(SUBSTITUTE(LEFT(Base_report!F1398,10),"-","/")),MONTH(SUBSTITUTE(LEFT(Base_report!F1398,10),"-","/")),DAY(SUBSTITUTE(LEFT(Base_report!F1398,10),"-","/")))</f>
        <v>45299</v>
      </c>
      <c r="H1409" s="16">
        <f>DATE(YEAR(SUBSTITUTE(LEFT(Base_report!G1398,10),"-","/")),MONTH(SUBSTITUTE(LEFT(Base_report!G1398,10),"-","/")),DAY(SUBSTITUTE(LEFT(Base_report!G1398,10),"-","/")))</f>
        <v>45300</v>
      </c>
      <c r="I1409" s="17" t="str">
        <f t="shared" si="1"/>
        <v>OUI</v>
      </c>
      <c r="J1409" s="18">
        <f>IF(L1409="DS",DATE(RIGHT(B1409,4),VLOOKUP(LEFT(B1409,LEN(B1409)-5),Feuil1!$E$3:$F$19,2,FALSE)+1,10),DATE(RIGHT(B1409,4),VLOOKUP(LEFT(B1409,LEN(B1409)-5),Feuil1!$E$3:$F$19,2,FALSE)+1,7))</f>
        <v>45301</v>
      </c>
      <c r="K1409" s="19">
        <f t="shared" si="2"/>
        <v>1</v>
      </c>
      <c r="L1409" s="6" t="str">
        <f t="shared" si="3"/>
        <v>DS</v>
      </c>
    </row>
    <row r="1410" ht="14.25" customHeight="1">
      <c r="A1410" s="14" t="str">
        <f>Base_report!A1399</f>
        <v>WORODOUGOU</v>
      </c>
      <c r="B1410" s="14" t="str">
        <f>Base_report!B1399</f>
        <v>DECEMBRE 2023</v>
      </c>
      <c r="C1410" s="15" t="str">
        <f>Base_report!C1399</f>
        <v>C5072</v>
      </c>
      <c r="D1410" s="14" t="str">
        <f>TRIM(IF(ISNUMBER(FIND("PNSME",Base_report!D1399,1)),SUBSTITUTE(Base_report!D1399,"PNSME",""),IF(ISNUMBER(FIND("PHG",Base_report!D1399,1)),SUBSTITUTE(Base_report!D1399,"PHG",""),IF(ISNUMBER(FIND("PCS",Base_report!D1399,1)),SUBSTITUTE(Base_report!D1399,"PCS",""),IF(ISNUMBER(FIND("CMU",Base_report!D1399,1)),SUBSTITUTE(Base_report!D1399,"CMU",""),Base_report!D1399)))))</f>
        <v>DISTRICT SANITAIRE KANI</v>
      </c>
      <c r="E1410" s="14" t="str">
        <f>SUBSTITUTE(Base_report!E1399,"-","/")</f>
        <v>PNN/MEDICAMENTS ET INTRANTS</v>
      </c>
      <c r="F1410" s="14" t="s">
        <v>788</v>
      </c>
      <c r="G1410" s="16">
        <f>DATE(YEAR(SUBSTITUTE(LEFT(Base_report!F1399,10),"-","/")),MONTH(SUBSTITUTE(LEFT(Base_report!F1399,10),"-","/")),DAY(SUBSTITUTE(LEFT(Base_report!F1399,10),"-","/")))</f>
        <v>45300</v>
      </c>
      <c r="H1410" s="16">
        <f>DATE(YEAR(SUBSTITUTE(LEFT(Base_report!G1399,10),"-","/")),MONTH(SUBSTITUTE(LEFT(Base_report!G1399,10),"-","/")),DAY(SUBSTITUTE(LEFT(Base_report!G1399,10),"-","/")))</f>
        <v>45300</v>
      </c>
      <c r="I1410" s="17" t="str">
        <f t="shared" si="1"/>
        <v>OUI</v>
      </c>
      <c r="J1410" s="18">
        <f>IF(L1410="DS",DATE(RIGHT(B1410,4),VLOOKUP(LEFT(B1410,LEN(B1410)-5),Feuil1!$E$3:$F$19,2,FALSE)+1,10),DATE(RIGHT(B1410,4),VLOOKUP(LEFT(B1410,LEN(B1410)-5),Feuil1!$E$3:$F$19,2,FALSE)+1,7))</f>
        <v>45301</v>
      </c>
      <c r="K1410" s="19">
        <f t="shared" si="2"/>
        <v>1</v>
      </c>
      <c r="L1410" s="6" t="str">
        <f t="shared" si="3"/>
        <v>DS</v>
      </c>
    </row>
    <row r="1411" ht="14.25" customHeight="1">
      <c r="A1411" s="14" t="str">
        <f>Base_report!A1400</f>
        <v>GBEKE</v>
      </c>
      <c r="B1411" s="14" t="str">
        <f>Base_report!B1400</f>
        <v>DECEMBRE 2023</v>
      </c>
      <c r="C1411" s="15" t="str">
        <f>Base_report!C1400</f>
        <v>C2023</v>
      </c>
      <c r="D1411" s="14" t="str">
        <f>TRIM(IF(ISNUMBER(FIND("PNSME",Base_report!D1400,1)),SUBSTITUTE(Base_report!D1400,"PNSME",""),IF(ISNUMBER(FIND("PHG",Base_report!D1400,1)),SUBSTITUTE(Base_report!D1400,"PHG",""),IF(ISNUMBER(FIND("PCS",Base_report!D1400,1)),SUBSTITUTE(Base_report!D1400,"PCS",""),IF(ISNUMBER(FIND("CMU",Base_report!D1400,1)),SUBSTITUTE(Base_report!D1400,"CMU",""),Base_report!D1400)))))</f>
        <v>DISTRICT SANITAIRE BOUAKE NORD-OUEST</v>
      </c>
      <c r="E1411" s="14" t="str">
        <f>SUBSTITUTE(Base_report!E1400,"-","/")</f>
        <v>PNN/MEDICAMENTS ET INTRANTS</v>
      </c>
      <c r="F1411" s="14" t="s">
        <v>788</v>
      </c>
      <c r="G1411" s="16">
        <f>DATE(YEAR(SUBSTITUTE(LEFT(Base_report!F1400,10),"-","/")),MONTH(SUBSTITUTE(LEFT(Base_report!F1400,10),"-","/")),DAY(SUBSTITUTE(LEFT(Base_report!F1400,10),"-","/")))</f>
        <v>45300</v>
      </c>
      <c r="H1411" s="16">
        <f>DATE(YEAR(SUBSTITUTE(LEFT(Base_report!G1400,10),"-","/")),MONTH(SUBSTITUTE(LEFT(Base_report!G1400,10),"-","/")),DAY(SUBSTITUTE(LEFT(Base_report!G1400,10),"-","/")))</f>
        <v>45302</v>
      </c>
      <c r="I1411" s="17" t="str">
        <f t="shared" si="1"/>
        <v>OUI</v>
      </c>
      <c r="J1411" s="18">
        <f>IF(L1411="DS",DATE(RIGHT(B1411,4),VLOOKUP(LEFT(B1411,LEN(B1411)-5),Feuil1!$E$3:$F$19,2,FALSE)+1,10),DATE(RIGHT(B1411,4),VLOOKUP(LEFT(B1411,LEN(B1411)-5),Feuil1!$E$3:$F$19,2,FALSE)+1,7))</f>
        <v>45301</v>
      </c>
      <c r="K1411" s="19">
        <f t="shared" si="2"/>
        <v>0</v>
      </c>
      <c r="L1411" s="6" t="str">
        <f t="shared" si="3"/>
        <v>DS</v>
      </c>
    </row>
    <row r="1412" ht="14.25" customHeight="1">
      <c r="A1412" s="14" t="str">
        <f>Base_report!A1401</f>
        <v>ABIDJAN 1</v>
      </c>
      <c r="B1412" s="14" t="str">
        <f>Base_report!B1401</f>
        <v>DECEMBRE 2023</v>
      </c>
      <c r="C1412" s="15" t="str">
        <f>Base_report!C1401</f>
        <v>C1065</v>
      </c>
      <c r="D1412" s="14" t="str">
        <f>TRIM(IF(ISNUMBER(FIND("PNSME",Base_report!D1401,1)),SUBSTITUTE(Base_report!D1401,"PNSME",""),IF(ISNUMBER(FIND("PHG",Base_report!D1401,1)),SUBSTITUTE(Base_report!D1401,"PHG",""),IF(ISNUMBER(FIND("PCS",Base_report!D1401,1)),SUBSTITUTE(Base_report!D1401,"PCS",""),IF(ISNUMBER(FIND("CMU",Base_report!D1401,1)),SUBSTITUTE(Base_report!D1401,"CMU",""),Base_report!D1401)))))</f>
        <v>FSU COM ABOBO SAGBE</v>
      </c>
      <c r="E1412" s="14" t="str">
        <f>SUBSTITUTE(Base_report!E1401,"-","/")</f>
        <v>PNLS/PRODUITS DE LABORATOIRE</v>
      </c>
      <c r="F1412" s="14" t="s">
        <v>788</v>
      </c>
      <c r="G1412" s="16">
        <f>DATE(YEAR(SUBSTITUTE(LEFT(Base_report!F1401,10),"-","/")),MONTH(SUBSTITUTE(LEFT(Base_report!F1401,10),"-","/")),DAY(SUBSTITUTE(LEFT(Base_report!F1401,10),"-","/")))</f>
        <v>45299</v>
      </c>
      <c r="H1412" s="16">
        <f>DATE(YEAR(SUBSTITUTE(LEFT(Base_report!G1401,10),"-","/")),MONTH(SUBSTITUTE(LEFT(Base_report!G1401,10),"-","/")),DAY(SUBSTITUTE(LEFT(Base_report!G1401,10),"-","/")))</f>
        <v>45299</v>
      </c>
      <c r="I1412" s="17" t="str">
        <f t="shared" si="1"/>
        <v>OUI</v>
      </c>
      <c r="J1412" s="18">
        <f>IF(L1412="DS",DATE(RIGHT(B1412,4),VLOOKUP(LEFT(B1412,LEN(B1412)-5),Feuil1!$E$3:$F$19,2,FALSE)+1,10),DATE(RIGHT(B1412,4),VLOOKUP(LEFT(B1412,LEN(B1412)-5),Feuil1!$E$3:$F$19,2,FALSE)+1,7))</f>
        <v>45298</v>
      </c>
      <c r="K1412" s="19">
        <f t="shared" si="2"/>
        <v>0</v>
      </c>
      <c r="L1412" s="6" t="str">
        <f t="shared" si="3"/>
        <v>FS</v>
      </c>
    </row>
    <row r="1413" ht="14.25" customHeight="1">
      <c r="A1413" s="14" t="str">
        <f>Base_report!A1402</f>
        <v>GOH</v>
      </c>
      <c r="B1413" s="14" t="str">
        <f>Base_report!B1402</f>
        <v>DECEMBRE 2023</v>
      </c>
      <c r="C1413" s="15" t="str">
        <f>Base_report!C1402</f>
        <v>C2088</v>
      </c>
      <c r="D1413" s="14" t="str">
        <f>TRIM(IF(ISNUMBER(FIND("PNSME",Base_report!D1402,1)),SUBSTITUTE(Base_report!D1402,"PNSME",""),IF(ISNUMBER(FIND("PHG",Base_report!D1402,1)),SUBSTITUTE(Base_report!D1402,"PHG",""),IF(ISNUMBER(FIND("PCS",Base_report!D1402,1)),SUBSTITUTE(Base_report!D1402,"PCS",""),IF(ISNUMBER(FIND("CMU",Base_report!D1402,1)),SUBSTITUTE(Base_report!D1402,"CMU",""),Base_report!D1402)))))</f>
        <v>DISTRICT SANITAIRE GAGNOA 2</v>
      </c>
      <c r="E1413" s="14" t="str">
        <f>SUBSTITUTE(Base_report!E1402,"-","/")</f>
        <v>PNN/MEDICAMENTS ET INTRANTS</v>
      </c>
      <c r="F1413" s="14" t="s">
        <v>788</v>
      </c>
      <c r="G1413" s="16">
        <f>DATE(YEAR(SUBSTITUTE(LEFT(Base_report!F1402,10),"-","/")),MONTH(SUBSTITUTE(LEFT(Base_report!F1402,10),"-","/")),DAY(SUBSTITUTE(LEFT(Base_report!F1402,10),"-","/")))</f>
        <v>45300</v>
      </c>
      <c r="H1413" s="16">
        <f>DATE(YEAR(SUBSTITUTE(LEFT(Base_report!G1402,10),"-","/")),MONTH(SUBSTITUTE(LEFT(Base_report!G1402,10),"-","/")),DAY(SUBSTITUTE(LEFT(Base_report!G1402,10),"-","/")))</f>
        <v>45300</v>
      </c>
      <c r="I1413" s="17" t="str">
        <f t="shared" si="1"/>
        <v>OUI</v>
      </c>
      <c r="J1413" s="18">
        <f>IF(L1413="DS",DATE(RIGHT(B1413,4),VLOOKUP(LEFT(B1413,LEN(B1413)-5),Feuil1!$E$3:$F$19,2,FALSE)+1,10),DATE(RIGHT(B1413,4),VLOOKUP(LEFT(B1413,LEN(B1413)-5),Feuil1!$E$3:$F$19,2,FALSE)+1,7))</f>
        <v>45301</v>
      </c>
      <c r="K1413" s="19">
        <f t="shared" si="2"/>
        <v>1</v>
      </c>
      <c r="L1413" s="6" t="str">
        <f t="shared" si="3"/>
        <v>DS</v>
      </c>
    </row>
    <row r="1414" ht="14.25" customHeight="1">
      <c r="A1414" s="14" t="str">
        <f>Base_report!A1403</f>
        <v>MORONOU</v>
      </c>
      <c r="B1414" s="14" t="str">
        <f>Base_report!B1403</f>
        <v>DECEMBRE 2023</v>
      </c>
      <c r="C1414" s="15" t="str">
        <f>Base_report!C1403</f>
        <v>C4073</v>
      </c>
      <c r="D1414" s="14" t="str">
        <f>TRIM(IF(ISNUMBER(FIND("PNSME",Base_report!D1403,1)),SUBSTITUTE(Base_report!D1403,"PNSME",""),IF(ISNUMBER(FIND("PHG",Base_report!D1403,1)),SUBSTITUTE(Base_report!D1403,"PHG",""),IF(ISNUMBER(FIND("PCS",Base_report!D1403,1)),SUBSTITUTE(Base_report!D1403,"PCS",""),IF(ISNUMBER(FIND("CMU",Base_report!D1403,1)),SUBSTITUTE(Base_report!D1403,"CMU",""),Base_report!D1403)))))</f>
        <v>DISTRICT SANITAIRE ARRAH</v>
      </c>
      <c r="E1414" s="14" t="str">
        <f>SUBSTITUTE(Base_report!E1403,"-","/")</f>
        <v>PNLS/PRODUITS DE LABORATOIRE</v>
      </c>
      <c r="F1414" s="14" t="s">
        <v>788</v>
      </c>
      <c r="G1414" s="16">
        <f>DATE(YEAR(SUBSTITUTE(LEFT(Base_report!F1403,10),"-","/")),MONTH(SUBSTITUTE(LEFT(Base_report!F1403,10),"-","/")),DAY(SUBSTITUTE(LEFT(Base_report!F1403,10),"-","/")))</f>
        <v>45300</v>
      </c>
      <c r="H1414" s="16">
        <f>DATE(YEAR(SUBSTITUTE(LEFT(Base_report!G1403,10),"-","/")),MONTH(SUBSTITUTE(LEFT(Base_report!G1403,10),"-","/")),DAY(SUBSTITUTE(LEFT(Base_report!G1403,10),"-","/")))</f>
        <v>45300</v>
      </c>
      <c r="I1414" s="17" t="str">
        <f t="shared" si="1"/>
        <v>OUI</v>
      </c>
      <c r="J1414" s="18">
        <f>IF(L1414="DS",DATE(RIGHT(B1414,4),VLOOKUP(LEFT(B1414,LEN(B1414)-5),Feuil1!$E$3:$F$19,2,FALSE)+1,10),DATE(RIGHT(B1414,4),VLOOKUP(LEFT(B1414,LEN(B1414)-5),Feuil1!$E$3:$F$19,2,FALSE)+1,7))</f>
        <v>45301</v>
      </c>
      <c r="K1414" s="19">
        <f t="shared" si="2"/>
        <v>1</v>
      </c>
      <c r="L1414" s="6" t="str">
        <f t="shared" si="3"/>
        <v>DS</v>
      </c>
    </row>
    <row r="1415" ht="14.25" customHeight="1">
      <c r="A1415" s="14" t="str">
        <f>Base_report!A1404</f>
        <v>SUD-COMOE</v>
      </c>
      <c r="B1415" s="14" t="str">
        <f>Base_report!B1404</f>
        <v>DECEMBRE 2023</v>
      </c>
      <c r="C1415" s="15" t="str">
        <f>Base_report!C1404</f>
        <v>C1764</v>
      </c>
      <c r="D1415" s="14" t="str">
        <f>TRIM(IF(ISNUMBER(FIND("PNSME",Base_report!D1404,1)),SUBSTITUTE(Base_report!D1404,"PNSME",""),IF(ISNUMBER(FIND("PHG",Base_report!D1404,1)),SUBSTITUTE(Base_report!D1404,"PHG",""),IF(ISNUMBER(FIND("PCS",Base_report!D1404,1)),SUBSTITUTE(Base_report!D1404,"PCS",""),IF(ISNUMBER(FIND("CMU",Base_report!D1404,1)),SUBSTITUTE(Base_report!D1404,"CMU",""),Base_report!D1404)))))</f>
        <v>DISTRICT SANITAIRE TIAPOUM</v>
      </c>
      <c r="E1415" s="14" t="str">
        <f>SUBSTITUTE(Base_report!E1404,"-","/")</f>
        <v>PNLS/TESTS RAPIDES ET CONSOMMABLES</v>
      </c>
      <c r="F1415" s="14" t="s">
        <v>788</v>
      </c>
      <c r="G1415" s="16">
        <f>DATE(YEAR(SUBSTITUTE(LEFT(Base_report!F1404,10),"-","/")),MONTH(SUBSTITUTE(LEFT(Base_report!F1404,10),"-","/")),DAY(SUBSTITUTE(LEFT(Base_report!F1404,10),"-","/")))</f>
        <v>45300</v>
      </c>
      <c r="H1415" s="16">
        <f>DATE(YEAR(SUBSTITUTE(LEFT(Base_report!G1404,10),"-","/")),MONTH(SUBSTITUTE(LEFT(Base_report!G1404,10),"-","/")),DAY(SUBSTITUTE(LEFT(Base_report!G1404,10),"-","/")))</f>
        <v>45301</v>
      </c>
      <c r="I1415" s="17" t="str">
        <f t="shared" si="1"/>
        <v>OUI</v>
      </c>
      <c r="J1415" s="18">
        <f>IF(L1415="DS",DATE(RIGHT(B1415,4),VLOOKUP(LEFT(B1415,LEN(B1415)-5),Feuil1!$E$3:$F$19,2,FALSE)+1,10),DATE(RIGHT(B1415,4),VLOOKUP(LEFT(B1415,LEN(B1415)-5),Feuil1!$E$3:$F$19,2,FALSE)+1,7))</f>
        <v>45301</v>
      </c>
      <c r="K1415" s="19">
        <f t="shared" si="2"/>
        <v>1</v>
      </c>
      <c r="L1415" s="6" t="str">
        <f t="shared" si="3"/>
        <v>DS</v>
      </c>
    </row>
    <row r="1416" ht="14.25" customHeight="1">
      <c r="A1416" s="14" t="str">
        <f>Base_report!A1405</f>
        <v>N'ZI</v>
      </c>
      <c r="B1416" s="14" t="str">
        <f>Base_report!B1405</f>
        <v>DECEMBRE 2023</v>
      </c>
      <c r="C1416" s="15" t="str">
        <f>Base_report!C1405</f>
        <v>C2019</v>
      </c>
      <c r="D1416" s="14" t="str">
        <f>TRIM(IF(ISNUMBER(FIND("PNSME",Base_report!D1405,1)),SUBSTITUTE(Base_report!D1405,"PNSME",""),IF(ISNUMBER(FIND("PHG",Base_report!D1405,1)),SUBSTITUTE(Base_report!D1405,"PHG",""),IF(ISNUMBER(FIND("PCS",Base_report!D1405,1)),SUBSTITUTE(Base_report!D1405,"PCS",""),IF(ISNUMBER(FIND("CMU",Base_report!D1405,1)),SUBSTITUTE(Base_report!D1405,"CMU",""),Base_report!D1405)))))</f>
        <v>DISTRICT SANITAIRE BOCANDA</v>
      </c>
      <c r="E1416" s="14" t="str">
        <f>SUBSTITUTE(Base_report!E1405,"-","/")</f>
        <v>PNLP/MEDICAMENTS ET INTRANTS</v>
      </c>
      <c r="F1416" s="14" t="s">
        <v>788</v>
      </c>
      <c r="G1416" s="16">
        <f>DATE(YEAR(SUBSTITUTE(LEFT(Base_report!F1405,10),"-","/")),MONTH(SUBSTITUTE(LEFT(Base_report!F1405,10),"-","/")),DAY(SUBSTITUTE(LEFT(Base_report!F1405,10),"-","/")))</f>
        <v>45301</v>
      </c>
      <c r="H1416" s="16">
        <f>DATE(YEAR(SUBSTITUTE(LEFT(Base_report!G1405,10),"-","/")),MONTH(SUBSTITUTE(LEFT(Base_report!G1405,10),"-","/")),DAY(SUBSTITUTE(LEFT(Base_report!G1405,10),"-","/")))</f>
        <v>45301</v>
      </c>
      <c r="I1416" s="17" t="str">
        <f t="shared" si="1"/>
        <v>OUI</v>
      </c>
      <c r="J1416" s="18">
        <f>IF(L1416="DS",DATE(RIGHT(B1416,4),VLOOKUP(LEFT(B1416,LEN(B1416)-5),Feuil1!$E$3:$F$19,2,FALSE)+1,10),DATE(RIGHT(B1416,4),VLOOKUP(LEFT(B1416,LEN(B1416)-5),Feuil1!$E$3:$F$19,2,FALSE)+1,7))</f>
        <v>45301</v>
      </c>
      <c r="K1416" s="19">
        <f t="shared" si="2"/>
        <v>1</v>
      </c>
      <c r="L1416" s="6" t="str">
        <f t="shared" si="3"/>
        <v>DS</v>
      </c>
    </row>
    <row r="1417" ht="14.25" customHeight="1">
      <c r="A1417" s="14" t="str">
        <f>Base_report!A1406</f>
        <v>ABIDJAN 1</v>
      </c>
      <c r="B1417" s="14" t="str">
        <f>Base_report!B1406</f>
        <v>DECEMBRE 2023</v>
      </c>
      <c r="C1417" s="15" t="str">
        <f>Base_report!C1406</f>
        <v>C1065</v>
      </c>
      <c r="D1417" s="14" t="str">
        <f>TRIM(IF(ISNUMBER(FIND("PNSME",Base_report!D1406,1)),SUBSTITUTE(Base_report!D1406,"PNSME",""),IF(ISNUMBER(FIND("PHG",Base_report!D1406,1)),SUBSTITUTE(Base_report!D1406,"PHG",""),IF(ISNUMBER(FIND("PCS",Base_report!D1406,1)),SUBSTITUTE(Base_report!D1406,"PCS",""),IF(ISNUMBER(FIND("CMU",Base_report!D1406,1)),SUBSTITUTE(Base_report!D1406,"CMU",""),Base_report!D1406)))))</f>
        <v>FSU COM ABOBO SAGBE</v>
      </c>
      <c r="E1417" s="14" t="str">
        <f>SUBSTITUTE(Base_report!E1406,"-","/")</f>
        <v>PNLS/ANTIRETROVIRAUX ET IO</v>
      </c>
      <c r="F1417" s="14" t="s">
        <v>788</v>
      </c>
      <c r="G1417" s="16">
        <f>DATE(YEAR(SUBSTITUTE(LEFT(Base_report!F1406,10),"-","/")),MONTH(SUBSTITUTE(LEFT(Base_report!F1406,10),"-","/")),DAY(SUBSTITUTE(LEFT(Base_report!F1406,10),"-","/")))</f>
        <v>45299</v>
      </c>
      <c r="H1417" s="16">
        <f>DATE(YEAR(SUBSTITUTE(LEFT(Base_report!G1406,10),"-","/")),MONTH(SUBSTITUTE(LEFT(Base_report!G1406,10),"-","/")),DAY(SUBSTITUTE(LEFT(Base_report!G1406,10),"-","/")))</f>
        <v>45299</v>
      </c>
      <c r="I1417" s="17" t="str">
        <f t="shared" si="1"/>
        <v>OUI</v>
      </c>
      <c r="J1417" s="18">
        <f>IF(L1417="DS",DATE(RIGHT(B1417,4),VLOOKUP(LEFT(B1417,LEN(B1417)-5),Feuil1!$E$3:$F$19,2,FALSE)+1,10),DATE(RIGHT(B1417,4),VLOOKUP(LEFT(B1417,LEN(B1417)-5),Feuil1!$E$3:$F$19,2,FALSE)+1,7))</f>
        <v>45298</v>
      </c>
      <c r="K1417" s="19">
        <f t="shared" si="2"/>
        <v>0</v>
      </c>
      <c r="L1417" s="6" t="str">
        <f t="shared" si="3"/>
        <v>FS</v>
      </c>
    </row>
    <row r="1418" ht="14.25" customHeight="1">
      <c r="A1418" s="14" t="str">
        <f>Base_report!A1407</f>
        <v>FOLON</v>
      </c>
      <c r="B1418" s="14" t="str">
        <f>Base_report!B1407</f>
        <v>DECEMBRE 2023</v>
      </c>
      <c r="C1418" s="15" t="str">
        <f>Base_report!C1407</f>
        <v>C5082</v>
      </c>
      <c r="D1418" s="14" t="str">
        <f>TRIM(IF(ISNUMBER(FIND("PNSME",Base_report!D1407,1)),SUBSTITUTE(Base_report!D1407,"PNSME",""),IF(ISNUMBER(FIND("PHG",Base_report!D1407,1)),SUBSTITUTE(Base_report!D1407,"PHG",""),IF(ISNUMBER(FIND("PCS",Base_report!D1407,1)),SUBSTITUTE(Base_report!D1407,"PCS",""),IF(ISNUMBER(FIND("CMU",Base_report!D1407,1)),SUBSTITUTE(Base_report!D1407,"CMU",""),Base_report!D1407)))))</f>
        <v>DISTRICT SANITAIRE KANIASSO</v>
      </c>
      <c r="E1418" s="14" t="str">
        <f>SUBSTITUTE(Base_report!E1407,"-","/")</f>
        <v>PNLS/TESTS RAPIDES ET CONSOMMABLES</v>
      </c>
      <c r="F1418" s="14" t="s">
        <v>788</v>
      </c>
      <c r="G1418" s="16">
        <f>DATE(YEAR(SUBSTITUTE(LEFT(Base_report!F1407,10),"-","/")),MONTH(SUBSTITUTE(LEFT(Base_report!F1407,10),"-","/")),DAY(SUBSTITUTE(LEFT(Base_report!F1407,10),"-","/")))</f>
        <v>45299</v>
      </c>
      <c r="H1418" s="16">
        <f>DATE(YEAR(SUBSTITUTE(LEFT(Base_report!G1407,10),"-","/")),MONTH(SUBSTITUTE(LEFT(Base_report!G1407,10),"-","/")),DAY(SUBSTITUTE(LEFT(Base_report!G1407,10),"-","/")))</f>
        <v>45302</v>
      </c>
      <c r="I1418" s="17" t="str">
        <f t="shared" si="1"/>
        <v>OUI</v>
      </c>
      <c r="J1418" s="18">
        <f>IF(L1418="DS",DATE(RIGHT(B1418,4),VLOOKUP(LEFT(B1418,LEN(B1418)-5),Feuil1!$E$3:$F$19,2,FALSE)+1,10),DATE(RIGHT(B1418,4),VLOOKUP(LEFT(B1418,LEN(B1418)-5),Feuil1!$E$3:$F$19,2,FALSE)+1,7))</f>
        <v>45301</v>
      </c>
      <c r="K1418" s="19">
        <f t="shared" si="2"/>
        <v>0</v>
      </c>
      <c r="L1418" s="6" t="str">
        <f t="shared" si="3"/>
        <v>DS</v>
      </c>
    </row>
    <row r="1419" ht="14.25" customHeight="1">
      <c r="A1419" s="14" t="str">
        <f>Base_report!A1408</f>
        <v>MORONOU</v>
      </c>
      <c r="B1419" s="14" t="str">
        <f>Base_report!B1408</f>
        <v>DECEMBRE 2023</v>
      </c>
      <c r="C1419" s="15" t="str">
        <f>Base_report!C1408</f>
        <v>C4073</v>
      </c>
      <c r="D1419" s="14" t="str">
        <f>TRIM(IF(ISNUMBER(FIND("PNSME",Base_report!D1408,1)),SUBSTITUTE(Base_report!D1408,"PNSME",""),IF(ISNUMBER(FIND("PHG",Base_report!D1408,1)),SUBSTITUTE(Base_report!D1408,"PHG",""),IF(ISNUMBER(FIND("PCS",Base_report!D1408,1)),SUBSTITUTE(Base_report!D1408,"PCS",""),IF(ISNUMBER(FIND("CMU",Base_report!D1408,1)),SUBSTITUTE(Base_report!D1408,"CMU",""),Base_report!D1408)))))</f>
        <v>DISTRICT SANITAIRE ARRAH</v>
      </c>
      <c r="E1419" s="14" t="str">
        <f>SUBSTITUTE(Base_report!E1408,"-","/")</f>
        <v>PNLS/ANTIRETROVIRAUX ET IO</v>
      </c>
      <c r="F1419" s="14" t="s">
        <v>788</v>
      </c>
      <c r="G1419" s="16">
        <f>DATE(YEAR(SUBSTITUTE(LEFT(Base_report!F1408,10),"-","/")),MONTH(SUBSTITUTE(LEFT(Base_report!F1408,10),"-","/")),DAY(SUBSTITUTE(LEFT(Base_report!F1408,10),"-","/")))</f>
        <v>45300</v>
      </c>
      <c r="H1419" s="16">
        <f>DATE(YEAR(SUBSTITUTE(LEFT(Base_report!G1408,10),"-","/")),MONTH(SUBSTITUTE(LEFT(Base_report!G1408,10),"-","/")),DAY(SUBSTITUTE(LEFT(Base_report!G1408,10),"-","/")))</f>
        <v>45300</v>
      </c>
      <c r="I1419" s="17" t="str">
        <f t="shared" si="1"/>
        <v>OUI</v>
      </c>
      <c r="J1419" s="18">
        <f>IF(L1419="DS",DATE(RIGHT(B1419,4),VLOOKUP(LEFT(B1419,LEN(B1419)-5),Feuil1!$E$3:$F$19,2,FALSE)+1,10),DATE(RIGHT(B1419,4),VLOOKUP(LEFT(B1419,LEN(B1419)-5),Feuil1!$E$3:$F$19,2,FALSE)+1,7))</f>
        <v>45301</v>
      </c>
      <c r="K1419" s="19">
        <f t="shared" si="2"/>
        <v>1</v>
      </c>
      <c r="L1419" s="6" t="str">
        <f t="shared" si="3"/>
        <v>DS</v>
      </c>
    </row>
    <row r="1420" ht="14.25" customHeight="1">
      <c r="A1420" s="14" t="str">
        <f>Base_report!A1409</f>
        <v>PORO</v>
      </c>
      <c r="B1420" s="14" t="str">
        <f>Base_report!B1409</f>
        <v>DECEMBRE 2023</v>
      </c>
      <c r="C1420" s="15" t="str">
        <f>Base_report!C1409</f>
        <v>C3057</v>
      </c>
      <c r="D1420" s="14" t="str">
        <f>TRIM(IF(ISNUMBER(FIND("PNSME",Base_report!D1409,1)),SUBSTITUTE(Base_report!D1409,"PNSME",""),IF(ISNUMBER(FIND("PHG",Base_report!D1409,1)),SUBSTITUTE(Base_report!D1409,"PHG",""),IF(ISNUMBER(FIND("PCS",Base_report!D1409,1)),SUBSTITUTE(Base_report!D1409,"PCS",""),IF(ISNUMBER(FIND("CMU",Base_report!D1409,1)),SUBSTITUTE(Base_report!D1409,"CMU",""),Base_report!D1409)))))</f>
        <v>DISTRICT SANITAIRE SINEMATIALI</v>
      </c>
      <c r="E1420" s="14" t="str">
        <f>SUBSTITUTE(Base_report!E1409,"-","/")</f>
        <v>PNN/MEDICAMENTS ET INTRANTS</v>
      </c>
      <c r="F1420" s="14" t="s">
        <v>788</v>
      </c>
      <c r="G1420" s="16">
        <f>DATE(YEAR(SUBSTITUTE(LEFT(Base_report!F1409,10),"-","/")),MONTH(SUBSTITUTE(LEFT(Base_report!F1409,10),"-","/")),DAY(SUBSTITUTE(LEFT(Base_report!F1409,10),"-","/")))</f>
        <v>45300</v>
      </c>
      <c r="H1420" s="16">
        <f>DATE(YEAR(SUBSTITUTE(LEFT(Base_report!G1409,10),"-","/")),MONTH(SUBSTITUTE(LEFT(Base_report!G1409,10),"-","/")),DAY(SUBSTITUTE(LEFT(Base_report!G1409,10),"-","/")))</f>
        <v>45300</v>
      </c>
      <c r="I1420" s="17" t="str">
        <f t="shared" si="1"/>
        <v>OUI</v>
      </c>
      <c r="J1420" s="18">
        <f>IF(L1420="DS",DATE(RIGHT(B1420,4),VLOOKUP(LEFT(B1420,LEN(B1420)-5),Feuil1!$E$3:$F$19,2,FALSE)+1,10),DATE(RIGHT(B1420,4),VLOOKUP(LEFT(B1420,LEN(B1420)-5),Feuil1!$E$3:$F$19,2,FALSE)+1,7))</f>
        <v>45301</v>
      </c>
      <c r="K1420" s="19">
        <f t="shared" si="2"/>
        <v>1</v>
      </c>
      <c r="L1420" s="6" t="str">
        <f t="shared" si="3"/>
        <v>DS</v>
      </c>
    </row>
    <row r="1421" ht="14.25" customHeight="1">
      <c r="A1421" s="14" t="str">
        <f>Base_report!A1410</f>
        <v>GOH</v>
      </c>
      <c r="B1421" s="14" t="str">
        <f>Base_report!B1410</f>
        <v>DECEMBRE 2023</v>
      </c>
      <c r="C1421" s="15" t="str">
        <f>Base_report!C1410</f>
        <v>C2088</v>
      </c>
      <c r="D1421" s="14" t="str">
        <f>TRIM(IF(ISNUMBER(FIND("PNSME",Base_report!D1410,1)),SUBSTITUTE(Base_report!D1410,"PNSME",""),IF(ISNUMBER(FIND("PHG",Base_report!D1410,1)),SUBSTITUTE(Base_report!D1410,"PHG",""),IF(ISNUMBER(FIND("PCS",Base_report!D1410,1)),SUBSTITUTE(Base_report!D1410,"PCS",""),IF(ISNUMBER(FIND("CMU",Base_report!D1410,1)),SUBSTITUTE(Base_report!D1410,"CMU",""),Base_report!D1410)))))</f>
        <v>DISTRICT SANITAIRE GAGNOA 2</v>
      </c>
      <c r="E1421" s="14" t="str">
        <f>SUBSTITUTE(Base_report!E1410,"-","/")</f>
        <v>PNSME/MEDICAMENTS ET INTRANTS</v>
      </c>
      <c r="F1421" s="14" t="s">
        <v>788</v>
      </c>
      <c r="G1421" s="16">
        <f>DATE(YEAR(SUBSTITUTE(LEFT(Base_report!F1410,10),"-","/")),MONTH(SUBSTITUTE(LEFT(Base_report!F1410,10),"-","/")),DAY(SUBSTITUTE(LEFT(Base_report!F1410,10),"-","/")))</f>
        <v>45300</v>
      </c>
      <c r="H1421" s="16">
        <f>DATE(YEAR(SUBSTITUTE(LEFT(Base_report!G1410,10),"-","/")),MONTH(SUBSTITUTE(LEFT(Base_report!G1410,10),"-","/")),DAY(SUBSTITUTE(LEFT(Base_report!G1410,10),"-","/")))</f>
        <v>45300</v>
      </c>
      <c r="I1421" s="17" t="str">
        <f t="shared" si="1"/>
        <v>OUI</v>
      </c>
      <c r="J1421" s="18">
        <f>IF(L1421="DS",DATE(RIGHT(B1421,4),VLOOKUP(LEFT(B1421,LEN(B1421)-5),Feuil1!$E$3:$F$19,2,FALSE)+1,10),DATE(RIGHT(B1421,4),VLOOKUP(LEFT(B1421,LEN(B1421)-5),Feuil1!$E$3:$F$19,2,FALSE)+1,7))</f>
        <v>45301</v>
      </c>
      <c r="K1421" s="19">
        <f t="shared" si="2"/>
        <v>1</v>
      </c>
      <c r="L1421" s="6" t="str">
        <f t="shared" si="3"/>
        <v>DS</v>
      </c>
    </row>
    <row r="1422" ht="14.25" customHeight="1">
      <c r="A1422" s="14" t="str">
        <f>Base_report!A1411</f>
        <v>GBEKE</v>
      </c>
      <c r="B1422" s="14" t="str">
        <f>Base_report!B1411</f>
        <v>DECEMBRE 2023</v>
      </c>
      <c r="C1422" s="15" t="str">
        <f>Base_report!C1411</f>
        <v>C2048</v>
      </c>
      <c r="D1422" s="14" t="str">
        <f>TRIM(IF(ISNUMBER(FIND("PNSME",Base_report!D1411,1)),SUBSTITUTE(Base_report!D1411,"PNSME",""),IF(ISNUMBER(FIND("PHG",Base_report!D1411,1)),SUBSTITUTE(Base_report!D1411,"PHG",""),IF(ISNUMBER(FIND("PCS",Base_report!D1411,1)),SUBSTITUTE(Base_report!D1411,"PCS",""),IF(ISNUMBER(FIND("CMU",Base_report!D1411,1)),SUBSTITUTE(Base_report!D1411,"CMU",""),Base_report!D1411)))))</f>
        <v>DISTRICT SANITAIRE BEOUMI</v>
      </c>
      <c r="E1422" s="14" t="str">
        <f>SUBSTITUTE(Base_report!E1411,"-","/")</f>
        <v>PNSME/MEDICAMENTS ET INTRANTS</v>
      </c>
      <c r="F1422" s="14" t="s">
        <v>788</v>
      </c>
      <c r="G1422" s="16">
        <f>DATE(YEAR(SUBSTITUTE(LEFT(Base_report!F1411,10),"-","/")),MONTH(SUBSTITUTE(LEFT(Base_report!F1411,10),"-","/")),DAY(SUBSTITUTE(LEFT(Base_report!F1411,10),"-","/")))</f>
        <v>45299</v>
      </c>
      <c r="H1422" s="16">
        <f>DATE(YEAR(SUBSTITUTE(LEFT(Base_report!G1411,10),"-","/")),MONTH(SUBSTITUTE(LEFT(Base_report!G1411,10),"-","/")),DAY(SUBSTITUTE(LEFT(Base_report!G1411,10),"-","/")))</f>
        <v>45301</v>
      </c>
      <c r="I1422" s="17" t="str">
        <f t="shared" si="1"/>
        <v>OUI</v>
      </c>
      <c r="J1422" s="18">
        <f>IF(L1422="DS",DATE(RIGHT(B1422,4),VLOOKUP(LEFT(B1422,LEN(B1422)-5),Feuil1!$E$3:$F$19,2,FALSE)+1,10),DATE(RIGHT(B1422,4),VLOOKUP(LEFT(B1422,LEN(B1422)-5),Feuil1!$E$3:$F$19,2,FALSE)+1,7))</f>
        <v>45301</v>
      </c>
      <c r="K1422" s="19">
        <f t="shared" si="2"/>
        <v>1</v>
      </c>
      <c r="L1422" s="6" t="str">
        <f t="shared" si="3"/>
        <v>DS</v>
      </c>
    </row>
    <row r="1423" ht="14.25" customHeight="1">
      <c r="A1423" s="14" t="str">
        <f>Base_report!A1412</f>
        <v>PORO</v>
      </c>
      <c r="B1423" s="14" t="str">
        <f>Base_report!B1412</f>
        <v>DECEMBRE 2023</v>
      </c>
      <c r="C1423" s="15" t="str">
        <f>Base_report!C1412</f>
        <v>C3057</v>
      </c>
      <c r="D1423" s="14" t="str">
        <f>TRIM(IF(ISNUMBER(FIND("PNSME",Base_report!D1412,1)),SUBSTITUTE(Base_report!D1412,"PNSME",""),IF(ISNUMBER(FIND("PHG",Base_report!D1412,1)),SUBSTITUTE(Base_report!D1412,"PHG",""),IF(ISNUMBER(FIND("PCS",Base_report!D1412,1)),SUBSTITUTE(Base_report!D1412,"PCS",""),IF(ISNUMBER(FIND("CMU",Base_report!D1412,1)),SUBSTITUTE(Base_report!D1412,"CMU",""),Base_report!D1412)))))</f>
        <v>DISTRICT SANITAIRE SINEMATIALI</v>
      </c>
      <c r="E1423" s="14" t="str">
        <f>SUBSTITUTE(Base_report!E1412,"-","/")</f>
        <v>PNSME/MEDICAMENTS ET INTRANTS</v>
      </c>
      <c r="F1423" s="14" t="s">
        <v>788</v>
      </c>
      <c r="G1423" s="16">
        <f>DATE(YEAR(SUBSTITUTE(LEFT(Base_report!F1412,10),"-","/")),MONTH(SUBSTITUTE(LEFT(Base_report!F1412,10),"-","/")),DAY(SUBSTITUTE(LEFT(Base_report!F1412,10),"-","/")))</f>
        <v>45300</v>
      </c>
      <c r="H1423" s="16">
        <f>DATE(YEAR(SUBSTITUTE(LEFT(Base_report!G1412,10),"-","/")),MONTH(SUBSTITUTE(LEFT(Base_report!G1412,10),"-","/")),DAY(SUBSTITUTE(LEFT(Base_report!G1412,10),"-","/")))</f>
        <v>45300</v>
      </c>
      <c r="I1423" s="17" t="str">
        <f t="shared" si="1"/>
        <v>OUI</v>
      </c>
      <c r="J1423" s="18">
        <f>IF(L1423="DS",DATE(RIGHT(B1423,4),VLOOKUP(LEFT(B1423,LEN(B1423)-5),Feuil1!$E$3:$F$19,2,FALSE)+1,10),DATE(RIGHT(B1423,4),VLOOKUP(LEFT(B1423,LEN(B1423)-5),Feuil1!$E$3:$F$19,2,FALSE)+1,7))</f>
        <v>45301</v>
      </c>
      <c r="K1423" s="19">
        <f t="shared" si="2"/>
        <v>1</v>
      </c>
      <c r="L1423" s="6" t="str">
        <f t="shared" si="3"/>
        <v>DS</v>
      </c>
    </row>
    <row r="1424" ht="14.25" customHeight="1">
      <c r="A1424" s="14" t="str">
        <f>Base_report!A1413</f>
        <v>ABIDJAN 1</v>
      </c>
      <c r="B1424" s="14" t="str">
        <f>Base_report!B1413</f>
        <v>DECEMBRE 2023</v>
      </c>
      <c r="C1424" s="15" t="str">
        <f>Base_report!C1413</f>
        <v>C1415</v>
      </c>
      <c r="D1424" s="14" t="str">
        <f>TRIM(IF(ISNUMBER(FIND("PNSME",Base_report!D1413,1)),SUBSTITUTE(Base_report!D1413,"PNSME",""),IF(ISNUMBER(FIND("PHG",Base_report!D1413,1)),SUBSTITUTE(Base_report!D1413,"PHG",""),IF(ISNUMBER(FIND("PCS",Base_report!D1413,1)),SUBSTITUTE(Base_report!D1413,"PCS",""),IF(ISNUMBER(FIND("CMU",Base_report!D1413,1)),SUBSTITUTE(Base_report!D1413,"CMU",""),Base_report!D1413)))))</f>
        <v>DISTRICT SANITAIRE YOPOUGON EST</v>
      </c>
      <c r="E1424" s="14" t="str">
        <f>SUBSTITUTE(Base_report!E1413,"-","/")</f>
        <v>PNSME/MEDICAMENTS ET INTRANTS</v>
      </c>
      <c r="F1424" s="14" t="s">
        <v>788</v>
      </c>
      <c r="G1424" s="16">
        <f>DATE(YEAR(SUBSTITUTE(LEFT(Base_report!F1413,10),"-","/")),MONTH(SUBSTITUTE(LEFT(Base_report!F1413,10),"-","/")),DAY(SUBSTITUTE(LEFT(Base_report!F1413,10),"-","/")))</f>
        <v>45299</v>
      </c>
      <c r="H1424" s="16">
        <f>DATE(YEAR(SUBSTITUTE(LEFT(Base_report!G1413,10),"-","/")),MONTH(SUBSTITUTE(LEFT(Base_report!G1413,10),"-","/")),DAY(SUBSTITUTE(LEFT(Base_report!G1413,10),"-","/")))</f>
        <v>45301</v>
      </c>
      <c r="I1424" s="17" t="str">
        <f t="shared" si="1"/>
        <v>OUI</v>
      </c>
      <c r="J1424" s="18">
        <f>IF(L1424="DS",DATE(RIGHT(B1424,4),VLOOKUP(LEFT(B1424,LEN(B1424)-5),Feuil1!$E$3:$F$19,2,FALSE)+1,10),DATE(RIGHT(B1424,4),VLOOKUP(LEFT(B1424,LEN(B1424)-5),Feuil1!$E$3:$F$19,2,FALSE)+1,7))</f>
        <v>45301</v>
      </c>
      <c r="K1424" s="19">
        <f t="shared" si="2"/>
        <v>1</v>
      </c>
      <c r="L1424" s="6" t="str">
        <f t="shared" si="3"/>
        <v>DS</v>
      </c>
    </row>
    <row r="1425" ht="14.25" customHeight="1">
      <c r="A1425" s="14" t="str">
        <f>Base_report!A1414</f>
        <v>PORO</v>
      </c>
      <c r="B1425" s="14" t="str">
        <f>Base_report!B1414</f>
        <v>DECEMBRE 2023</v>
      </c>
      <c r="C1425" s="15" t="str">
        <f>Base_report!C1414</f>
        <v>C3057</v>
      </c>
      <c r="D1425" s="14" t="str">
        <f>TRIM(IF(ISNUMBER(FIND("PNSME",Base_report!D1414,1)),SUBSTITUTE(Base_report!D1414,"PNSME",""),IF(ISNUMBER(FIND("PHG",Base_report!D1414,1)),SUBSTITUTE(Base_report!D1414,"PHG",""),IF(ISNUMBER(FIND("PCS",Base_report!D1414,1)),SUBSTITUTE(Base_report!D1414,"PCS",""),IF(ISNUMBER(FIND("CMU",Base_report!D1414,1)),SUBSTITUTE(Base_report!D1414,"CMU",""),Base_report!D1414)))))</f>
        <v>DISTRICT SANITAIRE SINEMATIALI</v>
      </c>
      <c r="E1425" s="14" t="str">
        <f>SUBSTITUTE(Base_report!E1414,"-","/")</f>
        <v>PNLP/MEDICAMENTS ET INTRANTS</v>
      </c>
      <c r="F1425" s="14" t="s">
        <v>788</v>
      </c>
      <c r="G1425" s="16">
        <f>DATE(YEAR(SUBSTITUTE(LEFT(Base_report!F1414,10),"-","/")),MONTH(SUBSTITUTE(LEFT(Base_report!F1414,10),"-","/")),DAY(SUBSTITUTE(LEFT(Base_report!F1414,10),"-","/")))</f>
        <v>45300</v>
      </c>
      <c r="H1425" s="16">
        <f>DATE(YEAR(SUBSTITUTE(LEFT(Base_report!G1414,10),"-","/")),MONTH(SUBSTITUTE(LEFT(Base_report!G1414,10),"-","/")),DAY(SUBSTITUTE(LEFT(Base_report!G1414,10),"-","/")))</f>
        <v>45300</v>
      </c>
      <c r="I1425" s="17" t="str">
        <f t="shared" si="1"/>
        <v>OUI</v>
      </c>
      <c r="J1425" s="18">
        <f>IF(L1425="DS",DATE(RIGHT(B1425,4),VLOOKUP(LEFT(B1425,LEN(B1425)-5),Feuil1!$E$3:$F$19,2,FALSE)+1,10),DATE(RIGHT(B1425,4),VLOOKUP(LEFT(B1425,LEN(B1425)-5),Feuil1!$E$3:$F$19,2,FALSE)+1,7))</f>
        <v>45301</v>
      </c>
      <c r="K1425" s="19">
        <f t="shared" si="2"/>
        <v>1</v>
      </c>
      <c r="L1425" s="6" t="str">
        <f t="shared" si="3"/>
        <v>DS</v>
      </c>
    </row>
    <row r="1426" ht="14.25" customHeight="1">
      <c r="A1426" s="14" t="str">
        <f>Base_report!#REF!</f>
        <v>#ERROR!</v>
      </c>
      <c r="B1426" s="14" t="str">
        <f>Base_report!#REF!</f>
        <v>#ERROR!</v>
      </c>
      <c r="C1426" s="15" t="str">
        <f>Base_report!#REF!</f>
        <v>#ERROR!</v>
      </c>
      <c r="D1426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426" s="14" t="str">
        <f>SUBSTITUTE(Base_report!#REF!,"-","/")</f>
        <v>#ERROR!</v>
      </c>
      <c r="F1426" s="14" t="s">
        <v>788</v>
      </c>
      <c r="G1426" s="16" t="str">
        <f>DATE(YEAR(SUBSTITUTE(LEFT(Base_report!#REF!,10),"-","/")),MONTH(SUBSTITUTE(LEFT(Base_report!#REF!,10),"-","/")),DAY(SUBSTITUTE(LEFT(Base_report!#REF!,10),"-","/")))</f>
        <v>#ERROR!</v>
      </c>
      <c r="H1426" s="16" t="str">
        <f>DATE(YEAR(SUBSTITUTE(LEFT(Base_report!#REF!,10),"-","/")),MONTH(SUBSTITUTE(LEFT(Base_report!#REF!,10),"-","/")),DAY(SUBSTITUTE(LEFT(Base_report!#REF!,10),"-","/")))</f>
        <v>#ERROR!</v>
      </c>
      <c r="I1426" s="17" t="str">
        <f t="shared" si="1"/>
        <v>OUI</v>
      </c>
      <c r="J1426" s="18" t="str">
        <f>IF(L1426="DS",DATE(RIGHT(B1426,4),VLOOKUP(LEFT(B1426,LEN(B1426)-5),Feuil1!$E$3:$F$19,2,FALSE)+1,10),DATE(RIGHT(B1426,4),VLOOKUP(LEFT(B1426,LEN(B1426)-5),Feuil1!$E$3:$F$19,2,FALSE)+1,7))</f>
        <v>#ERROR!</v>
      </c>
      <c r="K1426" s="19" t="str">
        <f t="shared" si="2"/>
        <v>#ERROR!</v>
      </c>
      <c r="L1426" s="6" t="str">
        <f t="shared" si="3"/>
        <v>FS</v>
      </c>
    </row>
    <row r="1427" ht="14.25" customHeight="1">
      <c r="A1427" s="14" t="str">
        <f>Base_report!A1415</f>
        <v>WORODOUGOU</v>
      </c>
      <c r="B1427" s="14" t="str">
        <f>Base_report!B1415</f>
        <v>DECEMBRE 2023</v>
      </c>
      <c r="C1427" s="15" t="str">
        <f>Base_report!C1415</f>
        <v>C5072</v>
      </c>
      <c r="D1427" s="14" t="str">
        <f>TRIM(IF(ISNUMBER(FIND("PNSME",Base_report!D1415,1)),SUBSTITUTE(Base_report!D1415,"PNSME",""),IF(ISNUMBER(FIND("PHG",Base_report!D1415,1)),SUBSTITUTE(Base_report!D1415,"PHG",""),IF(ISNUMBER(FIND("PCS",Base_report!D1415,1)),SUBSTITUTE(Base_report!D1415,"PCS",""),IF(ISNUMBER(FIND("CMU",Base_report!D1415,1)),SUBSTITUTE(Base_report!D1415,"CMU",""),Base_report!D1415)))))</f>
        <v>DISTRICT SANITAIRE KANI</v>
      </c>
      <c r="E1427" s="14" t="str">
        <f>SUBSTITUTE(Base_report!E1415,"-","/")</f>
        <v>PNLS/TESTS RAPIDES ET CONSOMMABLES</v>
      </c>
      <c r="F1427" s="14" t="s">
        <v>788</v>
      </c>
      <c r="G1427" s="16">
        <f>DATE(YEAR(SUBSTITUTE(LEFT(Base_report!F1415,10),"-","/")),MONTH(SUBSTITUTE(LEFT(Base_report!F1415,10),"-","/")),DAY(SUBSTITUTE(LEFT(Base_report!F1415,10),"-","/")))</f>
        <v>45301</v>
      </c>
      <c r="H1427" s="16">
        <f>DATE(YEAR(SUBSTITUTE(LEFT(Base_report!G1415,10),"-","/")),MONTH(SUBSTITUTE(LEFT(Base_report!G1415,10),"-","/")),DAY(SUBSTITUTE(LEFT(Base_report!G1415,10),"-","/")))</f>
        <v>45301</v>
      </c>
      <c r="I1427" s="17" t="str">
        <f t="shared" si="1"/>
        <v>OUI</v>
      </c>
      <c r="J1427" s="18">
        <f>IF(L1427="DS",DATE(RIGHT(B1427,4),VLOOKUP(LEFT(B1427,LEN(B1427)-5),Feuil1!$E$3:$F$19,2,FALSE)+1,10),DATE(RIGHT(B1427,4),VLOOKUP(LEFT(B1427,LEN(B1427)-5),Feuil1!$E$3:$F$19,2,FALSE)+1,7))</f>
        <v>45301</v>
      </c>
      <c r="K1427" s="19">
        <f t="shared" si="2"/>
        <v>1</v>
      </c>
      <c r="L1427" s="6" t="str">
        <f t="shared" si="3"/>
        <v>DS</v>
      </c>
    </row>
    <row r="1428" ht="14.25" customHeight="1">
      <c r="A1428" s="14" t="str">
        <f>Base_report!A1416</f>
        <v>BOUNKANI</v>
      </c>
      <c r="B1428" s="14" t="str">
        <f>Base_report!B1416</f>
        <v>DECEMBRE 2023</v>
      </c>
      <c r="C1428" s="15" t="str">
        <f>Base_report!C1416</f>
        <v>C4084</v>
      </c>
      <c r="D1428" s="14" t="str">
        <f>TRIM(IF(ISNUMBER(FIND("PNSME",Base_report!D1416,1)),SUBSTITUTE(Base_report!D1416,"PNSME",""),IF(ISNUMBER(FIND("PHG",Base_report!D1416,1)),SUBSTITUTE(Base_report!D1416,"PHG",""),IF(ISNUMBER(FIND("PCS",Base_report!D1416,1)),SUBSTITUTE(Base_report!D1416,"PCS",""),IF(ISNUMBER(FIND("CMU",Base_report!D1416,1)),SUBSTITUTE(Base_report!D1416,"CMU",""),Base_report!D1416)))))</f>
        <v>DISTRICT SANITAIRE TEHINI</v>
      </c>
      <c r="E1428" s="14" t="str">
        <f>SUBSTITUTE(Base_report!E1416,"-","/")</f>
        <v>PNN/MEDICAMENTS ET INTRANTS</v>
      </c>
      <c r="F1428" s="14" t="s">
        <v>788</v>
      </c>
      <c r="G1428" s="16">
        <f>DATE(YEAR(SUBSTITUTE(LEFT(Base_report!F1416,10),"-","/")),MONTH(SUBSTITUTE(LEFT(Base_report!F1416,10),"-","/")),DAY(SUBSTITUTE(LEFT(Base_report!F1416,10),"-","/")))</f>
        <v>45300</v>
      </c>
      <c r="H1428" s="16">
        <f>DATE(YEAR(SUBSTITUTE(LEFT(Base_report!G1416,10),"-","/")),MONTH(SUBSTITUTE(LEFT(Base_report!G1416,10),"-","/")),DAY(SUBSTITUTE(LEFT(Base_report!G1416,10),"-","/")))</f>
        <v>45300</v>
      </c>
      <c r="I1428" s="17" t="str">
        <f t="shared" si="1"/>
        <v>OUI</v>
      </c>
      <c r="J1428" s="18">
        <f>IF(L1428="DS",DATE(RIGHT(B1428,4),VLOOKUP(LEFT(B1428,LEN(B1428)-5),Feuil1!$E$3:$F$19,2,FALSE)+1,10),DATE(RIGHT(B1428,4),VLOOKUP(LEFT(B1428,LEN(B1428)-5),Feuil1!$E$3:$F$19,2,FALSE)+1,7))</f>
        <v>45301</v>
      </c>
      <c r="K1428" s="19">
        <f t="shared" si="2"/>
        <v>1</v>
      </c>
      <c r="L1428" s="6" t="str">
        <f t="shared" si="3"/>
        <v>DS</v>
      </c>
    </row>
    <row r="1429" ht="14.25" customHeight="1">
      <c r="A1429" s="14" t="str">
        <f>Base_report!A1417</f>
        <v>LOH-DJIBOUA</v>
      </c>
      <c r="B1429" s="14" t="str">
        <f>Base_report!B1417</f>
        <v>DECEMBRE 2023</v>
      </c>
      <c r="C1429" s="15" t="str">
        <f>Base_report!C1417</f>
        <v>C21880</v>
      </c>
      <c r="D1429" s="14" t="str">
        <f>TRIM(IF(ISNUMBER(FIND("PNSME",Base_report!D1417,1)),SUBSTITUTE(Base_report!D1417,"PNSME",""),IF(ISNUMBER(FIND("PHG",Base_report!D1417,1)),SUBSTITUTE(Base_report!D1417,"PHG",""),IF(ISNUMBER(FIND("PCS",Base_report!D1417,1)),SUBSTITUTE(Base_report!D1417,"PCS",""),IF(ISNUMBER(FIND("CMU",Base_report!D1417,1)),SUBSTITUTE(Base_report!D1417,"CMU",""),Base_report!D1417)))))</f>
        <v>DISTRICT SANITAIRE DE GUITRY</v>
      </c>
      <c r="E1429" s="14" t="str">
        <f>SUBSTITUTE(Base_report!E1417,"-","/")</f>
        <v>PNLS/ANTIRETROVIRAUX ET IO</v>
      </c>
      <c r="F1429" s="14" t="s">
        <v>788</v>
      </c>
      <c r="G1429" s="16">
        <f>DATE(YEAR(SUBSTITUTE(LEFT(Base_report!F1417,10),"-","/")),MONTH(SUBSTITUTE(LEFT(Base_report!F1417,10),"-","/")),DAY(SUBSTITUTE(LEFT(Base_report!F1417,10),"-","/")))</f>
        <v>45299</v>
      </c>
      <c r="H1429" s="16">
        <f>DATE(YEAR(SUBSTITUTE(LEFT(Base_report!G1417,10),"-","/")),MONTH(SUBSTITUTE(LEFT(Base_report!G1417,10),"-","/")),DAY(SUBSTITUTE(LEFT(Base_report!G1417,10),"-","/")))</f>
        <v>45299</v>
      </c>
      <c r="I1429" s="17" t="str">
        <f t="shared" si="1"/>
        <v>OUI</v>
      </c>
      <c r="J1429" s="18">
        <f>IF(L1429="DS",DATE(RIGHT(B1429,4),VLOOKUP(LEFT(B1429,LEN(B1429)-5),Feuil1!$E$3:$F$19,2,FALSE)+1,10),DATE(RIGHT(B1429,4),VLOOKUP(LEFT(B1429,LEN(B1429)-5),Feuil1!$E$3:$F$19,2,FALSE)+1,7))</f>
        <v>45301</v>
      </c>
      <c r="K1429" s="19">
        <f t="shared" si="2"/>
        <v>1</v>
      </c>
      <c r="L1429" s="6" t="str">
        <f t="shared" si="3"/>
        <v>DS</v>
      </c>
    </row>
    <row r="1430" ht="14.25" customHeight="1">
      <c r="A1430" s="14" t="str">
        <f>Base_report!A1418</f>
        <v>FOLON</v>
      </c>
      <c r="B1430" s="14" t="str">
        <f>Base_report!B1418</f>
        <v>DECEMBRE 2023</v>
      </c>
      <c r="C1430" s="15" t="str">
        <f>Base_report!C1418</f>
        <v>C5082</v>
      </c>
      <c r="D1430" s="14" t="str">
        <f>TRIM(IF(ISNUMBER(FIND("PNSME",Base_report!D1418,1)),SUBSTITUTE(Base_report!D1418,"PNSME",""),IF(ISNUMBER(FIND("PHG",Base_report!D1418,1)),SUBSTITUTE(Base_report!D1418,"PHG",""),IF(ISNUMBER(FIND("PCS",Base_report!D1418,1)),SUBSTITUTE(Base_report!D1418,"PCS",""),IF(ISNUMBER(FIND("CMU",Base_report!D1418,1)),SUBSTITUTE(Base_report!D1418,"CMU",""),Base_report!D1418)))))</f>
        <v>DISTRICT SANITAIRE KANIASSO</v>
      </c>
      <c r="E1430" s="14" t="str">
        <f>SUBSTITUTE(Base_report!E1418,"-","/")</f>
        <v>PNLS/ANTIRETROVIRAUX ET IO</v>
      </c>
      <c r="F1430" s="14" t="s">
        <v>788</v>
      </c>
      <c r="G1430" s="16">
        <f>DATE(YEAR(SUBSTITUTE(LEFT(Base_report!F1418,10),"-","/")),MONTH(SUBSTITUTE(LEFT(Base_report!F1418,10),"-","/")),DAY(SUBSTITUTE(LEFT(Base_report!F1418,10),"-","/")))</f>
        <v>45299</v>
      </c>
      <c r="H1430" s="16">
        <f>DATE(YEAR(SUBSTITUTE(LEFT(Base_report!G1418,10),"-","/")),MONTH(SUBSTITUTE(LEFT(Base_report!G1418,10),"-","/")),DAY(SUBSTITUTE(LEFT(Base_report!G1418,10),"-","/")))</f>
        <v>45302</v>
      </c>
      <c r="I1430" s="17" t="str">
        <f t="shared" si="1"/>
        <v>OUI</v>
      </c>
      <c r="J1430" s="18">
        <f>IF(L1430="DS",DATE(RIGHT(B1430,4),VLOOKUP(LEFT(B1430,LEN(B1430)-5),Feuil1!$E$3:$F$19,2,FALSE)+1,10),DATE(RIGHT(B1430,4),VLOOKUP(LEFT(B1430,LEN(B1430)-5),Feuil1!$E$3:$F$19,2,FALSE)+1,7))</f>
        <v>45301</v>
      </c>
      <c r="K1430" s="19">
        <f t="shared" si="2"/>
        <v>0</v>
      </c>
      <c r="L1430" s="6" t="str">
        <f t="shared" si="3"/>
        <v>DS</v>
      </c>
    </row>
    <row r="1431" ht="14.25" customHeight="1">
      <c r="A1431" s="14" t="str">
        <f>Base_report!A1419</f>
        <v>GBEKE</v>
      </c>
      <c r="B1431" s="14" t="str">
        <f>Base_report!B1419</f>
        <v>DECEMBRE 2023</v>
      </c>
      <c r="C1431" s="15" t="str">
        <f>Base_report!C1419</f>
        <v>C2048</v>
      </c>
      <c r="D1431" s="14" t="str">
        <f>TRIM(IF(ISNUMBER(FIND("PNSME",Base_report!D1419,1)),SUBSTITUTE(Base_report!D1419,"PNSME",""),IF(ISNUMBER(FIND("PHG",Base_report!D1419,1)),SUBSTITUTE(Base_report!D1419,"PHG",""),IF(ISNUMBER(FIND("PCS",Base_report!D1419,1)),SUBSTITUTE(Base_report!D1419,"PCS",""),IF(ISNUMBER(FIND("CMU",Base_report!D1419,1)),SUBSTITUTE(Base_report!D1419,"CMU",""),Base_report!D1419)))))</f>
        <v>DISTRICT SANITAIRE BEOUMI</v>
      </c>
      <c r="E1431" s="14" t="str">
        <f>SUBSTITUTE(Base_report!E1419,"-","/")</f>
        <v>PNLP/MEDICAMENTS ET INTRANTS</v>
      </c>
      <c r="F1431" s="14" t="s">
        <v>788</v>
      </c>
      <c r="G1431" s="16">
        <f>DATE(YEAR(SUBSTITUTE(LEFT(Base_report!F1419,10),"-","/")),MONTH(SUBSTITUTE(LEFT(Base_report!F1419,10),"-","/")),DAY(SUBSTITUTE(LEFT(Base_report!F1419,10),"-","/")))</f>
        <v>45300</v>
      </c>
      <c r="H1431" s="16">
        <f>DATE(YEAR(SUBSTITUTE(LEFT(Base_report!G1419,10),"-","/")),MONTH(SUBSTITUTE(LEFT(Base_report!G1419,10),"-","/")),DAY(SUBSTITUTE(LEFT(Base_report!G1419,10),"-","/")))</f>
        <v>45301</v>
      </c>
      <c r="I1431" s="17" t="str">
        <f t="shared" si="1"/>
        <v>OUI</v>
      </c>
      <c r="J1431" s="18">
        <f>IF(L1431="DS",DATE(RIGHT(B1431,4),VLOOKUP(LEFT(B1431,LEN(B1431)-5),Feuil1!$E$3:$F$19,2,FALSE)+1,10),DATE(RIGHT(B1431,4),VLOOKUP(LEFT(B1431,LEN(B1431)-5),Feuil1!$E$3:$F$19,2,FALSE)+1,7))</f>
        <v>45301</v>
      </c>
      <c r="K1431" s="19">
        <f t="shared" si="2"/>
        <v>1</v>
      </c>
      <c r="L1431" s="6" t="str">
        <f t="shared" si="3"/>
        <v>DS</v>
      </c>
    </row>
    <row r="1432" ht="14.25" customHeight="1">
      <c r="A1432" s="14" t="str">
        <f>Base_report!A1420</f>
        <v>TONKPI</v>
      </c>
      <c r="B1432" s="14" t="str">
        <f>Base_report!B1420</f>
        <v>DECEMBRE 2023</v>
      </c>
      <c r="C1432" s="15" t="str">
        <f>Base_report!C1420</f>
        <v>C5008</v>
      </c>
      <c r="D1432" s="14" t="str">
        <f>TRIM(IF(ISNUMBER(FIND("PNSME",Base_report!D1420,1)),SUBSTITUTE(Base_report!D1420,"PNSME",""),IF(ISNUMBER(FIND("PHG",Base_report!D1420,1)),SUBSTITUTE(Base_report!D1420,"PHG",""),IF(ISNUMBER(FIND("PCS",Base_report!D1420,1)),SUBSTITUTE(Base_report!D1420,"PCS",""),IF(ISNUMBER(FIND("CMU",Base_report!D1420,1)),SUBSTITUTE(Base_report!D1420,"CMU",""),Base_report!D1420)))))</f>
        <v>DISTRICT SANITAIRE BIANKOUMA</v>
      </c>
      <c r="E1432" s="14" t="str">
        <f>SUBSTITUTE(Base_report!E1420,"-","/")</f>
        <v>PNSME/MEDICAMENTS ET INTRANTS</v>
      </c>
      <c r="F1432" s="14" t="s">
        <v>788</v>
      </c>
      <c r="G1432" s="16">
        <f>DATE(YEAR(SUBSTITUTE(LEFT(Base_report!F1420,10),"-","/")),MONTH(SUBSTITUTE(LEFT(Base_report!F1420,10),"-","/")),DAY(SUBSTITUTE(LEFT(Base_report!F1420,10),"-","/")))</f>
        <v>45299</v>
      </c>
      <c r="H1432" s="16">
        <f>DATE(YEAR(SUBSTITUTE(LEFT(Base_report!G1420,10),"-","/")),MONTH(SUBSTITUTE(LEFT(Base_report!G1420,10),"-","/")),DAY(SUBSTITUTE(LEFT(Base_report!G1420,10),"-","/")))</f>
        <v>45300</v>
      </c>
      <c r="I1432" s="17" t="str">
        <f t="shared" si="1"/>
        <v>OUI</v>
      </c>
      <c r="J1432" s="18">
        <f>IF(L1432="DS",DATE(RIGHT(B1432,4),VLOOKUP(LEFT(B1432,LEN(B1432)-5),Feuil1!$E$3:$F$19,2,FALSE)+1,10),DATE(RIGHT(B1432,4),VLOOKUP(LEFT(B1432,LEN(B1432)-5),Feuil1!$E$3:$F$19,2,FALSE)+1,7))</f>
        <v>45301</v>
      </c>
      <c r="K1432" s="19">
        <f t="shared" si="2"/>
        <v>1</v>
      </c>
      <c r="L1432" s="6" t="str">
        <f t="shared" si="3"/>
        <v>DS</v>
      </c>
    </row>
    <row r="1433" ht="14.25" customHeight="1">
      <c r="A1433" s="14" t="str">
        <f>Base_report!A1421</f>
        <v>PORO</v>
      </c>
      <c r="B1433" s="14" t="str">
        <f>Base_report!B1421</f>
        <v>DECEMBRE 2023</v>
      </c>
      <c r="C1433" s="15" t="str">
        <f>Base_report!C1421</f>
        <v>C3056</v>
      </c>
      <c r="D1433" s="14" t="str">
        <f>TRIM(IF(ISNUMBER(FIND("PNSME",Base_report!D1421,1)),SUBSTITUTE(Base_report!D1421,"PNSME",""),IF(ISNUMBER(FIND("PHG",Base_report!D1421,1)),SUBSTITUTE(Base_report!D1421,"PHG",""),IF(ISNUMBER(FIND("PCS",Base_report!D1421,1)),SUBSTITUTE(Base_report!D1421,"PCS",""),IF(ISNUMBER(FIND("CMU",Base_report!D1421,1)),SUBSTITUTE(Base_report!D1421,"CMU",""),Base_report!D1421)))))</f>
        <v>DISTRICT SANITAIRE M'BENGUE</v>
      </c>
      <c r="E1433" s="14" t="str">
        <f>SUBSTITUTE(Base_report!E1421,"-","/")</f>
        <v>PNLS/ANTIRETROVIRAUX ET IO</v>
      </c>
      <c r="F1433" s="14" t="s">
        <v>788</v>
      </c>
      <c r="G1433" s="16">
        <f>DATE(YEAR(SUBSTITUTE(LEFT(Base_report!F1421,10),"-","/")),MONTH(SUBSTITUTE(LEFT(Base_report!F1421,10),"-","/")),DAY(SUBSTITUTE(LEFT(Base_report!F1421,10),"-","/")))</f>
        <v>45299</v>
      </c>
      <c r="H1433" s="16">
        <f>DATE(YEAR(SUBSTITUTE(LEFT(Base_report!G1421,10),"-","/")),MONTH(SUBSTITUTE(LEFT(Base_report!G1421,10),"-","/")),DAY(SUBSTITUTE(LEFT(Base_report!G1421,10),"-","/")))</f>
        <v>45299</v>
      </c>
      <c r="I1433" s="17" t="str">
        <f t="shared" si="1"/>
        <v>OUI</v>
      </c>
      <c r="J1433" s="18">
        <f>IF(L1433="DS",DATE(RIGHT(B1433,4),VLOOKUP(LEFT(B1433,LEN(B1433)-5),Feuil1!$E$3:$F$19,2,FALSE)+1,10),DATE(RIGHT(B1433,4),VLOOKUP(LEFT(B1433,LEN(B1433)-5),Feuil1!$E$3:$F$19,2,FALSE)+1,7))</f>
        <v>45301</v>
      </c>
      <c r="K1433" s="19">
        <f t="shared" si="2"/>
        <v>1</v>
      </c>
      <c r="L1433" s="6" t="str">
        <f t="shared" si="3"/>
        <v>DS</v>
      </c>
    </row>
    <row r="1434" ht="14.25" customHeight="1">
      <c r="A1434" s="14" t="str">
        <f>Base_report!A1422</f>
        <v>ABIDJAN 2</v>
      </c>
      <c r="B1434" s="14" t="str">
        <f>Base_report!B1422</f>
        <v>DECEMBRE 2023</v>
      </c>
      <c r="C1434" s="15" t="str">
        <f>Base_report!C1422</f>
        <v>C1400</v>
      </c>
      <c r="D1434" s="14" t="str">
        <f>TRIM(IF(ISNUMBER(FIND("PNSME",Base_report!D1422,1)),SUBSTITUTE(Base_report!D1422,"PNSME",""),IF(ISNUMBER(FIND("PHG",Base_report!D1422,1)),SUBSTITUTE(Base_report!D1422,"PHG",""),IF(ISNUMBER(FIND("PCS",Base_report!D1422,1)),SUBSTITUTE(Base_report!D1422,"PCS",""),IF(ISNUMBER(FIND("CMU",Base_report!D1422,1)),SUBSTITUTE(Base_report!D1422,"CMU",""),Base_report!D1422)))))</f>
        <v>DISTRICT SANITAIRE COCODY BINGERVILLE</v>
      </c>
      <c r="E1434" s="14" t="str">
        <f>SUBSTITUTE(Base_report!E1422,"-","/")</f>
        <v>PNSME/MEDICAMENTS ET INTRANTS</v>
      </c>
      <c r="F1434" s="14" t="s">
        <v>788</v>
      </c>
      <c r="G1434" s="16">
        <f>DATE(YEAR(SUBSTITUTE(LEFT(Base_report!F1422,10),"-","/")),MONTH(SUBSTITUTE(LEFT(Base_report!F1422,10),"-","/")),DAY(SUBSTITUTE(LEFT(Base_report!F1422,10),"-","/")))</f>
        <v>45299</v>
      </c>
      <c r="H1434" s="16">
        <f>DATE(YEAR(SUBSTITUTE(LEFT(Base_report!G1422,10),"-","/")),MONTH(SUBSTITUTE(LEFT(Base_report!G1422,10),"-","/")),DAY(SUBSTITUTE(LEFT(Base_report!G1422,10),"-","/")))</f>
        <v>45301</v>
      </c>
      <c r="I1434" s="17" t="str">
        <f t="shared" si="1"/>
        <v>OUI</v>
      </c>
      <c r="J1434" s="18">
        <f>IF(L1434="DS",DATE(RIGHT(B1434,4),VLOOKUP(LEFT(B1434,LEN(B1434)-5),Feuil1!$E$3:$F$19,2,FALSE)+1,10),DATE(RIGHT(B1434,4),VLOOKUP(LEFT(B1434,LEN(B1434)-5),Feuil1!$E$3:$F$19,2,FALSE)+1,7))</f>
        <v>45301</v>
      </c>
      <c r="K1434" s="19">
        <f t="shared" si="2"/>
        <v>1</v>
      </c>
      <c r="L1434" s="6" t="str">
        <f t="shared" si="3"/>
        <v>DS</v>
      </c>
    </row>
    <row r="1435" ht="14.25" customHeight="1">
      <c r="A1435" s="14" t="str">
        <f>Base_report!A1423</f>
        <v>WORODOUGOU</v>
      </c>
      <c r="B1435" s="14" t="str">
        <f>Base_report!B1423</f>
        <v>DECEMBRE 2023</v>
      </c>
      <c r="C1435" s="15" t="str">
        <f>Base_report!C1423</f>
        <v>C5072</v>
      </c>
      <c r="D1435" s="14" t="str">
        <f>TRIM(IF(ISNUMBER(FIND("PNSME",Base_report!D1423,1)),SUBSTITUTE(Base_report!D1423,"PNSME",""),IF(ISNUMBER(FIND("PHG",Base_report!D1423,1)),SUBSTITUTE(Base_report!D1423,"PHG",""),IF(ISNUMBER(FIND("PCS",Base_report!D1423,1)),SUBSTITUTE(Base_report!D1423,"PCS",""),IF(ISNUMBER(FIND("CMU",Base_report!D1423,1)),SUBSTITUTE(Base_report!D1423,"CMU",""),Base_report!D1423)))))</f>
        <v>DISTRICT SANITAIRE KANI</v>
      </c>
      <c r="E1435" s="14" t="str">
        <f>SUBSTITUTE(Base_report!E1423,"-","/")</f>
        <v>PNLP/MEDICAMENTS ET INTRANTS</v>
      </c>
      <c r="F1435" s="14" t="s">
        <v>788</v>
      </c>
      <c r="G1435" s="16">
        <f>DATE(YEAR(SUBSTITUTE(LEFT(Base_report!F1423,10),"-","/")),MONTH(SUBSTITUTE(LEFT(Base_report!F1423,10),"-","/")),DAY(SUBSTITUTE(LEFT(Base_report!F1423,10),"-","/")))</f>
        <v>45300</v>
      </c>
      <c r="H1435" s="16">
        <f>DATE(YEAR(SUBSTITUTE(LEFT(Base_report!G1423,10),"-","/")),MONTH(SUBSTITUTE(LEFT(Base_report!G1423,10),"-","/")),DAY(SUBSTITUTE(LEFT(Base_report!G1423,10),"-","/")))</f>
        <v>45300</v>
      </c>
      <c r="I1435" s="17" t="str">
        <f t="shared" si="1"/>
        <v>OUI</v>
      </c>
      <c r="J1435" s="18">
        <f>IF(L1435="DS",DATE(RIGHT(B1435,4),VLOOKUP(LEFT(B1435,LEN(B1435)-5),Feuil1!$E$3:$F$19,2,FALSE)+1,10),DATE(RIGHT(B1435,4),VLOOKUP(LEFT(B1435,LEN(B1435)-5),Feuil1!$E$3:$F$19,2,FALSE)+1,7))</f>
        <v>45301</v>
      </c>
      <c r="K1435" s="19">
        <f t="shared" si="2"/>
        <v>1</v>
      </c>
      <c r="L1435" s="6" t="str">
        <f t="shared" si="3"/>
        <v>DS</v>
      </c>
    </row>
    <row r="1436" ht="14.25" customHeight="1">
      <c r="A1436" s="14" t="str">
        <f>Base_report!A1424</f>
        <v>TONKPI</v>
      </c>
      <c r="B1436" s="14" t="str">
        <f>Base_report!B1424</f>
        <v>DECEMBRE 2023</v>
      </c>
      <c r="C1436" s="15" t="str">
        <f>Base_report!C1424</f>
        <v>C5008</v>
      </c>
      <c r="D1436" s="14" t="str">
        <f>TRIM(IF(ISNUMBER(FIND("PNSME",Base_report!D1424,1)),SUBSTITUTE(Base_report!D1424,"PNSME",""),IF(ISNUMBER(FIND("PHG",Base_report!D1424,1)),SUBSTITUTE(Base_report!D1424,"PHG",""),IF(ISNUMBER(FIND("PCS",Base_report!D1424,1)),SUBSTITUTE(Base_report!D1424,"PCS",""),IF(ISNUMBER(FIND("CMU",Base_report!D1424,1)),SUBSTITUTE(Base_report!D1424,"CMU",""),Base_report!D1424)))))</f>
        <v>DISTRICT SANITAIRE BIANKOUMA</v>
      </c>
      <c r="E1436" s="14" t="str">
        <f>SUBSTITUTE(Base_report!E1424,"-","/")</f>
        <v>PNN/MEDICAMENTS ET INTRANTS</v>
      </c>
      <c r="F1436" s="14" t="s">
        <v>788</v>
      </c>
      <c r="G1436" s="16">
        <f>DATE(YEAR(SUBSTITUTE(LEFT(Base_report!F1424,10),"-","/")),MONTH(SUBSTITUTE(LEFT(Base_report!F1424,10),"-","/")),DAY(SUBSTITUTE(LEFT(Base_report!F1424,10),"-","/")))</f>
        <v>45299</v>
      </c>
      <c r="H1436" s="16">
        <f>DATE(YEAR(SUBSTITUTE(LEFT(Base_report!G1424,10),"-","/")),MONTH(SUBSTITUTE(LEFT(Base_report!G1424,10),"-","/")),DAY(SUBSTITUTE(LEFT(Base_report!G1424,10),"-","/")))</f>
        <v>45300</v>
      </c>
      <c r="I1436" s="17" t="str">
        <f t="shared" si="1"/>
        <v>OUI</v>
      </c>
      <c r="J1436" s="18">
        <f>IF(L1436="DS",DATE(RIGHT(B1436,4),VLOOKUP(LEFT(B1436,LEN(B1436)-5),Feuil1!$E$3:$F$19,2,FALSE)+1,10),DATE(RIGHT(B1436,4),VLOOKUP(LEFT(B1436,LEN(B1436)-5),Feuil1!$E$3:$F$19,2,FALSE)+1,7))</f>
        <v>45301</v>
      </c>
      <c r="K1436" s="19">
        <f t="shared" si="2"/>
        <v>1</v>
      </c>
      <c r="L1436" s="6" t="str">
        <f t="shared" si="3"/>
        <v>DS</v>
      </c>
    </row>
    <row r="1437" ht="14.25" customHeight="1">
      <c r="A1437" s="14" t="str">
        <f>Base_report!A1425</f>
        <v>GOH</v>
      </c>
      <c r="B1437" s="14" t="str">
        <f>Base_report!B1425</f>
        <v>DECEMBRE 2023</v>
      </c>
      <c r="C1437" s="15" t="str">
        <f>Base_report!C1425</f>
        <v>C2029</v>
      </c>
      <c r="D1437" s="14" t="str">
        <f>TRIM(IF(ISNUMBER(FIND("PNSME",Base_report!D1425,1)),SUBSTITUTE(Base_report!D1425,"PNSME",""),IF(ISNUMBER(FIND("PHG",Base_report!D1425,1)),SUBSTITUTE(Base_report!D1425,"PHG",""),IF(ISNUMBER(FIND("PCS",Base_report!D1425,1)),SUBSTITUTE(Base_report!D1425,"PCS",""),IF(ISNUMBER(FIND("CMU",Base_report!D1425,1)),SUBSTITUTE(Base_report!D1425,"CMU",""),Base_report!D1425)))))</f>
        <v>DISTRICT SANITAIRE GAGNOA</v>
      </c>
      <c r="E1437" s="14" t="str">
        <f>SUBSTITUTE(Base_report!E1425,"-","/")</f>
        <v>PNSME/MEDICAMENTS ET INTRANTS</v>
      </c>
      <c r="F1437" s="14" t="s">
        <v>788</v>
      </c>
      <c r="G1437" s="16">
        <f>DATE(YEAR(SUBSTITUTE(LEFT(Base_report!F1425,10),"-","/")),MONTH(SUBSTITUTE(LEFT(Base_report!F1425,10),"-","/")),DAY(SUBSTITUTE(LEFT(Base_report!F1425,10),"-","/")))</f>
        <v>45300</v>
      </c>
      <c r="H1437" s="16">
        <f>DATE(YEAR(SUBSTITUTE(LEFT(Base_report!G1425,10),"-","/")),MONTH(SUBSTITUTE(LEFT(Base_report!G1425,10),"-","/")),DAY(SUBSTITUTE(LEFT(Base_report!G1425,10),"-","/")))</f>
        <v>45300</v>
      </c>
      <c r="I1437" s="17" t="str">
        <f t="shared" si="1"/>
        <v>OUI</v>
      </c>
      <c r="J1437" s="18">
        <f>IF(L1437="DS",DATE(RIGHT(B1437,4),VLOOKUP(LEFT(B1437,LEN(B1437)-5),Feuil1!$E$3:$F$19,2,FALSE)+1,10),DATE(RIGHT(B1437,4),VLOOKUP(LEFT(B1437,LEN(B1437)-5),Feuil1!$E$3:$F$19,2,FALSE)+1,7))</f>
        <v>45301</v>
      </c>
      <c r="K1437" s="19">
        <f t="shared" si="2"/>
        <v>1</v>
      </c>
      <c r="L1437" s="6" t="str">
        <f t="shared" si="3"/>
        <v>DS</v>
      </c>
    </row>
    <row r="1438" ht="14.25" customHeight="1">
      <c r="A1438" s="14" t="str">
        <f>Base_report!A1426</f>
        <v>BELIER</v>
      </c>
      <c r="B1438" s="14" t="str">
        <f>Base_report!B1426</f>
        <v>DECEMBRE 2023</v>
      </c>
      <c r="C1438" s="15" t="str">
        <f>Base_report!C1426</f>
        <v>C2042</v>
      </c>
      <c r="D1438" s="14" t="str">
        <f>TRIM(IF(ISNUMBER(FIND("PNSME",Base_report!D1426,1)),SUBSTITUTE(Base_report!D1426,"PNSME",""),IF(ISNUMBER(FIND("PHG",Base_report!D1426,1)),SUBSTITUTE(Base_report!D1426,"PHG",""),IF(ISNUMBER(FIND("PCS",Base_report!D1426,1)),SUBSTITUTE(Base_report!D1426,"PCS",""),IF(ISNUMBER(FIND("CMU",Base_report!D1426,1)),SUBSTITUTE(Base_report!D1426,"CMU",""),Base_report!D1426)))))</f>
        <v>DISTRICT SANITAIRE TIEBISSOU</v>
      </c>
      <c r="E1438" s="14" t="str">
        <f>SUBSTITUTE(Base_report!E1426,"-","/")</f>
        <v>PNN/MEDICAMENTS ET INTRANTS</v>
      </c>
      <c r="F1438" s="14" t="s">
        <v>788</v>
      </c>
      <c r="G1438" s="16">
        <f>DATE(YEAR(SUBSTITUTE(LEFT(Base_report!F1426,10),"-","/")),MONTH(SUBSTITUTE(LEFT(Base_report!F1426,10),"-","/")),DAY(SUBSTITUTE(LEFT(Base_report!F1426,10),"-","/")))</f>
        <v>45300</v>
      </c>
      <c r="H1438" s="16">
        <f>DATE(YEAR(SUBSTITUTE(LEFT(Base_report!G1426,10),"-","/")),MONTH(SUBSTITUTE(LEFT(Base_report!G1426,10),"-","/")),DAY(SUBSTITUTE(LEFT(Base_report!G1426,10),"-","/")))</f>
        <v>45300</v>
      </c>
      <c r="I1438" s="17" t="str">
        <f t="shared" si="1"/>
        <v>OUI</v>
      </c>
      <c r="J1438" s="18">
        <f>IF(L1438="DS",DATE(RIGHT(B1438,4),VLOOKUP(LEFT(B1438,LEN(B1438)-5),Feuil1!$E$3:$F$19,2,FALSE)+1,10),DATE(RIGHT(B1438,4),VLOOKUP(LEFT(B1438,LEN(B1438)-5),Feuil1!$E$3:$F$19,2,FALSE)+1,7))</f>
        <v>45301</v>
      </c>
      <c r="K1438" s="19">
        <f t="shared" si="2"/>
        <v>1</v>
      </c>
      <c r="L1438" s="6" t="str">
        <f t="shared" si="3"/>
        <v>DS</v>
      </c>
    </row>
    <row r="1439" ht="14.25" customHeight="1">
      <c r="A1439" s="14" t="str">
        <f>Base_report!A1427</f>
        <v>ABIDJAN 2</v>
      </c>
      <c r="B1439" s="14" t="str">
        <f>Base_report!B1427</f>
        <v>DECEMBRE 2023</v>
      </c>
      <c r="C1439" s="15" t="str">
        <f>Base_report!C1427</f>
        <v>C1400</v>
      </c>
      <c r="D1439" s="14" t="str">
        <f>TRIM(IF(ISNUMBER(FIND("PNSME",Base_report!D1427,1)),SUBSTITUTE(Base_report!D1427,"PNSME",""),IF(ISNUMBER(FIND("PHG",Base_report!D1427,1)),SUBSTITUTE(Base_report!D1427,"PHG",""),IF(ISNUMBER(FIND("PCS",Base_report!D1427,1)),SUBSTITUTE(Base_report!D1427,"PCS",""),IF(ISNUMBER(FIND("CMU",Base_report!D1427,1)),SUBSTITUTE(Base_report!D1427,"CMU",""),Base_report!D1427)))))</f>
        <v>DISTRICT SANITAIRE COCODY BINGERVILLE</v>
      </c>
      <c r="E1439" s="14" t="str">
        <f>SUBSTITUTE(Base_report!E1427,"-","/")</f>
        <v>PNN/MEDICAMENTS ET INTRANTS</v>
      </c>
      <c r="F1439" s="14" t="s">
        <v>788</v>
      </c>
      <c r="G1439" s="16">
        <f>DATE(YEAR(SUBSTITUTE(LEFT(Base_report!F1427,10),"-","/")),MONTH(SUBSTITUTE(LEFT(Base_report!F1427,10),"-","/")),DAY(SUBSTITUTE(LEFT(Base_report!F1427,10),"-","/")))</f>
        <v>45300</v>
      </c>
      <c r="H1439" s="16">
        <f>DATE(YEAR(SUBSTITUTE(LEFT(Base_report!G1427,10),"-","/")),MONTH(SUBSTITUTE(LEFT(Base_report!G1427,10),"-","/")),DAY(SUBSTITUTE(LEFT(Base_report!G1427,10),"-","/")))</f>
        <v>45301</v>
      </c>
      <c r="I1439" s="17" t="str">
        <f t="shared" si="1"/>
        <v>OUI</v>
      </c>
      <c r="J1439" s="18">
        <f>IF(L1439="DS",DATE(RIGHT(B1439,4),VLOOKUP(LEFT(B1439,LEN(B1439)-5),Feuil1!$E$3:$F$19,2,FALSE)+1,10),DATE(RIGHT(B1439,4),VLOOKUP(LEFT(B1439,LEN(B1439)-5),Feuil1!$E$3:$F$19,2,FALSE)+1,7))</f>
        <v>45301</v>
      </c>
      <c r="K1439" s="19">
        <f t="shared" si="2"/>
        <v>1</v>
      </c>
      <c r="L1439" s="6" t="str">
        <f t="shared" si="3"/>
        <v>DS</v>
      </c>
    </row>
    <row r="1440" ht="14.25" customHeight="1">
      <c r="A1440" s="14" t="str">
        <f>Base_report!A1428</f>
        <v>HAMBOL</v>
      </c>
      <c r="B1440" s="14" t="str">
        <f>Base_report!B1428</f>
        <v>DECEMBRE 2023</v>
      </c>
      <c r="C1440" s="15" t="str">
        <f>Base_report!C1428</f>
        <v>C3005</v>
      </c>
      <c r="D1440" s="14" t="str">
        <f>TRIM(IF(ISNUMBER(FIND("PNSME",Base_report!D1428,1)),SUBSTITUTE(Base_report!D1428,"PNSME",""),IF(ISNUMBER(FIND("PHG",Base_report!D1428,1)),SUBSTITUTE(Base_report!D1428,"PHG",""),IF(ISNUMBER(FIND("PCS",Base_report!D1428,1)),SUBSTITUTE(Base_report!D1428,"PCS",""),IF(ISNUMBER(FIND("CMU",Base_report!D1428,1)),SUBSTITUTE(Base_report!D1428,"CMU",""),Base_report!D1428)))))</f>
        <v>DISTRICT SANITAIRE KATIOLA</v>
      </c>
      <c r="E1440" s="14" t="str">
        <f>SUBSTITUTE(Base_report!E1428,"-","/")</f>
        <v>PNLS/TESTS RAPIDES ET CONSOMMABLES</v>
      </c>
      <c r="F1440" s="14" t="s">
        <v>788</v>
      </c>
      <c r="G1440" s="16">
        <f>DATE(YEAR(SUBSTITUTE(LEFT(Base_report!F1428,10),"-","/")),MONTH(SUBSTITUTE(LEFT(Base_report!F1428,10),"-","/")),DAY(SUBSTITUTE(LEFT(Base_report!F1428,10),"-","/")))</f>
        <v>45301</v>
      </c>
      <c r="H1440" s="16">
        <f>DATE(YEAR(SUBSTITUTE(LEFT(Base_report!G1428,10),"-","/")),MONTH(SUBSTITUTE(LEFT(Base_report!G1428,10),"-","/")),DAY(SUBSTITUTE(LEFT(Base_report!G1428,10),"-","/")))</f>
        <v>45301</v>
      </c>
      <c r="I1440" s="17" t="str">
        <f t="shared" si="1"/>
        <v>OUI</v>
      </c>
      <c r="J1440" s="18">
        <f>IF(L1440="DS",DATE(RIGHT(B1440,4),VLOOKUP(LEFT(B1440,LEN(B1440)-5),Feuil1!$E$3:$F$19,2,FALSE)+1,10),DATE(RIGHT(B1440,4),VLOOKUP(LEFT(B1440,LEN(B1440)-5),Feuil1!$E$3:$F$19,2,FALSE)+1,7))</f>
        <v>45301</v>
      </c>
      <c r="K1440" s="19">
        <f t="shared" si="2"/>
        <v>1</v>
      </c>
      <c r="L1440" s="6" t="str">
        <f t="shared" si="3"/>
        <v>DS</v>
      </c>
    </row>
    <row r="1441" ht="14.25" customHeight="1">
      <c r="A1441" s="14" t="str">
        <f>Base_report!A1429</f>
        <v>N'ZI</v>
      </c>
      <c r="B1441" s="14" t="str">
        <f>Base_report!B1429</f>
        <v>DECEMBRE 2023</v>
      </c>
      <c r="C1441" s="15" t="str">
        <f>Base_report!C1429</f>
        <v>C2019</v>
      </c>
      <c r="D1441" s="14" t="str">
        <f>TRIM(IF(ISNUMBER(FIND("PNSME",Base_report!D1429,1)),SUBSTITUTE(Base_report!D1429,"PNSME",""),IF(ISNUMBER(FIND("PHG",Base_report!D1429,1)),SUBSTITUTE(Base_report!D1429,"PHG",""),IF(ISNUMBER(FIND("PCS",Base_report!D1429,1)),SUBSTITUTE(Base_report!D1429,"PCS",""),IF(ISNUMBER(FIND("CMU",Base_report!D1429,1)),SUBSTITUTE(Base_report!D1429,"CMU",""),Base_report!D1429)))))</f>
        <v>DISTRICT SANITAIRE BOCANDA</v>
      </c>
      <c r="E1441" s="14" t="str">
        <f>SUBSTITUTE(Base_report!E1429,"-","/")</f>
        <v>PNLS/ANTIRETROVIRAUX ET IO</v>
      </c>
      <c r="F1441" s="14" t="s">
        <v>788</v>
      </c>
      <c r="G1441" s="16">
        <f>DATE(YEAR(SUBSTITUTE(LEFT(Base_report!F1429,10),"-","/")),MONTH(SUBSTITUTE(LEFT(Base_report!F1429,10),"-","/")),DAY(SUBSTITUTE(LEFT(Base_report!F1429,10),"-","/")))</f>
        <v>45301</v>
      </c>
      <c r="H1441" s="16">
        <f>DATE(YEAR(SUBSTITUTE(LEFT(Base_report!G1429,10),"-","/")),MONTH(SUBSTITUTE(LEFT(Base_report!G1429,10),"-","/")),DAY(SUBSTITUTE(LEFT(Base_report!G1429,10),"-","/")))</f>
        <v>45301</v>
      </c>
      <c r="I1441" s="17" t="str">
        <f t="shared" si="1"/>
        <v>OUI</v>
      </c>
      <c r="J1441" s="18">
        <f>IF(L1441="DS",DATE(RIGHT(B1441,4),VLOOKUP(LEFT(B1441,LEN(B1441)-5),Feuil1!$E$3:$F$19,2,FALSE)+1,10),DATE(RIGHT(B1441,4),VLOOKUP(LEFT(B1441,LEN(B1441)-5),Feuil1!$E$3:$F$19,2,FALSE)+1,7))</f>
        <v>45301</v>
      </c>
      <c r="K1441" s="19">
        <f t="shared" si="2"/>
        <v>1</v>
      </c>
      <c r="L1441" s="6" t="str">
        <f t="shared" si="3"/>
        <v>DS</v>
      </c>
    </row>
    <row r="1442" ht="14.25" customHeight="1">
      <c r="A1442" s="14" t="str">
        <f>Base_report!A1430</f>
        <v>ME</v>
      </c>
      <c r="B1442" s="14" t="str">
        <f>Base_report!B1430</f>
        <v>DECEMBRE 2023</v>
      </c>
      <c r="C1442" s="15" t="str">
        <f>Base_report!C1430</f>
        <v>C4059</v>
      </c>
      <c r="D1442" s="14" t="str">
        <f>TRIM(IF(ISNUMBER(FIND("PNSME",Base_report!D1430,1)),SUBSTITUTE(Base_report!D1430,"PNSME",""),IF(ISNUMBER(FIND("PHG",Base_report!D1430,1)),SUBSTITUTE(Base_report!D1430,"PHG",""),IF(ISNUMBER(FIND("PCS",Base_report!D1430,1)),SUBSTITUTE(Base_report!D1430,"PCS",""),IF(ISNUMBER(FIND("CMU",Base_report!D1430,1)),SUBSTITUTE(Base_report!D1430,"CMU",""),Base_report!D1430)))))</f>
        <v>DISTRICT SANITAIRE YAKASSE-ATTOBROU</v>
      </c>
      <c r="E1442" s="14" t="str">
        <f>SUBSTITUTE(Base_report!E1430,"-","/")</f>
        <v>PNLP/MEDICAMENTS ET INTRANTS</v>
      </c>
      <c r="F1442" s="14" t="s">
        <v>788</v>
      </c>
      <c r="G1442" s="16">
        <f>DATE(YEAR(SUBSTITUTE(LEFT(Base_report!F1430,10),"-","/")),MONTH(SUBSTITUTE(LEFT(Base_report!F1430,10),"-","/")),DAY(SUBSTITUTE(LEFT(Base_report!F1430,10),"-","/")))</f>
        <v>45299</v>
      </c>
      <c r="H1442" s="16">
        <f>DATE(YEAR(SUBSTITUTE(LEFT(Base_report!G1430,10),"-","/")),MONTH(SUBSTITUTE(LEFT(Base_report!G1430,10),"-","/")),DAY(SUBSTITUTE(LEFT(Base_report!G1430,10),"-","/")))</f>
        <v>45299</v>
      </c>
      <c r="I1442" s="17" t="str">
        <f t="shared" si="1"/>
        <v>OUI</v>
      </c>
      <c r="J1442" s="18">
        <f>IF(L1442="DS",DATE(RIGHT(B1442,4),VLOOKUP(LEFT(B1442,LEN(B1442)-5),Feuil1!$E$3:$F$19,2,FALSE)+1,10),DATE(RIGHT(B1442,4),VLOOKUP(LEFT(B1442,LEN(B1442)-5),Feuil1!$E$3:$F$19,2,FALSE)+1,7))</f>
        <v>45301</v>
      </c>
      <c r="K1442" s="19">
        <f t="shared" si="2"/>
        <v>1</v>
      </c>
      <c r="L1442" s="6" t="str">
        <f t="shared" si="3"/>
        <v>DS</v>
      </c>
    </row>
    <row r="1443" ht="14.25" customHeight="1">
      <c r="A1443" s="14" t="str">
        <f>Base_report!#REF!</f>
        <v>#ERROR!</v>
      </c>
      <c r="B1443" s="14" t="str">
        <f>Base_report!#REF!</f>
        <v>#ERROR!</v>
      </c>
      <c r="C1443" s="15" t="str">
        <f>Base_report!#REF!</f>
        <v>#ERROR!</v>
      </c>
      <c r="D1443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443" s="14" t="str">
        <f>SUBSTITUTE(Base_report!#REF!,"-","/")</f>
        <v>#ERROR!</v>
      </c>
      <c r="F1443" s="14" t="s">
        <v>788</v>
      </c>
      <c r="G1443" s="16" t="str">
        <f>DATE(YEAR(SUBSTITUTE(LEFT(Base_report!#REF!,10),"-","/")),MONTH(SUBSTITUTE(LEFT(Base_report!#REF!,10),"-","/")),DAY(SUBSTITUTE(LEFT(Base_report!#REF!,10),"-","/")))</f>
        <v>#ERROR!</v>
      </c>
      <c r="H1443" s="16" t="str">
        <f>DATE(YEAR(SUBSTITUTE(LEFT(Base_report!#REF!,10),"-","/")),MONTH(SUBSTITUTE(LEFT(Base_report!#REF!,10),"-","/")),DAY(SUBSTITUTE(LEFT(Base_report!#REF!,10),"-","/")))</f>
        <v>#ERROR!</v>
      </c>
      <c r="I1443" s="17" t="str">
        <f t="shared" si="1"/>
        <v>OUI</v>
      </c>
      <c r="J1443" s="18" t="str">
        <f>IF(L1443="DS",DATE(RIGHT(B1443,4),VLOOKUP(LEFT(B1443,LEN(B1443)-5),Feuil1!$E$3:$F$19,2,FALSE)+1,10),DATE(RIGHT(B1443,4),VLOOKUP(LEFT(B1443,LEN(B1443)-5),Feuil1!$E$3:$F$19,2,FALSE)+1,7))</f>
        <v>#ERROR!</v>
      </c>
      <c r="K1443" s="19" t="str">
        <f t="shared" si="2"/>
        <v>#ERROR!</v>
      </c>
      <c r="L1443" s="6" t="str">
        <f t="shared" si="3"/>
        <v>FS</v>
      </c>
    </row>
    <row r="1444" ht="14.25" customHeight="1">
      <c r="A1444" s="14" t="str">
        <f>Base_report!A1431</f>
        <v>HAMBOL</v>
      </c>
      <c r="B1444" s="14" t="str">
        <f>Base_report!B1431</f>
        <v>DECEMBRE 2023</v>
      </c>
      <c r="C1444" s="15" t="str">
        <f>Base_report!C1431</f>
        <v>C3005</v>
      </c>
      <c r="D1444" s="14" t="str">
        <f>TRIM(IF(ISNUMBER(FIND("PNSME",Base_report!D1431,1)),SUBSTITUTE(Base_report!D1431,"PNSME",""),IF(ISNUMBER(FIND("PHG",Base_report!D1431,1)),SUBSTITUTE(Base_report!D1431,"PHG",""),IF(ISNUMBER(FIND("PCS",Base_report!D1431,1)),SUBSTITUTE(Base_report!D1431,"PCS",""),IF(ISNUMBER(FIND("CMU",Base_report!D1431,1)),SUBSTITUTE(Base_report!D1431,"CMU",""),Base_report!D1431)))))</f>
        <v>DISTRICT SANITAIRE KATIOLA</v>
      </c>
      <c r="E1444" s="14" t="str">
        <f>SUBSTITUTE(Base_report!E1431,"-","/")</f>
        <v>PNN/MEDICAMENTS ET INTRANTS</v>
      </c>
      <c r="F1444" s="14" t="s">
        <v>788</v>
      </c>
      <c r="G1444" s="16">
        <f>DATE(YEAR(SUBSTITUTE(LEFT(Base_report!F1431,10),"-","/")),MONTH(SUBSTITUTE(LEFT(Base_report!F1431,10),"-","/")),DAY(SUBSTITUTE(LEFT(Base_report!F1431,10),"-","/")))</f>
        <v>45301</v>
      </c>
      <c r="H1444" s="16">
        <f>DATE(YEAR(SUBSTITUTE(LEFT(Base_report!G1431,10),"-","/")),MONTH(SUBSTITUTE(LEFT(Base_report!G1431,10),"-","/")),DAY(SUBSTITUTE(LEFT(Base_report!G1431,10),"-","/")))</f>
        <v>45301</v>
      </c>
      <c r="I1444" s="17" t="str">
        <f t="shared" si="1"/>
        <v>OUI</v>
      </c>
      <c r="J1444" s="18">
        <f>IF(L1444="DS",DATE(RIGHT(B1444,4),VLOOKUP(LEFT(B1444,LEN(B1444)-5),Feuil1!$E$3:$F$19,2,FALSE)+1,10),DATE(RIGHT(B1444,4),VLOOKUP(LEFT(B1444,LEN(B1444)-5),Feuil1!$E$3:$F$19,2,FALSE)+1,7))</f>
        <v>45301</v>
      </c>
      <c r="K1444" s="19">
        <f t="shared" si="2"/>
        <v>1</v>
      </c>
      <c r="L1444" s="6" t="str">
        <f t="shared" si="3"/>
        <v>DS</v>
      </c>
    </row>
    <row r="1445" ht="14.25" customHeight="1">
      <c r="A1445" s="14" t="str">
        <f>Base_report!A1432</f>
        <v>GBEKE</v>
      </c>
      <c r="B1445" s="14" t="str">
        <f>Base_report!B1432</f>
        <v>DECEMBRE 2023</v>
      </c>
      <c r="C1445" s="15" t="str">
        <f>Base_report!C1432</f>
        <v>C2022</v>
      </c>
      <c r="D1445" s="14" t="str">
        <f>TRIM(IF(ISNUMBER(FIND("PNSME",Base_report!D1432,1)),SUBSTITUTE(Base_report!D1432,"PNSME",""),IF(ISNUMBER(FIND("PHG",Base_report!D1432,1)),SUBSTITUTE(Base_report!D1432,"PHG",""),IF(ISNUMBER(FIND("PCS",Base_report!D1432,1)),SUBSTITUTE(Base_report!D1432,"PCS",""),IF(ISNUMBER(FIND("CMU",Base_report!D1432,1)),SUBSTITUTE(Base_report!D1432,"CMU",""),Base_report!D1432)))))</f>
        <v>DISTRICT SANITAIRE BOUAKE EST</v>
      </c>
      <c r="E1445" s="14" t="str">
        <f>SUBSTITUTE(Base_report!E1432,"-","/")</f>
        <v>PNSME/MEDICAMENTS ET INTRANTS</v>
      </c>
      <c r="F1445" s="14" t="s">
        <v>788</v>
      </c>
      <c r="G1445" s="16">
        <f>DATE(YEAR(SUBSTITUTE(LEFT(Base_report!F1432,10),"-","/")),MONTH(SUBSTITUTE(LEFT(Base_report!F1432,10),"-","/")),DAY(SUBSTITUTE(LEFT(Base_report!F1432,10),"-","/")))</f>
        <v>45300</v>
      </c>
      <c r="H1445" s="16">
        <f>DATE(YEAR(SUBSTITUTE(LEFT(Base_report!G1432,10),"-","/")),MONTH(SUBSTITUTE(LEFT(Base_report!G1432,10),"-","/")),DAY(SUBSTITUTE(LEFT(Base_report!G1432,10),"-","/")))</f>
        <v>45300</v>
      </c>
      <c r="I1445" s="17" t="str">
        <f t="shared" si="1"/>
        <v>OUI</v>
      </c>
      <c r="J1445" s="18">
        <f>IF(L1445="DS",DATE(RIGHT(B1445,4),VLOOKUP(LEFT(B1445,LEN(B1445)-5),Feuil1!$E$3:$F$19,2,FALSE)+1,10),DATE(RIGHT(B1445,4),VLOOKUP(LEFT(B1445,LEN(B1445)-5),Feuil1!$E$3:$F$19,2,FALSE)+1,7))</f>
        <v>45301</v>
      </c>
      <c r="K1445" s="19">
        <f t="shared" si="2"/>
        <v>1</v>
      </c>
      <c r="L1445" s="6" t="str">
        <f t="shared" si="3"/>
        <v>DS</v>
      </c>
    </row>
    <row r="1446" ht="14.25" customHeight="1">
      <c r="A1446" s="14" t="str">
        <f>Base_report!A1433</f>
        <v>ABIDJAN 1</v>
      </c>
      <c r="B1446" s="14" t="str">
        <f>Base_report!B1433</f>
        <v>DECEMBRE 2023</v>
      </c>
      <c r="C1446" s="15" t="str">
        <f>Base_report!C1433</f>
        <v>C1028</v>
      </c>
      <c r="D1446" s="14" t="str">
        <f>TRIM(IF(ISNUMBER(FIND("PNSME",Base_report!D1433,1)),SUBSTITUTE(Base_report!D1433,"PNSME",""),IF(ISNUMBER(FIND("PHG",Base_report!D1433,1)),SUBSTITUTE(Base_report!D1433,"PHG",""),IF(ISNUMBER(FIND("PCS",Base_report!D1433,1)),SUBSTITUTE(Base_report!D1433,"PCS",""),IF(ISNUMBER(FIND("CMU",Base_report!D1433,1)),SUBSTITUTE(Base_report!D1433,"CMU",""),Base_report!D1433)))))</f>
        <v>CSU COM NIANGON LOKOA</v>
      </c>
      <c r="E1446" s="14" t="str">
        <f>SUBSTITUTE(Base_report!E1433,"-","/")</f>
        <v>PNSME_GRATUITE:MEDICAMENTS ET INTRANTS</v>
      </c>
      <c r="F1446" s="14" t="s">
        <v>788</v>
      </c>
      <c r="G1446" s="16">
        <f>DATE(YEAR(SUBSTITUTE(LEFT(Base_report!F1433,10),"-","/")),MONTH(SUBSTITUTE(LEFT(Base_report!F1433,10),"-","/")),DAY(SUBSTITUTE(LEFT(Base_report!F1433,10),"-","/")))</f>
        <v>45299</v>
      </c>
      <c r="H1446" s="16">
        <f>DATE(YEAR(SUBSTITUTE(LEFT(Base_report!G1433,10),"-","/")),MONTH(SUBSTITUTE(LEFT(Base_report!G1433,10),"-","/")),DAY(SUBSTITUTE(LEFT(Base_report!G1433,10),"-","/")))</f>
        <v>45299</v>
      </c>
      <c r="I1446" s="17" t="str">
        <f t="shared" si="1"/>
        <v>OUI</v>
      </c>
      <c r="J1446" s="18">
        <f>IF(L1446="DS",DATE(RIGHT(B1446,4),VLOOKUP(LEFT(B1446,LEN(B1446)-5),Feuil1!$E$3:$F$19,2,FALSE)+1,10),DATE(RIGHT(B1446,4),VLOOKUP(LEFT(B1446,LEN(B1446)-5),Feuil1!$E$3:$F$19,2,FALSE)+1,7))</f>
        <v>45298</v>
      </c>
      <c r="K1446" s="19">
        <f t="shared" si="2"/>
        <v>0</v>
      </c>
      <c r="L1446" s="6" t="str">
        <f t="shared" si="3"/>
        <v>FS</v>
      </c>
    </row>
    <row r="1447" ht="14.25" customHeight="1">
      <c r="A1447" s="14" t="str">
        <f>Base_report!A1434</f>
        <v>ME</v>
      </c>
      <c r="B1447" s="14" t="str">
        <f>Base_report!B1434</f>
        <v>DECEMBRE 2023</v>
      </c>
      <c r="C1447" s="15" t="str">
        <f>Base_report!C1434</f>
        <v>C4059</v>
      </c>
      <c r="D1447" s="14" t="str">
        <f>TRIM(IF(ISNUMBER(FIND("PNSME",Base_report!D1434,1)),SUBSTITUTE(Base_report!D1434,"PNSME",""),IF(ISNUMBER(FIND("PHG",Base_report!D1434,1)),SUBSTITUTE(Base_report!D1434,"PHG",""),IF(ISNUMBER(FIND("PCS",Base_report!D1434,1)),SUBSTITUTE(Base_report!D1434,"PCS",""),IF(ISNUMBER(FIND("CMU",Base_report!D1434,1)),SUBSTITUTE(Base_report!D1434,"CMU",""),Base_report!D1434)))))</f>
        <v>DISTRICT SANITAIRE YAKASSE-ATTOBROU</v>
      </c>
      <c r="E1447" s="14" t="str">
        <f>SUBSTITUTE(Base_report!E1434,"-","/")</f>
        <v>PNLS/ANTIRETROVIRAUX ET IO</v>
      </c>
      <c r="F1447" s="14" t="s">
        <v>788</v>
      </c>
      <c r="G1447" s="16">
        <f>DATE(YEAR(SUBSTITUTE(LEFT(Base_report!F1434,10),"-","/")),MONTH(SUBSTITUTE(LEFT(Base_report!F1434,10),"-","/")),DAY(SUBSTITUTE(LEFT(Base_report!F1434,10),"-","/")))</f>
        <v>45299</v>
      </c>
      <c r="H1447" s="16">
        <f>DATE(YEAR(SUBSTITUTE(LEFT(Base_report!G1434,10),"-","/")),MONTH(SUBSTITUTE(LEFT(Base_report!G1434,10),"-","/")),DAY(SUBSTITUTE(LEFT(Base_report!G1434,10),"-","/")))</f>
        <v>45299</v>
      </c>
      <c r="I1447" s="17" t="str">
        <f t="shared" si="1"/>
        <v>OUI</v>
      </c>
      <c r="J1447" s="18">
        <f>IF(L1447="DS",DATE(RIGHT(B1447,4),VLOOKUP(LEFT(B1447,LEN(B1447)-5),Feuil1!$E$3:$F$19,2,FALSE)+1,10),DATE(RIGHT(B1447,4),VLOOKUP(LEFT(B1447,LEN(B1447)-5),Feuil1!$E$3:$F$19,2,FALSE)+1,7))</f>
        <v>45301</v>
      </c>
      <c r="K1447" s="19">
        <f t="shared" si="2"/>
        <v>1</v>
      </c>
      <c r="L1447" s="6" t="str">
        <f t="shared" si="3"/>
        <v>DS</v>
      </c>
    </row>
    <row r="1448" ht="14.25" customHeight="1">
      <c r="A1448" s="14" t="str">
        <f>Base_report!A1435</f>
        <v>ME</v>
      </c>
      <c r="B1448" s="14" t="str">
        <f>Base_report!B1435</f>
        <v>DECEMBRE 2023</v>
      </c>
      <c r="C1448" s="15" t="str">
        <f>Base_report!C1435</f>
        <v>C4059</v>
      </c>
      <c r="D1448" s="14" t="str">
        <f>TRIM(IF(ISNUMBER(FIND("PNSME",Base_report!D1435,1)),SUBSTITUTE(Base_report!D1435,"PNSME",""),IF(ISNUMBER(FIND("PHG",Base_report!D1435,1)),SUBSTITUTE(Base_report!D1435,"PHG",""),IF(ISNUMBER(FIND("PCS",Base_report!D1435,1)),SUBSTITUTE(Base_report!D1435,"PCS",""),IF(ISNUMBER(FIND("CMU",Base_report!D1435,1)),SUBSTITUTE(Base_report!D1435,"CMU",""),Base_report!D1435)))))</f>
        <v>DISTRICT SANITAIRE YAKASSE-ATTOBROU</v>
      </c>
      <c r="E1448" s="14" t="str">
        <f>SUBSTITUTE(Base_report!E1435,"-","/")</f>
        <v>PNLS/TESTS RAPIDES ET CONSOMMABLES</v>
      </c>
      <c r="F1448" s="14" t="s">
        <v>788</v>
      </c>
      <c r="G1448" s="16">
        <f>DATE(YEAR(SUBSTITUTE(LEFT(Base_report!F1435,10),"-","/")),MONTH(SUBSTITUTE(LEFT(Base_report!F1435,10),"-","/")),DAY(SUBSTITUTE(LEFT(Base_report!F1435,10),"-","/")))</f>
        <v>45299</v>
      </c>
      <c r="H1448" s="16">
        <f>DATE(YEAR(SUBSTITUTE(LEFT(Base_report!G1435,10),"-","/")),MONTH(SUBSTITUTE(LEFT(Base_report!G1435,10),"-","/")),DAY(SUBSTITUTE(LEFT(Base_report!G1435,10),"-","/")))</f>
        <v>45299</v>
      </c>
      <c r="I1448" s="17" t="str">
        <f t="shared" si="1"/>
        <v>OUI</v>
      </c>
      <c r="J1448" s="18">
        <f>IF(L1448="DS",DATE(RIGHT(B1448,4),VLOOKUP(LEFT(B1448,LEN(B1448)-5),Feuil1!$E$3:$F$19,2,FALSE)+1,10),DATE(RIGHT(B1448,4),VLOOKUP(LEFT(B1448,LEN(B1448)-5),Feuil1!$E$3:$F$19,2,FALSE)+1,7))</f>
        <v>45301</v>
      </c>
      <c r="K1448" s="19">
        <f t="shared" si="2"/>
        <v>1</v>
      </c>
      <c r="L1448" s="6" t="str">
        <f t="shared" si="3"/>
        <v>DS</v>
      </c>
    </row>
    <row r="1449" ht="14.25" customHeight="1">
      <c r="A1449" s="14" t="str">
        <f>Base_report!A1436</f>
        <v>MORONOU</v>
      </c>
      <c r="B1449" s="14" t="str">
        <f>Base_report!B1436</f>
        <v>DECEMBRE 2023</v>
      </c>
      <c r="C1449" s="15" t="str">
        <f>Base_report!C1436</f>
        <v>C4009</v>
      </c>
      <c r="D1449" s="14" t="str">
        <f>TRIM(IF(ISNUMBER(FIND("PNSME",Base_report!D1436,1)),SUBSTITUTE(Base_report!D1436,"PNSME",""),IF(ISNUMBER(FIND("PHG",Base_report!D1436,1)),SUBSTITUTE(Base_report!D1436,"PHG",""),IF(ISNUMBER(FIND("PCS",Base_report!D1436,1)),SUBSTITUTE(Base_report!D1436,"PCS",""),IF(ISNUMBER(FIND("CMU",Base_report!D1436,1)),SUBSTITUTE(Base_report!D1436,"CMU",""),Base_report!D1436)))))</f>
        <v>DISTRICT SANITAIRE BONGOUANOU</v>
      </c>
      <c r="E1449" s="14" t="str">
        <f>SUBSTITUTE(Base_report!E1436,"-","/")</f>
        <v>PNN/MEDICAMENTS ET INTRANTS</v>
      </c>
      <c r="F1449" s="14" t="s">
        <v>788</v>
      </c>
      <c r="G1449" s="16">
        <f>DATE(YEAR(SUBSTITUTE(LEFT(Base_report!F1436,10),"-","/")),MONTH(SUBSTITUTE(LEFT(Base_report!F1436,10),"-","/")),DAY(SUBSTITUTE(LEFT(Base_report!F1436,10),"-","/")))</f>
        <v>45300</v>
      </c>
      <c r="H1449" s="16">
        <f>DATE(YEAR(SUBSTITUTE(LEFT(Base_report!G1436,10),"-","/")),MONTH(SUBSTITUTE(LEFT(Base_report!G1436,10),"-","/")),DAY(SUBSTITUTE(LEFT(Base_report!G1436,10),"-","/")))</f>
        <v>45301</v>
      </c>
      <c r="I1449" s="17" t="str">
        <f t="shared" si="1"/>
        <v>OUI</v>
      </c>
      <c r="J1449" s="18">
        <f>IF(L1449="DS",DATE(RIGHT(B1449,4),VLOOKUP(LEFT(B1449,LEN(B1449)-5),Feuil1!$E$3:$F$19,2,FALSE)+1,10),DATE(RIGHT(B1449,4),VLOOKUP(LEFT(B1449,LEN(B1449)-5),Feuil1!$E$3:$F$19,2,FALSE)+1,7))</f>
        <v>45301</v>
      </c>
      <c r="K1449" s="19">
        <f t="shared" si="2"/>
        <v>1</v>
      </c>
      <c r="L1449" s="6" t="str">
        <f t="shared" si="3"/>
        <v>DS</v>
      </c>
    </row>
    <row r="1450" ht="14.25" customHeight="1">
      <c r="A1450" s="14" t="str">
        <f>Base_report!A1437</f>
        <v>PORO</v>
      </c>
      <c r="B1450" s="14" t="str">
        <f>Base_report!B1437</f>
        <v>DECEMBRE 2023</v>
      </c>
      <c r="C1450" s="15" t="str">
        <f>Base_report!C1437</f>
        <v>C3057</v>
      </c>
      <c r="D1450" s="14" t="str">
        <f>TRIM(IF(ISNUMBER(FIND("PNSME",Base_report!D1437,1)),SUBSTITUTE(Base_report!D1437,"PNSME",""),IF(ISNUMBER(FIND("PHG",Base_report!D1437,1)),SUBSTITUTE(Base_report!D1437,"PHG",""),IF(ISNUMBER(FIND("PCS",Base_report!D1437,1)),SUBSTITUTE(Base_report!D1437,"PCS",""),IF(ISNUMBER(FIND("CMU",Base_report!D1437,1)),SUBSTITUTE(Base_report!D1437,"CMU",""),Base_report!D1437)))))</f>
        <v>DISTRICT SANITAIRE SINEMATIALI</v>
      </c>
      <c r="E1450" s="14" t="str">
        <f>SUBSTITUTE(Base_report!E1437,"-","/")</f>
        <v>PNLS/TESTS RAPIDES ET CONSOMMABLES</v>
      </c>
      <c r="F1450" s="14" t="s">
        <v>788</v>
      </c>
      <c r="G1450" s="16">
        <f>DATE(YEAR(SUBSTITUTE(LEFT(Base_report!F1437,10),"-","/")),MONTH(SUBSTITUTE(LEFT(Base_report!F1437,10),"-","/")),DAY(SUBSTITUTE(LEFT(Base_report!F1437,10),"-","/")))</f>
        <v>45300</v>
      </c>
      <c r="H1450" s="16">
        <f>DATE(YEAR(SUBSTITUTE(LEFT(Base_report!G1437,10),"-","/")),MONTH(SUBSTITUTE(LEFT(Base_report!G1437,10),"-","/")),DAY(SUBSTITUTE(LEFT(Base_report!G1437,10),"-","/")))</f>
        <v>45300</v>
      </c>
      <c r="I1450" s="17" t="str">
        <f t="shared" si="1"/>
        <v>OUI</v>
      </c>
      <c r="J1450" s="18">
        <f>IF(L1450="DS",DATE(RIGHT(B1450,4),VLOOKUP(LEFT(B1450,LEN(B1450)-5),Feuil1!$E$3:$F$19,2,FALSE)+1,10),DATE(RIGHT(B1450,4),VLOOKUP(LEFT(B1450,LEN(B1450)-5),Feuil1!$E$3:$F$19,2,FALSE)+1,7))</f>
        <v>45301</v>
      </c>
      <c r="K1450" s="19">
        <f t="shared" si="2"/>
        <v>1</v>
      </c>
      <c r="L1450" s="6" t="str">
        <f t="shared" si="3"/>
        <v>DS</v>
      </c>
    </row>
    <row r="1451" ht="14.25" customHeight="1">
      <c r="A1451" s="14" t="str">
        <f>Base_report!#REF!</f>
        <v>#ERROR!</v>
      </c>
      <c r="B1451" s="14" t="str">
        <f>Base_report!#REF!</f>
        <v>#ERROR!</v>
      </c>
      <c r="C1451" s="15" t="str">
        <f>Base_report!#REF!</f>
        <v>#ERROR!</v>
      </c>
      <c r="D1451" s="14" t="str">
        <f>TRIM(IF(ISNUMBER(FIND("PNSME",Base_report!#REF!,1)),SUBSTITUTE(Base_report!#REF!,"PNSME",""),IF(ISNUMBER(FIND("PHG",Base_report!#REF!,1)),SUBSTITUTE(Base_report!#REF!,"PHG",""),IF(ISNUMBER(FIND("PCS",Base_report!#REF!,1)),SUBSTITUTE(Base_report!#REF!,"PCS",""),IF(ISNUMBER(FIND("CMU",Base_report!#REF!,1)),SUBSTITUTE(Base_report!#REF!,"CMU",""),Base_report!#REF!)))))</f>
        <v>#ERROR!</v>
      </c>
      <c r="E1451" s="14" t="str">
        <f>SUBSTITUTE(Base_report!#REF!,"-","/")</f>
        <v>#ERROR!</v>
      </c>
      <c r="F1451" s="14" t="s">
        <v>788</v>
      </c>
      <c r="G1451" s="16" t="str">
        <f>DATE(YEAR(SUBSTITUTE(LEFT(Base_report!#REF!,10),"-","/")),MONTH(SUBSTITUTE(LEFT(Base_report!#REF!,10),"-","/")),DAY(SUBSTITUTE(LEFT(Base_report!#REF!,10),"-","/")))</f>
        <v>#ERROR!</v>
      </c>
      <c r="H1451" s="16" t="str">
        <f>DATE(YEAR(SUBSTITUTE(LEFT(Base_report!#REF!,10),"-","/")),MONTH(SUBSTITUTE(LEFT(Base_report!#REF!,10),"-","/")),DAY(SUBSTITUTE(LEFT(Base_report!#REF!,10),"-","/")))</f>
        <v>#ERROR!</v>
      </c>
      <c r="I1451" s="17" t="str">
        <f t="shared" si="1"/>
        <v>OUI</v>
      </c>
      <c r="J1451" s="18" t="str">
        <f>IF(L1451="DS",DATE(RIGHT(B1451,4),VLOOKUP(LEFT(B1451,LEN(B1451)-5),Feuil1!$E$3:$F$19,2,FALSE)+1,10),DATE(RIGHT(B1451,4),VLOOKUP(LEFT(B1451,LEN(B1451)-5),Feuil1!$E$3:$F$19,2,FALSE)+1,7))</f>
        <v>#ERROR!</v>
      </c>
      <c r="K1451" s="19" t="str">
        <f t="shared" si="2"/>
        <v>#ERROR!</v>
      </c>
      <c r="L1451" s="6" t="str">
        <f t="shared" si="3"/>
        <v>FS</v>
      </c>
    </row>
    <row r="1452" ht="14.25" customHeight="1">
      <c r="A1452" s="14" t="str">
        <f>Base_report!A1438</f>
        <v>LOH-DJIBOUA</v>
      </c>
      <c r="B1452" s="14" t="str">
        <f>Base_report!B1438</f>
        <v>DECEMBRE 2023</v>
      </c>
      <c r="C1452" s="15" t="str">
        <f>Base_report!C1438</f>
        <v>C21880</v>
      </c>
      <c r="D1452" s="14" t="str">
        <f>TRIM(IF(ISNUMBER(FIND("PNSME",Base_report!D1438,1)),SUBSTITUTE(Base_report!D1438,"PNSME",""),IF(ISNUMBER(FIND("PHG",Base_report!D1438,1)),SUBSTITUTE(Base_report!D1438,"PHG",""),IF(ISNUMBER(FIND("PCS",Base_report!D1438,1)),SUBSTITUTE(Base_report!D1438,"PCS",""),IF(ISNUMBER(FIND("CMU",Base_report!D1438,1)),SUBSTITUTE(Base_report!D1438,"CMU",""),Base_report!D1438)))))</f>
        <v>DISTRICT SANITAIRE DE GUITRY</v>
      </c>
      <c r="E1452" s="14" t="str">
        <f>SUBSTITUTE(Base_report!E1438,"-","/")</f>
        <v>PNLS/TESTS RAPIDES ET CONSOMMABLES</v>
      </c>
      <c r="F1452" s="14" t="s">
        <v>788</v>
      </c>
      <c r="G1452" s="16">
        <f>DATE(YEAR(SUBSTITUTE(LEFT(Base_report!F1438,10),"-","/")),MONTH(SUBSTITUTE(LEFT(Base_report!F1438,10),"-","/")),DAY(SUBSTITUTE(LEFT(Base_report!F1438,10),"-","/")))</f>
        <v>45299</v>
      </c>
      <c r="H1452" s="16">
        <f>DATE(YEAR(SUBSTITUTE(LEFT(Base_report!G1438,10),"-","/")),MONTH(SUBSTITUTE(LEFT(Base_report!G1438,10),"-","/")),DAY(SUBSTITUTE(LEFT(Base_report!G1438,10),"-","/")))</f>
        <v>45299</v>
      </c>
      <c r="I1452" s="17" t="str">
        <f t="shared" si="1"/>
        <v>OUI</v>
      </c>
      <c r="J1452" s="18">
        <f>IF(L1452="DS",DATE(RIGHT(B1452,4),VLOOKUP(LEFT(B1452,LEN(B1452)-5),Feuil1!$E$3:$F$19,2,FALSE)+1,10),DATE(RIGHT(B1452,4),VLOOKUP(LEFT(B1452,LEN(B1452)-5),Feuil1!$E$3:$F$19,2,FALSE)+1,7))</f>
        <v>45301</v>
      </c>
      <c r="K1452" s="19">
        <f t="shared" si="2"/>
        <v>1</v>
      </c>
      <c r="L1452" s="6" t="str">
        <f t="shared" si="3"/>
        <v>DS</v>
      </c>
    </row>
    <row r="1453" ht="14.25" customHeight="1">
      <c r="A1453" s="14" t="str">
        <f>Base_report!A1439</f>
        <v>ABIDJAN 1</v>
      </c>
      <c r="B1453" s="14" t="str">
        <f>Base_report!B1439</f>
        <v>DECEMBRE 2023</v>
      </c>
      <c r="C1453" s="15" t="str">
        <f>Base_report!C1439</f>
        <v>C1064</v>
      </c>
      <c r="D1453" s="14" t="str">
        <f>TRIM(IF(ISNUMBER(FIND("PNSME",Base_report!D1439,1)),SUBSTITUTE(Base_report!D1439,"PNSME",""),IF(ISNUMBER(FIND("PHG",Base_report!D1439,1)),SUBSTITUTE(Base_report!D1439,"PHG",""),IF(ISNUMBER(FIND("PCS",Base_report!D1439,1)),SUBSTITUTE(Base_report!D1439,"PCS",""),IF(ISNUMBER(FIND("CMU",Base_report!D1439,1)),SUBSTITUTE(Base_report!D1439,"CMU",""),Base_report!D1439)))))</f>
        <v>FSU COM ABOBO AVOCATIER</v>
      </c>
      <c r="E1453" s="14" t="str">
        <f>SUBSTITUTE(Base_report!E1439,"-","/")</f>
        <v>PNLS/ANTIRETROVIRAUX ET IO</v>
      </c>
      <c r="F1453" s="14" t="s">
        <v>788</v>
      </c>
      <c r="G1453" s="16">
        <f>DATE(YEAR(SUBSTITUTE(LEFT(Base_report!F1439,10),"-","/")),MONTH(SUBSTITUTE(LEFT(Base_report!F1439,10),"-","/")),DAY(SUBSTITUTE(LEFT(Base_report!F1439,10),"-","/")))</f>
        <v>45300</v>
      </c>
      <c r="H1453" s="16">
        <f>DATE(YEAR(SUBSTITUTE(LEFT(Base_report!G1439,10),"-","/")),MONTH(SUBSTITUTE(LEFT(Base_report!G1439,10),"-","/")),DAY(SUBSTITUTE(LEFT(Base_report!G1439,10),"-","/")))</f>
        <v>45300</v>
      </c>
      <c r="I1453" s="17" t="str">
        <f t="shared" si="1"/>
        <v>OUI</v>
      </c>
      <c r="J1453" s="18">
        <f>IF(L1453="DS",DATE(RIGHT(B1453,4),VLOOKUP(LEFT(B1453,LEN(B1453)-5),Feuil1!$E$3:$F$19,2,FALSE)+1,10),DATE(RIGHT(B1453,4),VLOOKUP(LEFT(B1453,LEN(B1453)-5),Feuil1!$E$3:$F$19,2,FALSE)+1,7))</f>
        <v>45298</v>
      </c>
      <c r="K1453" s="19">
        <f t="shared" si="2"/>
        <v>0</v>
      </c>
      <c r="L1453" s="6" t="str">
        <f t="shared" si="3"/>
        <v>FS</v>
      </c>
    </row>
    <row r="1454" ht="14.25" customHeight="1">
      <c r="A1454" s="14" t="str">
        <f>Base_report!A1440</f>
        <v>MORONOU</v>
      </c>
      <c r="B1454" s="14" t="str">
        <f>Base_report!B1440</f>
        <v>DECEMBRE 2023</v>
      </c>
      <c r="C1454" s="15" t="str">
        <f>Base_report!C1440</f>
        <v>C4009</v>
      </c>
      <c r="D1454" s="14" t="str">
        <f>TRIM(IF(ISNUMBER(FIND("PNSME",Base_report!D1440,1)),SUBSTITUTE(Base_report!D1440,"PNSME",""),IF(ISNUMBER(FIND("PHG",Base_report!D1440,1)),SUBSTITUTE(Base_report!D1440,"PHG",""),IF(ISNUMBER(FIND("PCS",Base_report!D1440,1)),SUBSTITUTE(Base_report!D1440,"PCS",""),IF(ISNUMBER(FIND("CMU",Base_report!D1440,1)),SUBSTITUTE(Base_report!D1440,"CMU",""),Base_report!D1440)))))</f>
        <v>DISTRICT SANITAIRE BONGOUANOU</v>
      </c>
      <c r="E1454" s="14" t="str">
        <f>SUBSTITUTE(Base_report!E1440,"-","/")</f>
        <v>PNSME/MEDICAMENTS ET INTRANTS</v>
      </c>
      <c r="F1454" s="14" t="s">
        <v>788</v>
      </c>
      <c r="G1454" s="16">
        <f>DATE(YEAR(SUBSTITUTE(LEFT(Base_report!F1440,10),"-","/")),MONTH(SUBSTITUTE(LEFT(Base_report!F1440,10),"-","/")),DAY(SUBSTITUTE(LEFT(Base_report!F1440,10),"-","/")))</f>
        <v>45300</v>
      </c>
      <c r="H1454" s="16">
        <f>DATE(YEAR(SUBSTITUTE(LEFT(Base_report!G1440,10),"-","/")),MONTH(SUBSTITUTE(LEFT(Base_report!G1440,10),"-","/")),DAY(SUBSTITUTE(LEFT(Base_report!G1440,10),"-","/")))</f>
        <v>45301</v>
      </c>
      <c r="I1454" s="17" t="str">
        <f t="shared" si="1"/>
        <v>OUI</v>
      </c>
      <c r="J1454" s="18">
        <f>IF(L1454="DS",DATE(RIGHT(B1454,4),VLOOKUP(LEFT(B1454,LEN(B1454)-5),Feuil1!$E$3:$F$19,2,FALSE)+1,10),DATE(RIGHT(B1454,4),VLOOKUP(LEFT(B1454,LEN(B1454)-5),Feuil1!$E$3:$F$19,2,FALSE)+1,7))</f>
        <v>45301</v>
      </c>
      <c r="K1454" s="19">
        <f t="shared" si="2"/>
        <v>1</v>
      </c>
      <c r="L1454" s="6" t="str">
        <f t="shared" si="3"/>
        <v>DS</v>
      </c>
    </row>
    <row r="1455" ht="14.25" customHeight="1">
      <c r="A1455" s="14" t="str">
        <f>Base_report!A1441</f>
        <v>CAVALLY</v>
      </c>
      <c r="B1455" s="14" t="str">
        <f>Base_report!B1441</f>
        <v>DECEMBRE 2023</v>
      </c>
      <c r="C1455" s="15" t="str">
        <f>Base_report!C1441</f>
        <v>C5011</v>
      </c>
      <c r="D1455" s="14" t="str">
        <f>TRIM(IF(ISNUMBER(FIND("PNSME",Base_report!D1441,1)),SUBSTITUTE(Base_report!D1441,"PNSME",""),IF(ISNUMBER(FIND("PHG",Base_report!D1441,1)),SUBSTITUTE(Base_report!D1441,"PHG",""),IF(ISNUMBER(FIND("PCS",Base_report!D1441,1)),SUBSTITUTE(Base_report!D1441,"PCS",""),IF(ISNUMBER(FIND("CMU",Base_report!D1441,1)),SUBSTITUTE(Base_report!D1441,"CMU",""),Base_report!D1441)))))</f>
        <v>DISTRICT SANITAIRE GUIGLO</v>
      </c>
      <c r="E1455" s="14" t="str">
        <f>SUBSTITUTE(Base_report!E1441,"-","/")</f>
        <v>PNLP/MEDICAMENTS ET INTRANTS</v>
      </c>
      <c r="F1455" s="14" t="s">
        <v>788</v>
      </c>
      <c r="G1455" s="16">
        <f>DATE(YEAR(SUBSTITUTE(LEFT(Base_report!F1441,10),"-","/")),MONTH(SUBSTITUTE(LEFT(Base_report!F1441,10),"-","/")),DAY(SUBSTITUTE(LEFT(Base_report!F1441,10),"-","/")))</f>
        <v>45299</v>
      </c>
      <c r="H1455" s="16">
        <f>DATE(YEAR(SUBSTITUTE(LEFT(Base_report!G1441,10),"-","/")),MONTH(SUBSTITUTE(LEFT(Base_report!G1441,10),"-","/")),DAY(SUBSTITUTE(LEFT(Base_report!G1441,10),"-","/")))</f>
        <v>45300</v>
      </c>
      <c r="I1455" s="17" t="str">
        <f t="shared" si="1"/>
        <v>OUI</v>
      </c>
      <c r="J1455" s="18">
        <f>IF(L1455="DS",DATE(RIGHT(B1455,4),VLOOKUP(LEFT(B1455,LEN(B1455)-5),Feuil1!$E$3:$F$19,2,FALSE)+1,10),DATE(RIGHT(B1455,4),VLOOKUP(LEFT(B1455,LEN(B1455)-5),Feuil1!$E$3:$F$19,2,FALSE)+1,7))</f>
        <v>45301</v>
      </c>
      <c r="K1455" s="19">
        <f t="shared" si="2"/>
        <v>1</v>
      </c>
      <c r="L1455" s="6" t="str">
        <f t="shared" si="3"/>
        <v>DS</v>
      </c>
    </row>
    <row r="1456" ht="14.25" customHeight="1">
      <c r="A1456" s="14" t="str">
        <f>Base_report!A1442</f>
        <v>N'ZI</v>
      </c>
      <c r="B1456" s="14" t="str">
        <f>Base_report!B1442</f>
        <v>DECEMBRE 2023</v>
      </c>
      <c r="C1456" s="15" t="str">
        <f>Base_report!C1442</f>
        <v>C2019</v>
      </c>
      <c r="D1456" s="14" t="str">
        <f>TRIM(IF(ISNUMBER(FIND("PNSME",Base_report!D1442,1)),SUBSTITUTE(Base_report!D1442,"PNSME",""),IF(ISNUMBER(FIND("PHG",Base_report!D1442,1)),SUBSTITUTE(Base_report!D1442,"PHG",""),IF(ISNUMBER(FIND("PCS",Base_report!D1442,1)),SUBSTITUTE(Base_report!D1442,"PCS",""),IF(ISNUMBER(FIND("CMU",Base_report!D1442,1)),SUBSTITUTE(Base_report!D1442,"CMU",""),Base_report!D1442)))))</f>
        <v>DISTRICT SANITAIRE BOCANDA</v>
      </c>
      <c r="E1456" s="14" t="str">
        <f>SUBSTITUTE(Base_report!E1442,"-","/")</f>
        <v>PNLS/TESTS RAPIDES ET CONSOMMABLES</v>
      </c>
      <c r="F1456" s="14" t="s">
        <v>788</v>
      </c>
      <c r="G1456" s="16">
        <f>DATE(YEAR(SUBSTITUTE(LEFT(Base_report!F1442,10),"-","/")),MONTH(SUBSTITUTE(LEFT(Base_report!F1442,10),"-","/")),DAY(SUBSTITUTE(LEFT(Base_report!F1442,10),"-","/")))</f>
        <v>45301</v>
      </c>
      <c r="H1456" s="16">
        <f>DATE(YEAR(SUBSTITUTE(LEFT(Base_report!G1442,10),"-","/")),MONTH(SUBSTITUTE(LEFT(Base_report!G1442,10),"-","/")),DAY(SUBSTITUTE(LEFT(Base_report!G1442,10),"-","/")))</f>
        <v>45301</v>
      </c>
      <c r="I1456" s="17" t="str">
        <f t="shared" si="1"/>
        <v>OUI</v>
      </c>
      <c r="J1456" s="18">
        <f>IF(L1456="DS",DATE(RIGHT(B1456,4),VLOOKUP(LEFT(B1456,LEN(B1456)-5),Feuil1!$E$3:$F$19,2,FALSE)+1,10),DATE(RIGHT(B1456,4),VLOOKUP(LEFT(B1456,LEN(B1456)-5),Feuil1!$E$3:$F$19,2,FALSE)+1,7))</f>
        <v>45301</v>
      </c>
      <c r="K1456" s="19">
        <f t="shared" si="2"/>
        <v>1</v>
      </c>
      <c r="L1456" s="6" t="str">
        <f t="shared" si="3"/>
        <v>DS</v>
      </c>
    </row>
    <row r="1457" ht="14.25" customHeight="1">
      <c r="A1457" s="14" t="str">
        <f>Base_report!A1443</f>
        <v>PORO</v>
      </c>
      <c r="B1457" s="14" t="str">
        <f>Base_report!B1443</f>
        <v>DECEMBRE 2023</v>
      </c>
      <c r="C1457" s="15" t="str">
        <f>Base_report!C1443</f>
        <v>C3056</v>
      </c>
      <c r="D1457" s="14" t="str">
        <f>TRIM(IF(ISNUMBER(FIND("PNSME",Base_report!D1443,1)),SUBSTITUTE(Base_report!D1443,"PNSME",""),IF(ISNUMBER(FIND("PHG",Base_report!D1443,1)),SUBSTITUTE(Base_report!D1443,"PHG",""),IF(ISNUMBER(FIND("PCS",Base_report!D1443,1)),SUBSTITUTE(Base_report!D1443,"PCS",""),IF(ISNUMBER(FIND("CMU",Base_report!D1443,1)),SUBSTITUTE(Base_report!D1443,"CMU",""),Base_report!D1443)))))</f>
        <v>DISTRICT SANITAIRE M'BENGUE</v>
      </c>
      <c r="E1457" s="14" t="str">
        <f>SUBSTITUTE(Base_report!E1443,"-","/")</f>
        <v>PNLS/TESTS RAPIDES ET CONSOMMABLES</v>
      </c>
      <c r="F1457" s="14" t="s">
        <v>788</v>
      </c>
      <c r="G1457" s="16">
        <f>DATE(YEAR(SUBSTITUTE(LEFT(Base_report!F1443,10),"-","/")),MONTH(SUBSTITUTE(LEFT(Base_report!F1443,10),"-","/")),DAY(SUBSTITUTE(LEFT(Base_report!F1443,10),"-","/")))</f>
        <v>45299</v>
      </c>
      <c r="H1457" s="16">
        <f>DATE(YEAR(SUBSTITUTE(LEFT(Base_report!G1443,10),"-","/")),MONTH(SUBSTITUTE(LEFT(Base_report!G1443,10),"-","/")),DAY(SUBSTITUTE(LEFT(Base_report!G1443,10),"-","/")))</f>
        <v>45299</v>
      </c>
      <c r="I1457" s="17" t="str">
        <f t="shared" si="1"/>
        <v>OUI</v>
      </c>
      <c r="J1457" s="18">
        <f>IF(L1457="DS",DATE(RIGHT(B1457,4),VLOOKUP(LEFT(B1457,LEN(B1457)-5),Feuil1!$E$3:$F$19,2,FALSE)+1,10),DATE(RIGHT(B1457,4),VLOOKUP(LEFT(B1457,LEN(B1457)-5),Feuil1!$E$3:$F$19,2,FALSE)+1,7))</f>
        <v>45301</v>
      </c>
      <c r="K1457" s="19">
        <f t="shared" si="2"/>
        <v>1</v>
      </c>
      <c r="L1457" s="6" t="str">
        <f t="shared" si="3"/>
        <v>DS</v>
      </c>
    </row>
    <row r="1458" ht="14.25" customHeight="1">
      <c r="A1458" s="14" t="str">
        <f>Base_report!A1444</f>
        <v>MORONOU</v>
      </c>
      <c r="B1458" s="14" t="str">
        <f>Base_report!B1444</f>
        <v>DECEMBRE 2023</v>
      </c>
      <c r="C1458" s="15" t="str">
        <f>Base_report!C1444</f>
        <v>C4009</v>
      </c>
      <c r="D1458" s="14" t="str">
        <f>TRIM(IF(ISNUMBER(FIND("PNSME",Base_report!D1444,1)),SUBSTITUTE(Base_report!D1444,"PNSME",""),IF(ISNUMBER(FIND("PHG",Base_report!D1444,1)),SUBSTITUTE(Base_report!D1444,"PHG",""),IF(ISNUMBER(FIND("PCS",Base_report!D1444,1)),SUBSTITUTE(Base_report!D1444,"PCS",""),IF(ISNUMBER(FIND("CMU",Base_report!D1444,1)),SUBSTITUTE(Base_report!D1444,"CMU",""),Base_report!D1444)))))</f>
        <v>DISTRICT SANITAIRE BONGOUANOU</v>
      </c>
      <c r="E1458" s="14" t="str">
        <f>SUBSTITUTE(Base_report!E1444,"-","/")</f>
        <v>PNLS/ANTIRETROVIRAUX ET IO</v>
      </c>
      <c r="F1458" s="14" t="s">
        <v>788</v>
      </c>
      <c r="G1458" s="16">
        <f>DATE(YEAR(SUBSTITUTE(LEFT(Base_report!F1444,10),"-","/")),MONTH(SUBSTITUTE(LEFT(Base_report!F1444,10),"-","/")),DAY(SUBSTITUTE(LEFT(Base_report!F1444,10),"-","/")))</f>
        <v>45300</v>
      </c>
      <c r="H1458" s="16">
        <f>DATE(YEAR(SUBSTITUTE(LEFT(Base_report!G1444,10),"-","/")),MONTH(SUBSTITUTE(LEFT(Base_report!G1444,10),"-","/")),DAY(SUBSTITUTE(LEFT(Base_report!G1444,10),"-","/")))</f>
        <v>45301</v>
      </c>
      <c r="I1458" s="17" t="str">
        <f t="shared" si="1"/>
        <v>OUI</v>
      </c>
      <c r="J1458" s="18">
        <f>IF(L1458="DS",DATE(RIGHT(B1458,4),VLOOKUP(LEFT(B1458,LEN(B1458)-5),Feuil1!$E$3:$F$19,2,FALSE)+1,10),DATE(RIGHT(B1458,4),VLOOKUP(LEFT(B1458,LEN(B1458)-5),Feuil1!$E$3:$F$19,2,FALSE)+1,7))</f>
        <v>45301</v>
      </c>
      <c r="K1458" s="19">
        <f t="shared" si="2"/>
        <v>1</v>
      </c>
      <c r="L1458" s="6" t="str">
        <f t="shared" si="3"/>
        <v>DS</v>
      </c>
    </row>
    <row r="1459" ht="14.25" customHeight="1">
      <c r="A1459" s="14" t="str">
        <f>Base_report!A1445</f>
        <v>PORO</v>
      </c>
      <c r="B1459" s="14" t="str">
        <f>Base_report!B1445</f>
        <v>DECEMBRE 2023</v>
      </c>
      <c r="C1459" s="15" t="str">
        <f>Base_report!C1445</f>
        <v>C3057</v>
      </c>
      <c r="D1459" s="14" t="str">
        <f>TRIM(IF(ISNUMBER(FIND("PNSME",Base_report!D1445,1)),SUBSTITUTE(Base_report!D1445,"PNSME",""),IF(ISNUMBER(FIND("PHG",Base_report!D1445,1)),SUBSTITUTE(Base_report!D1445,"PHG",""),IF(ISNUMBER(FIND("PCS",Base_report!D1445,1)),SUBSTITUTE(Base_report!D1445,"PCS",""),IF(ISNUMBER(FIND("CMU",Base_report!D1445,1)),SUBSTITUTE(Base_report!D1445,"CMU",""),Base_report!D1445)))))</f>
        <v>DISTRICT SANITAIRE SINEMATIALI</v>
      </c>
      <c r="E1459" s="14" t="str">
        <f>SUBSTITUTE(Base_report!E1445,"-","/")</f>
        <v>PNLS/ANTIRETROVIRAUX ET IO</v>
      </c>
      <c r="F1459" s="14" t="s">
        <v>788</v>
      </c>
      <c r="G1459" s="16">
        <f>DATE(YEAR(SUBSTITUTE(LEFT(Base_report!F1445,10),"-","/")),MONTH(SUBSTITUTE(LEFT(Base_report!F1445,10),"-","/")),DAY(SUBSTITUTE(LEFT(Base_report!F1445,10),"-","/")))</f>
        <v>45300</v>
      </c>
      <c r="H1459" s="16">
        <f>DATE(YEAR(SUBSTITUTE(LEFT(Base_report!G1445,10),"-","/")),MONTH(SUBSTITUTE(LEFT(Base_report!G1445,10),"-","/")),DAY(SUBSTITUTE(LEFT(Base_report!G1445,10),"-","/")))</f>
        <v>45300</v>
      </c>
      <c r="I1459" s="17" t="str">
        <f t="shared" si="1"/>
        <v>OUI</v>
      </c>
      <c r="J1459" s="18">
        <f>IF(L1459="DS",DATE(RIGHT(B1459,4),VLOOKUP(LEFT(B1459,LEN(B1459)-5),Feuil1!$E$3:$F$19,2,FALSE)+1,10),DATE(RIGHT(B1459,4),VLOOKUP(LEFT(B1459,LEN(B1459)-5),Feuil1!$E$3:$F$19,2,FALSE)+1,7))</f>
        <v>45301</v>
      </c>
      <c r="K1459" s="19">
        <f t="shared" si="2"/>
        <v>1</v>
      </c>
      <c r="L1459" s="6" t="str">
        <f t="shared" si="3"/>
        <v>DS</v>
      </c>
    </row>
    <row r="1460" ht="14.25" customHeight="1">
      <c r="A1460" s="14" t="str">
        <f>Base_report!A1446</f>
        <v>N'ZI</v>
      </c>
      <c r="B1460" s="14" t="str">
        <f>Base_report!B1446</f>
        <v>DECEMBRE 2023</v>
      </c>
      <c r="C1460" s="15" t="str">
        <f>Base_report!C1446</f>
        <v>C2019</v>
      </c>
      <c r="D1460" s="14" t="str">
        <f>TRIM(IF(ISNUMBER(FIND("PNSME",Base_report!D1446,1)),SUBSTITUTE(Base_report!D1446,"PNSME",""),IF(ISNUMBER(FIND("PHG",Base_report!D1446,1)),SUBSTITUTE(Base_report!D1446,"PHG",""),IF(ISNUMBER(FIND("PCS",Base_report!D1446,1)),SUBSTITUTE(Base_report!D1446,"PCS",""),IF(ISNUMBER(FIND("CMU",Base_report!D1446,1)),SUBSTITUTE(Base_report!D1446,"CMU",""),Base_report!D1446)))))</f>
        <v>DISTRICT SANITAIRE BOCANDA</v>
      </c>
      <c r="E1460" s="14" t="str">
        <f>SUBSTITUTE(Base_report!E1446,"-","/")</f>
        <v>PNN/MEDICAMENTS ET INTRANTS</v>
      </c>
      <c r="F1460" s="14" t="s">
        <v>788</v>
      </c>
      <c r="G1460" s="16">
        <f>DATE(YEAR(SUBSTITUTE(LEFT(Base_report!F1446,10),"-","/")),MONTH(SUBSTITUTE(LEFT(Base_report!F1446,10),"-","/")),DAY(SUBSTITUTE(LEFT(Base_report!F1446,10),"-","/")))</f>
        <v>45301</v>
      </c>
      <c r="H1460" s="16">
        <f>DATE(YEAR(SUBSTITUTE(LEFT(Base_report!G1446,10),"-","/")),MONTH(SUBSTITUTE(LEFT(Base_report!G1446,10),"-","/")),DAY(SUBSTITUTE(LEFT(Base_report!G1446,10),"-","/")))</f>
        <v>45301</v>
      </c>
      <c r="I1460" s="17" t="str">
        <f t="shared" si="1"/>
        <v>OUI</v>
      </c>
      <c r="J1460" s="18">
        <f>IF(L1460="DS",DATE(RIGHT(B1460,4),VLOOKUP(LEFT(B1460,LEN(B1460)-5),Feuil1!$E$3:$F$19,2,FALSE)+1,10),DATE(RIGHT(B1460,4),VLOOKUP(LEFT(B1460,LEN(B1460)-5),Feuil1!$E$3:$F$19,2,FALSE)+1,7))</f>
        <v>45301</v>
      </c>
      <c r="K1460" s="19">
        <f t="shared" si="2"/>
        <v>1</v>
      </c>
      <c r="L1460" s="6" t="str">
        <f t="shared" si="3"/>
        <v>DS</v>
      </c>
    </row>
    <row r="1461" ht="14.25" customHeight="1">
      <c r="A1461" s="14" t="str">
        <f>Base_report!A1447</f>
        <v>ME</v>
      </c>
      <c r="B1461" s="14" t="str">
        <f>Base_report!B1447</f>
        <v>DECEMBRE 2023</v>
      </c>
      <c r="C1461" s="15" t="str">
        <f>Base_report!C1447</f>
        <v>C4036</v>
      </c>
      <c r="D1461" s="14" t="str">
        <f>TRIM(IF(ISNUMBER(FIND("PNSME",Base_report!D1447,1)),SUBSTITUTE(Base_report!D1447,"PNSME",""),IF(ISNUMBER(FIND("PHG",Base_report!D1447,1)),SUBSTITUTE(Base_report!D1447,"PHG",""),IF(ISNUMBER(FIND("PCS",Base_report!D1447,1)),SUBSTITUTE(Base_report!D1447,"PCS",""),IF(ISNUMBER(FIND("CMU",Base_report!D1447,1)),SUBSTITUTE(Base_report!D1447,"CMU",""),Base_report!D1447)))))</f>
        <v>DISTRICT SANITAIRE ADZOPE</v>
      </c>
      <c r="E1461" s="14" t="str">
        <f>SUBSTITUTE(Base_report!E1447,"-","/")</f>
        <v>PNLS/PRODUITS DE LABORATOIRE</v>
      </c>
      <c r="F1461" s="14" t="s">
        <v>788</v>
      </c>
      <c r="G1461" s="16">
        <f>DATE(YEAR(SUBSTITUTE(LEFT(Base_report!F1447,10),"-","/")),MONTH(SUBSTITUTE(LEFT(Base_report!F1447,10),"-","/")),DAY(SUBSTITUTE(LEFT(Base_report!F1447,10),"-","/")))</f>
        <v>45301</v>
      </c>
      <c r="H1461" s="16">
        <f>DATE(YEAR(SUBSTITUTE(LEFT(Base_report!G1447,10),"-","/")),MONTH(SUBSTITUTE(LEFT(Base_report!G1447,10),"-","/")),DAY(SUBSTITUTE(LEFT(Base_report!G1447,10),"-","/")))</f>
        <v>45301</v>
      </c>
      <c r="I1461" s="17" t="str">
        <f t="shared" si="1"/>
        <v>OUI</v>
      </c>
      <c r="J1461" s="18">
        <f>IF(L1461="DS",DATE(RIGHT(B1461,4),VLOOKUP(LEFT(B1461,LEN(B1461)-5),Feuil1!$E$3:$F$19,2,FALSE)+1,10),DATE(RIGHT(B1461,4),VLOOKUP(LEFT(B1461,LEN(B1461)-5),Feuil1!$E$3:$F$19,2,FALSE)+1,7))</f>
        <v>45301</v>
      </c>
      <c r="K1461" s="19">
        <f t="shared" si="2"/>
        <v>1</v>
      </c>
      <c r="L1461" s="6" t="str">
        <f t="shared" si="3"/>
        <v>DS</v>
      </c>
    </row>
    <row r="1462" ht="14.25" customHeight="1">
      <c r="A1462" s="14" t="str">
        <f>Base_report!A1448</f>
        <v>ME</v>
      </c>
      <c r="B1462" s="14" t="str">
        <f>Base_report!B1448</f>
        <v>DECEMBRE 2023</v>
      </c>
      <c r="C1462" s="15" t="str">
        <f>Base_report!C1448</f>
        <v>C4059</v>
      </c>
      <c r="D1462" s="14" t="str">
        <f>TRIM(IF(ISNUMBER(FIND("PNSME",Base_report!D1448,1)),SUBSTITUTE(Base_report!D1448,"PNSME",""),IF(ISNUMBER(FIND("PHG",Base_report!D1448,1)),SUBSTITUTE(Base_report!D1448,"PHG",""),IF(ISNUMBER(FIND("PCS",Base_report!D1448,1)),SUBSTITUTE(Base_report!D1448,"PCS",""),IF(ISNUMBER(FIND("CMU",Base_report!D1448,1)),SUBSTITUTE(Base_report!D1448,"CMU",""),Base_report!D1448)))))</f>
        <v>DISTRICT SANITAIRE YAKASSE-ATTOBROU</v>
      </c>
      <c r="E1462" s="14" t="str">
        <f>SUBSTITUTE(Base_report!E1448,"-","/")</f>
        <v>PNSME/MEDICAMENTS ET INTRANTS</v>
      </c>
      <c r="F1462" s="14" t="s">
        <v>788</v>
      </c>
      <c r="G1462" s="16">
        <f>DATE(YEAR(SUBSTITUTE(LEFT(Base_report!F1448,10),"-","/")),MONTH(SUBSTITUTE(LEFT(Base_report!F1448,10),"-","/")),DAY(SUBSTITUTE(LEFT(Base_report!F1448,10),"-","/")))</f>
        <v>45299</v>
      </c>
      <c r="H1462" s="16">
        <f>DATE(YEAR(SUBSTITUTE(LEFT(Base_report!G1448,10),"-","/")),MONTH(SUBSTITUTE(LEFT(Base_report!G1448,10),"-","/")),DAY(SUBSTITUTE(LEFT(Base_report!G1448,10),"-","/")))</f>
        <v>45299</v>
      </c>
      <c r="I1462" s="17" t="str">
        <f t="shared" si="1"/>
        <v>OUI</v>
      </c>
      <c r="J1462" s="18">
        <f>IF(L1462="DS",DATE(RIGHT(B1462,4),VLOOKUP(LEFT(B1462,LEN(B1462)-5),Feuil1!$E$3:$F$19,2,FALSE)+1,10),DATE(RIGHT(B1462,4),VLOOKUP(LEFT(B1462,LEN(B1462)-5),Feuil1!$E$3:$F$19,2,FALSE)+1,7))</f>
        <v>45301</v>
      </c>
      <c r="K1462" s="19">
        <f t="shared" si="2"/>
        <v>1</v>
      </c>
      <c r="L1462" s="6" t="str">
        <f t="shared" si="3"/>
        <v>DS</v>
      </c>
    </row>
    <row r="1463" ht="14.25" customHeight="1">
      <c r="A1463" s="14" t="str">
        <f>Base_report!A1449</f>
        <v>PORO</v>
      </c>
      <c r="B1463" s="14" t="str">
        <f>Base_report!B1449</f>
        <v>DECEMBRE 2023</v>
      </c>
      <c r="C1463" s="15" t="str">
        <f>Base_report!C1449</f>
        <v>C3056</v>
      </c>
      <c r="D1463" s="14" t="str">
        <f>TRIM(IF(ISNUMBER(FIND("PNSME",Base_report!D1449,1)),SUBSTITUTE(Base_report!D1449,"PNSME",""),IF(ISNUMBER(FIND("PHG",Base_report!D1449,1)),SUBSTITUTE(Base_report!D1449,"PHG",""),IF(ISNUMBER(FIND("PCS",Base_report!D1449,1)),SUBSTITUTE(Base_report!D1449,"PCS",""),IF(ISNUMBER(FIND("CMU",Base_report!D1449,1)),SUBSTITUTE(Base_report!D1449,"CMU",""),Base_report!D1449)))))</f>
        <v>DISTRICT SANITAIRE M'BENGUE</v>
      </c>
      <c r="E1463" s="14" t="str">
        <f>SUBSTITUTE(Base_report!E1449,"-","/")</f>
        <v>PNN/MEDICAMENTS ET INTRANTS</v>
      </c>
      <c r="F1463" s="14" t="s">
        <v>788</v>
      </c>
      <c r="G1463" s="16">
        <f>DATE(YEAR(SUBSTITUTE(LEFT(Base_report!F1449,10),"-","/")),MONTH(SUBSTITUTE(LEFT(Base_report!F1449,10),"-","/")),DAY(SUBSTITUTE(LEFT(Base_report!F1449,10),"-","/")))</f>
        <v>45299</v>
      </c>
      <c r="H1463" s="16">
        <f>DATE(YEAR(SUBSTITUTE(LEFT(Base_report!G1449,10),"-","/")),MONTH(SUBSTITUTE(LEFT(Base_report!G1449,10),"-","/")),DAY(SUBSTITUTE(LEFT(Base_report!G1449,10),"-","/")))</f>
        <v>45299</v>
      </c>
      <c r="I1463" s="17" t="str">
        <f t="shared" si="1"/>
        <v>OUI</v>
      </c>
      <c r="J1463" s="18">
        <f>IF(L1463="DS",DATE(RIGHT(B1463,4),VLOOKUP(LEFT(B1463,LEN(B1463)-5),Feuil1!$E$3:$F$19,2,FALSE)+1,10),DATE(RIGHT(B1463,4),VLOOKUP(LEFT(B1463,LEN(B1463)-5),Feuil1!$E$3:$F$19,2,FALSE)+1,7))</f>
        <v>45301</v>
      </c>
      <c r="K1463" s="19">
        <f t="shared" si="2"/>
        <v>1</v>
      </c>
      <c r="L1463" s="6" t="str">
        <f t="shared" si="3"/>
        <v>DS</v>
      </c>
    </row>
    <row r="1464" ht="14.25" customHeight="1">
      <c r="A1464" s="14" t="str">
        <f>Base_report!A1450</f>
        <v>GBEKE</v>
      </c>
      <c r="B1464" s="14" t="str">
        <f>Base_report!B1450</f>
        <v>DECEMBRE 2023</v>
      </c>
      <c r="C1464" s="15" t="str">
        <f>Base_report!C1450</f>
        <v>C2034</v>
      </c>
      <c r="D1464" s="14" t="str">
        <f>TRIM(IF(ISNUMBER(FIND("PNSME",Base_report!D1450,1)),SUBSTITUTE(Base_report!D1450,"PNSME",""),IF(ISNUMBER(FIND("PHG",Base_report!D1450,1)),SUBSTITUTE(Base_report!D1450,"PHG",""),IF(ISNUMBER(FIND("PCS",Base_report!D1450,1)),SUBSTITUTE(Base_report!D1450,"PCS",""),IF(ISNUMBER(FIND("CMU",Base_report!D1450,1)),SUBSTITUTE(Base_report!D1450,"CMU",""),Base_report!D1450)))))</f>
        <v>DISTRICT SANITAIRE SAKASSOU</v>
      </c>
      <c r="E1464" s="14" t="str">
        <f>SUBSTITUTE(Base_report!E1450,"-","/")</f>
        <v>PNSME/MEDICAMENTS ET INTRANTS</v>
      </c>
      <c r="F1464" s="14" t="s">
        <v>788</v>
      </c>
      <c r="G1464" s="16">
        <f>DATE(YEAR(SUBSTITUTE(LEFT(Base_report!F1450,10),"-","/")),MONTH(SUBSTITUTE(LEFT(Base_report!F1450,10),"-","/")),DAY(SUBSTITUTE(LEFT(Base_report!F1450,10),"-","/")))</f>
        <v>45299</v>
      </c>
      <c r="H1464" s="16">
        <f>DATE(YEAR(SUBSTITUTE(LEFT(Base_report!G1450,10),"-","/")),MONTH(SUBSTITUTE(LEFT(Base_report!G1450,10),"-","/")),DAY(SUBSTITUTE(LEFT(Base_report!G1450,10),"-","/")))</f>
        <v>45300</v>
      </c>
      <c r="I1464" s="17" t="str">
        <f t="shared" si="1"/>
        <v>OUI</v>
      </c>
      <c r="J1464" s="18">
        <f>IF(L1464="DS",DATE(RIGHT(B1464,4),VLOOKUP(LEFT(B1464,LEN(B1464)-5),Feuil1!$E$3:$F$19,2,FALSE)+1,10),DATE(RIGHT(B1464,4),VLOOKUP(LEFT(B1464,LEN(B1464)-5),Feuil1!$E$3:$F$19,2,FALSE)+1,7))</f>
        <v>45301</v>
      </c>
      <c r="K1464" s="19">
        <f t="shared" si="2"/>
        <v>1</v>
      </c>
      <c r="L1464" s="6" t="str">
        <f t="shared" si="3"/>
        <v>DS</v>
      </c>
    </row>
    <row r="1465" ht="14.25" customHeight="1">
      <c r="A1465" s="14" t="str">
        <f>Base_report!A1451</f>
        <v>IFFOU</v>
      </c>
      <c r="B1465" s="14" t="str">
        <f>Base_report!B1451</f>
        <v>DECEMBRE 2023</v>
      </c>
      <c r="C1465" s="15" t="str">
        <f>Base_report!C1451</f>
        <v>C4051</v>
      </c>
      <c r="D1465" s="14" t="str">
        <f>TRIM(IF(ISNUMBER(FIND("PNSME",Base_report!D1451,1)),SUBSTITUTE(Base_report!D1451,"PNSME",""),IF(ISNUMBER(FIND("PHG",Base_report!D1451,1)),SUBSTITUTE(Base_report!D1451,"PHG",""),IF(ISNUMBER(FIND("PCS",Base_report!D1451,1)),SUBSTITUTE(Base_report!D1451,"PCS",""),IF(ISNUMBER(FIND("CMU",Base_report!D1451,1)),SUBSTITUTE(Base_report!D1451,"CMU",""),Base_report!D1451)))))</f>
        <v>DISTRICT SANITAIRE PRIKRO</v>
      </c>
      <c r="E1465" s="14" t="str">
        <f>SUBSTITUTE(Base_report!E1451,"-","/")</f>
        <v>PNLP/MEDICAMENTS ET INTRANTS</v>
      </c>
      <c r="F1465" s="14" t="s">
        <v>788</v>
      </c>
      <c r="G1465" s="16">
        <f>DATE(YEAR(SUBSTITUTE(LEFT(Base_report!F1451,10),"-","/")),MONTH(SUBSTITUTE(LEFT(Base_report!F1451,10),"-","/")),DAY(SUBSTITUTE(LEFT(Base_report!F1451,10),"-","/")))</f>
        <v>45301</v>
      </c>
      <c r="H1465" s="16">
        <f>DATE(YEAR(SUBSTITUTE(LEFT(Base_report!G1451,10),"-","/")),MONTH(SUBSTITUTE(LEFT(Base_report!G1451,10),"-","/")),DAY(SUBSTITUTE(LEFT(Base_report!G1451,10),"-","/")))</f>
        <v>45301</v>
      </c>
      <c r="I1465" s="17" t="str">
        <f t="shared" si="1"/>
        <v>OUI</v>
      </c>
      <c r="J1465" s="18">
        <f>IF(L1465="DS",DATE(RIGHT(B1465,4),VLOOKUP(LEFT(B1465,LEN(B1465)-5),Feuil1!$E$3:$F$19,2,FALSE)+1,10),DATE(RIGHT(B1465,4),VLOOKUP(LEFT(B1465,LEN(B1465)-5),Feuil1!$E$3:$F$19,2,FALSE)+1,7))</f>
        <v>45301</v>
      </c>
      <c r="K1465" s="19">
        <f t="shared" si="2"/>
        <v>1</v>
      </c>
      <c r="L1465" s="6" t="str">
        <f t="shared" si="3"/>
        <v>DS</v>
      </c>
    </row>
    <row r="1466" ht="14.25" customHeight="1">
      <c r="A1466" s="14" t="str">
        <f>Base_report!A1452</f>
        <v>GONTOUGO</v>
      </c>
      <c r="B1466" s="14" t="str">
        <f>Base_report!B1452</f>
        <v>DECEMBRE 2023</v>
      </c>
      <c r="C1466" s="15" t="str">
        <f>Base_report!C1452</f>
        <v>C4013</v>
      </c>
      <c r="D1466" s="14" t="str">
        <f>TRIM(IF(ISNUMBER(FIND("PNSME",Base_report!D1452,1)),SUBSTITUTE(Base_report!D1452,"PNSME",""),IF(ISNUMBER(FIND("PHG",Base_report!D1452,1)),SUBSTITUTE(Base_report!D1452,"PHG",""),IF(ISNUMBER(FIND("PCS",Base_report!D1452,1)),SUBSTITUTE(Base_report!D1452,"PCS",""),IF(ISNUMBER(FIND("CMU",Base_report!D1452,1)),SUBSTITUTE(Base_report!D1452,"CMU",""),Base_report!D1452)))))</f>
        <v>DISTRICT SANITAIRE TANDA</v>
      </c>
      <c r="E1466" s="14" t="str">
        <f>SUBSTITUTE(Base_report!E1452,"-","/")</f>
        <v>PNLP/MEDICAMENTS ET INTRANTS</v>
      </c>
      <c r="F1466" s="14" t="s">
        <v>788</v>
      </c>
      <c r="G1466" s="16">
        <f>DATE(YEAR(SUBSTITUTE(LEFT(Base_report!F1452,10),"-","/")),MONTH(SUBSTITUTE(LEFT(Base_report!F1452,10),"-","/")),DAY(SUBSTITUTE(LEFT(Base_report!F1452,10),"-","/")))</f>
        <v>45299</v>
      </c>
      <c r="H1466" s="16">
        <f>DATE(YEAR(SUBSTITUTE(LEFT(Base_report!G1452,10),"-","/")),MONTH(SUBSTITUTE(LEFT(Base_report!G1452,10),"-","/")),DAY(SUBSTITUTE(LEFT(Base_report!G1452,10),"-","/")))</f>
        <v>45301</v>
      </c>
      <c r="I1466" s="17" t="str">
        <f t="shared" si="1"/>
        <v>OUI</v>
      </c>
      <c r="J1466" s="18">
        <f>IF(L1466="DS",DATE(RIGHT(B1466,4),VLOOKUP(LEFT(B1466,LEN(B1466)-5),Feuil1!$E$3:$F$19,2,FALSE)+1,10),DATE(RIGHT(B1466,4),VLOOKUP(LEFT(B1466,LEN(B1466)-5),Feuil1!$E$3:$F$19,2,FALSE)+1,7))</f>
        <v>45301</v>
      </c>
      <c r="K1466" s="19">
        <f t="shared" si="2"/>
        <v>1</v>
      </c>
      <c r="L1466" s="6" t="str">
        <f t="shared" si="3"/>
        <v>DS</v>
      </c>
    </row>
    <row r="1467" ht="14.25" customHeight="1">
      <c r="A1467" s="14" t="str">
        <f>Base_report!A1453</f>
        <v>GOH</v>
      </c>
      <c r="B1467" s="14" t="str">
        <f>Base_report!B1453</f>
        <v>DECEMBRE 2023</v>
      </c>
      <c r="C1467" s="15" t="str">
        <f>Base_report!C1453</f>
        <v>C2033</v>
      </c>
      <c r="D1467" s="14" t="str">
        <f>TRIM(IF(ISNUMBER(FIND("PNSME",Base_report!D1453,1)),SUBSTITUTE(Base_report!D1453,"PNSME",""),IF(ISNUMBER(FIND("PHG",Base_report!D1453,1)),SUBSTITUTE(Base_report!D1453,"PHG",""),IF(ISNUMBER(FIND("PCS",Base_report!D1453,1)),SUBSTITUTE(Base_report!D1453,"PCS",""),IF(ISNUMBER(FIND("CMU",Base_report!D1453,1)),SUBSTITUTE(Base_report!D1453,"CMU",""),Base_report!D1453)))))</f>
        <v>DISTRICT SANITAIRE OUME</v>
      </c>
      <c r="E1467" s="14" t="str">
        <f>SUBSTITUTE(Base_report!E1453,"-","/")</f>
        <v>PNLS/TESTS RAPIDES ET CONSOMMABLES</v>
      </c>
      <c r="F1467" s="14" t="s">
        <v>788</v>
      </c>
      <c r="G1467" s="16">
        <f>DATE(YEAR(SUBSTITUTE(LEFT(Base_report!F1453,10),"-","/")),MONTH(SUBSTITUTE(LEFT(Base_report!F1453,10),"-","/")),DAY(SUBSTITUTE(LEFT(Base_report!F1453,10),"-","/")))</f>
        <v>45299</v>
      </c>
      <c r="H1467" s="16">
        <f>DATE(YEAR(SUBSTITUTE(LEFT(Base_report!G1453,10),"-","/")),MONTH(SUBSTITUTE(LEFT(Base_report!G1453,10),"-","/")),DAY(SUBSTITUTE(LEFT(Base_report!G1453,10),"-","/")))</f>
        <v>45300</v>
      </c>
      <c r="I1467" s="17" t="str">
        <f t="shared" si="1"/>
        <v>OUI</v>
      </c>
      <c r="J1467" s="18">
        <f>IF(L1467="DS",DATE(RIGHT(B1467,4),VLOOKUP(LEFT(B1467,LEN(B1467)-5),Feuil1!$E$3:$F$19,2,FALSE)+1,10),DATE(RIGHT(B1467,4),VLOOKUP(LEFT(B1467,LEN(B1467)-5),Feuil1!$E$3:$F$19,2,FALSE)+1,7))</f>
        <v>45301</v>
      </c>
      <c r="K1467" s="19">
        <f t="shared" si="2"/>
        <v>1</v>
      </c>
      <c r="L1467" s="6" t="str">
        <f t="shared" si="3"/>
        <v>DS</v>
      </c>
    </row>
    <row r="1468" ht="14.25" customHeight="1">
      <c r="A1468" s="14" t="str">
        <f>Base_report!A1454</f>
        <v>GBEKE</v>
      </c>
      <c r="B1468" s="14" t="str">
        <f>Base_report!B1454</f>
        <v>DECEMBRE 2023</v>
      </c>
      <c r="C1468" s="15" t="str">
        <f>Base_report!C1454</f>
        <v>C2034</v>
      </c>
      <c r="D1468" s="14" t="str">
        <f>TRIM(IF(ISNUMBER(FIND("PNSME",Base_report!D1454,1)),SUBSTITUTE(Base_report!D1454,"PNSME",""),IF(ISNUMBER(FIND("PHG",Base_report!D1454,1)),SUBSTITUTE(Base_report!D1454,"PHG",""),IF(ISNUMBER(FIND("PCS",Base_report!D1454,1)),SUBSTITUTE(Base_report!D1454,"PCS",""),IF(ISNUMBER(FIND("CMU",Base_report!D1454,1)),SUBSTITUTE(Base_report!D1454,"CMU",""),Base_report!D1454)))))</f>
        <v>DISTRICT SANITAIRE SAKASSOU</v>
      </c>
      <c r="E1468" s="14" t="str">
        <f>SUBSTITUTE(Base_report!E1454,"-","/")</f>
        <v>PNLP/MEDICAMENTS ET INTRANTS</v>
      </c>
      <c r="F1468" s="14" t="s">
        <v>788</v>
      </c>
      <c r="G1468" s="16">
        <f>DATE(YEAR(SUBSTITUTE(LEFT(Base_report!F1454,10),"-","/")),MONTH(SUBSTITUTE(LEFT(Base_report!F1454,10),"-","/")),DAY(SUBSTITUTE(LEFT(Base_report!F1454,10),"-","/")))</f>
        <v>45299</v>
      </c>
      <c r="H1468" s="16">
        <f>DATE(YEAR(SUBSTITUTE(LEFT(Base_report!G1454,10),"-","/")),MONTH(SUBSTITUTE(LEFT(Base_report!G1454,10),"-","/")),DAY(SUBSTITUTE(LEFT(Base_report!G1454,10),"-","/")))</f>
        <v>45300</v>
      </c>
      <c r="I1468" s="17" t="str">
        <f t="shared" si="1"/>
        <v>OUI</v>
      </c>
      <c r="J1468" s="18">
        <f>IF(L1468="DS",DATE(RIGHT(B1468,4),VLOOKUP(LEFT(B1468,LEN(B1468)-5),Feuil1!$E$3:$F$19,2,FALSE)+1,10),DATE(RIGHT(B1468,4),VLOOKUP(LEFT(B1468,LEN(B1468)-5),Feuil1!$E$3:$F$19,2,FALSE)+1,7))</f>
        <v>45301</v>
      </c>
      <c r="K1468" s="19">
        <f t="shared" si="2"/>
        <v>1</v>
      </c>
      <c r="L1468" s="6" t="str">
        <f t="shared" si="3"/>
        <v>DS</v>
      </c>
    </row>
    <row r="1469" ht="14.25" customHeight="1">
      <c r="A1469" s="14" t="str">
        <f>Base_report!A1455</f>
        <v>ABIDJAN 2</v>
      </c>
      <c r="B1469" s="14" t="str">
        <f>Base_report!B1455</f>
        <v>DECEMBRE 2023</v>
      </c>
      <c r="C1469" s="15" t="str">
        <f>Base_report!C1455</f>
        <v>C1061</v>
      </c>
      <c r="D1469" s="14" t="str">
        <f>TRIM(IF(ISNUMBER(FIND("PNSME",Base_report!D1455,1)),SUBSTITUTE(Base_report!D1455,"PNSME",""),IF(ISNUMBER(FIND("PHG",Base_report!D1455,1)),SUBSTITUTE(Base_report!D1455,"PHG",""),IF(ISNUMBER(FIND("PCS",Base_report!D1455,1)),SUBSTITUTE(Base_report!D1455,"PCS",""),IF(ISNUMBER(FIND("CMU",Base_report!D1455,1)),SUBSTITUTE(Base_report!D1455,"CMU",""),Base_report!D1455)))))</f>
        <v>HOPITAL GENERAL DE TREICHVILLE (JEAN DELAFOSSE)</v>
      </c>
      <c r="E1469" s="14" t="str">
        <f>SUBSTITUTE(Base_report!E1455,"-","/")</f>
        <v>PNLS/PRODUITS DE LABORATOIRE</v>
      </c>
      <c r="F1469" s="14" t="s">
        <v>788</v>
      </c>
      <c r="G1469" s="16">
        <f>DATE(YEAR(SUBSTITUTE(LEFT(Base_report!F1455,10),"-","/")),MONTH(SUBSTITUTE(LEFT(Base_report!F1455,10),"-","/")),DAY(SUBSTITUTE(LEFT(Base_report!F1455,10),"-","/")))</f>
        <v>45299</v>
      </c>
      <c r="H1469" s="16">
        <f>DATE(YEAR(SUBSTITUTE(LEFT(Base_report!G1455,10),"-","/")),MONTH(SUBSTITUTE(LEFT(Base_report!G1455,10),"-","/")),DAY(SUBSTITUTE(LEFT(Base_report!G1455,10),"-","/")))</f>
        <v>45299</v>
      </c>
      <c r="I1469" s="17" t="str">
        <f t="shared" si="1"/>
        <v>OUI</v>
      </c>
      <c r="J1469" s="18">
        <f>IF(L1469="DS",DATE(RIGHT(B1469,4),VLOOKUP(LEFT(B1469,LEN(B1469)-5),Feuil1!$E$3:$F$19,2,FALSE)+1,10),DATE(RIGHT(B1469,4),VLOOKUP(LEFT(B1469,LEN(B1469)-5),Feuil1!$E$3:$F$19,2,FALSE)+1,7))</f>
        <v>45298</v>
      </c>
      <c r="K1469" s="19">
        <f t="shared" si="2"/>
        <v>0</v>
      </c>
      <c r="L1469" s="6" t="str">
        <f t="shared" si="3"/>
        <v>FS</v>
      </c>
    </row>
    <row r="1470" ht="14.25" customHeight="1">
      <c r="A1470" s="14" t="str">
        <f>Base_report!A1456</f>
        <v>GOH</v>
      </c>
      <c r="B1470" s="14" t="str">
        <f>Base_report!B1456</f>
        <v>DECEMBRE 2023</v>
      </c>
      <c r="C1470" s="15" t="str">
        <f>Base_report!C1456</f>
        <v>C2033</v>
      </c>
      <c r="D1470" s="14" t="str">
        <f>TRIM(IF(ISNUMBER(FIND("PNSME",Base_report!D1456,1)),SUBSTITUTE(Base_report!D1456,"PNSME",""),IF(ISNUMBER(FIND("PHG",Base_report!D1456,1)),SUBSTITUTE(Base_report!D1456,"PHG",""),IF(ISNUMBER(FIND("PCS",Base_report!D1456,1)),SUBSTITUTE(Base_report!D1456,"PCS",""),IF(ISNUMBER(FIND("CMU",Base_report!D1456,1)),SUBSTITUTE(Base_report!D1456,"CMU",""),Base_report!D1456)))))</f>
        <v>DISTRICT SANITAIRE OUME</v>
      </c>
      <c r="E1470" s="14" t="str">
        <f>SUBSTITUTE(Base_report!E1456,"-","/")</f>
        <v>PNLS/ANTIRETROVIRAUX ET IO</v>
      </c>
      <c r="F1470" s="14" t="s">
        <v>788</v>
      </c>
      <c r="G1470" s="16">
        <f>DATE(YEAR(SUBSTITUTE(LEFT(Base_report!F1456,10),"-","/")),MONTH(SUBSTITUTE(LEFT(Base_report!F1456,10),"-","/")),DAY(SUBSTITUTE(LEFT(Base_report!F1456,10),"-","/")))</f>
        <v>45299</v>
      </c>
      <c r="H1470" s="16">
        <f>DATE(YEAR(SUBSTITUTE(LEFT(Base_report!G1456,10),"-","/")),MONTH(SUBSTITUTE(LEFT(Base_report!G1456,10),"-","/")),DAY(SUBSTITUTE(LEFT(Base_report!G1456,10),"-","/")))</f>
        <v>45300</v>
      </c>
      <c r="I1470" s="17" t="str">
        <f t="shared" si="1"/>
        <v>OUI</v>
      </c>
      <c r="J1470" s="18">
        <f>IF(L1470="DS",DATE(RIGHT(B1470,4),VLOOKUP(LEFT(B1470,LEN(B1470)-5),Feuil1!$E$3:$F$19,2,FALSE)+1,10),DATE(RIGHT(B1470,4),VLOOKUP(LEFT(B1470,LEN(B1470)-5),Feuil1!$E$3:$F$19,2,FALSE)+1,7))</f>
        <v>45301</v>
      </c>
      <c r="K1470" s="19">
        <f t="shared" si="2"/>
        <v>1</v>
      </c>
      <c r="L1470" s="6" t="str">
        <f t="shared" si="3"/>
        <v>DS</v>
      </c>
    </row>
    <row r="1471" ht="14.25" customHeight="1">
      <c r="A1471" s="14" t="str">
        <f>Base_report!A1457</f>
        <v>ABIDJAN 2</v>
      </c>
      <c r="B1471" s="14" t="str">
        <f>Base_report!B1457</f>
        <v>DECEMBRE 2023</v>
      </c>
      <c r="C1471" s="15" t="str">
        <f>Base_report!C1457</f>
        <v>C1061</v>
      </c>
      <c r="D1471" s="14" t="str">
        <f>TRIM(IF(ISNUMBER(FIND("PNSME",Base_report!D1457,1)),SUBSTITUTE(Base_report!D1457,"PNSME",""),IF(ISNUMBER(FIND("PHG",Base_report!D1457,1)),SUBSTITUTE(Base_report!D1457,"PHG",""),IF(ISNUMBER(FIND("PCS",Base_report!D1457,1)),SUBSTITUTE(Base_report!D1457,"PCS",""),IF(ISNUMBER(FIND("CMU",Base_report!D1457,1)),SUBSTITUTE(Base_report!D1457,"CMU",""),Base_report!D1457)))))</f>
        <v>HOPITAL GENERAL DE TREICHVILLE (JEAN DELAFOSSE)</v>
      </c>
      <c r="E1471" s="14" t="str">
        <f>SUBSTITUTE(Base_report!E1457,"-","/")</f>
        <v>PNLS/TESTS RAPIDES ET CONSOMMABLES</v>
      </c>
      <c r="F1471" s="14" t="s">
        <v>788</v>
      </c>
      <c r="G1471" s="16">
        <f>DATE(YEAR(SUBSTITUTE(LEFT(Base_report!F1457,10),"-","/")),MONTH(SUBSTITUTE(LEFT(Base_report!F1457,10),"-","/")),DAY(SUBSTITUTE(LEFT(Base_report!F1457,10),"-","/")))</f>
        <v>45299</v>
      </c>
      <c r="H1471" s="16">
        <f>DATE(YEAR(SUBSTITUTE(LEFT(Base_report!G1457,10),"-","/")),MONTH(SUBSTITUTE(LEFT(Base_report!G1457,10),"-","/")),DAY(SUBSTITUTE(LEFT(Base_report!G1457,10),"-","/")))</f>
        <v>45299</v>
      </c>
      <c r="I1471" s="17" t="str">
        <f t="shared" si="1"/>
        <v>OUI</v>
      </c>
      <c r="J1471" s="18">
        <f>IF(L1471="DS",DATE(RIGHT(B1471,4),VLOOKUP(LEFT(B1471,LEN(B1471)-5),Feuil1!$E$3:$F$19,2,FALSE)+1,10),DATE(RIGHT(B1471,4),VLOOKUP(LEFT(B1471,LEN(B1471)-5),Feuil1!$E$3:$F$19,2,FALSE)+1,7))</f>
        <v>45298</v>
      </c>
      <c r="K1471" s="19">
        <f t="shared" si="2"/>
        <v>0</v>
      </c>
      <c r="L1471" s="6" t="str">
        <f t="shared" si="3"/>
        <v>FS</v>
      </c>
    </row>
    <row r="1472" ht="14.25" customHeight="1">
      <c r="A1472" s="14" t="str">
        <f>Base_report!A1458</f>
        <v>BAFING</v>
      </c>
      <c r="B1472" s="14" t="str">
        <f>Base_report!B1458</f>
        <v>DECEMBRE 2023</v>
      </c>
      <c r="C1472" s="15" t="str">
        <f>Base_report!C1458</f>
        <v>C5069</v>
      </c>
      <c r="D1472" s="14" t="str">
        <f>TRIM(IF(ISNUMBER(FIND("PNSME",Base_report!D1458,1)),SUBSTITUTE(Base_report!D1458,"PNSME",""),IF(ISNUMBER(FIND("PHG",Base_report!D1458,1)),SUBSTITUTE(Base_report!D1458,"PHG",""),IF(ISNUMBER(FIND("PCS",Base_report!D1458,1)),SUBSTITUTE(Base_report!D1458,"PCS",""),IF(ISNUMBER(FIND("CMU",Base_report!D1458,1)),SUBSTITUTE(Base_report!D1458,"CMU",""),Base_report!D1458)))))</f>
        <v>DISTRICT SANITAIRE KORO</v>
      </c>
      <c r="E1472" s="14" t="str">
        <f>SUBSTITUTE(Base_report!E1458,"-","/")</f>
        <v>PNLS/ANTIRETROVIRAUX ET IO</v>
      </c>
      <c r="F1472" s="14" t="s">
        <v>788</v>
      </c>
      <c r="G1472" s="16">
        <f>DATE(YEAR(SUBSTITUTE(LEFT(Base_report!F1458,10),"-","/")),MONTH(SUBSTITUTE(LEFT(Base_report!F1458,10),"-","/")),DAY(SUBSTITUTE(LEFT(Base_report!F1458,10),"-","/")))</f>
        <v>45299</v>
      </c>
      <c r="H1472" s="16">
        <f>DATE(YEAR(SUBSTITUTE(LEFT(Base_report!G1458,10),"-","/")),MONTH(SUBSTITUTE(LEFT(Base_report!G1458,10),"-","/")),DAY(SUBSTITUTE(LEFT(Base_report!G1458,10),"-","/")))</f>
        <v>45299</v>
      </c>
      <c r="I1472" s="17" t="str">
        <f t="shared" si="1"/>
        <v>OUI</v>
      </c>
      <c r="J1472" s="18">
        <f>IF(L1472="DS",DATE(RIGHT(B1472,4),VLOOKUP(LEFT(B1472,LEN(B1472)-5),Feuil1!$E$3:$F$19,2,FALSE)+1,10),DATE(RIGHT(B1472,4),VLOOKUP(LEFT(B1472,LEN(B1472)-5),Feuil1!$E$3:$F$19,2,FALSE)+1,7))</f>
        <v>45301</v>
      </c>
      <c r="K1472" s="19">
        <f t="shared" si="2"/>
        <v>1</v>
      </c>
      <c r="L1472" s="6" t="str">
        <f t="shared" si="3"/>
        <v>DS</v>
      </c>
    </row>
    <row r="1473" ht="14.25" customHeight="1">
      <c r="A1473" s="14" t="str">
        <f>Base_report!A1459</f>
        <v>BAFING</v>
      </c>
      <c r="B1473" s="14" t="str">
        <f>Base_report!B1459</f>
        <v>DECEMBRE 2023</v>
      </c>
      <c r="C1473" s="15" t="str">
        <f>Base_report!C1459</f>
        <v>C5069</v>
      </c>
      <c r="D1473" s="14" t="str">
        <f>TRIM(IF(ISNUMBER(FIND("PNSME",Base_report!D1459,1)),SUBSTITUTE(Base_report!D1459,"PNSME",""),IF(ISNUMBER(FIND("PHG",Base_report!D1459,1)),SUBSTITUTE(Base_report!D1459,"PHG",""),IF(ISNUMBER(FIND("PCS",Base_report!D1459,1)),SUBSTITUTE(Base_report!D1459,"PCS",""),IF(ISNUMBER(FIND("CMU",Base_report!D1459,1)),SUBSTITUTE(Base_report!D1459,"CMU",""),Base_report!D1459)))))</f>
        <v>DISTRICT SANITAIRE KORO</v>
      </c>
      <c r="E1473" s="14" t="str">
        <f>SUBSTITUTE(Base_report!E1459,"-","/")</f>
        <v>PNLS/TESTS RAPIDES ET CONSOMMABLES</v>
      </c>
      <c r="F1473" s="14" t="s">
        <v>788</v>
      </c>
      <c r="G1473" s="16">
        <f>DATE(YEAR(SUBSTITUTE(LEFT(Base_report!F1459,10),"-","/")),MONTH(SUBSTITUTE(LEFT(Base_report!F1459,10),"-","/")),DAY(SUBSTITUTE(LEFT(Base_report!F1459,10),"-","/")))</f>
        <v>45299</v>
      </c>
      <c r="H1473" s="16">
        <f>DATE(YEAR(SUBSTITUTE(LEFT(Base_report!G1459,10),"-","/")),MONTH(SUBSTITUTE(LEFT(Base_report!G1459,10),"-","/")),DAY(SUBSTITUTE(LEFT(Base_report!G1459,10),"-","/")))</f>
        <v>45299</v>
      </c>
      <c r="I1473" s="17" t="str">
        <f t="shared" si="1"/>
        <v>OUI</v>
      </c>
      <c r="J1473" s="18">
        <f>IF(L1473="DS",DATE(RIGHT(B1473,4),VLOOKUP(LEFT(B1473,LEN(B1473)-5),Feuil1!$E$3:$F$19,2,FALSE)+1,10),DATE(RIGHT(B1473,4),VLOOKUP(LEFT(B1473,LEN(B1473)-5),Feuil1!$E$3:$F$19,2,FALSE)+1,7))</f>
        <v>45301</v>
      </c>
      <c r="K1473" s="19">
        <f t="shared" si="2"/>
        <v>1</v>
      </c>
      <c r="L1473" s="6" t="str">
        <f t="shared" si="3"/>
        <v>DS</v>
      </c>
    </row>
    <row r="1474" ht="14.25" customHeight="1">
      <c r="A1474" s="14" t="str">
        <f>Base_report!A1460</f>
        <v>BAFING</v>
      </c>
      <c r="B1474" s="14" t="str">
        <f>Base_report!B1460</f>
        <v>DECEMBRE 2023</v>
      </c>
      <c r="C1474" s="15" t="str">
        <f>Base_report!C1460</f>
        <v>C5069</v>
      </c>
      <c r="D1474" s="14" t="str">
        <f>TRIM(IF(ISNUMBER(FIND("PNSME",Base_report!D1460,1)),SUBSTITUTE(Base_report!D1460,"PNSME",""),IF(ISNUMBER(FIND("PHG",Base_report!D1460,1)),SUBSTITUTE(Base_report!D1460,"PHG",""),IF(ISNUMBER(FIND("PCS",Base_report!D1460,1)),SUBSTITUTE(Base_report!D1460,"PCS",""),IF(ISNUMBER(FIND("CMU",Base_report!D1460,1)),SUBSTITUTE(Base_report!D1460,"CMU",""),Base_report!D1460)))))</f>
        <v>DISTRICT SANITAIRE KORO</v>
      </c>
      <c r="E1474" s="14" t="str">
        <f>SUBSTITUTE(Base_report!E1460,"-","/")</f>
        <v>PNN/MEDICAMENTS ET INTRANTS</v>
      </c>
      <c r="F1474" s="14" t="s">
        <v>788</v>
      </c>
      <c r="G1474" s="16">
        <f>DATE(YEAR(SUBSTITUTE(LEFT(Base_report!F1460,10),"-","/")),MONTH(SUBSTITUTE(LEFT(Base_report!F1460,10),"-","/")),DAY(SUBSTITUTE(LEFT(Base_report!F1460,10),"-","/")))</f>
        <v>45299</v>
      </c>
      <c r="H1474" s="16">
        <f>DATE(YEAR(SUBSTITUTE(LEFT(Base_report!G1460,10),"-","/")),MONTH(SUBSTITUTE(LEFT(Base_report!G1460,10),"-","/")),DAY(SUBSTITUTE(LEFT(Base_report!G1460,10),"-","/")))</f>
        <v>45299</v>
      </c>
      <c r="I1474" s="17" t="str">
        <f t="shared" si="1"/>
        <v>OUI</v>
      </c>
      <c r="J1474" s="18">
        <f>IF(L1474="DS",DATE(RIGHT(B1474,4),VLOOKUP(LEFT(B1474,LEN(B1474)-5),Feuil1!$E$3:$F$19,2,FALSE)+1,10),DATE(RIGHT(B1474,4),VLOOKUP(LEFT(B1474,LEN(B1474)-5),Feuil1!$E$3:$F$19,2,FALSE)+1,7))</f>
        <v>45301</v>
      </c>
      <c r="K1474" s="19">
        <f t="shared" si="2"/>
        <v>1</v>
      </c>
      <c r="L1474" s="6" t="str">
        <f t="shared" si="3"/>
        <v>DS</v>
      </c>
    </row>
    <row r="1475" ht="14.25" customHeight="1">
      <c r="A1475" s="14" t="str">
        <f>Base_report!A1461</f>
        <v>BAFING</v>
      </c>
      <c r="B1475" s="14" t="str">
        <f>Base_report!B1461</f>
        <v>DECEMBRE 2023</v>
      </c>
      <c r="C1475" s="15" t="str">
        <f>Base_report!C1461</f>
        <v>C5069</v>
      </c>
      <c r="D1475" s="14" t="str">
        <f>TRIM(IF(ISNUMBER(FIND("PNSME",Base_report!D1461,1)),SUBSTITUTE(Base_report!D1461,"PNSME",""),IF(ISNUMBER(FIND("PHG",Base_report!D1461,1)),SUBSTITUTE(Base_report!D1461,"PHG",""),IF(ISNUMBER(FIND("PCS",Base_report!D1461,1)),SUBSTITUTE(Base_report!D1461,"PCS",""),IF(ISNUMBER(FIND("CMU",Base_report!D1461,1)),SUBSTITUTE(Base_report!D1461,"CMU",""),Base_report!D1461)))))</f>
        <v>DISTRICT SANITAIRE KORO</v>
      </c>
      <c r="E1475" s="14" t="str">
        <f>SUBSTITUTE(Base_report!E1461,"-","/")</f>
        <v>PNSME/MEDICAMENTS ET INTRANTS</v>
      </c>
      <c r="F1475" s="14" t="s">
        <v>788</v>
      </c>
      <c r="G1475" s="16">
        <f>DATE(YEAR(SUBSTITUTE(LEFT(Base_report!F1461,10),"-","/")),MONTH(SUBSTITUTE(LEFT(Base_report!F1461,10),"-","/")),DAY(SUBSTITUTE(LEFT(Base_report!F1461,10),"-","/")))</f>
        <v>45299</v>
      </c>
      <c r="H1475" s="16">
        <f>DATE(YEAR(SUBSTITUTE(LEFT(Base_report!G1461,10),"-","/")),MONTH(SUBSTITUTE(LEFT(Base_report!G1461,10),"-","/")),DAY(SUBSTITUTE(LEFT(Base_report!G1461,10),"-","/")))</f>
        <v>45299</v>
      </c>
      <c r="I1475" s="17" t="str">
        <f t="shared" si="1"/>
        <v>OUI</v>
      </c>
      <c r="J1475" s="18">
        <f>IF(L1475="DS",DATE(RIGHT(B1475,4),VLOOKUP(LEFT(B1475,LEN(B1475)-5),Feuil1!$E$3:$F$19,2,FALSE)+1,10),DATE(RIGHT(B1475,4),VLOOKUP(LEFT(B1475,LEN(B1475)-5),Feuil1!$E$3:$F$19,2,FALSE)+1,7))</f>
        <v>45301</v>
      </c>
      <c r="K1475" s="19">
        <f t="shared" si="2"/>
        <v>1</v>
      </c>
      <c r="L1475" s="6" t="str">
        <f t="shared" si="3"/>
        <v>DS</v>
      </c>
    </row>
    <row r="1476" ht="14.25" customHeight="1">
      <c r="A1476" s="14" t="str">
        <f>Base_report!A1462</f>
        <v>SUD-COMOE</v>
      </c>
      <c r="B1476" s="14" t="str">
        <f>Base_report!B1462</f>
        <v>DECEMBRE 2023</v>
      </c>
      <c r="C1476" s="15" t="str">
        <f>Base_report!C1462</f>
        <v>C1044</v>
      </c>
      <c r="D1476" s="14" t="str">
        <f>TRIM(IF(ISNUMBER(FIND("PNSME",Base_report!D1462,1)),SUBSTITUTE(Base_report!D1462,"PNSME",""),IF(ISNUMBER(FIND("PHG",Base_report!D1462,1)),SUBSTITUTE(Base_report!D1462,"PHG",""),IF(ISNUMBER(FIND("PCS",Base_report!D1462,1)),SUBSTITUTE(Base_report!D1462,"PCS",""),IF(ISNUMBER(FIND("CMU",Base_report!D1462,1)),SUBSTITUTE(Base_report!D1462,"CMU",""),Base_report!D1462)))))</f>
        <v>DISTRICT SANITAIRE ADIAKE</v>
      </c>
      <c r="E1476" s="14" t="str">
        <f>SUBSTITUTE(Base_report!E1462,"-","/")</f>
        <v>PNLP/MEDICAMENTS ET INTRANTS</v>
      </c>
      <c r="F1476" s="14" t="s">
        <v>788</v>
      </c>
      <c r="G1476" s="16">
        <f>DATE(YEAR(SUBSTITUTE(LEFT(Base_report!F1462,10),"-","/")),MONTH(SUBSTITUTE(LEFT(Base_report!F1462,10),"-","/")),DAY(SUBSTITUTE(LEFT(Base_report!F1462,10),"-","/")))</f>
        <v>45300</v>
      </c>
      <c r="H1476" s="16">
        <f>DATE(YEAR(SUBSTITUTE(LEFT(Base_report!G1462,10),"-","/")),MONTH(SUBSTITUTE(LEFT(Base_report!G1462,10),"-","/")),DAY(SUBSTITUTE(LEFT(Base_report!G1462,10),"-","/")))</f>
        <v>45300</v>
      </c>
      <c r="I1476" s="17" t="str">
        <f t="shared" si="1"/>
        <v>OUI</v>
      </c>
      <c r="J1476" s="18">
        <f>IF(L1476="DS",DATE(RIGHT(B1476,4),VLOOKUP(LEFT(B1476,LEN(B1476)-5),Feuil1!$E$3:$F$19,2,FALSE)+1,10),DATE(RIGHT(B1476,4),VLOOKUP(LEFT(B1476,LEN(B1476)-5),Feuil1!$E$3:$F$19,2,FALSE)+1,7))</f>
        <v>45301</v>
      </c>
      <c r="K1476" s="19">
        <f t="shared" si="2"/>
        <v>1</v>
      </c>
      <c r="L1476" s="6" t="str">
        <f t="shared" si="3"/>
        <v>DS</v>
      </c>
    </row>
    <row r="1477" ht="14.25" customHeight="1">
      <c r="A1477" s="14" t="str">
        <f>Base_report!A1463</f>
        <v>SUD-COMOE</v>
      </c>
      <c r="B1477" s="14" t="str">
        <f>Base_report!B1463</f>
        <v>DECEMBRE 2023</v>
      </c>
      <c r="C1477" s="15" t="str">
        <f>Base_report!C1463</f>
        <v>C1044</v>
      </c>
      <c r="D1477" s="14" t="str">
        <f>TRIM(IF(ISNUMBER(FIND("PNSME",Base_report!D1463,1)),SUBSTITUTE(Base_report!D1463,"PNSME",""),IF(ISNUMBER(FIND("PHG",Base_report!D1463,1)),SUBSTITUTE(Base_report!D1463,"PHG",""),IF(ISNUMBER(FIND("PCS",Base_report!D1463,1)),SUBSTITUTE(Base_report!D1463,"PCS",""),IF(ISNUMBER(FIND("CMU",Base_report!D1463,1)),SUBSTITUTE(Base_report!D1463,"CMU",""),Base_report!D1463)))))</f>
        <v>DISTRICT SANITAIRE ADIAKE</v>
      </c>
      <c r="E1477" s="14" t="str">
        <f>SUBSTITUTE(Base_report!E1463,"-","/")</f>
        <v>PNN/MEDICAMENTS ET INTRANTS</v>
      </c>
      <c r="F1477" s="14" t="s">
        <v>788</v>
      </c>
      <c r="G1477" s="16">
        <f>DATE(YEAR(SUBSTITUTE(LEFT(Base_report!F1463,10),"-","/")),MONTH(SUBSTITUTE(LEFT(Base_report!F1463,10),"-","/")),DAY(SUBSTITUTE(LEFT(Base_report!F1463,10),"-","/")))</f>
        <v>45300</v>
      </c>
      <c r="H1477" s="16">
        <f>DATE(YEAR(SUBSTITUTE(LEFT(Base_report!G1463,10),"-","/")),MONTH(SUBSTITUTE(LEFT(Base_report!G1463,10),"-","/")),DAY(SUBSTITUTE(LEFT(Base_report!G1463,10),"-","/")))</f>
        <v>45300</v>
      </c>
      <c r="I1477" s="17" t="str">
        <f t="shared" si="1"/>
        <v>OUI</v>
      </c>
      <c r="J1477" s="18">
        <f>IF(L1477="DS",DATE(RIGHT(B1477,4),VLOOKUP(LEFT(B1477,LEN(B1477)-5),Feuil1!$E$3:$F$19,2,FALSE)+1,10),DATE(RIGHT(B1477,4),VLOOKUP(LEFT(B1477,LEN(B1477)-5),Feuil1!$E$3:$F$19,2,FALSE)+1,7))</f>
        <v>45301</v>
      </c>
      <c r="K1477" s="19">
        <f t="shared" si="2"/>
        <v>1</v>
      </c>
      <c r="L1477" s="6" t="str">
        <f t="shared" si="3"/>
        <v>DS</v>
      </c>
    </row>
    <row r="1478" ht="14.25" customHeight="1">
      <c r="A1478" s="14" t="str">
        <f>Base_report!A1464</f>
        <v>SUD-COMOE</v>
      </c>
      <c r="B1478" s="14" t="str">
        <f>Base_report!B1464</f>
        <v>DECEMBRE 2023</v>
      </c>
      <c r="C1478" s="15" t="str">
        <f>Base_report!C1464</f>
        <v>C1044</v>
      </c>
      <c r="D1478" s="14" t="str">
        <f>TRIM(IF(ISNUMBER(FIND("PNSME",Base_report!D1464,1)),SUBSTITUTE(Base_report!D1464,"PNSME",""),IF(ISNUMBER(FIND("PHG",Base_report!D1464,1)),SUBSTITUTE(Base_report!D1464,"PHG",""),IF(ISNUMBER(FIND("PCS",Base_report!D1464,1)),SUBSTITUTE(Base_report!D1464,"PCS",""),IF(ISNUMBER(FIND("CMU",Base_report!D1464,1)),SUBSTITUTE(Base_report!D1464,"CMU",""),Base_report!D1464)))))</f>
        <v>DISTRICT SANITAIRE ADIAKE</v>
      </c>
      <c r="E1478" s="14" t="str">
        <f>SUBSTITUTE(Base_report!E1464,"-","/")</f>
        <v>PNSME/MEDICAMENTS ET INTRANTS</v>
      </c>
      <c r="F1478" s="14" t="s">
        <v>788</v>
      </c>
      <c r="G1478" s="16">
        <f>DATE(YEAR(SUBSTITUTE(LEFT(Base_report!F1464,10),"-","/")),MONTH(SUBSTITUTE(LEFT(Base_report!F1464,10),"-","/")),DAY(SUBSTITUTE(LEFT(Base_report!F1464,10),"-","/")))</f>
        <v>45300</v>
      </c>
      <c r="H1478" s="16">
        <f>DATE(YEAR(SUBSTITUTE(LEFT(Base_report!G1464,10),"-","/")),MONTH(SUBSTITUTE(LEFT(Base_report!G1464,10),"-","/")),DAY(SUBSTITUTE(LEFT(Base_report!G1464,10),"-","/")))</f>
        <v>45300</v>
      </c>
      <c r="I1478" s="17" t="str">
        <f t="shared" si="1"/>
        <v>OUI</v>
      </c>
      <c r="J1478" s="18">
        <f>IF(L1478="DS",DATE(RIGHT(B1478,4),VLOOKUP(LEFT(B1478,LEN(B1478)-5),Feuil1!$E$3:$F$19,2,FALSE)+1,10),DATE(RIGHT(B1478,4),VLOOKUP(LEFT(B1478,LEN(B1478)-5),Feuil1!$E$3:$F$19,2,FALSE)+1,7))</f>
        <v>45301</v>
      </c>
      <c r="K1478" s="19">
        <f t="shared" si="2"/>
        <v>1</v>
      </c>
      <c r="L1478" s="6" t="str">
        <f t="shared" si="3"/>
        <v>DS</v>
      </c>
    </row>
    <row r="1479" ht="14.25" customHeight="1">
      <c r="A1479" s="14" t="str">
        <f>Base_report!A1465</f>
        <v>SUD-COMOE</v>
      </c>
      <c r="B1479" s="14" t="str">
        <f>Base_report!B1465</f>
        <v>DECEMBRE 2023</v>
      </c>
      <c r="C1479" s="15" t="str">
        <f>Base_report!C1465</f>
        <v>C1044</v>
      </c>
      <c r="D1479" s="14" t="str">
        <f>TRIM(IF(ISNUMBER(FIND("PNSME",Base_report!D1465,1)),SUBSTITUTE(Base_report!D1465,"PNSME",""),IF(ISNUMBER(FIND("PHG",Base_report!D1465,1)),SUBSTITUTE(Base_report!D1465,"PHG",""),IF(ISNUMBER(FIND("PCS",Base_report!D1465,1)),SUBSTITUTE(Base_report!D1465,"PCS",""),IF(ISNUMBER(FIND("CMU",Base_report!D1465,1)),SUBSTITUTE(Base_report!D1465,"CMU",""),Base_report!D1465)))))</f>
        <v>DISTRICT SANITAIRE ADIAKE</v>
      </c>
      <c r="E1479" s="14" t="str">
        <f>SUBSTITUTE(Base_report!E1465,"-","/")</f>
        <v>PNLS/TESTS RAPIDES ET CONSOMMABLES</v>
      </c>
      <c r="F1479" s="14" t="s">
        <v>788</v>
      </c>
      <c r="G1479" s="16">
        <f>DATE(YEAR(SUBSTITUTE(LEFT(Base_report!F1465,10),"-","/")),MONTH(SUBSTITUTE(LEFT(Base_report!F1465,10),"-","/")),DAY(SUBSTITUTE(LEFT(Base_report!F1465,10),"-","/")))</f>
        <v>45300</v>
      </c>
      <c r="H1479" s="16">
        <f>DATE(YEAR(SUBSTITUTE(LEFT(Base_report!G1465,10),"-","/")),MONTH(SUBSTITUTE(LEFT(Base_report!G1465,10),"-","/")),DAY(SUBSTITUTE(LEFT(Base_report!G1465,10),"-","/")))</f>
        <v>45300</v>
      </c>
      <c r="I1479" s="17" t="str">
        <f t="shared" si="1"/>
        <v>OUI</v>
      </c>
      <c r="J1479" s="18">
        <f>IF(L1479="DS",DATE(RIGHT(B1479,4),VLOOKUP(LEFT(B1479,LEN(B1479)-5),Feuil1!$E$3:$F$19,2,FALSE)+1,10),DATE(RIGHT(B1479,4),VLOOKUP(LEFT(B1479,LEN(B1479)-5),Feuil1!$E$3:$F$19,2,FALSE)+1,7))</f>
        <v>45301</v>
      </c>
      <c r="K1479" s="19">
        <f t="shared" si="2"/>
        <v>1</v>
      </c>
      <c r="L1479" s="6" t="str">
        <f t="shared" si="3"/>
        <v>DS</v>
      </c>
    </row>
    <row r="1480" ht="14.25" customHeight="1">
      <c r="A1480" s="14" t="str">
        <f>Base_report!A1466</f>
        <v>SUD-COMOE</v>
      </c>
      <c r="B1480" s="14" t="str">
        <f>Base_report!B1466</f>
        <v>DECEMBRE 2023</v>
      </c>
      <c r="C1480" s="15" t="str">
        <f>Base_report!C1466</f>
        <v>C1044</v>
      </c>
      <c r="D1480" s="14" t="str">
        <f>TRIM(IF(ISNUMBER(FIND("PNSME",Base_report!D1466,1)),SUBSTITUTE(Base_report!D1466,"PNSME",""),IF(ISNUMBER(FIND("PHG",Base_report!D1466,1)),SUBSTITUTE(Base_report!D1466,"PHG",""),IF(ISNUMBER(FIND("PCS",Base_report!D1466,1)),SUBSTITUTE(Base_report!D1466,"PCS",""),IF(ISNUMBER(FIND("CMU",Base_report!D1466,1)),SUBSTITUTE(Base_report!D1466,"CMU",""),Base_report!D1466)))))</f>
        <v>DISTRICT SANITAIRE ADIAKE</v>
      </c>
      <c r="E1480" s="14" t="str">
        <f>SUBSTITUTE(Base_report!E1466,"-","/")</f>
        <v>PNLS/ANTIRETROVIRAUX ET IO</v>
      </c>
      <c r="F1480" s="14" t="s">
        <v>788</v>
      </c>
      <c r="G1480" s="16">
        <f>DATE(YEAR(SUBSTITUTE(LEFT(Base_report!F1466,10),"-","/")),MONTH(SUBSTITUTE(LEFT(Base_report!F1466,10),"-","/")),DAY(SUBSTITUTE(LEFT(Base_report!F1466,10),"-","/")))</f>
        <v>45301</v>
      </c>
      <c r="H1480" s="16">
        <f>DATE(YEAR(SUBSTITUTE(LEFT(Base_report!G1466,10),"-","/")),MONTH(SUBSTITUTE(LEFT(Base_report!G1466,10),"-","/")),DAY(SUBSTITUTE(LEFT(Base_report!G1466,10),"-","/")))</f>
        <v>45301</v>
      </c>
      <c r="I1480" s="17" t="str">
        <f t="shared" si="1"/>
        <v>OUI</v>
      </c>
      <c r="J1480" s="18">
        <f>IF(L1480="DS",DATE(RIGHT(B1480,4),VLOOKUP(LEFT(B1480,LEN(B1480)-5),Feuil1!$E$3:$F$19,2,FALSE)+1,10),DATE(RIGHT(B1480,4),VLOOKUP(LEFT(B1480,LEN(B1480)-5),Feuil1!$E$3:$F$19,2,FALSE)+1,7))</f>
        <v>45301</v>
      </c>
      <c r="K1480" s="19">
        <f t="shared" si="2"/>
        <v>1</v>
      </c>
      <c r="L1480" s="6" t="str">
        <f t="shared" si="3"/>
        <v>DS</v>
      </c>
    </row>
    <row r="1481" ht="14.25" customHeight="1">
      <c r="A1481" s="14" t="str">
        <f>Base_report!A1467</f>
        <v>MARAHOUE</v>
      </c>
      <c r="B1481" s="14" t="str">
        <f>Base_report!B1467</f>
        <v>DECEMBRE 2023</v>
      </c>
      <c r="C1481" s="15" t="str">
        <f>Base_report!C1467</f>
        <v>C2046</v>
      </c>
      <c r="D1481" s="14" t="str">
        <f>TRIM(IF(ISNUMBER(FIND("PNSME",Base_report!D1467,1)),SUBSTITUTE(Base_report!D1467,"PNSME",""),IF(ISNUMBER(FIND("PHG",Base_report!D1467,1)),SUBSTITUTE(Base_report!D1467,"PHG",""),IF(ISNUMBER(FIND("PCS",Base_report!D1467,1)),SUBSTITUTE(Base_report!D1467,"PCS",""),IF(ISNUMBER(FIND("CMU",Base_report!D1467,1)),SUBSTITUTE(Base_report!D1467,"CMU",""),Base_report!D1467)))))</f>
        <v>DISTRICT SANITAIRE ZUENOULA</v>
      </c>
      <c r="E1481" s="14" t="str">
        <f>SUBSTITUTE(Base_report!E1467,"-","/")</f>
        <v>PNSME/MEDICAMENTS ET INTRANTS</v>
      </c>
      <c r="F1481" s="14" t="s">
        <v>788</v>
      </c>
      <c r="G1481" s="16">
        <f>DATE(YEAR(SUBSTITUTE(LEFT(Base_report!F1467,10),"-","/")),MONTH(SUBSTITUTE(LEFT(Base_report!F1467,10),"-","/")),DAY(SUBSTITUTE(LEFT(Base_report!F1467,10),"-","/")))</f>
        <v>45301</v>
      </c>
      <c r="H1481" s="16">
        <f>DATE(YEAR(SUBSTITUTE(LEFT(Base_report!G1467,10),"-","/")),MONTH(SUBSTITUTE(LEFT(Base_report!G1467,10),"-","/")),DAY(SUBSTITUTE(LEFT(Base_report!G1467,10),"-","/")))</f>
        <v>45301</v>
      </c>
      <c r="I1481" s="17" t="str">
        <f t="shared" si="1"/>
        <v>OUI</v>
      </c>
      <c r="J1481" s="18">
        <f>IF(L1481="DS",DATE(RIGHT(B1481,4),VLOOKUP(LEFT(B1481,LEN(B1481)-5),Feuil1!$E$3:$F$19,2,FALSE)+1,10),DATE(RIGHT(B1481,4),VLOOKUP(LEFT(B1481,LEN(B1481)-5),Feuil1!$E$3:$F$19,2,FALSE)+1,7))</f>
        <v>45301</v>
      </c>
      <c r="K1481" s="19">
        <f t="shared" si="2"/>
        <v>1</v>
      </c>
      <c r="L1481" s="6" t="str">
        <f t="shared" si="3"/>
        <v>DS</v>
      </c>
    </row>
    <row r="1482" ht="14.25" customHeight="1">
      <c r="A1482" s="14" t="str">
        <f>Base_report!A1468</f>
        <v>TONKPI</v>
      </c>
      <c r="B1482" s="14" t="str">
        <f>Base_report!B1468</f>
        <v>DECEMBRE 2023</v>
      </c>
      <c r="C1482" s="15" t="str">
        <f>Base_report!C1468</f>
        <v>C5040</v>
      </c>
      <c r="D1482" s="14" t="str">
        <f>TRIM(IF(ISNUMBER(FIND("PNSME",Base_report!D1468,1)),SUBSTITUTE(Base_report!D1468,"PNSME",""),IF(ISNUMBER(FIND("PHG",Base_report!D1468,1)),SUBSTITUTE(Base_report!D1468,"PHG",""),IF(ISNUMBER(FIND("PCS",Base_report!D1468,1)),SUBSTITUTE(Base_report!D1468,"PCS",""),IF(ISNUMBER(FIND("CMU",Base_report!D1468,1)),SUBSTITUTE(Base_report!D1468,"CMU",""),Base_report!D1468)))))</f>
        <v>DISTRICT SANITAIRE ZOUAN-HOUNIEN</v>
      </c>
      <c r="E1482" s="14" t="str">
        <f>SUBSTITUTE(Base_report!E1468,"-","/")</f>
        <v>PNLS/ANTIRETROVIRAUX ET IO</v>
      </c>
      <c r="F1482" s="14" t="s">
        <v>788</v>
      </c>
      <c r="G1482" s="16">
        <f>DATE(YEAR(SUBSTITUTE(LEFT(Base_report!F1468,10),"-","/")),MONTH(SUBSTITUTE(LEFT(Base_report!F1468,10),"-","/")),DAY(SUBSTITUTE(LEFT(Base_report!F1468,10),"-","/")))</f>
        <v>45301</v>
      </c>
      <c r="H1482" s="16">
        <f>DATE(YEAR(SUBSTITUTE(LEFT(Base_report!G1468,10),"-","/")),MONTH(SUBSTITUTE(LEFT(Base_report!G1468,10),"-","/")),DAY(SUBSTITUTE(LEFT(Base_report!G1468,10),"-","/")))</f>
        <v>45301</v>
      </c>
      <c r="I1482" s="17" t="str">
        <f t="shared" si="1"/>
        <v>OUI</v>
      </c>
      <c r="J1482" s="18">
        <f>IF(L1482="DS",DATE(RIGHT(B1482,4),VLOOKUP(LEFT(B1482,LEN(B1482)-5),Feuil1!$E$3:$F$19,2,FALSE)+1,10),DATE(RIGHT(B1482,4),VLOOKUP(LEFT(B1482,LEN(B1482)-5),Feuil1!$E$3:$F$19,2,FALSE)+1,7))</f>
        <v>45301</v>
      </c>
      <c r="K1482" s="19">
        <f t="shared" si="2"/>
        <v>1</v>
      </c>
      <c r="L1482" s="6" t="str">
        <f t="shared" si="3"/>
        <v>DS</v>
      </c>
    </row>
    <row r="1483" ht="14.25" customHeight="1">
      <c r="A1483" s="14" t="str">
        <f>Base_report!A1469</f>
        <v>TONKPI</v>
      </c>
      <c r="B1483" s="14" t="str">
        <f>Base_report!B1469</f>
        <v>DECEMBRE 2023</v>
      </c>
      <c r="C1483" s="15" t="str">
        <f>Base_report!C1469</f>
        <v>C5040</v>
      </c>
      <c r="D1483" s="14" t="str">
        <f>TRIM(IF(ISNUMBER(FIND("PNSME",Base_report!D1469,1)),SUBSTITUTE(Base_report!D1469,"PNSME",""),IF(ISNUMBER(FIND("PHG",Base_report!D1469,1)),SUBSTITUTE(Base_report!D1469,"PHG",""),IF(ISNUMBER(FIND("PCS",Base_report!D1469,1)),SUBSTITUTE(Base_report!D1469,"PCS",""),IF(ISNUMBER(FIND("CMU",Base_report!D1469,1)),SUBSTITUTE(Base_report!D1469,"CMU",""),Base_report!D1469)))))</f>
        <v>DISTRICT SANITAIRE ZOUAN-HOUNIEN</v>
      </c>
      <c r="E1483" s="14" t="str">
        <f>SUBSTITUTE(Base_report!E1469,"-","/")</f>
        <v>PNLS/TESTS RAPIDES ET CONSOMMABLES</v>
      </c>
      <c r="F1483" s="14" t="s">
        <v>788</v>
      </c>
      <c r="G1483" s="16">
        <f>DATE(YEAR(SUBSTITUTE(LEFT(Base_report!F1469,10),"-","/")),MONTH(SUBSTITUTE(LEFT(Base_report!F1469,10),"-","/")),DAY(SUBSTITUTE(LEFT(Base_report!F1469,10),"-","/")))</f>
        <v>45301</v>
      </c>
      <c r="H1483" s="16">
        <f>DATE(YEAR(SUBSTITUTE(LEFT(Base_report!G1469,10),"-","/")),MONTH(SUBSTITUTE(LEFT(Base_report!G1469,10),"-","/")),DAY(SUBSTITUTE(LEFT(Base_report!G1469,10),"-","/")))</f>
        <v>45301</v>
      </c>
      <c r="I1483" s="17" t="str">
        <f t="shared" si="1"/>
        <v>OUI</v>
      </c>
      <c r="J1483" s="18">
        <f>IF(L1483="DS",DATE(RIGHT(B1483,4),VLOOKUP(LEFT(B1483,LEN(B1483)-5),Feuil1!$E$3:$F$19,2,FALSE)+1,10),DATE(RIGHT(B1483,4),VLOOKUP(LEFT(B1483,LEN(B1483)-5),Feuil1!$E$3:$F$19,2,FALSE)+1,7))</f>
        <v>45301</v>
      </c>
      <c r="K1483" s="19">
        <f t="shared" si="2"/>
        <v>1</v>
      </c>
      <c r="L1483" s="6" t="str">
        <f t="shared" si="3"/>
        <v>DS</v>
      </c>
    </row>
    <row r="1484" ht="14.25" customHeight="1">
      <c r="A1484" s="14" t="str">
        <f>Base_report!A1470</f>
        <v>TCHOLOGO</v>
      </c>
      <c r="B1484" s="14" t="str">
        <f>Base_report!B1470</f>
        <v>DECEMBRE 2023</v>
      </c>
      <c r="C1484" s="15" t="str">
        <f>Base_report!C1470</f>
        <v>C3004</v>
      </c>
      <c r="D1484" s="14" t="str">
        <f>TRIM(IF(ISNUMBER(FIND("PNSME",Base_report!D1470,1)),SUBSTITUTE(Base_report!D1470,"PNSME",""),IF(ISNUMBER(FIND("PHG",Base_report!D1470,1)),SUBSTITUTE(Base_report!D1470,"PHG",""),IF(ISNUMBER(FIND("PCS",Base_report!D1470,1)),SUBSTITUTE(Base_report!D1470,"PCS",""),IF(ISNUMBER(FIND("CMU",Base_report!D1470,1)),SUBSTITUTE(Base_report!D1470,"CMU",""),Base_report!D1470)))))</f>
        <v>DISTRICT SANITAIRE FERKESSEDOUGOU</v>
      </c>
      <c r="E1484" s="14" t="str">
        <f>SUBSTITUTE(Base_report!E1470,"-","/")</f>
        <v>PNLP/MEDICAMENTS ET INTRANTS</v>
      </c>
      <c r="F1484" s="14" t="s">
        <v>788</v>
      </c>
      <c r="G1484" s="16">
        <f>DATE(YEAR(SUBSTITUTE(LEFT(Base_report!F1470,10),"-","/")),MONTH(SUBSTITUTE(LEFT(Base_report!F1470,10),"-","/")),DAY(SUBSTITUTE(LEFT(Base_report!F1470,10),"-","/")))</f>
        <v>45300</v>
      </c>
      <c r="H1484" s="16">
        <f>DATE(YEAR(SUBSTITUTE(LEFT(Base_report!G1470,10),"-","/")),MONTH(SUBSTITUTE(LEFT(Base_report!G1470,10),"-","/")),DAY(SUBSTITUTE(LEFT(Base_report!G1470,10),"-","/")))</f>
        <v>45302</v>
      </c>
      <c r="I1484" s="17" t="str">
        <f t="shared" si="1"/>
        <v>OUI</v>
      </c>
      <c r="J1484" s="18">
        <f>IF(L1484="DS",DATE(RIGHT(B1484,4),VLOOKUP(LEFT(B1484,LEN(B1484)-5),Feuil1!$E$3:$F$19,2,FALSE)+1,10),DATE(RIGHT(B1484,4),VLOOKUP(LEFT(B1484,LEN(B1484)-5),Feuil1!$E$3:$F$19,2,FALSE)+1,7))</f>
        <v>45301</v>
      </c>
      <c r="K1484" s="19">
        <f t="shared" si="2"/>
        <v>0</v>
      </c>
      <c r="L1484" s="6" t="str">
        <f t="shared" si="3"/>
        <v>DS</v>
      </c>
    </row>
    <row r="1485" ht="14.25" customHeight="1">
      <c r="A1485" s="14" t="str">
        <f>Base_report!A1471</f>
        <v>WORODOUGOU</v>
      </c>
      <c r="B1485" s="14" t="str">
        <f>Base_report!B1471</f>
        <v>DECEMBRE 2023</v>
      </c>
      <c r="C1485" s="15" t="str">
        <f>Base_report!C1471</f>
        <v>C2036</v>
      </c>
      <c r="D1485" s="14" t="str">
        <f>TRIM(IF(ISNUMBER(FIND("PNSME",Base_report!D1471,1)),SUBSTITUTE(Base_report!D1471,"PNSME",""),IF(ISNUMBER(FIND("PHG",Base_report!D1471,1)),SUBSTITUTE(Base_report!D1471,"PHG",""),IF(ISNUMBER(FIND("PCS",Base_report!D1471,1)),SUBSTITUTE(Base_report!D1471,"PCS",""),IF(ISNUMBER(FIND("CMU",Base_report!D1471,1)),SUBSTITUTE(Base_report!D1471,"CMU",""),Base_report!D1471)))))</f>
        <v>DISTRICT SANITAIRE SEGUELA</v>
      </c>
      <c r="E1485" s="14" t="str">
        <f>SUBSTITUTE(Base_report!E1471,"-","/")</f>
        <v>PNSME/MEDICAMENTS ET INTRANTS</v>
      </c>
      <c r="F1485" s="14" t="s">
        <v>788</v>
      </c>
      <c r="G1485" s="16">
        <f>DATE(YEAR(SUBSTITUTE(LEFT(Base_report!F1471,10),"-","/")),MONTH(SUBSTITUTE(LEFT(Base_report!F1471,10),"-","/")),DAY(SUBSTITUTE(LEFT(Base_report!F1471,10),"-","/")))</f>
        <v>45300</v>
      </c>
      <c r="H1485" s="16">
        <f>DATE(YEAR(SUBSTITUTE(LEFT(Base_report!G1471,10),"-","/")),MONTH(SUBSTITUTE(LEFT(Base_report!G1471,10),"-","/")),DAY(SUBSTITUTE(LEFT(Base_report!G1471,10),"-","/")))</f>
        <v>45301</v>
      </c>
      <c r="I1485" s="17" t="str">
        <f t="shared" si="1"/>
        <v>OUI</v>
      </c>
      <c r="J1485" s="18">
        <f>IF(L1485="DS",DATE(RIGHT(B1485,4),VLOOKUP(LEFT(B1485,LEN(B1485)-5),Feuil1!$E$3:$F$19,2,FALSE)+1,10),DATE(RIGHT(B1485,4),VLOOKUP(LEFT(B1485,LEN(B1485)-5),Feuil1!$E$3:$F$19,2,FALSE)+1,7))</f>
        <v>45301</v>
      </c>
      <c r="K1485" s="19">
        <f t="shared" si="2"/>
        <v>1</v>
      </c>
      <c r="L1485" s="6" t="str">
        <f t="shared" si="3"/>
        <v>DS</v>
      </c>
    </row>
    <row r="1486" ht="14.25" customHeight="1">
      <c r="A1486" s="14" t="str">
        <f>Base_report!A1472</f>
        <v>CAVALLY</v>
      </c>
      <c r="B1486" s="14" t="str">
        <f>Base_report!B1472</f>
        <v>DECEMBRE 2023</v>
      </c>
      <c r="C1486" s="15" t="str">
        <f>Base_report!C1472</f>
        <v>C5045</v>
      </c>
      <c r="D1486" s="14" t="str">
        <f>TRIM(IF(ISNUMBER(FIND("PNSME",Base_report!D1472,1)),SUBSTITUTE(Base_report!D1472,"PNSME",""),IF(ISNUMBER(FIND("PHG",Base_report!D1472,1)),SUBSTITUTE(Base_report!D1472,"PHG",""),IF(ISNUMBER(FIND("PCS",Base_report!D1472,1)),SUBSTITUTE(Base_report!D1472,"PCS",""),IF(ISNUMBER(FIND("CMU",Base_report!D1472,1)),SUBSTITUTE(Base_report!D1472,"CMU",""),Base_report!D1472)))))</f>
        <v>DISTRICT SANITAIRE BLOLEQUIN</v>
      </c>
      <c r="E1486" s="14" t="str">
        <f>SUBSTITUTE(Base_report!E1472,"-","/")</f>
        <v>PNSME/MEDICAMENTS ET INTRANTS</v>
      </c>
      <c r="F1486" s="14" t="s">
        <v>788</v>
      </c>
      <c r="G1486" s="16">
        <f>DATE(YEAR(SUBSTITUTE(LEFT(Base_report!F1472,10),"-","/")),MONTH(SUBSTITUTE(LEFT(Base_report!F1472,10),"-","/")),DAY(SUBSTITUTE(LEFT(Base_report!F1472,10),"-","/")))</f>
        <v>45300</v>
      </c>
      <c r="H1486" s="16">
        <f>DATE(YEAR(SUBSTITUTE(LEFT(Base_report!G1472,10),"-","/")),MONTH(SUBSTITUTE(LEFT(Base_report!G1472,10),"-","/")),DAY(SUBSTITUTE(LEFT(Base_report!G1472,10),"-","/")))</f>
        <v>45301</v>
      </c>
      <c r="I1486" s="17" t="str">
        <f t="shared" si="1"/>
        <v>OUI</v>
      </c>
      <c r="J1486" s="18">
        <f>IF(L1486="DS",DATE(RIGHT(B1486,4),VLOOKUP(LEFT(B1486,LEN(B1486)-5),Feuil1!$E$3:$F$19,2,FALSE)+1,10),DATE(RIGHT(B1486,4),VLOOKUP(LEFT(B1486,LEN(B1486)-5),Feuil1!$E$3:$F$19,2,FALSE)+1,7))</f>
        <v>45301</v>
      </c>
      <c r="K1486" s="19">
        <f t="shared" si="2"/>
        <v>1</v>
      </c>
      <c r="L1486" s="6" t="str">
        <f t="shared" si="3"/>
        <v>DS</v>
      </c>
    </row>
    <row r="1487" ht="14.25" customHeight="1">
      <c r="A1487" s="14" t="str">
        <f>Base_report!A1473</f>
        <v>PORO</v>
      </c>
      <c r="B1487" s="14" t="str">
        <f>Base_report!B1473</f>
        <v>DECEMBRE 2023</v>
      </c>
      <c r="C1487" s="15" t="str">
        <f>Base_report!C1473</f>
        <v>C3057</v>
      </c>
      <c r="D1487" s="14" t="str">
        <f>TRIM(IF(ISNUMBER(FIND("PNSME",Base_report!D1473,1)),SUBSTITUTE(Base_report!D1473,"PNSME",""),IF(ISNUMBER(FIND("PHG",Base_report!D1473,1)),SUBSTITUTE(Base_report!D1473,"PHG",""),IF(ISNUMBER(FIND("PCS",Base_report!D1473,1)),SUBSTITUTE(Base_report!D1473,"PCS",""),IF(ISNUMBER(FIND("CMU",Base_report!D1473,1)),SUBSTITUTE(Base_report!D1473,"CMU",""),Base_report!D1473)))))</f>
        <v>DISTRICT SANITAIRE SINEMATIALI</v>
      </c>
      <c r="E1487" s="14" t="str">
        <f>SUBSTITUTE(Base_report!E1473,"-","/")</f>
        <v>PNLS/PRODUITS DE LABORATOIRE</v>
      </c>
      <c r="F1487" s="14" t="s">
        <v>788</v>
      </c>
      <c r="G1487" s="16">
        <f>DATE(YEAR(SUBSTITUTE(LEFT(Base_report!F1473,10),"-","/")),MONTH(SUBSTITUTE(LEFT(Base_report!F1473,10),"-","/")),DAY(SUBSTITUTE(LEFT(Base_report!F1473,10),"-","/")))</f>
        <v>45300</v>
      </c>
      <c r="H1487" s="16">
        <f>DATE(YEAR(SUBSTITUTE(LEFT(Base_report!G1473,10),"-","/")),MONTH(SUBSTITUTE(LEFT(Base_report!G1473,10),"-","/")),DAY(SUBSTITUTE(LEFT(Base_report!G1473,10),"-","/")))</f>
        <v>45300</v>
      </c>
      <c r="I1487" s="17" t="str">
        <f t="shared" si="1"/>
        <v>OUI</v>
      </c>
      <c r="J1487" s="18">
        <f>IF(L1487="DS",DATE(RIGHT(B1487,4),VLOOKUP(LEFT(B1487,LEN(B1487)-5),Feuil1!$E$3:$F$19,2,FALSE)+1,10),DATE(RIGHT(B1487,4),VLOOKUP(LEFT(B1487,LEN(B1487)-5),Feuil1!$E$3:$F$19,2,FALSE)+1,7))</f>
        <v>45301</v>
      </c>
      <c r="K1487" s="19">
        <f t="shared" si="2"/>
        <v>1</v>
      </c>
      <c r="L1487" s="6" t="str">
        <f t="shared" si="3"/>
        <v>DS</v>
      </c>
    </row>
    <row r="1488" ht="14.25" customHeight="1">
      <c r="A1488" s="14" t="str">
        <f>Base_report!A1474</f>
        <v>AGNEBY-TIASSA</v>
      </c>
      <c r="B1488" s="14" t="str">
        <f>Base_report!B1474</f>
        <v>DECEMBRE 2023</v>
      </c>
      <c r="C1488" s="15" t="str">
        <f>Base_report!C1474</f>
        <v>C2141</v>
      </c>
      <c r="D1488" s="14" t="str">
        <f>TRIM(IF(ISNUMBER(FIND("PNSME",Base_report!D1474,1)),SUBSTITUTE(Base_report!D1474,"PNSME",""),IF(ISNUMBER(FIND("PHG",Base_report!D1474,1)),SUBSTITUTE(Base_report!D1474,"PHG",""),IF(ISNUMBER(FIND("PCS",Base_report!D1474,1)),SUBSTITUTE(Base_report!D1474,"PCS",""),IF(ISNUMBER(FIND("CMU",Base_report!D1474,1)),SUBSTITUTE(Base_report!D1474,"CMU",""),Base_report!D1474)))))</f>
        <v>DISTRICT SANITAIRE SIKENSI</v>
      </c>
      <c r="E1488" s="14" t="str">
        <f>SUBSTITUTE(Base_report!E1474,"-","/")</f>
        <v>PNLP/MEDICAMENTS ET INTRANTS</v>
      </c>
      <c r="F1488" s="14" t="s">
        <v>788</v>
      </c>
      <c r="G1488" s="16">
        <f>DATE(YEAR(SUBSTITUTE(LEFT(Base_report!F1474,10),"-","/")),MONTH(SUBSTITUTE(LEFT(Base_report!F1474,10),"-","/")),DAY(SUBSTITUTE(LEFT(Base_report!F1474,10),"-","/")))</f>
        <v>45300</v>
      </c>
      <c r="H1488" s="16">
        <f>DATE(YEAR(SUBSTITUTE(LEFT(Base_report!G1474,10),"-","/")),MONTH(SUBSTITUTE(LEFT(Base_report!G1474,10),"-","/")),DAY(SUBSTITUTE(LEFT(Base_report!G1474,10),"-","/")))</f>
        <v>45300</v>
      </c>
      <c r="I1488" s="17" t="str">
        <f t="shared" si="1"/>
        <v>OUI</v>
      </c>
      <c r="J1488" s="18">
        <f>IF(L1488="DS",DATE(RIGHT(B1488,4),VLOOKUP(LEFT(B1488,LEN(B1488)-5),Feuil1!$E$3:$F$19,2,FALSE)+1,10),DATE(RIGHT(B1488,4),VLOOKUP(LEFT(B1488,LEN(B1488)-5),Feuil1!$E$3:$F$19,2,FALSE)+1,7))</f>
        <v>45301</v>
      </c>
      <c r="K1488" s="19">
        <f t="shared" si="2"/>
        <v>1</v>
      </c>
      <c r="L1488" s="6" t="str">
        <f t="shared" si="3"/>
        <v>DS</v>
      </c>
    </row>
    <row r="1489" ht="14.25" customHeight="1">
      <c r="A1489" s="14" t="str">
        <f>Base_report!A1475</f>
        <v>GRANDS PONTS</v>
      </c>
      <c r="B1489" s="14" t="str">
        <f>Base_report!B1475</f>
        <v>DECEMBRE 2023</v>
      </c>
      <c r="C1489" s="15" t="str">
        <f>Base_report!C1475</f>
        <v>C1049</v>
      </c>
      <c r="D1489" s="14" t="str">
        <f>TRIM(IF(ISNUMBER(FIND("PNSME",Base_report!D1475,1)),SUBSTITUTE(Base_report!D1475,"PNSME",""),IF(ISNUMBER(FIND("PHG",Base_report!D1475,1)),SUBSTITUTE(Base_report!D1475,"PHG",""),IF(ISNUMBER(FIND("PCS",Base_report!D1475,1)),SUBSTITUTE(Base_report!D1475,"PCS",""),IF(ISNUMBER(FIND("CMU",Base_report!D1475,1)),SUBSTITUTE(Base_report!D1475,"CMU",""),Base_report!D1475)))))</f>
        <v>DISTRICT SANITAIRE GRAND-LAHOU</v>
      </c>
      <c r="E1489" s="14" t="str">
        <f>SUBSTITUTE(Base_report!E1475,"-","/")</f>
        <v>PNN/MEDICAMENTS ET INTRANTS</v>
      </c>
      <c r="F1489" s="14" t="s">
        <v>788</v>
      </c>
      <c r="G1489" s="16">
        <f>DATE(YEAR(SUBSTITUTE(LEFT(Base_report!F1475,10),"-","/")),MONTH(SUBSTITUTE(LEFT(Base_report!F1475,10),"-","/")),DAY(SUBSTITUTE(LEFT(Base_report!F1475,10),"-","/")))</f>
        <v>45300</v>
      </c>
      <c r="H1489" s="16">
        <f>DATE(YEAR(SUBSTITUTE(LEFT(Base_report!G1475,10),"-","/")),MONTH(SUBSTITUTE(LEFT(Base_report!G1475,10),"-","/")),DAY(SUBSTITUTE(LEFT(Base_report!G1475,10),"-","/")))</f>
        <v>45301</v>
      </c>
      <c r="I1489" s="17" t="str">
        <f t="shared" si="1"/>
        <v>OUI</v>
      </c>
      <c r="J1489" s="18">
        <f>IF(L1489="DS",DATE(RIGHT(B1489,4),VLOOKUP(LEFT(B1489,LEN(B1489)-5),Feuil1!$E$3:$F$19,2,FALSE)+1,10),DATE(RIGHT(B1489,4),VLOOKUP(LEFT(B1489,LEN(B1489)-5),Feuil1!$E$3:$F$19,2,FALSE)+1,7))</f>
        <v>45301</v>
      </c>
      <c r="K1489" s="19">
        <f t="shared" si="2"/>
        <v>1</v>
      </c>
      <c r="L1489" s="6" t="str">
        <f t="shared" si="3"/>
        <v>DS</v>
      </c>
    </row>
    <row r="1490" ht="14.25" customHeight="1">
      <c r="A1490" s="14" t="str">
        <f>Base_report!A1476</f>
        <v>BELIER</v>
      </c>
      <c r="B1490" s="14" t="str">
        <f>Base_report!B1476</f>
        <v>DECEMBRE 2023</v>
      </c>
      <c r="C1490" s="15" t="str">
        <f>Base_report!C1476</f>
        <v>C2042</v>
      </c>
      <c r="D1490" s="14" t="str">
        <f>TRIM(IF(ISNUMBER(FIND("PNSME",Base_report!D1476,1)),SUBSTITUTE(Base_report!D1476,"PNSME",""),IF(ISNUMBER(FIND("PHG",Base_report!D1476,1)),SUBSTITUTE(Base_report!D1476,"PHG",""),IF(ISNUMBER(FIND("PCS",Base_report!D1476,1)),SUBSTITUTE(Base_report!D1476,"PCS",""),IF(ISNUMBER(FIND("CMU",Base_report!D1476,1)),SUBSTITUTE(Base_report!D1476,"CMU",""),Base_report!D1476)))))</f>
        <v>DISTRICT SANITAIRE TIEBISSOU</v>
      </c>
      <c r="E1490" s="14" t="str">
        <f>SUBSTITUTE(Base_report!E1476,"-","/")</f>
        <v>PNLP/MEDICAMENTS ET INTRANTS</v>
      </c>
      <c r="F1490" s="14" t="s">
        <v>788</v>
      </c>
      <c r="G1490" s="16">
        <f>DATE(YEAR(SUBSTITUTE(LEFT(Base_report!F1476,10),"-","/")),MONTH(SUBSTITUTE(LEFT(Base_report!F1476,10),"-","/")),DAY(SUBSTITUTE(LEFT(Base_report!F1476,10),"-","/")))</f>
        <v>45300</v>
      </c>
      <c r="H1490" s="16">
        <f>DATE(YEAR(SUBSTITUTE(LEFT(Base_report!G1476,10),"-","/")),MONTH(SUBSTITUTE(LEFT(Base_report!G1476,10),"-","/")),DAY(SUBSTITUTE(LEFT(Base_report!G1476,10),"-","/")))</f>
        <v>45300</v>
      </c>
      <c r="I1490" s="17" t="str">
        <f t="shared" si="1"/>
        <v>OUI</v>
      </c>
      <c r="J1490" s="18">
        <f>IF(L1490="DS",DATE(RIGHT(B1490,4),VLOOKUP(LEFT(B1490,LEN(B1490)-5),Feuil1!$E$3:$F$19,2,FALSE)+1,10),DATE(RIGHT(B1490,4),VLOOKUP(LEFT(B1490,LEN(B1490)-5),Feuil1!$E$3:$F$19,2,FALSE)+1,7))</f>
        <v>45301</v>
      </c>
      <c r="K1490" s="19">
        <f t="shared" si="2"/>
        <v>1</v>
      </c>
      <c r="L1490" s="6" t="str">
        <f t="shared" si="3"/>
        <v>DS</v>
      </c>
    </row>
    <row r="1491" ht="14.25" customHeight="1">
      <c r="A1491" s="14" t="str">
        <f>Base_report!A1477</f>
        <v>GRANDS PONTS</v>
      </c>
      <c r="B1491" s="14" t="str">
        <f>Base_report!B1477</f>
        <v>DECEMBRE 2023</v>
      </c>
      <c r="C1491" s="15" t="str">
        <f>Base_report!C1477</f>
        <v>C1049</v>
      </c>
      <c r="D1491" s="14" t="str">
        <f>TRIM(IF(ISNUMBER(FIND("PNSME",Base_report!D1477,1)),SUBSTITUTE(Base_report!D1477,"PNSME",""),IF(ISNUMBER(FIND("PHG",Base_report!D1477,1)),SUBSTITUTE(Base_report!D1477,"PHG",""),IF(ISNUMBER(FIND("PCS",Base_report!D1477,1)),SUBSTITUTE(Base_report!D1477,"PCS",""),IF(ISNUMBER(FIND("CMU",Base_report!D1477,1)),SUBSTITUTE(Base_report!D1477,"CMU",""),Base_report!D1477)))))</f>
        <v>DISTRICT SANITAIRE GRAND-LAHOU</v>
      </c>
      <c r="E1491" s="14" t="str">
        <f>SUBSTITUTE(Base_report!E1477,"-","/")</f>
        <v>PNLS/PRODUITS DE LABORATOIRE</v>
      </c>
      <c r="F1491" s="14" t="s">
        <v>788</v>
      </c>
      <c r="G1491" s="16">
        <f>DATE(YEAR(SUBSTITUTE(LEFT(Base_report!F1477,10),"-","/")),MONTH(SUBSTITUTE(LEFT(Base_report!F1477,10),"-","/")),DAY(SUBSTITUTE(LEFT(Base_report!F1477,10),"-","/")))</f>
        <v>45300</v>
      </c>
      <c r="H1491" s="16">
        <f>DATE(YEAR(SUBSTITUTE(LEFT(Base_report!G1477,10),"-","/")),MONTH(SUBSTITUTE(LEFT(Base_report!G1477,10),"-","/")),DAY(SUBSTITUTE(LEFT(Base_report!G1477,10),"-","/")))</f>
        <v>45301</v>
      </c>
      <c r="I1491" s="17" t="str">
        <f t="shared" si="1"/>
        <v>OUI</v>
      </c>
      <c r="J1491" s="18">
        <f>IF(L1491="DS",DATE(RIGHT(B1491,4),VLOOKUP(LEFT(B1491,LEN(B1491)-5),Feuil1!$E$3:$F$19,2,FALSE)+1,10),DATE(RIGHT(B1491,4),VLOOKUP(LEFT(B1491,LEN(B1491)-5),Feuil1!$E$3:$F$19,2,FALSE)+1,7))</f>
        <v>45301</v>
      </c>
      <c r="K1491" s="19">
        <f t="shared" si="2"/>
        <v>1</v>
      </c>
      <c r="L1491" s="6" t="str">
        <f t="shared" si="3"/>
        <v>DS</v>
      </c>
    </row>
    <row r="1492" ht="14.25" customHeight="1">
      <c r="A1492" s="14" t="str">
        <f>Base_report!A1478</f>
        <v>GOH</v>
      </c>
      <c r="B1492" s="14" t="str">
        <f>Base_report!B1478</f>
        <v>DECEMBRE 2023</v>
      </c>
      <c r="C1492" s="15" t="str">
        <f>Base_report!C1478</f>
        <v>C2033</v>
      </c>
      <c r="D1492" s="14" t="str">
        <f>TRIM(IF(ISNUMBER(FIND("PNSME",Base_report!D1478,1)),SUBSTITUTE(Base_report!D1478,"PNSME",""),IF(ISNUMBER(FIND("PHG",Base_report!D1478,1)),SUBSTITUTE(Base_report!D1478,"PHG",""),IF(ISNUMBER(FIND("PCS",Base_report!D1478,1)),SUBSTITUTE(Base_report!D1478,"PCS",""),IF(ISNUMBER(FIND("CMU",Base_report!D1478,1)),SUBSTITUTE(Base_report!D1478,"CMU",""),Base_report!D1478)))))</f>
        <v>DISTRICT SANITAIRE OUME</v>
      </c>
      <c r="E1492" s="14" t="str">
        <f>SUBSTITUTE(Base_report!E1478,"-","/")</f>
        <v>PNSME/MEDICAMENTS ET INTRANTS</v>
      </c>
      <c r="F1492" s="14" t="s">
        <v>788</v>
      </c>
      <c r="G1492" s="16">
        <f>DATE(YEAR(SUBSTITUTE(LEFT(Base_report!F1478,10),"-","/")),MONTH(SUBSTITUTE(LEFT(Base_report!F1478,10),"-","/")),DAY(SUBSTITUTE(LEFT(Base_report!F1478,10),"-","/")))</f>
        <v>45300</v>
      </c>
      <c r="H1492" s="16">
        <f>DATE(YEAR(SUBSTITUTE(LEFT(Base_report!G1478,10),"-","/")),MONTH(SUBSTITUTE(LEFT(Base_report!G1478,10),"-","/")),DAY(SUBSTITUTE(LEFT(Base_report!G1478,10),"-","/")))</f>
        <v>45300</v>
      </c>
      <c r="I1492" s="17" t="str">
        <f t="shared" si="1"/>
        <v>OUI</v>
      </c>
      <c r="J1492" s="18">
        <f>IF(L1492="DS",DATE(RIGHT(B1492,4),VLOOKUP(LEFT(B1492,LEN(B1492)-5),Feuil1!$E$3:$F$19,2,FALSE)+1,10),DATE(RIGHT(B1492,4),VLOOKUP(LEFT(B1492,LEN(B1492)-5),Feuil1!$E$3:$F$19,2,FALSE)+1,7))</f>
        <v>45301</v>
      </c>
      <c r="K1492" s="19">
        <f t="shared" si="2"/>
        <v>1</v>
      </c>
      <c r="L1492" s="6" t="str">
        <f t="shared" si="3"/>
        <v>DS</v>
      </c>
    </row>
    <row r="1493" ht="14.25" customHeight="1">
      <c r="A1493" s="14" t="str">
        <f>Base_report!A1479</f>
        <v>TCHOLOGO</v>
      </c>
      <c r="B1493" s="14" t="str">
        <f>Base_report!B1479</f>
        <v>DECEMBRE 2023</v>
      </c>
      <c r="C1493" s="15" t="str">
        <f>Base_report!C1479</f>
        <v>C3004</v>
      </c>
      <c r="D1493" s="14" t="str">
        <f>TRIM(IF(ISNUMBER(FIND("PNSME",Base_report!D1479,1)),SUBSTITUTE(Base_report!D1479,"PNSME",""),IF(ISNUMBER(FIND("PHG",Base_report!D1479,1)),SUBSTITUTE(Base_report!D1479,"PHG",""),IF(ISNUMBER(FIND("PCS",Base_report!D1479,1)),SUBSTITUTE(Base_report!D1479,"PCS",""),IF(ISNUMBER(FIND("CMU",Base_report!D1479,1)),SUBSTITUTE(Base_report!D1479,"CMU",""),Base_report!D1479)))))</f>
        <v>DISTRICT SANITAIRE FERKESSEDOUGOU</v>
      </c>
      <c r="E1493" s="14" t="str">
        <f>SUBSTITUTE(Base_report!E1479,"-","/")</f>
        <v>PNLS/ANTIRETROVIRAUX ET IO</v>
      </c>
      <c r="F1493" s="14" t="s">
        <v>788</v>
      </c>
      <c r="G1493" s="16">
        <f>DATE(YEAR(SUBSTITUTE(LEFT(Base_report!F1479,10),"-","/")),MONTH(SUBSTITUTE(LEFT(Base_report!F1479,10),"-","/")),DAY(SUBSTITUTE(LEFT(Base_report!F1479,10),"-","/")))</f>
        <v>45300</v>
      </c>
      <c r="H1493" s="16">
        <f>DATE(YEAR(SUBSTITUTE(LEFT(Base_report!G1479,10),"-","/")),MONTH(SUBSTITUTE(LEFT(Base_report!G1479,10),"-","/")),DAY(SUBSTITUTE(LEFT(Base_report!G1479,10),"-","/")))</f>
        <v>45302</v>
      </c>
      <c r="I1493" s="17" t="str">
        <f t="shared" si="1"/>
        <v>OUI</v>
      </c>
      <c r="J1493" s="18">
        <f>IF(L1493="DS",DATE(RIGHT(B1493,4),VLOOKUP(LEFT(B1493,LEN(B1493)-5),Feuil1!$E$3:$F$19,2,FALSE)+1,10),DATE(RIGHT(B1493,4),VLOOKUP(LEFT(B1493,LEN(B1493)-5),Feuil1!$E$3:$F$19,2,FALSE)+1,7))</f>
        <v>45301</v>
      </c>
      <c r="K1493" s="19">
        <f t="shared" si="2"/>
        <v>0</v>
      </c>
      <c r="L1493" s="6" t="str">
        <f t="shared" si="3"/>
        <v>DS</v>
      </c>
    </row>
    <row r="1494" ht="14.25" customHeight="1">
      <c r="A1494" s="14" t="str">
        <f>Base_report!A1480</f>
        <v>ABIDJAN 2</v>
      </c>
      <c r="B1494" s="14" t="str">
        <f>Base_report!B1480</f>
        <v>DECEMBRE 2023</v>
      </c>
      <c r="C1494" s="15" t="str">
        <f>Base_report!C1480</f>
        <v>C1422</v>
      </c>
      <c r="D1494" s="14" t="str">
        <f>TRIM(IF(ISNUMBER(FIND("PNSME",Base_report!D1480,1)),SUBSTITUTE(Base_report!D1480,"PNSME",""),IF(ISNUMBER(FIND("PHG",Base_report!D1480,1)),SUBSTITUTE(Base_report!D1480,"PHG",""),IF(ISNUMBER(FIND("PCS",Base_report!D1480,1)),SUBSTITUTE(Base_report!D1480,"PCS",""),IF(ISNUMBER(FIND("CMU",Base_report!D1480,1)),SUBSTITUTE(Base_report!D1480,"CMU",""),Base_report!D1480)))))</f>
        <v>DISTRICT SANITAIRE PORT BOUET VRIDI</v>
      </c>
      <c r="E1494" s="14" t="str">
        <f>SUBSTITUTE(Base_report!E1480,"-","/")</f>
        <v>PNLS/PRODUITS DE LABORATOIRE</v>
      </c>
      <c r="F1494" s="14" t="s">
        <v>788</v>
      </c>
      <c r="G1494" s="16">
        <f>DATE(YEAR(SUBSTITUTE(LEFT(Base_report!F1480,10),"-","/")),MONTH(SUBSTITUTE(LEFT(Base_report!F1480,10),"-","/")),DAY(SUBSTITUTE(LEFT(Base_report!F1480,10),"-","/")))</f>
        <v>45300</v>
      </c>
      <c r="H1494" s="16">
        <f>DATE(YEAR(SUBSTITUTE(LEFT(Base_report!G1480,10),"-","/")),MONTH(SUBSTITUTE(LEFT(Base_report!G1480,10),"-","/")),DAY(SUBSTITUTE(LEFT(Base_report!G1480,10),"-","/")))</f>
        <v>45301</v>
      </c>
      <c r="I1494" s="17" t="str">
        <f t="shared" si="1"/>
        <v>OUI</v>
      </c>
      <c r="J1494" s="18">
        <f>IF(L1494="DS",DATE(RIGHT(B1494,4),VLOOKUP(LEFT(B1494,LEN(B1494)-5),Feuil1!$E$3:$F$19,2,FALSE)+1,10),DATE(RIGHT(B1494,4),VLOOKUP(LEFT(B1494,LEN(B1494)-5),Feuil1!$E$3:$F$19,2,FALSE)+1,7))</f>
        <v>45301</v>
      </c>
      <c r="K1494" s="19">
        <f t="shared" si="2"/>
        <v>1</v>
      </c>
      <c r="L1494" s="6" t="str">
        <f t="shared" si="3"/>
        <v>DS</v>
      </c>
    </row>
    <row r="1495" ht="14.25" customHeight="1">
      <c r="A1495" s="14" t="str">
        <f>Base_report!A1481</f>
        <v>WORODOUGOU</v>
      </c>
      <c r="B1495" s="14" t="str">
        <f>Base_report!B1481</f>
        <v>DECEMBRE 2023</v>
      </c>
      <c r="C1495" s="15" t="str">
        <f>Base_report!C1481</f>
        <v>C2036</v>
      </c>
      <c r="D1495" s="14" t="str">
        <f>TRIM(IF(ISNUMBER(FIND("PNSME",Base_report!D1481,1)),SUBSTITUTE(Base_report!D1481,"PNSME",""),IF(ISNUMBER(FIND("PHG",Base_report!D1481,1)),SUBSTITUTE(Base_report!D1481,"PHG",""),IF(ISNUMBER(FIND("PCS",Base_report!D1481,1)),SUBSTITUTE(Base_report!D1481,"PCS",""),IF(ISNUMBER(FIND("CMU",Base_report!D1481,1)),SUBSTITUTE(Base_report!D1481,"CMU",""),Base_report!D1481)))))</f>
        <v>DISTRICT SANITAIRE SEGUELA</v>
      </c>
      <c r="E1495" s="14" t="str">
        <f>SUBSTITUTE(Base_report!E1481,"-","/")</f>
        <v>PNLS/ANTIRETROVIRAUX ET IO</v>
      </c>
      <c r="F1495" s="14" t="s">
        <v>788</v>
      </c>
      <c r="G1495" s="16">
        <f>DATE(YEAR(SUBSTITUTE(LEFT(Base_report!F1481,10),"-","/")),MONTH(SUBSTITUTE(LEFT(Base_report!F1481,10),"-","/")),DAY(SUBSTITUTE(LEFT(Base_report!F1481,10),"-","/")))</f>
        <v>45301</v>
      </c>
      <c r="H1495" s="16">
        <f>DATE(YEAR(SUBSTITUTE(LEFT(Base_report!G1481,10),"-","/")),MONTH(SUBSTITUTE(LEFT(Base_report!G1481,10),"-","/")),DAY(SUBSTITUTE(LEFT(Base_report!G1481,10),"-","/")))</f>
        <v>45301</v>
      </c>
      <c r="I1495" s="17" t="str">
        <f t="shared" si="1"/>
        <v>OUI</v>
      </c>
      <c r="J1495" s="18">
        <f>IF(L1495="DS",DATE(RIGHT(B1495,4),VLOOKUP(LEFT(B1495,LEN(B1495)-5),Feuil1!$E$3:$F$19,2,FALSE)+1,10),DATE(RIGHT(B1495,4),VLOOKUP(LEFT(B1495,LEN(B1495)-5),Feuil1!$E$3:$F$19,2,FALSE)+1,7))</f>
        <v>45301</v>
      </c>
      <c r="K1495" s="19">
        <f t="shared" si="2"/>
        <v>1</v>
      </c>
      <c r="L1495" s="6" t="str">
        <f t="shared" si="3"/>
        <v>DS</v>
      </c>
    </row>
    <row r="1496" ht="14.25" customHeight="1">
      <c r="A1496" s="14" t="str">
        <f>Base_report!A1482</f>
        <v>WORODOUGOU</v>
      </c>
      <c r="B1496" s="14" t="str">
        <f>Base_report!B1482</f>
        <v>DECEMBRE 2023</v>
      </c>
      <c r="C1496" s="15" t="str">
        <f>Base_report!C1482</f>
        <v>C2036</v>
      </c>
      <c r="D1496" s="14" t="str">
        <f>TRIM(IF(ISNUMBER(FIND("PNSME",Base_report!D1482,1)),SUBSTITUTE(Base_report!D1482,"PNSME",""),IF(ISNUMBER(FIND("PHG",Base_report!D1482,1)),SUBSTITUTE(Base_report!D1482,"PHG",""),IF(ISNUMBER(FIND("PCS",Base_report!D1482,1)),SUBSTITUTE(Base_report!D1482,"PCS",""),IF(ISNUMBER(FIND("CMU",Base_report!D1482,1)),SUBSTITUTE(Base_report!D1482,"CMU",""),Base_report!D1482)))))</f>
        <v>DISTRICT SANITAIRE SEGUELA</v>
      </c>
      <c r="E1496" s="14" t="str">
        <f>SUBSTITUTE(Base_report!E1482,"-","/")</f>
        <v>PNN/MEDICAMENTS ET INTRANTS</v>
      </c>
      <c r="F1496" s="14" t="s">
        <v>788</v>
      </c>
      <c r="G1496" s="16">
        <f>DATE(YEAR(SUBSTITUTE(LEFT(Base_report!F1482,10),"-","/")),MONTH(SUBSTITUTE(LEFT(Base_report!F1482,10),"-","/")),DAY(SUBSTITUTE(LEFT(Base_report!F1482,10),"-","/")))</f>
        <v>45300</v>
      </c>
      <c r="H1496" s="16">
        <f>DATE(YEAR(SUBSTITUTE(LEFT(Base_report!G1482,10),"-","/")),MONTH(SUBSTITUTE(LEFT(Base_report!G1482,10),"-","/")),DAY(SUBSTITUTE(LEFT(Base_report!G1482,10),"-","/")))</f>
        <v>45301</v>
      </c>
      <c r="I1496" s="17" t="str">
        <f t="shared" si="1"/>
        <v>OUI</v>
      </c>
      <c r="J1496" s="18">
        <f>IF(L1496="DS",DATE(RIGHT(B1496,4),VLOOKUP(LEFT(B1496,LEN(B1496)-5),Feuil1!$E$3:$F$19,2,FALSE)+1,10),DATE(RIGHT(B1496,4),VLOOKUP(LEFT(B1496,LEN(B1496)-5),Feuil1!$E$3:$F$19,2,FALSE)+1,7))</f>
        <v>45301</v>
      </c>
      <c r="K1496" s="19">
        <f t="shared" si="2"/>
        <v>1</v>
      </c>
      <c r="L1496" s="6" t="str">
        <f t="shared" si="3"/>
        <v>DS</v>
      </c>
    </row>
    <row r="1497" ht="14.25" customHeight="1">
      <c r="A1497" s="14" t="str">
        <f>Base_report!A1483</f>
        <v>ABIDJAN 2</v>
      </c>
      <c r="B1497" s="14" t="str">
        <f>Base_report!B1483</f>
        <v>DECEMBRE 2023</v>
      </c>
      <c r="C1497" s="15" t="str">
        <f>Base_report!C1483</f>
        <v>C1422</v>
      </c>
      <c r="D1497" s="14" t="str">
        <f>TRIM(IF(ISNUMBER(FIND("PNSME",Base_report!D1483,1)),SUBSTITUTE(Base_report!D1483,"PNSME",""),IF(ISNUMBER(FIND("PHG",Base_report!D1483,1)),SUBSTITUTE(Base_report!D1483,"PHG",""),IF(ISNUMBER(FIND("PCS",Base_report!D1483,1)),SUBSTITUTE(Base_report!D1483,"PCS",""),IF(ISNUMBER(FIND("CMU",Base_report!D1483,1)),SUBSTITUTE(Base_report!D1483,"CMU",""),Base_report!D1483)))))</f>
        <v>DISTRICT SANITAIRE PORT BOUET VRIDI</v>
      </c>
      <c r="E1497" s="14" t="str">
        <f>SUBSTITUTE(Base_report!E1483,"-","/")</f>
        <v>PNLP/MEDICAMENTS ET INTRANTS</v>
      </c>
      <c r="F1497" s="14" t="s">
        <v>788</v>
      </c>
      <c r="G1497" s="16">
        <f>DATE(YEAR(SUBSTITUTE(LEFT(Base_report!F1483,10),"-","/")),MONTH(SUBSTITUTE(LEFT(Base_report!F1483,10),"-","/")),DAY(SUBSTITUTE(LEFT(Base_report!F1483,10),"-","/")))</f>
        <v>45300</v>
      </c>
      <c r="H1497" s="16">
        <f>DATE(YEAR(SUBSTITUTE(LEFT(Base_report!G1483,10),"-","/")),MONTH(SUBSTITUTE(LEFT(Base_report!G1483,10),"-","/")),DAY(SUBSTITUTE(LEFT(Base_report!G1483,10),"-","/")))</f>
        <v>45301</v>
      </c>
      <c r="I1497" s="17" t="str">
        <f t="shared" si="1"/>
        <v>OUI</v>
      </c>
      <c r="J1497" s="18">
        <f>IF(L1497="DS",DATE(RIGHT(B1497,4),VLOOKUP(LEFT(B1497,LEN(B1497)-5),Feuil1!$E$3:$F$19,2,FALSE)+1,10),DATE(RIGHT(B1497,4),VLOOKUP(LEFT(B1497,LEN(B1497)-5),Feuil1!$E$3:$F$19,2,FALSE)+1,7))</f>
        <v>45301</v>
      </c>
      <c r="K1497" s="19">
        <f t="shared" si="2"/>
        <v>1</v>
      </c>
      <c r="L1497" s="6" t="str">
        <f t="shared" si="3"/>
        <v>DS</v>
      </c>
    </row>
    <row r="1498" ht="14.25" customHeight="1">
      <c r="A1498" s="14" t="str">
        <f>Base_report!A1484</f>
        <v>ABIDJAN 1</v>
      </c>
      <c r="B1498" s="14" t="str">
        <f>Base_report!B1484</f>
        <v>DECEMBRE 2023</v>
      </c>
      <c r="C1498" s="15" t="str">
        <f>Base_report!C1484</f>
        <v>C1416</v>
      </c>
      <c r="D1498" s="14" t="str">
        <f>TRIM(IF(ISNUMBER(FIND("PNSME",Base_report!D1484,1)),SUBSTITUTE(Base_report!D1484,"PNSME",""),IF(ISNUMBER(FIND("PHG",Base_report!D1484,1)),SUBSTITUTE(Base_report!D1484,"PHG",""),IF(ISNUMBER(FIND("PCS",Base_report!D1484,1)),SUBSTITUTE(Base_report!D1484,"PCS",""),IF(ISNUMBER(FIND("CMU",Base_report!D1484,1)),SUBSTITUTE(Base_report!D1484,"CMU",""),Base_report!D1484)))))</f>
        <v>DISTRICT SANITAIRE YOPOUGON OUEST SONGON</v>
      </c>
      <c r="E1498" s="14" t="str">
        <f>SUBSTITUTE(Base_report!E1484,"-","/")</f>
        <v>PNSME_GRATUITE:MEDICAMENTS ET INTRANTS</v>
      </c>
      <c r="F1498" s="14" t="s">
        <v>788</v>
      </c>
      <c r="G1498" s="16">
        <f>DATE(YEAR(SUBSTITUTE(LEFT(Base_report!F1484,10),"-","/")),MONTH(SUBSTITUTE(LEFT(Base_report!F1484,10),"-","/")),DAY(SUBSTITUTE(LEFT(Base_report!F1484,10),"-","/")))</f>
        <v>45301</v>
      </c>
      <c r="H1498" s="16">
        <f>DATE(YEAR(SUBSTITUTE(LEFT(Base_report!G1484,10),"-","/")),MONTH(SUBSTITUTE(LEFT(Base_report!G1484,10),"-","/")),DAY(SUBSTITUTE(LEFT(Base_report!G1484,10),"-","/")))</f>
        <v>45301</v>
      </c>
      <c r="I1498" s="17" t="str">
        <f t="shared" si="1"/>
        <v>OUI</v>
      </c>
      <c r="J1498" s="18">
        <f>IF(L1498="DS",DATE(RIGHT(B1498,4),VLOOKUP(LEFT(B1498,LEN(B1498)-5),Feuil1!$E$3:$F$19,2,FALSE)+1,10),DATE(RIGHT(B1498,4),VLOOKUP(LEFT(B1498,LEN(B1498)-5),Feuil1!$E$3:$F$19,2,FALSE)+1,7))</f>
        <v>45301</v>
      </c>
      <c r="K1498" s="19">
        <f t="shared" si="2"/>
        <v>1</v>
      </c>
      <c r="L1498" s="6" t="str">
        <f t="shared" si="3"/>
        <v>DS</v>
      </c>
    </row>
    <row r="1499" ht="14.25" customHeight="1">
      <c r="A1499" s="14" t="str">
        <f>Base_report!A1485</f>
        <v>BAFING</v>
      </c>
      <c r="B1499" s="14" t="str">
        <f>Base_report!B1485</f>
        <v>DECEMBRE 2023</v>
      </c>
      <c r="C1499" s="15" t="str">
        <f>Base_report!C1485</f>
        <v>C5081</v>
      </c>
      <c r="D1499" s="14" t="str">
        <f>TRIM(IF(ISNUMBER(FIND("PNSME",Base_report!D1485,1)),SUBSTITUTE(Base_report!D1485,"PNSME",""),IF(ISNUMBER(FIND("PHG",Base_report!D1485,1)),SUBSTITUTE(Base_report!D1485,"PHG",""),IF(ISNUMBER(FIND("PCS",Base_report!D1485,1)),SUBSTITUTE(Base_report!D1485,"PCS",""),IF(ISNUMBER(FIND("CMU",Base_report!D1485,1)),SUBSTITUTE(Base_report!D1485,"CMU",""),Base_report!D1485)))))</f>
        <v>DISTRICT SANITAIRE OUANINOU</v>
      </c>
      <c r="E1499" s="14" t="str">
        <f>SUBSTITUTE(Base_report!E1485,"-","/")</f>
        <v>PNLP/MEDICAMENTS ET INTRANTS</v>
      </c>
      <c r="F1499" s="14" t="s">
        <v>788</v>
      </c>
      <c r="G1499" s="16">
        <f>DATE(YEAR(SUBSTITUTE(LEFT(Base_report!F1485,10),"-","/")),MONTH(SUBSTITUTE(LEFT(Base_report!F1485,10),"-","/")),DAY(SUBSTITUTE(LEFT(Base_report!F1485,10),"-","/")))</f>
        <v>45300</v>
      </c>
      <c r="H1499" s="16">
        <f>DATE(YEAR(SUBSTITUTE(LEFT(Base_report!G1485,10),"-","/")),MONTH(SUBSTITUTE(LEFT(Base_report!G1485,10),"-","/")),DAY(SUBSTITUTE(LEFT(Base_report!G1485,10),"-","/")))</f>
        <v>45300</v>
      </c>
      <c r="I1499" s="17" t="str">
        <f t="shared" si="1"/>
        <v>OUI</v>
      </c>
      <c r="J1499" s="18">
        <f>IF(L1499="DS",DATE(RIGHT(B1499,4),VLOOKUP(LEFT(B1499,LEN(B1499)-5),Feuil1!$E$3:$F$19,2,FALSE)+1,10),DATE(RIGHT(B1499,4),VLOOKUP(LEFT(B1499,LEN(B1499)-5),Feuil1!$E$3:$F$19,2,FALSE)+1,7))</f>
        <v>45301</v>
      </c>
      <c r="K1499" s="19">
        <f t="shared" si="2"/>
        <v>1</v>
      </c>
      <c r="L1499" s="6" t="str">
        <f t="shared" si="3"/>
        <v>DS</v>
      </c>
    </row>
    <row r="1500" ht="14.25" customHeight="1">
      <c r="A1500" s="14" t="str">
        <f>Base_report!A1486</f>
        <v>TCHOLOGO</v>
      </c>
      <c r="B1500" s="14" t="str">
        <f>Base_report!B1486</f>
        <v>DECEMBRE 2023</v>
      </c>
      <c r="C1500" s="15" t="str">
        <f>Base_report!C1486</f>
        <v>C3004</v>
      </c>
      <c r="D1500" s="14" t="str">
        <f>TRIM(IF(ISNUMBER(FIND("PNSME",Base_report!D1486,1)),SUBSTITUTE(Base_report!D1486,"PNSME",""),IF(ISNUMBER(FIND("PHG",Base_report!D1486,1)),SUBSTITUTE(Base_report!D1486,"PHG",""),IF(ISNUMBER(FIND("PCS",Base_report!D1486,1)),SUBSTITUTE(Base_report!D1486,"PCS",""),IF(ISNUMBER(FIND("CMU",Base_report!D1486,1)),SUBSTITUTE(Base_report!D1486,"CMU",""),Base_report!D1486)))))</f>
        <v>DISTRICT SANITAIRE FERKESSEDOUGOU</v>
      </c>
      <c r="E1500" s="14" t="str">
        <f>SUBSTITUTE(Base_report!E1486,"-","/")</f>
        <v>PNLS/TESTS RAPIDES ET CONSOMMABLES</v>
      </c>
      <c r="F1500" s="14" t="s">
        <v>788</v>
      </c>
      <c r="G1500" s="16">
        <f>DATE(YEAR(SUBSTITUTE(LEFT(Base_report!F1486,10),"-","/")),MONTH(SUBSTITUTE(LEFT(Base_report!F1486,10),"-","/")),DAY(SUBSTITUTE(LEFT(Base_report!F1486,10),"-","/")))</f>
        <v>45300</v>
      </c>
      <c r="H1500" s="16">
        <f>DATE(YEAR(SUBSTITUTE(LEFT(Base_report!G1486,10),"-","/")),MONTH(SUBSTITUTE(LEFT(Base_report!G1486,10),"-","/")),DAY(SUBSTITUTE(LEFT(Base_report!G1486,10),"-","/")))</f>
        <v>45302</v>
      </c>
      <c r="I1500" s="17" t="str">
        <f t="shared" si="1"/>
        <v>OUI</v>
      </c>
      <c r="J1500" s="18">
        <f>IF(L1500="DS",DATE(RIGHT(B1500,4),VLOOKUP(LEFT(B1500,LEN(B1500)-5),Feuil1!$E$3:$F$19,2,FALSE)+1,10),DATE(RIGHT(B1500,4),VLOOKUP(LEFT(B1500,LEN(B1500)-5),Feuil1!$E$3:$F$19,2,FALSE)+1,7))</f>
        <v>45301</v>
      </c>
      <c r="K1500" s="19">
        <f t="shared" si="2"/>
        <v>0</v>
      </c>
      <c r="L1500" s="6" t="str">
        <f t="shared" si="3"/>
        <v>DS</v>
      </c>
    </row>
    <row r="1501" ht="14.25" customHeight="1">
      <c r="A1501" s="14" t="str">
        <f>Base_report!A1487</f>
        <v>GBEKE</v>
      </c>
      <c r="B1501" s="14" t="str">
        <f>Base_report!B1487</f>
        <v>DECEMBRE 2023</v>
      </c>
      <c r="C1501" s="15" t="str">
        <f>Base_report!C1487</f>
        <v>C2224</v>
      </c>
      <c r="D1501" s="14" t="str">
        <f>TRIM(IF(ISNUMBER(FIND("PNSME",Base_report!D1487,1)),SUBSTITUTE(Base_report!D1487,"PNSME",""),IF(ISNUMBER(FIND("PHG",Base_report!D1487,1)),SUBSTITUTE(Base_report!D1487,"PHG",""),IF(ISNUMBER(FIND("PCS",Base_report!D1487,1)),SUBSTITUTE(Base_report!D1487,"PCS",""),IF(ISNUMBER(FIND("CMU",Base_report!D1487,1)),SUBSTITUTE(Base_report!D1487,"CMU",""),Base_report!D1487)))))</f>
        <v>HOPITAL GENERAL BOTRO</v>
      </c>
      <c r="E1501" s="14" t="str">
        <f>SUBSTITUTE(Base_report!E1487,"-","/")</f>
        <v>PNLS/PRODUITS DE LABORATOIRE</v>
      </c>
      <c r="F1501" s="14" t="s">
        <v>788</v>
      </c>
      <c r="G1501" s="16">
        <f>DATE(YEAR(SUBSTITUTE(LEFT(Base_report!F1487,10),"-","/")),MONTH(SUBSTITUTE(LEFT(Base_report!F1487,10),"-","/")),DAY(SUBSTITUTE(LEFT(Base_report!F1487,10),"-","/")))</f>
        <v>45300</v>
      </c>
      <c r="H1501" s="16">
        <f>DATE(YEAR(SUBSTITUTE(LEFT(Base_report!G1487,10),"-","/")),MONTH(SUBSTITUTE(LEFT(Base_report!G1487,10),"-","/")),DAY(SUBSTITUTE(LEFT(Base_report!G1487,10),"-","/")))</f>
        <v>45300</v>
      </c>
      <c r="I1501" s="17" t="str">
        <f t="shared" si="1"/>
        <v>OUI</v>
      </c>
      <c r="J1501" s="18">
        <f>IF(L1501="DS",DATE(RIGHT(B1501,4),VLOOKUP(LEFT(B1501,LEN(B1501)-5),Feuil1!$E$3:$F$19,2,FALSE)+1,10),DATE(RIGHT(B1501,4),VLOOKUP(LEFT(B1501,LEN(B1501)-5),Feuil1!$E$3:$F$19,2,FALSE)+1,7))</f>
        <v>45298</v>
      </c>
      <c r="K1501" s="19">
        <f t="shared" si="2"/>
        <v>0</v>
      </c>
      <c r="L1501" s="6" t="str">
        <f t="shared" si="3"/>
        <v>FS</v>
      </c>
    </row>
    <row r="1502" ht="14.25" customHeight="1">
      <c r="A1502" s="14" t="str">
        <f>Base_report!A1488</f>
        <v>MORONOU</v>
      </c>
      <c r="B1502" s="14" t="str">
        <f>Base_report!B1488</f>
        <v>DECEMBRE 2023</v>
      </c>
      <c r="C1502" s="15" t="str">
        <f>Base_report!C1488</f>
        <v>C4071</v>
      </c>
      <c r="D1502" s="14" t="str">
        <f>TRIM(IF(ISNUMBER(FIND("PNSME",Base_report!D1488,1)),SUBSTITUTE(Base_report!D1488,"PNSME",""),IF(ISNUMBER(FIND("PHG",Base_report!D1488,1)),SUBSTITUTE(Base_report!D1488,"PHG",""),IF(ISNUMBER(FIND("PCS",Base_report!D1488,1)),SUBSTITUTE(Base_report!D1488,"PCS",""),IF(ISNUMBER(FIND("CMU",Base_report!D1488,1)),SUBSTITUTE(Base_report!D1488,"CMU",""),Base_report!D1488)))))</f>
        <v>DISTRICT SANITAIRE MBATTO</v>
      </c>
      <c r="E1502" s="14" t="str">
        <f>SUBSTITUTE(Base_report!E1488,"-","/")</f>
        <v>PNN/MEDICAMENTS ET INTRANTS</v>
      </c>
      <c r="F1502" s="14" t="s">
        <v>788</v>
      </c>
      <c r="G1502" s="16">
        <f>DATE(YEAR(SUBSTITUTE(LEFT(Base_report!F1488,10),"-","/")),MONTH(SUBSTITUTE(LEFT(Base_report!F1488,10),"-","/")),DAY(SUBSTITUTE(LEFT(Base_report!F1488,10),"-","/")))</f>
        <v>45300</v>
      </c>
      <c r="H1502" s="16">
        <f>DATE(YEAR(SUBSTITUTE(LEFT(Base_report!G1488,10),"-","/")),MONTH(SUBSTITUTE(LEFT(Base_report!G1488,10),"-","/")),DAY(SUBSTITUTE(LEFT(Base_report!G1488,10),"-","/")))</f>
        <v>45301</v>
      </c>
      <c r="I1502" s="17" t="str">
        <f t="shared" si="1"/>
        <v>OUI</v>
      </c>
      <c r="J1502" s="18">
        <f>IF(L1502="DS",DATE(RIGHT(B1502,4),VLOOKUP(LEFT(B1502,LEN(B1502)-5),Feuil1!$E$3:$F$19,2,FALSE)+1,10),DATE(RIGHT(B1502,4),VLOOKUP(LEFT(B1502,LEN(B1502)-5),Feuil1!$E$3:$F$19,2,FALSE)+1,7))</f>
        <v>45301</v>
      </c>
      <c r="K1502" s="19">
        <f t="shared" si="2"/>
        <v>1</v>
      </c>
      <c r="L1502" s="6" t="str">
        <f t="shared" si="3"/>
        <v>DS</v>
      </c>
    </row>
    <row r="1503" ht="14.25" customHeight="1">
      <c r="A1503" s="14" t="str">
        <f>Base_report!A1489</f>
        <v>NAWA</v>
      </c>
      <c r="B1503" s="14" t="str">
        <f>Base_report!B1489</f>
        <v>DECEMBRE 2023</v>
      </c>
      <c r="C1503" s="15" t="str">
        <f>Base_report!C1489</f>
        <v>C2167</v>
      </c>
      <c r="D1503" s="14" t="str">
        <f>TRIM(IF(ISNUMBER(FIND("PNSME",Base_report!D1489,1)),SUBSTITUTE(Base_report!D1489,"PNSME",""),IF(ISNUMBER(FIND("PHG",Base_report!D1489,1)),SUBSTITUTE(Base_report!D1489,"PHG",""),IF(ISNUMBER(FIND("PCS",Base_report!D1489,1)),SUBSTITUTE(Base_report!D1489,"PCS",""),IF(ISNUMBER(FIND("CMU",Base_report!D1489,1)),SUBSTITUTE(Base_report!D1489,"CMU",""),Base_report!D1489)))))</f>
        <v>DISTRICT SANITAIRE GUEYO</v>
      </c>
      <c r="E1503" s="14" t="str">
        <f>SUBSTITUTE(Base_report!E1489,"-","/")</f>
        <v>PNLS/ANTIRETROVIRAUX ET IO</v>
      </c>
      <c r="F1503" s="14" t="s">
        <v>788</v>
      </c>
      <c r="G1503" s="16">
        <f>DATE(YEAR(SUBSTITUTE(LEFT(Base_report!F1489,10),"-","/")),MONTH(SUBSTITUTE(LEFT(Base_report!F1489,10),"-","/")),DAY(SUBSTITUTE(LEFT(Base_report!F1489,10),"-","/")))</f>
        <v>45300</v>
      </c>
      <c r="H1503" s="16">
        <f>DATE(YEAR(SUBSTITUTE(LEFT(Base_report!G1489,10),"-","/")),MONTH(SUBSTITUTE(LEFT(Base_report!G1489,10),"-","/")),DAY(SUBSTITUTE(LEFT(Base_report!G1489,10),"-","/")))</f>
        <v>45300</v>
      </c>
      <c r="I1503" s="17" t="str">
        <f t="shared" si="1"/>
        <v>OUI</v>
      </c>
      <c r="J1503" s="18">
        <f>IF(L1503="DS",DATE(RIGHT(B1503,4),VLOOKUP(LEFT(B1503,LEN(B1503)-5),Feuil1!$E$3:$F$19,2,FALSE)+1,10),DATE(RIGHT(B1503,4),VLOOKUP(LEFT(B1503,LEN(B1503)-5),Feuil1!$E$3:$F$19,2,FALSE)+1,7))</f>
        <v>45301</v>
      </c>
      <c r="K1503" s="19">
        <f t="shared" si="2"/>
        <v>1</v>
      </c>
      <c r="L1503" s="6" t="str">
        <f t="shared" si="3"/>
        <v>DS</v>
      </c>
    </row>
    <row r="1504" ht="14.25" customHeight="1">
      <c r="A1504" s="14" t="str">
        <f>Base_report!A1490</f>
        <v>GOH</v>
      </c>
      <c r="B1504" s="14" t="str">
        <f>Base_report!B1490</f>
        <v>DECEMBRE 2023</v>
      </c>
      <c r="C1504" s="15" t="str">
        <f>Base_report!C1490</f>
        <v>C2029</v>
      </c>
      <c r="D1504" s="14" t="str">
        <f>TRIM(IF(ISNUMBER(FIND("PNSME",Base_report!D1490,1)),SUBSTITUTE(Base_report!D1490,"PNSME",""),IF(ISNUMBER(FIND("PHG",Base_report!D1490,1)),SUBSTITUTE(Base_report!D1490,"PHG",""),IF(ISNUMBER(FIND("PCS",Base_report!D1490,1)),SUBSTITUTE(Base_report!D1490,"PCS",""),IF(ISNUMBER(FIND("CMU",Base_report!D1490,1)),SUBSTITUTE(Base_report!D1490,"CMU",""),Base_report!D1490)))))</f>
        <v>DISTRICT SANITAIRE GAGNOA</v>
      </c>
      <c r="E1504" s="14" t="str">
        <f>SUBSTITUTE(Base_report!E1490,"-","/")</f>
        <v>PNLS/ANTIRETROVIRAUX ET IO</v>
      </c>
      <c r="F1504" s="14" t="s">
        <v>788</v>
      </c>
      <c r="G1504" s="16">
        <f>DATE(YEAR(SUBSTITUTE(LEFT(Base_report!F1490,10),"-","/")),MONTH(SUBSTITUTE(LEFT(Base_report!F1490,10),"-","/")),DAY(SUBSTITUTE(LEFT(Base_report!F1490,10),"-","/")))</f>
        <v>45301</v>
      </c>
      <c r="H1504" s="16">
        <f>DATE(YEAR(SUBSTITUTE(LEFT(Base_report!G1490,10),"-","/")),MONTH(SUBSTITUTE(LEFT(Base_report!G1490,10),"-","/")),DAY(SUBSTITUTE(LEFT(Base_report!G1490,10),"-","/")))</f>
        <v>45301</v>
      </c>
      <c r="I1504" s="17" t="str">
        <f t="shared" si="1"/>
        <v>OUI</v>
      </c>
      <c r="J1504" s="18">
        <f>IF(L1504="DS",DATE(RIGHT(B1504,4),VLOOKUP(LEFT(B1504,LEN(B1504)-5),Feuil1!$E$3:$F$19,2,FALSE)+1,10),DATE(RIGHT(B1504,4),VLOOKUP(LEFT(B1504,LEN(B1504)-5),Feuil1!$E$3:$F$19,2,FALSE)+1,7))</f>
        <v>45301</v>
      </c>
      <c r="K1504" s="19">
        <f t="shared" si="2"/>
        <v>1</v>
      </c>
      <c r="L1504" s="6" t="str">
        <f t="shared" si="3"/>
        <v>DS</v>
      </c>
    </row>
    <row r="1505" ht="14.25" customHeight="1">
      <c r="A1505" s="14" t="str">
        <f>Base_report!A1491</f>
        <v>ABIDJAN 1</v>
      </c>
      <c r="B1505" s="14" t="str">
        <f>Base_report!B1491</f>
        <v>DECEMBRE 2023</v>
      </c>
      <c r="C1505" s="15" t="str">
        <f>Base_report!C1491</f>
        <v>C1416</v>
      </c>
      <c r="D1505" s="14" t="str">
        <f>TRIM(IF(ISNUMBER(FIND("PNSME",Base_report!D1491,1)),SUBSTITUTE(Base_report!D1491,"PNSME",""),IF(ISNUMBER(FIND("PHG",Base_report!D1491,1)),SUBSTITUTE(Base_report!D1491,"PHG",""),IF(ISNUMBER(FIND("PCS",Base_report!D1491,1)),SUBSTITUTE(Base_report!D1491,"PCS",""),IF(ISNUMBER(FIND("CMU",Base_report!D1491,1)),SUBSTITUTE(Base_report!D1491,"CMU",""),Base_report!D1491)))))</f>
        <v>DISTRICT SANITAIRE YOPOUGON OUEST SONGON</v>
      </c>
      <c r="E1505" s="14" t="str">
        <f>SUBSTITUTE(Base_report!E1491,"-","/")</f>
        <v>PNN/MEDICAMENTS ET INTRANTS</v>
      </c>
      <c r="F1505" s="14" t="s">
        <v>788</v>
      </c>
      <c r="G1505" s="16">
        <f>DATE(YEAR(SUBSTITUTE(LEFT(Base_report!F1491,10),"-","/")),MONTH(SUBSTITUTE(LEFT(Base_report!F1491,10),"-","/")),DAY(SUBSTITUTE(LEFT(Base_report!F1491,10),"-","/")))</f>
        <v>45301</v>
      </c>
      <c r="H1505" s="16">
        <f>DATE(YEAR(SUBSTITUTE(LEFT(Base_report!G1491,10),"-","/")),MONTH(SUBSTITUTE(LEFT(Base_report!G1491,10),"-","/")),DAY(SUBSTITUTE(LEFT(Base_report!G1491,10),"-","/")))</f>
        <v>45301</v>
      </c>
      <c r="I1505" s="17" t="str">
        <f t="shared" si="1"/>
        <v>OUI</v>
      </c>
      <c r="J1505" s="18">
        <f>IF(L1505="DS",DATE(RIGHT(B1505,4),VLOOKUP(LEFT(B1505,LEN(B1505)-5),Feuil1!$E$3:$F$19,2,FALSE)+1,10),DATE(RIGHT(B1505,4),VLOOKUP(LEFT(B1505,LEN(B1505)-5),Feuil1!$E$3:$F$19,2,FALSE)+1,7))</f>
        <v>45301</v>
      </c>
      <c r="K1505" s="19">
        <f t="shared" si="2"/>
        <v>1</v>
      </c>
      <c r="L1505" s="6" t="str">
        <f t="shared" si="3"/>
        <v>DS</v>
      </c>
    </row>
    <row r="1506" ht="14.25" customHeight="1">
      <c r="A1506" s="14" t="str">
        <f>Base_report!A1492</f>
        <v>SUD-COMOE</v>
      </c>
      <c r="B1506" s="14" t="str">
        <f>Base_report!B1492</f>
        <v>DECEMBRE 2023</v>
      </c>
      <c r="C1506" s="15" t="str">
        <f>Base_report!C1492</f>
        <v>C1764</v>
      </c>
      <c r="D1506" s="14" t="str">
        <f>TRIM(IF(ISNUMBER(FIND("PNSME",Base_report!D1492,1)),SUBSTITUTE(Base_report!D1492,"PNSME",""),IF(ISNUMBER(FIND("PHG",Base_report!D1492,1)),SUBSTITUTE(Base_report!D1492,"PHG",""),IF(ISNUMBER(FIND("PCS",Base_report!D1492,1)),SUBSTITUTE(Base_report!D1492,"PCS",""),IF(ISNUMBER(FIND("CMU",Base_report!D1492,1)),SUBSTITUTE(Base_report!D1492,"CMU",""),Base_report!D1492)))))</f>
        <v>DISTRICT SANITAIRE TIAPOUM</v>
      </c>
      <c r="E1506" s="14" t="str">
        <f>SUBSTITUTE(Base_report!E1492,"-","/")</f>
        <v>PNSME/MEDICAMENTS ET INTRANTS</v>
      </c>
      <c r="F1506" s="14" t="s">
        <v>788</v>
      </c>
      <c r="G1506" s="16">
        <f>DATE(YEAR(SUBSTITUTE(LEFT(Base_report!F1492,10),"-","/")),MONTH(SUBSTITUTE(LEFT(Base_report!F1492,10),"-","/")),DAY(SUBSTITUTE(LEFT(Base_report!F1492,10),"-","/")))</f>
        <v>45300</v>
      </c>
      <c r="H1506" s="16">
        <f>DATE(YEAR(SUBSTITUTE(LEFT(Base_report!G1492,10),"-","/")),MONTH(SUBSTITUTE(LEFT(Base_report!G1492,10),"-","/")),DAY(SUBSTITUTE(LEFT(Base_report!G1492,10),"-","/")))</f>
        <v>45301</v>
      </c>
      <c r="I1506" s="17" t="str">
        <f t="shared" si="1"/>
        <v>OUI</v>
      </c>
      <c r="J1506" s="18">
        <f>IF(L1506="DS",DATE(RIGHT(B1506,4),VLOOKUP(LEFT(B1506,LEN(B1506)-5),Feuil1!$E$3:$F$19,2,FALSE)+1,10),DATE(RIGHT(B1506,4),VLOOKUP(LEFT(B1506,LEN(B1506)-5),Feuil1!$E$3:$F$19,2,FALSE)+1,7))</f>
        <v>45301</v>
      </c>
      <c r="K1506" s="19">
        <f t="shared" si="2"/>
        <v>1</v>
      </c>
      <c r="L1506" s="6" t="str">
        <f t="shared" si="3"/>
        <v>DS</v>
      </c>
    </row>
    <row r="1507" ht="14.25" customHeight="1">
      <c r="A1507" s="14" t="str">
        <f>Base_report!A1493</f>
        <v>ABIDJAN 2</v>
      </c>
      <c r="B1507" s="14" t="str">
        <f>Base_report!B1493</f>
        <v>DECEMBRE 2023</v>
      </c>
      <c r="C1507" s="15" t="str">
        <f>Base_report!C1493</f>
        <v>C1414</v>
      </c>
      <c r="D1507" s="14" t="str">
        <f>TRIM(IF(ISNUMBER(FIND("PNSME",Base_report!D1493,1)),SUBSTITUTE(Base_report!D1493,"PNSME",""),IF(ISNUMBER(FIND("PHG",Base_report!D1493,1)),SUBSTITUTE(Base_report!D1493,"PHG",""),IF(ISNUMBER(FIND("PCS",Base_report!D1493,1)),SUBSTITUTE(Base_report!D1493,"PCS",""),IF(ISNUMBER(FIND("CMU",Base_report!D1493,1)),SUBSTITUTE(Base_report!D1493,"CMU",""),Base_report!D1493)))))</f>
        <v>DISTRICT SANITAIRE ADJAME PLATEAU ATTECOUBE</v>
      </c>
      <c r="E1507" s="14" t="str">
        <f>SUBSTITUTE(Base_report!E1493,"-","/")</f>
        <v>PNLS/ANTIRETROVIRAUX ET IO</v>
      </c>
      <c r="F1507" s="14" t="s">
        <v>788</v>
      </c>
      <c r="G1507" s="16">
        <f>DATE(YEAR(SUBSTITUTE(LEFT(Base_report!F1493,10),"-","/")),MONTH(SUBSTITUTE(LEFT(Base_report!F1493,10),"-","/")),DAY(SUBSTITUTE(LEFT(Base_report!F1493,10),"-","/")))</f>
        <v>45300</v>
      </c>
      <c r="H1507" s="16">
        <f>DATE(YEAR(SUBSTITUTE(LEFT(Base_report!G1493,10),"-","/")),MONTH(SUBSTITUTE(LEFT(Base_report!G1493,10),"-","/")),DAY(SUBSTITUTE(LEFT(Base_report!G1493,10),"-","/")))</f>
        <v>45301</v>
      </c>
      <c r="I1507" s="17" t="str">
        <f t="shared" si="1"/>
        <v>OUI</v>
      </c>
      <c r="J1507" s="18">
        <f>IF(L1507="DS",DATE(RIGHT(B1507,4),VLOOKUP(LEFT(B1507,LEN(B1507)-5),Feuil1!$E$3:$F$19,2,FALSE)+1,10),DATE(RIGHT(B1507,4),VLOOKUP(LEFT(B1507,LEN(B1507)-5),Feuil1!$E$3:$F$19,2,FALSE)+1,7))</f>
        <v>45301</v>
      </c>
      <c r="K1507" s="19">
        <f t="shared" si="2"/>
        <v>1</v>
      </c>
      <c r="L1507" s="6" t="str">
        <f t="shared" si="3"/>
        <v>DS</v>
      </c>
    </row>
    <row r="1508" ht="14.25" customHeight="1">
      <c r="A1508" s="14" t="str">
        <f>Base_report!A1494</f>
        <v>IFFOU</v>
      </c>
      <c r="B1508" s="14" t="str">
        <f>Base_report!B1494</f>
        <v>DECEMBRE 2023</v>
      </c>
      <c r="C1508" s="15" t="str">
        <f>Base_report!C1494</f>
        <v>C4011</v>
      </c>
      <c r="D1508" s="14" t="str">
        <f>TRIM(IF(ISNUMBER(FIND("PNSME",Base_report!D1494,1)),SUBSTITUTE(Base_report!D1494,"PNSME",""),IF(ISNUMBER(FIND("PHG",Base_report!D1494,1)),SUBSTITUTE(Base_report!D1494,"PHG",""),IF(ISNUMBER(FIND("PCS",Base_report!D1494,1)),SUBSTITUTE(Base_report!D1494,"PCS",""),IF(ISNUMBER(FIND("CMU",Base_report!D1494,1)),SUBSTITUTE(Base_report!D1494,"CMU",""),Base_report!D1494)))))</f>
        <v>DISTRICT SANITAIRE DAOUKRO</v>
      </c>
      <c r="E1508" s="14" t="str">
        <f>SUBSTITUTE(Base_report!E1494,"-","/")</f>
        <v>PNLS/TESTS RAPIDES ET CONSOMMABLES</v>
      </c>
      <c r="F1508" s="14" t="s">
        <v>788</v>
      </c>
      <c r="G1508" s="16">
        <f>DATE(YEAR(SUBSTITUTE(LEFT(Base_report!F1494,10),"-","/")),MONTH(SUBSTITUTE(LEFT(Base_report!F1494,10),"-","/")),DAY(SUBSTITUTE(LEFT(Base_report!F1494,10),"-","/")))</f>
        <v>45300</v>
      </c>
      <c r="H1508" s="16">
        <f>DATE(YEAR(SUBSTITUTE(LEFT(Base_report!G1494,10),"-","/")),MONTH(SUBSTITUTE(LEFT(Base_report!G1494,10),"-","/")),DAY(SUBSTITUTE(LEFT(Base_report!G1494,10),"-","/")))</f>
        <v>45301</v>
      </c>
      <c r="I1508" s="17" t="str">
        <f t="shared" si="1"/>
        <v>OUI</v>
      </c>
      <c r="J1508" s="18">
        <f>IF(L1508="DS",DATE(RIGHT(B1508,4),VLOOKUP(LEFT(B1508,LEN(B1508)-5),Feuil1!$E$3:$F$19,2,FALSE)+1,10),DATE(RIGHT(B1508,4),VLOOKUP(LEFT(B1508,LEN(B1508)-5),Feuil1!$E$3:$F$19,2,FALSE)+1,7))</f>
        <v>45301</v>
      </c>
      <c r="K1508" s="19">
        <f t="shared" si="2"/>
        <v>1</v>
      </c>
      <c r="L1508" s="6" t="str">
        <f t="shared" si="3"/>
        <v>DS</v>
      </c>
    </row>
    <row r="1509" ht="14.25" customHeight="1">
      <c r="A1509" s="14" t="str">
        <f>Base_report!A1495</f>
        <v>MORONOU</v>
      </c>
      <c r="B1509" s="14" t="str">
        <f>Base_report!B1495</f>
        <v>DECEMBRE 2023</v>
      </c>
      <c r="C1509" s="15" t="str">
        <f>Base_report!C1495</f>
        <v>C4009</v>
      </c>
      <c r="D1509" s="14" t="str">
        <f>TRIM(IF(ISNUMBER(FIND("PNSME",Base_report!D1495,1)),SUBSTITUTE(Base_report!D1495,"PNSME",""),IF(ISNUMBER(FIND("PHG",Base_report!D1495,1)),SUBSTITUTE(Base_report!D1495,"PHG",""),IF(ISNUMBER(FIND("PCS",Base_report!D1495,1)),SUBSTITUTE(Base_report!D1495,"PCS",""),IF(ISNUMBER(FIND("CMU",Base_report!D1495,1)),SUBSTITUTE(Base_report!D1495,"CMU",""),Base_report!D1495)))))</f>
        <v>DISTRICT SANITAIRE BONGOUANOU</v>
      </c>
      <c r="E1509" s="14" t="str">
        <f>SUBSTITUTE(Base_report!E1495,"-","/")</f>
        <v>PNLS/TESTS RAPIDES ET CONSOMMABLES</v>
      </c>
      <c r="F1509" s="14" t="s">
        <v>788</v>
      </c>
      <c r="G1509" s="16">
        <f>DATE(YEAR(SUBSTITUTE(LEFT(Base_report!F1495,10),"-","/")),MONTH(SUBSTITUTE(LEFT(Base_report!F1495,10),"-","/")),DAY(SUBSTITUTE(LEFT(Base_report!F1495,10),"-","/")))</f>
        <v>45300</v>
      </c>
      <c r="H1509" s="16">
        <f>DATE(YEAR(SUBSTITUTE(LEFT(Base_report!G1495,10),"-","/")),MONTH(SUBSTITUTE(LEFT(Base_report!G1495,10),"-","/")),DAY(SUBSTITUTE(LEFT(Base_report!G1495,10),"-","/")))</f>
        <v>45301</v>
      </c>
      <c r="I1509" s="17" t="str">
        <f t="shared" si="1"/>
        <v>OUI</v>
      </c>
      <c r="J1509" s="18">
        <f>IF(L1509="DS",DATE(RIGHT(B1509,4),VLOOKUP(LEFT(B1509,LEN(B1509)-5),Feuil1!$E$3:$F$19,2,FALSE)+1,10),DATE(RIGHT(B1509,4),VLOOKUP(LEFT(B1509,LEN(B1509)-5),Feuil1!$E$3:$F$19,2,FALSE)+1,7))</f>
        <v>45301</v>
      </c>
      <c r="K1509" s="19">
        <f t="shared" si="2"/>
        <v>1</v>
      </c>
      <c r="L1509" s="6" t="str">
        <f t="shared" si="3"/>
        <v>DS</v>
      </c>
    </row>
    <row r="1510" ht="14.25" customHeight="1">
      <c r="A1510" s="14" t="str">
        <f>Base_report!A1496</f>
        <v>HAUT-SASSANDRA</v>
      </c>
      <c r="B1510" s="14" t="str">
        <f>Base_report!B1496</f>
        <v>DECEMBRE 2023</v>
      </c>
      <c r="C1510" s="15" t="str">
        <f>Base_report!C1496</f>
        <v>C2044</v>
      </c>
      <c r="D1510" s="14" t="str">
        <f>TRIM(IF(ISNUMBER(FIND("PNSME",Base_report!D1496,1)),SUBSTITUTE(Base_report!D1496,"PNSME",""),IF(ISNUMBER(FIND("PHG",Base_report!D1496,1)),SUBSTITUTE(Base_report!D1496,"PHG",""),IF(ISNUMBER(FIND("PCS",Base_report!D1496,1)),SUBSTITUTE(Base_report!D1496,"PCS",""),IF(ISNUMBER(FIND("CMU",Base_report!D1496,1)),SUBSTITUTE(Base_report!D1496,"CMU",""),Base_report!D1496)))))</f>
        <v>DISTRICT SANITAIRE VAVOUA</v>
      </c>
      <c r="E1510" s="14" t="str">
        <f>SUBSTITUTE(Base_report!E1496,"-","/")</f>
        <v>PNN/MEDICAMENTS ET INTRANTS</v>
      </c>
      <c r="F1510" s="14" t="s">
        <v>788</v>
      </c>
      <c r="G1510" s="16">
        <f>DATE(YEAR(SUBSTITUTE(LEFT(Base_report!F1496,10),"-","/")),MONTH(SUBSTITUTE(LEFT(Base_report!F1496,10),"-","/")),DAY(SUBSTITUTE(LEFT(Base_report!F1496,10),"-","/")))</f>
        <v>45301</v>
      </c>
      <c r="H1510" s="16">
        <f>DATE(YEAR(SUBSTITUTE(LEFT(Base_report!G1496,10),"-","/")),MONTH(SUBSTITUTE(LEFT(Base_report!G1496,10),"-","/")),DAY(SUBSTITUTE(LEFT(Base_report!G1496,10),"-","/")))</f>
        <v>45301</v>
      </c>
      <c r="I1510" s="17" t="str">
        <f t="shared" si="1"/>
        <v>OUI</v>
      </c>
      <c r="J1510" s="18">
        <f>IF(L1510="DS",DATE(RIGHT(B1510,4),VLOOKUP(LEFT(B1510,LEN(B1510)-5),Feuil1!$E$3:$F$19,2,FALSE)+1,10),DATE(RIGHT(B1510,4),VLOOKUP(LEFT(B1510,LEN(B1510)-5),Feuil1!$E$3:$F$19,2,FALSE)+1,7))</f>
        <v>45301</v>
      </c>
      <c r="K1510" s="19">
        <f t="shared" si="2"/>
        <v>1</v>
      </c>
      <c r="L1510" s="6" t="str">
        <f t="shared" si="3"/>
        <v>DS</v>
      </c>
    </row>
    <row r="1511" ht="14.25" customHeight="1">
      <c r="A1511" s="14" t="str">
        <f>Base_report!A1497</f>
        <v>GBEKE</v>
      </c>
      <c r="B1511" s="14" t="str">
        <f>Base_report!B1497</f>
        <v>DECEMBRE 2023</v>
      </c>
      <c r="C1511" s="15" t="str">
        <f>Base_report!C1497</f>
        <v>C2224</v>
      </c>
      <c r="D1511" s="14" t="str">
        <f>TRIM(IF(ISNUMBER(FIND("PNSME",Base_report!D1497,1)),SUBSTITUTE(Base_report!D1497,"PNSME",""),IF(ISNUMBER(FIND("PHG",Base_report!D1497,1)),SUBSTITUTE(Base_report!D1497,"PHG",""),IF(ISNUMBER(FIND("PCS",Base_report!D1497,1)),SUBSTITUTE(Base_report!D1497,"PCS",""),IF(ISNUMBER(FIND("CMU",Base_report!D1497,1)),SUBSTITUTE(Base_report!D1497,"CMU",""),Base_report!D1497)))))</f>
        <v>HOPITAL GENERAL BOTRO</v>
      </c>
      <c r="E1511" s="14" t="str">
        <f>SUBSTITUTE(Base_report!E1497,"-","/")</f>
        <v>PNN/MEDICAMENTS ET INTRANTS</v>
      </c>
      <c r="F1511" s="14" t="s">
        <v>788</v>
      </c>
      <c r="G1511" s="16">
        <f>DATE(YEAR(SUBSTITUTE(LEFT(Base_report!F1497,10),"-","/")),MONTH(SUBSTITUTE(LEFT(Base_report!F1497,10),"-","/")),DAY(SUBSTITUTE(LEFT(Base_report!F1497,10),"-","/")))</f>
        <v>45300</v>
      </c>
      <c r="H1511" s="16">
        <f>DATE(YEAR(SUBSTITUTE(LEFT(Base_report!G1497,10),"-","/")),MONTH(SUBSTITUTE(LEFT(Base_report!G1497,10),"-","/")),DAY(SUBSTITUTE(LEFT(Base_report!G1497,10),"-","/")))</f>
        <v>45300</v>
      </c>
      <c r="I1511" s="17" t="str">
        <f t="shared" si="1"/>
        <v>OUI</v>
      </c>
      <c r="J1511" s="18">
        <f>IF(L1511="DS",DATE(RIGHT(B1511,4),VLOOKUP(LEFT(B1511,LEN(B1511)-5),Feuil1!$E$3:$F$19,2,FALSE)+1,10),DATE(RIGHT(B1511,4),VLOOKUP(LEFT(B1511,LEN(B1511)-5),Feuil1!$E$3:$F$19,2,FALSE)+1,7))</f>
        <v>45298</v>
      </c>
      <c r="K1511" s="19">
        <f t="shared" si="2"/>
        <v>0</v>
      </c>
      <c r="L1511" s="6" t="str">
        <f t="shared" si="3"/>
        <v>FS</v>
      </c>
    </row>
    <row r="1512" ht="14.25" customHeight="1">
      <c r="A1512" s="14" t="str">
        <f>Base_report!A1498</f>
        <v>BOUNKANI</v>
      </c>
      <c r="B1512" s="14" t="str">
        <f>Base_report!B1498</f>
        <v>DECEMBRE 2023</v>
      </c>
      <c r="C1512" s="15" t="str">
        <f>Base_report!C1498</f>
        <v>C4069</v>
      </c>
      <c r="D1512" s="14" t="str">
        <f>TRIM(IF(ISNUMBER(FIND("PNSME",Base_report!D1498,1)),SUBSTITUTE(Base_report!D1498,"PNSME",""),IF(ISNUMBER(FIND("PHG",Base_report!D1498,1)),SUBSTITUTE(Base_report!D1498,"PHG",""),IF(ISNUMBER(FIND("PCS",Base_report!D1498,1)),SUBSTITUTE(Base_report!D1498,"PCS",""),IF(ISNUMBER(FIND("CMU",Base_report!D1498,1)),SUBSTITUTE(Base_report!D1498,"CMU",""),Base_report!D1498)))))</f>
        <v>DISTRICT SANITAIRE TRANSUA</v>
      </c>
      <c r="E1512" s="14" t="str">
        <f>SUBSTITUTE(Base_report!E1498,"-","/")</f>
        <v>PNLS/ANTIRETROVIRAUX ET IO</v>
      </c>
      <c r="F1512" s="14" t="s">
        <v>788</v>
      </c>
      <c r="G1512" s="16">
        <f>DATE(YEAR(SUBSTITUTE(LEFT(Base_report!F1498,10),"-","/")),MONTH(SUBSTITUTE(LEFT(Base_report!F1498,10),"-","/")),DAY(SUBSTITUTE(LEFT(Base_report!F1498,10),"-","/")))</f>
        <v>45301</v>
      </c>
      <c r="H1512" s="16">
        <f>DATE(YEAR(SUBSTITUTE(LEFT(Base_report!G1498,10),"-","/")),MONTH(SUBSTITUTE(LEFT(Base_report!G1498,10),"-","/")),DAY(SUBSTITUTE(LEFT(Base_report!G1498,10),"-","/")))</f>
        <v>45301</v>
      </c>
      <c r="I1512" s="17" t="str">
        <f t="shared" si="1"/>
        <v>OUI</v>
      </c>
      <c r="J1512" s="18">
        <f>IF(L1512="DS",DATE(RIGHT(B1512,4),VLOOKUP(LEFT(B1512,LEN(B1512)-5),Feuil1!$E$3:$F$19,2,FALSE)+1,10),DATE(RIGHT(B1512,4),VLOOKUP(LEFT(B1512,LEN(B1512)-5),Feuil1!$E$3:$F$19,2,FALSE)+1,7))</f>
        <v>45301</v>
      </c>
      <c r="K1512" s="19">
        <f t="shared" si="2"/>
        <v>1</v>
      </c>
      <c r="L1512" s="6" t="str">
        <f t="shared" si="3"/>
        <v>DS</v>
      </c>
    </row>
    <row r="1513" ht="14.25" customHeight="1">
      <c r="A1513" s="14" t="str">
        <f>Base_report!A1499</f>
        <v>AGNEBY-TIASSA</v>
      </c>
      <c r="B1513" s="14" t="str">
        <f>Base_report!B1499</f>
        <v>DECEMBRE 2023</v>
      </c>
      <c r="C1513" s="15" t="str">
        <f>Base_report!C1499</f>
        <v>C2141</v>
      </c>
      <c r="D1513" s="14" t="str">
        <f>TRIM(IF(ISNUMBER(FIND("PNSME",Base_report!D1499,1)),SUBSTITUTE(Base_report!D1499,"PNSME",""),IF(ISNUMBER(FIND("PHG",Base_report!D1499,1)),SUBSTITUTE(Base_report!D1499,"PHG",""),IF(ISNUMBER(FIND("PCS",Base_report!D1499,1)),SUBSTITUTE(Base_report!D1499,"PCS",""),IF(ISNUMBER(FIND("CMU",Base_report!D1499,1)),SUBSTITUTE(Base_report!D1499,"CMU",""),Base_report!D1499)))))</f>
        <v>DISTRICT SANITAIRE SIKENSI</v>
      </c>
      <c r="E1513" s="14" t="str">
        <f>SUBSTITUTE(Base_report!E1499,"-","/")</f>
        <v>PNN/MEDICAMENTS ET INTRANTS</v>
      </c>
      <c r="F1513" s="14" t="s">
        <v>788</v>
      </c>
      <c r="G1513" s="16">
        <f>DATE(YEAR(SUBSTITUTE(LEFT(Base_report!F1499,10),"-","/")),MONTH(SUBSTITUTE(LEFT(Base_report!F1499,10),"-","/")),DAY(SUBSTITUTE(LEFT(Base_report!F1499,10),"-","/")))</f>
        <v>45300</v>
      </c>
      <c r="H1513" s="16">
        <f>DATE(YEAR(SUBSTITUTE(LEFT(Base_report!G1499,10),"-","/")),MONTH(SUBSTITUTE(LEFT(Base_report!G1499,10),"-","/")),DAY(SUBSTITUTE(LEFT(Base_report!G1499,10),"-","/")))</f>
        <v>45301</v>
      </c>
      <c r="I1513" s="17" t="str">
        <f t="shared" si="1"/>
        <v>OUI</v>
      </c>
      <c r="J1513" s="18">
        <f>IF(L1513="DS",DATE(RIGHT(B1513,4),VLOOKUP(LEFT(B1513,LEN(B1513)-5),Feuil1!$E$3:$F$19,2,FALSE)+1,10),DATE(RIGHT(B1513,4),VLOOKUP(LEFT(B1513,LEN(B1513)-5),Feuil1!$E$3:$F$19,2,FALSE)+1,7))</f>
        <v>45301</v>
      </c>
      <c r="K1513" s="19">
        <f t="shared" si="2"/>
        <v>1</v>
      </c>
      <c r="L1513" s="6" t="str">
        <f t="shared" si="3"/>
        <v>DS</v>
      </c>
    </row>
    <row r="1514" ht="14.25" customHeight="1">
      <c r="A1514" s="14" t="str">
        <f>Base_report!A1500</f>
        <v>IFFOU</v>
      </c>
      <c r="B1514" s="14" t="str">
        <f>Base_report!B1500</f>
        <v>DECEMBRE 2023</v>
      </c>
      <c r="C1514" s="15" t="str">
        <f>Base_report!C1500</f>
        <v>C4011</v>
      </c>
      <c r="D1514" s="14" t="str">
        <f>TRIM(IF(ISNUMBER(FIND("PNSME",Base_report!D1500,1)),SUBSTITUTE(Base_report!D1500,"PNSME",""),IF(ISNUMBER(FIND("PHG",Base_report!D1500,1)),SUBSTITUTE(Base_report!D1500,"PHG",""),IF(ISNUMBER(FIND("PCS",Base_report!D1500,1)),SUBSTITUTE(Base_report!D1500,"PCS",""),IF(ISNUMBER(FIND("CMU",Base_report!D1500,1)),SUBSTITUTE(Base_report!D1500,"CMU",""),Base_report!D1500)))))</f>
        <v>DISTRICT SANITAIRE DAOUKRO</v>
      </c>
      <c r="E1514" s="14" t="str">
        <f>SUBSTITUTE(Base_report!E1500,"-","/")</f>
        <v>PNSME/MEDICAMENTS ET INTRANTS</v>
      </c>
      <c r="F1514" s="14" t="s">
        <v>788</v>
      </c>
      <c r="G1514" s="16">
        <f>DATE(YEAR(SUBSTITUTE(LEFT(Base_report!F1500,10),"-","/")),MONTH(SUBSTITUTE(LEFT(Base_report!F1500,10),"-","/")),DAY(SUBSTITUTE(LEFT(Base_report!F1500,10),"-","/")))</f>
        <v>45300</v>
      </c>
      <c r="H1514" s="16">
        <f>DATE(YEAR(SUBSTITUTE(LEFT(Base_report!G1500,10),"-","/")),MONTH(SUBSTITUTE(LEFT(Base_report!G1500,10),"-","/")),DAY(SUBSTITUTE(LEFT(Base_report!G1500,10),"-","/")))</f>
        <v>45301</v>
      </c>
      <c r="I1514" s="17" t="str">
        <f t="shared" si="1"/>
        <v>OUI</v>
      </c>
      <c r="J1514" s="18">
        <f>IF(L1514="DS",DATE(RIGHT(B1514,4),VLOOKUP(LEFT(B1514,LEN(B1514)-5),Feuil1!$E$3:$F$19,2,FALSE)+1,10),DATE(RIGHT(B1514,4),VLOOKUP(LEFT(B1514,LEN(B1514)-5),Feuil1!$E$3:$F$19,2,FALSE)+1,7))</f>
        <v>45301</v>
      </c>
      <c r="K1514" s="19">
        <f t="shared" si="2"/>
        <v>1</v>
      </c>
      <c r="L1514" s="6" t="str">
        <f t="shared" si="3"/>
        <v>DS</v>
      </c>
    </row>
    <row r="1515" ht="14.25" customHeight="1">
      <c r="A1515" s="14" t="str">
        <f>Base_report!A1501</f>
        <v>ABIDJAN 1</v>
      </c>
      <c r="B1515" s="14" t="str">
        <f>Base_report!B1501</f>
        <v>DECEMBRE 2023</v>
      </c>
      <c r="C1515" s="15" t="str">
        <f>Base_report!C1501</f>
        <v>C1064</v>
      </c>
      <c r="D1515" s="14" t="str">
        <f>TRIM(IF(ISNUMBER(FIND("PNSME",Base_report!D1501,1)),SUBSTITUTE(Base_report!D1501,"PNSME",""),IF(ISNUMBER(FIND("PHG",Base_report!D1501,1)),SUBSTITUTE(Base_report!D1501,"PHG",""),IF(ISNUMBER(FIND("PCS",Base_report!D1501,1)),SUBSTITUTE(Base_report!D1501,"PCS",""),IF(ISNUMBER(FIND("CMU",Base_report!D1501,1)),SUBSTITUTE(Base_report!D1501,"CMU",""),Base_report!D1501)))))</f>
        <v>FSU COM ABOBO AVOCATIER</v>
      </c>
      <c r="E1515" s="14" t="str">
        <f>SUBSTITUTE(Base_report!E1501,"-","/")</f>
        <v>PNLP/MEDICAMENTS ET INTRANTS</v>
      </c>
      <c r="F1515" s="14" t="s">
        <v>788</v>
      </c>
      <c r="G1515" s="16">
        <f>DATE(YEAR(SUBSTITUTE(LEFT(Base_report!F1501,10),"-","/")),MONTH(SUBSTITUTE(LEFT(Base_report!F1501,10),"-","/")),DAY(SUBSTITUTE(LEFT(Base_report!F1501,10),"-","/")))</f>
        <v>45300</v>
      </c>
      <c r="H1515" s="16">
        <f>DATE(YEAR(SUBSTITUTE(LEFT(Base_report!G1501,10),"-","/")),MONTH(SUBSTITUTE(LEFT(Base_report!G1501,10),"-","/")),DAY(SUBSTITUTE(LEFT(Base_report!G1501,10),"-","/")))</f>
        <v>45300</v>
      </c>
      <c r="I1515" s="17" t="str">
        <f t="shared" si="1"/>
        <v>OUI</v>
      </c>
      <c r="J1515" s="18">
        <f>IF(L1515="DS",DATE(RIGHT(B1515,4),VLOOKUP(LEFT(B1515,LEN(B1515)-5),Feuil1!$E$3:$F$19,2,FALSE)+1,10),DATE(RIGHT(B1515,4),VLOOKUP(LEFT(B1515,LEN(B1515)-5),Feuil1!$E$3:$F$19,2,FALSE)+1,7))</f>
        <v>45298</v>
      </c>
      <c r="K1515" s="19">
        <f t="shared" si="2"/>
        <v>0</v>
      </c>
      <c r="L1515" s="6" t="str">
        <f t="shared" si="3"/>
        <v>FS</v>
      </c>
    </row>
    <row r="1516" ht="14.25" customHeight="1">
      <c r="A1516" s="14" t="str">
        <f>Base_report!A1502</f>
        <v>HAUT-SASSANDRA</v>
      </c>
      <c r="B1516" s="14" t="str">
        <f>Base_report!B1502</f>
        <v>DECEMBRE 2023</v>
      </c>
      <c r="C1516" s="15" t="str">
        <f>Base_report!C1502</f>
        <v>C2044</v>
      </c>
      <c r="D1516" s="14" t="str">
        <f>TRIM(IF(ISNUMBER(FIND("PNSME",Base_report!D1502,1)),SUBSTITUTE(Base_report!D1502,"PNSME",""),IF(ISNUMBER(FIND("PHG",Base_report!D1502,1)),SUBSTITUTE(Base_report!D1502,"PHG",""),IF(ISNUMBER(FIND("PCS",Base_report!D1502,1)),SUBSTITUTE(Base_report!D1502,"PCS",""),IF(ISNUMBER(FIND("CMU",Base_report!D1502,1)),SUBSTITUTE(Base_report!D1502,"CMU",""),Base_report!D1502)))))</f>
        <v>DISTRICT SANITAIRE VAVOUA</v>
      </c>
      <c r="E1516" s="14" t="str">
        <f>SUBSTITUTE(Base_report!E1502,"-","/")</f>
        <v>PNSME/MEDICAMENTS ET INTRANTS</v>
      </c>
      <c r="F1516" s="14" t="s">
        <v>788</v>
      </c>
      <c r="G1516" s="16">
        <f>DATE(YEAR(SUBSTITUTE(LEFT(Base_report!F1502,10),"-","/")),MONTH(SUBSTITUTE(LEFT(Base_report!F1502,10),"-","/")),DAY(SUBSTITUTE(LEFT(Base_report!F1502,10),"-","/")))</f>
        <v>45301</v>
      </c>
      <c r="H1516" s="16">
        <f>DATE(YEAR(SUBSTITUTE(LEFT(Base_report!G1502,10),"-","/")),MONTH(SUBSTITUTE(LEFT(Base_report!G1502,10),"-","/")),DAY(SUBSTITUTE(LEFT(Base_report!G1502,10),"-","/")))</f>
        <v>45301</v>
      </c>
      <c r="I1516" s="17" t="str">
        <f t="shared" si="1"/>
        <v>OUI</v>
      </c>
      <c r="J1516" s="18">
        <f>IF(L1516="DS",DATE(RIGHT(B1516,4),VLOOKUP(LEFT(B1516,LEN(B1516)-5),Feuil1!$E$3:$F$19,2,FALSE)+1,10),DATE(RIGHT(B1516,4),VLOOKUP(LEFT(B1516,LEN(B1516)-5),Feuil1!$E$3:$F$19,2,FALSE)+1,7))</f>
        <v>45301</v>
      </c>
      <c r="K1516" s="19">
        <f t="shared" si="2"/>
        <v>1</v>
      </c>
      <c r="L1516" s="6" t="str">
        <f t="shared" si="3"/>
        <v>DS</v>
      </c>
    </row>
    <row r="1517" ht="14.25" customHeight="1">
      <c r="A1517" s="14" t="str">
        <f>Base_report!A1503</f>
        <v>BELIER</v>
      </c>
      <c r="B1517" s="14" t="str">
        <f>Base_report!B1503</f>
        <v>DECEMBRE 2023</v>
      </c>
      <c r="C1517" s="15" t="str">
        <f>Base_report!C1503</f>
        <v>C2045</v>
      </c>
      <c r="D1517" s="14" t="str">
        <f>TRIM(IF(ISNUMBER(FIND("PNSME",Base_report!D1503,1)),SUBSTITUTE(Base_report!D1503,"PNSME",""),IF(ISNUMBER(FIND("PHG",Base_report!D1503,1)),SUBSTITUTE(Base_report!D1503,"PHG",""),IF(ISNUMBER(FIND("PCS",Base_report!D1503,1)),SUBSTITUTE(Base_report!D1503,"PCS",""),IF(ISNUMBER(FIND("CMU",Base_report!D1503,1)),SUBSTITUTE(Base_report!D1503,"CMU",""),Base_report!D1503)))))</f>
        <v>DISTRICT SANITAIRE YAMOUSSOUKRO</v>
      </c>
      <c r="E1517" s="14" t="str">
        <f>SUBSTITUTE(Base_report!E1503,"-","/")</f>
        <v>PNLS/PRODUITS DE LABORATOIRE</v>
      </c>
      <c r="F1517" s="14" t="s">
        <v>788</v>
      </c>
      <c r="G1517" s="16">
        <f>DATE(YEAR(SUBSTITUTE(LEFT(Base_report!F1503,10),"-","/")),MONTH(SUBSTITUTE(LEFT(Base_report!F1503,10),"-","/")),DAY(SUBSTITUTE(LEFT(Base_report!F1503,10),"-","/")))</f>
        <v>45300</v>
      </c>
      <c r="H1517" s="16">
        <f>DATE(YEAR(SUBSTITUTE(LEFT(Base_report!G1503,10),"-","/")),MONTH(SUBSTITUTE(LEFT(Base_report!G1503,10),"-","/")),DAY(SUBSTITUTE(LEFT(Base_report!G1503,10),"-","/")))</f>
        <v>45300</v>
      </c>
      <c r="I1517" s="17" t="str">
        <f t="shared" si="1"/>
        <v>OUI</v>
      </c>
      <c r="J1517" s="18">
        <f>IF(L1517="DS",DATE(RIGHT(B1517,4),VLOOKUP(LEFT(B1517,LEN(B1517)-5),Feuil1!$E$3:$F$19,2,FALSE)+1,10),DATE(RIGHT(B1517,4),VLOOKUP(LEFT(B1517,LEN(B1517)-5),Feuil1!$E$3:$F$19,2,FALSE)+1,7))</f>
        <v>45301</v>
      </c>
      <c r="K1517" s="19">
        <f t="shared" si="2"/>
        <v>1</v>
      </c>
      <c r="L1517" s="6" t="str">
        <f t="shared" si="3"/>
        <v>DS</v>
      </c>
    </row>
    <row r="1518" ht="14.25" customHeight="1">
      <c r="A1518" s="14" t="str">
        <f>Base_report!A1504</f>
        <v>BOUNKANI</v>
      </c>
      <c r="B1518" s="14" t="str">
        <f>Base_report!B1504</f>
        <v>DECEMBRE 2023</v>
      </c>
      <c r="C1518" s="15" t="str">
        <f>Base_report!C1504</f>
        <v>C4069</v>
      </c>
      <c r="D1518" s="14" t="str">
        <f>TRIM(IF(ISNUMBER(FIND("PNSME",Base_report!D1504,1)),SUBSTITUTE(Base_report!D1504,"PNSME",""),IF(ISNUMBER(FIND("PHG",Base_report!D1504,1)),SUBSTITUTE(Base_report!D1504,"PHG",""),IF(ISNUMBER(FIND("PCS",Base_report!D1504,1)),SUBSTITUTE(Base_report!D1504,"PCS",""),IF(ISNUMBER(FIND("CMU",Base_report!D1504,1)),SUBSTITUTE(Base_report!D1504,"CMU",""),Base_report!D1504)))))</f>
        <v>DISTRICT SANITAIRE TRANSUA</v>
      </c>
      <c r="E1518" s="14" t="str">
        <f>SUBSTITUTE(Base_report!E1504,"-","/")</f>
        <v>PNLS/TESTS RAPIDES ET CONSOMMABLES</v>
      </c>
      <c r="F1518" s="14" t="s">
        <v>788</v>
      </c>
      <c r="G1518" s="16">
        <f>DATE(YEAR(SUBSTITUTE(LEFT(Base_report!F1504,10),"-","/")),MONTH(SUBSTITUTE(LEFT(Base_report!F1504,10),"-","/")),DAY(SUBSTITUTE(LEFT(Base_report!F1504,10),"-","/")))</f>
        <v>45301</v>
      </c>
      <c r="H1518" s="16">
        <f>DATE(YEAR(SUBSTITUTE(LEFT(Base_report!G1504,10),"-","/")),MONTH(SUBSTITUTE(LEFT(Base_report!G1504,10),"-","/")),DAY(SUBSTITUTE(LEFT(Base_report!G1504,10),"-","/")))</f>
        <v>45301</v>
      </c>
      <c r="I1518" s="17" t="str">
        <f t="shared" si="1"/>
        <v>OUI</v>
      </c>
      <c r="J1518" s="18">
        <f>IF(L1518="DS",DATE(RIGHT(B1518,4),VLOOKUP(LEFT(B1518,LEN(B1518)-5),Feuil1!$E$3:$F$19,2,FALSE)+1,10),DATE(RIGHT(B1518,4),VLOOKUP(LEFT(B1518,LEN(B1518)-5),Feuil1!$E$3:$F$19,2,FALSE)+1,7))</f>
        <v>45301</v>
      </c>
      <c r="K1518" s="19">
        <f t="shared" si="2"/>
        <v>1</v>
      </c>
      <c r="L1518" s="6" t="str">
        <f t="shared" si="3"/>
        <v>DS</v>
      </c>
    </row>
    <row r="1519" ht="14.25" customHeight="1">
      <c r="A1519" s="14" t="str">
        <f>Base_report!A1505</f>
        <v>MORONOU</v>
      </c>
      <c r="B1519" s="14" t="str">
        <f>Base_report!B1505</f>
        <v>DECEMBRE 2023</v>
      </c>
      <c r="C1519" s="15" t="str">
        <f>Base_report!C1505</f>
        <v>C4009</v>
      </c>
      <c r="D1519" s="14" t="str">
        <f>TRIM(IF(ISNUMBER(FIND("PNSME",Base_report!D1505,1)),SUBSTITUTE(Base_report!D1505,"PNSME",""),IF(ISNUMBER(FIND("PHG",Base_report!D1505,1)),SUBSTITUTE(Base_report!D1505,"PHG",""),IF(ISNUMBER(FIND("PCS",Base_report!D1505,1)),SUBSTITUTE(Base_report!D1505,"PCS",""),IF(ISNUMBER(FIND("CMU",Base_report!D1505,1)),SUBSTITUTE(Base_report!D1505,"CMU",""),Base_report!D1505)))))</f>
        <v>DISTRICT SANITAIRE BONGOUANOU</v>
      </c>
      <c r="E1519" s="14" t="str">
        <f>SUBSTITUTE(Base_report!E1505,"-","/")</f>
        <v>PNLS/PRODUITS DE LABORATOIRE</v>
      </c>
      <c r="F1519" s="14" t="s">
        <v>788</v>
      </c>
      <c r="G1519" s="16">
        <f>DATE(YEAR(SUBSTITUTE(LEFT(Base_report!F1505,10),"-","/")),MONTH(SUBSTITUTE(LEFT(Base_report!F1505,10),"-","/")),DAY(SUBSTITUTE(LEFT(Base_report!F1505,10),"-","/")))</f>
        <v>45300</v>
      </c>
      <c r="H1519" s="16">
        <f>DATE(YEAR(SUBSTITUTE(LEFT(Base_report!G1505,10),"-","/")),MONTH(SUBSTITUTE(LEFT(Base_report!G1505,10),"-","/")),DAY(SUBSTITUTE(LEFT(Base_report!G1505,10),"-","/")))</f>
        <v>45301</v>
      </c>
      <c r="I1519" s="17" t="str">
        <f t="shared" si="1"/>
        <v>OUI</v>
      </c>
      <c r="J1519" s="18">
        <f>IF(L1519="DS",DATE(RIGHT(B1519,4),VLOOKUP(LEFT(B1519,LEN(B1519)-5),Feuil1!$E$3:$F$19,2,FALSE)+1,10),DATE(RIGHT(B1519,4),VLOOKUP(LEFT(B1519,LEN(B1519)-5),Feuil1!$E$3:$F$19,2,FALSE)+1,7))</f>
        <v>45301</v>
      </c>
      <c r="K1519" s="19">
        <f t="shared" si="2"/>
        <v>1</v>
      </c>
      <c r="L1519" s="6" t="str">
        <f t="shared" si="3"/>
        <v>DS</v>
      </c>
    </row>
    <row r="1520" ht="14.25" customHeight="1">
      <c r="A1520" s="14" t="str">
        <f>Base_report!A1506</f>
        <v>ABIDJAN 2</v>
      </c>
      <c r="B1520" s="14" t="str">
        <f>Base_report!B1506</f>
        <v>DECEMBRE 2023</v>
      </c>
      <c r="C1520" s="15" t="str">
        <f>Base_report!C1506</f>
        <v>C1006</v>
      </c>
      <c r="D1520" s="14" t="str">
        <f>TRIM(IF(ISNUMBER(FIND("PNSME",Base_report!D1506,1)),SUBSTITUTE(Base_report!D1506,"PNSME",""),IF(ISNUMBER(FIND("PHG",Base_report!D1506,1)),SUBSTITUTE(Base_report!D1506,"PHG",""),IF(ISNUMBER(FIND("PCS",Base_report!D1506,1)),SUBSTITUTE(Base_report!D1506,"PCS",""),IF(ISNUMBER(FIND("CMU",Base_report!D1506,1)),SUBSTITUTE(Base_report!D1506,"CMU",""),Base_report!D1506)))))</f>
        <v>CHU TREICHVILLE</v>
      </c>
      <c r="E1520" s="14" t="str">
        <f>SUBSTITUTE(Base_report!E1506,"-","/")</f>
        <v>PNLS/ANTIRETROVIRAUX ET IO</v>
      </c>
      <c r="F1520" s="14" t="s">
        <v>788</v>
      </c>
      <c r="G1520" s="16">
        <f>DATE(YEAR(SUBSTITUTE(LEFT(Base_report!F1506,10),"-","/")),MONTH(SUBSTITUTE(LEFT(Base_report!F1506,10),"-","/")),DAY(SUBSTITUTE(LEFT(Base_report!F1506,10),"-","/")))</f>
        <v>45302</v>
      </c>
      <c r="H1520" s="16">
        <f>DATE(YEAR(SUBSTITUTE(LEFT(Base_report!G1506,10),"-","/")),MONTH(SUBSTITUTE(LEFT(Base_report!G1506,10),"-","/")),DAY(SUBSTITUTE(LEFT(Base_report!G1506,10),"-","/")))</f>
        <v>45302</v>
      </c>
      <c r="I1520" s="17" t="str">
        <f t="shared" si="1"/>
        <v>OUI</v>
      </c>
      <c r="J1520" s="18">
        <f>IF(L1520="DS",DATE(RIGHT(B1520,4),VLOOKUP(LEFT(B1520,LEN(B1520)-5),Feuil1!$E$3:$F$19,2,FALSE)+1,10),DATE(RIGHT(B1520,4),VLOOKUP(LEFT(B1520,LEN(B1520)-5),Feuil1!$E$3:$F$19,2,FALSE)+1,7))</f>
        <v>45298</v>
      </c>
      <c r="K1520" s="19">
        <f t="shared" si="2"/>
        <v>0</v>
      </c>
      <c r="L1520" s="6" t="str">
        <f t="shared" si="3"/>
        <v>FS</v>
      </c>
    </row>
    <row r="1521" ht="14.25" customHeight="1">
      <c r="A1521" s="14" t="str">
        <f>Base_report!A1507</f>
        <v>BAFING</v>
      </c>
      <c r="B1521" s="14" t="str">
        <f>Base_report!B1507</f>
        <v>DECEMBRE 2023</v>
      </c>
      <c r="C1521" s="15" t="str">
        <f>Base_report!C1507</f>
        <v>C5081</v>
      </c>
      <c r="D1521" s="14" t="str">
        <f>TRIM(IF(ISNUMBER(FIND("PNSME",Base_report!D1507,1)),SUBSTITUTE(Base_report!D1507,"PNSME",""),IF(ISNUMBER(FIND("PHG",Base_report!D1507,1)),SUBSTITUTE(Base_report!D1507,"PHG",""),IF(ISNUMBER(FIND("PCS",Base_report!D1507,1)),SUBSTITUTE(Base_report!D1507,"PCS",""),IF(ISNUMBER(FIND("CMU",Base_report!D1507,1)),SUBSTITUTE(Base_report!D1507,"CMU",""),Base_report!D1507)))))</f>
        <v>DISTRICT SANITAIRE OUANINOU</v>
      </c>
      <c r="E1521" s="14" t="str">
        <f>SUBSTITUTE(Base_report!E1507,"-","/")</f>
        <v>PNLS/ANTIRETROVIRAUX ET IO</v>
      </c>
      <c r="F1521" s="14" t="s">
        <v>788</v>
      </c>
      <c r="G1521" s="16">
        <f>DATE(YEAR(SUBSTITUTE(LEFT(Base_report!F1507,10),"-","/")),MONTH(SUBSTITUTE(LEFT(Base_report!F1507,10),"-","/")),DAY(SUBSTITUTE(LEFT(Base_report!F1507,10),"-","/")))</f>
        <v>45300</v>
      </c>
      <c r="H1521" s="16">
        <f>DATE(YEAR(SUBSTITUTE(LEFT(Base_report!G1507,10),"-","/")),MONTH(SUBSTITUTE(LEFT(Base_report!G1507,10),"-","/")),DAY(SUBSTITUTE(LEFT(Base_report!G1507,10),"-","/")))</f>
        <v>45300</v>
      </c>
      <c r="I1521" s="17" t="str">
        <f t="shared" si="1"/>
        <v>OUI</v>
      </c>
      <c r="J1521" s="18">
        <f>IF(L1521="DS",DATE(RIGHT(B1521,4),VLOOKUP(LEFT(B1521,LEN(B1521)-5),Feuil1!$E$3:$F$19,2,FALSE)+1,10),DATE(RIGHT(B1521,4),VLOOKUP(LEFT(B1521,LEN(B1521)-5),Feuil1!$E$3:$F$19,2,FALSE)+1,7))</f>
        <v>45301</v>
      </c>
      <c r="K1521" s="19">
        <f t="shared" si="2"/>
        <v>1</v>
      </c>
      <c r="L1521" s="6" t="str">
        <f t="shared" si="3"/>
        <v>DS</v>
      </c>
    </row>
    <row r="1522" ht="14.25" customHeight="1">
      <c r="A1522" s="14" t="str">
        <f>Base_report!A1508</f>
        <v>AGNEBY-TIASSA</v>
      </c>
      <c r="B1522" s="14" t="str">
        <f>Base_report!B1508</f>
        <v>DECEMBRE 2023</v>
      </c>
      <c r="C1522" s="15" t="str">
        <f>Base_report!C1508</f>
        <v>C2141</v>
      </c>
      <c r="D1522" s="14" t="str">
        <f>TRIM(IF(ISNUMBER(FIND("PNSME",Base_report!D1508,1)),SUBSTITUTE(Base_report!D1508,"PNSME",""),IF(ISNUMBER(FIND("PHG",Base_report!D1508,1)),SUBSTITUTE(Base_report!D1508,"PHG",""),IF(ISNUMBER(FIND("PCS",Base_report!D1508,1)),SUBSTITUTE(Base_report!D1508,"PCS",""),IF(ISNUMBER(FIND("CMU",Base_report!D1508,1)),SUBSTITUTE(Base_report!D1508,"CMU",""),Base_report!D1508)))))</f>
        <v>DISTRICT SANITAIRE SIKENSI</v>
      </c>
      <c r="E1522" s="14" t="str">
        <f>SUBSTITUTE(Base_report!E1508,"-","/")</f>
        <v>PNSME_GRATUITE:MEDICAMENTS ET INTRANTS</v>
      </c>
      <c r="F1522" s="14" t="s">
        <v>788</v>
      </c>
      <c r="G1522" s="16">
        <f>DATE(YEAR(SUBSTITUTE(LEFT(Base_report!F1508,10),"-","/")),MONTH(SUBSTITUTE(LEFT(Base_report!F1508,10),"-","/")),DAY(SUBSTITUTE(LEFT(Base_report!F1508,10),"-","/")))</f>
        <v>45300</v>
      </c>
      <c r="H1522" s="16">
        <f>DATE(YEAR(SUBSTITUTE(LEFT(Base_report!G1508,10),"-","/")),MONTH(SUBSTITUTE(LEFT(Base_report!G1508,10),"-","/")),DAY(SUBSTITUTE(LEFT(Base_report!G1508,10),"-","/")))</f>
        <v>45301</v>
      </c>
      <c r="I1522" s="17" t="str">
        <f t="shared" si="1"/>
        <v>OUI</v>
      </c>
      <c r="J1522" s="18">
        <f>IF(L1522="DS",DATE(RIGHT(B1522,4),VLOOKUP(LEFT(B1522,LEN(B1522)-5),Feuil1!$E$3:$F$19,2,FALSE)+1,10),DATE(RIGHT(B1522,4),VLOOKUP(LEFT(B1522,LEN(B1522)-5),Feuil1!$E$3:$F$19,2,FALSE)+1,7))</f>
        <v>45301</v>
      </c>
      <c r="K1522" s="19">
        <f t="shared" si="2"/>
        <v>1</v>
      </c>
      <c r="L1522" s="6" t="str">
        <f t="shared" si="3"/>
        <v>DS</v>
      </c>
    </row>
    <row r="1523" ht="14.25" customHeight="1">
      <c r="A1523" s="14" t="str">
        <f>Base_report!A1509</f>
        <v>SUD-COMOE</v>
      </c>
      <c r="B1523" s="14" t="str">
        <f>Base_report!B1509</f>
        <v>DECEMBRE 2023</v>
      </c>
      <c r="C1523" s="15" t="str">
        <f>Base_report!C1509</f>
        <v>C1048</v>
      </c>
      <c r="D1523" s="14" t="str">
        <f>TRIM(IF(ISNUMBER(FIND("PNSME",Base_report!D1509,1)),SUBSTITUTE(Base_report!D1509,"PNSME",""),IF(ISNUMBER(FIND("PHG",Base_report!D1509,1)),SUBSTITUTE(Base_report!D1509,"PHG",""),IF(ISNUMBER(FIND("PCS",Base_report!D1509,1)),SUBSTITUTE(Base_report!D1509,"PCS",""),IF(ISNUMBER(FIND("CMU",Base_report!D1509,1)),SUBSTITUTE(Base_report!D1509,"CMU",""),Base_report!D1509)))))</f>
        <v>DISTRICT SANITAIRE GRAND-BASSAM</v>
      </c>
      <c r="E1523" s="14" t="str">
        <f>SUBSTITUTE(Base_report!E1509,"-","/")</f>
        <v>PNLS/ANTIRETROVIRAUX ET IO</v>
      </c>
      <c r="F1523" s="14" t="s">
        <v>788</v>
      </c>
      <c r="G1523" s="16">
        <f>DATE(YEAR(SUBSTITUTE(LEFT(Base_report!F1509,10),"-","/")),MONTH(SUBSTITUTE(LEFT(Base_report!F1509,10),"-","/")),DAY(SUBSTITUTE(LEFT(Base_report!F1509,10),"-","/")))</f>
        <v>45300</v>
      </c>
      <c r="H1523" s="16">
        <f>DATE(YEAR(SUBSTITUTE(LEFT(Base_report!G1509,10),"-","/")),MONTH(SUBSTITUTE(LEFT(Base_report!G1509,10),"-","/")),DAY(SUBSTITUTE(LEFT(Base_report!G1509,10),"-","/")))</f>
        <v>45300</v>
      </c>
      <c r="I1523" s="17" t="str">
        <f t="shared" si="1"/>
        <v>OUI</v>
      </c>
      <c r="J1523" s="18">
        <f>IF(L1523="DS",DATE(RIGHT(B1523,4),VLOOKUP(LEFT(B1523,LEN(B1523)-5),Feuil1!$E$3:$F$19,2,FALSE)+1,10),DATE(RIGHT(B1523,4),VLOOKUP(LEFT(B1523,LEN(B1523)-5),Feuil1!$E$3:$F$19,2,FALSE)+1,7))</f>
        <v>45301</v>
      </c>
      <c r="K1523" s="19">
        <f t="shared" si="2"/>
        <v>1</v>
      </c>
      <c r="L1523" s="6" t="str">
        <f t="shared" si="3"/>
        <v>DS</v>
      </c>
    </row>
    <row r="1524" ht="14.25" customHeight="1">
      <c r="A1524" s="14" t="str">
        <f>Base_report!A1510</f>
        <v>IFFOU</v>
      </c>
      <c r="B1524" s="14" t="str">
        <f>Base_report!B1510</f>
        <v>DECEMBRE 2023</v>
      </c>
      <c r="C1524" s="15" t="str">
        <f>Base_report!C1510</f>
        <v>C4051</v>
      </c>
      <c r="D1524" s="14" t="str">
        <f>TRIM(IF(ISNUMBER(FIND("PNSME",Base_report!D1510,1)),SUBSTITUTE(Base_report!D1510,"PNSME",""),IF(ISNUMBER(FIND("PHG",Base_report!D1510,1)),SUBSTITUTE(Base_report!D1510,"PHG",""),IF(ISNUMBER(FIND("PCS",Base_report!D1510,1)),SUBSTITUTE(Base_report!D1510,"PCS",""),IF(ISNUMBER(FIND("CMU",Base_report!D1510,1)),SUBSTITUTE(Base_report!D1510,"CMU",""),Base_report!D1510)))))</f>
        <v>DISTRICT SANITAIRE PRIKRO</v>
      </c>
      <c r="E1524" s="14" t="str">
        <f>SUBSTITUTE(Base_report!E1510,"-","/")</f>
        <v>PNLS/ANTIRETROVIRAUX ET IO</v>
      </c>
      <c r="F1524" s="14" t="s">
        <v>788</v>
      </c>
      <c r="G1524" s="16">
        <f>DATE(YEAR(SUBSTITUTE(LEFT(Base_report!F1510,10),"-","/")),MONTH(SUBSTITUTE(LEFT(Base_report!F1510,10),"-","/")),DAY(SUBSTITUTE(LEFT(Base_report!F1510,10),"-","/")))</f>
        <v>45301</v>
      </c>
      <c r="H1524" s="16">
        <f>DATE(YEAR(SUBSTITUTE(LEFT(Base_report!G1510,10),"-","/")),MONTH(SUBSTITUTE(LEFT(Base_report!G1510,10),"-","/")),DAY(SUBSTITUTE(LEFT(Base_report!G1510,10),"-","/")))</f>
        <v>45301</v>
      </c>
      <c r="I1524" s="17" t="str">
        <f t="shared" si="1"/>
        <v>OUI</v>
      </c>
      <c r="J1524" s="18">
        <f>IF(L1524="DS",DATE(RIGHT(B1524,4),VLOOKUP(LEFT(B1524,LEN(B1524)-5),Feuil1!$E$3:$F$19,2,FALSE)+1,10),DATE(RIGHT(B1524,4),VLOOKUP(LEFT(B1524,LEN(B1524)-5),Feuil1!$E$3:$F$19,2,FALSE)+1,7))</f>
        <v>45301</v>
      </c>
      <c r="K1524" s="19">
        <f t="shared" si="2"/>
        <v>1</v>
      </c>
      <c r="L1524" s="6" t="str">
        <f t="shared" si="3"/>
        <v>DS</v>
      </c>
    </row>
    <row r="1525" ht="14.25" customHeight="1">
      <c r="A1525" s="14" t="str">
        <f>Base_report!A1511</f>
        <v>TCHOLOGO</v>
      </c>
      <c r="B1525" s="14" t="str">
        <f>Base_report!B1511</f>
        <v>DECEMBRE 2023</v>
      </c>
      <c r="C1525" s="15" t="str">
        <f>Base_report!C1511</f>
        <v>C3046</v>
      </c>
      <c r="D1525" s="14" t="str">
        <f>TRIM(IF(ISNUMBER(FIND("PNSME",Base_report!D1511,1)),SUBSTITUTE(Base_report!D1511,"PNSME",""),IF(ISNUMBER(FIND("PHG",Base_report!D1511,1)),SUBSTITUTE(Base_report!D1511,"PHG",""),IF(ISNUMBER(FIND("PCS",Base_report!D1511,1)),SUBSTITUTE(Base_report!D1511,"PCS",""),IF(ISNUMBER(FIND("CMU",Base_report!D1511,1)),SUBSTITUTE(Base_report!D1511,"CMU",""),Base_report!D1511)))))</f>
        <v>DISTRICT SANITAIRE OUANGOLO</v>
      </c>
      <c r="E1525" s="14" t="str">
        <f>SUBSTITUTE(Base_report!E1511,"-","/")</f>
        <v>PNLS/ANTIRETROVIRAUX ET IO</v>
      </c>
      <c r="F1525" s="14" t="s">
        <v>788</v>
      </c>
      <c r="G1525" s="16">
        <f>DATE(YEAR(SUBSTITUTE(LEFT(Base_report!F1511,10),"-","/")),MONTH(SUBSTITUTE(LEFT(Base_report!F1511,10),"-","/")),DAY(SUBSTITUTE(LEFT(Base_report!F1511,10),"-","/")))</f>
        <v>45301</v>
      </c>
      <c r="H1525" s="16">
        <f>DATE(YEAR(SUBSTITUTE(LEFT(Base_report!G1511,10),"-","/")),MONTH(SUBSTITUTE(LEFT(Base_report!G1511,10),"-","/")),DAY(SUBSTITUTE(LEFT(Base_report!G1511,10),"-","/")))</f>
        <v>45301</v>
      </c>
      <c r="I1525" s="17" t="str">
        <f t="shared" si="1"/>
        <v>OUI</v>
      </c>
      <c r="J1525" s="18">
        <f>IF(L1525="DS",DATE(RIGHT(B1525,4),VLOOKUP(LEFT(B1525,LEN(B1525)-5),Feuil1!$E$3:$F$19,2,FALSE)+1,10),DATE(RIGHT(B1525,4),VLOOKUP(LEFT(B1525,LEN(B1525)-5),Feuil1!$E$3:$F$19,2,FALSE)+1,7))</f>
        <v>45301</v>
      </c>
      <c r="K1525" s="19">
        <f t="shared" si="2"/>
        <v>1</v>
      </c>
      <c r="L1525" s="6" t="str">
        <f t="shared" si="3"/>
        <v>DS</v>
      </c>
    </row>
    <row r="1526" ht="14.25" customHeight="1">
      <c r="A1526" s="14" t="str">
        <f>Base_report!A1512</f>
        <v>NAWA</v>
      </c>
      <c r="B1526" s="14" t="str">
        <f>Base_report!B1512</f>
        <v>DECEMBRE 2023</v>
      </c>
      <c r="C1526" s="15" t="str">
        <f>Base_report!C1512</f>
        <v>C2167</v>
      </c>
      <c r="D1526" s="14" t="str">
        <f>TRIM(IF(ISNUMBER(FIND("PNSME",Base_report!D1512,1)),SUBSTITUTE(Base_report!D1512,"PNSME",""),IF(ISNUMBER(FIND("PHG",Base_report!D1512,1)),SUBSTITUTE(Base_report!D1512,"PHG",""),IF(ISNUMBER(FIND("PCS",Base_report!D1512,1)),SUBSTITUTE(Base_report!D1512,"PCS",""),IF(ISNUMBER(FIND("CMU",Base_report!D1512,1)),SUBSTITUTE(Base_report!D1512,"CMU",""),Base_report!D1512)))))</f>
        <v>DISTRICT SANITAIRE GUEYO</v>
      </c>
      <c r="E1526" s="14" t="str">
        <f>SUBSTITUTE(Base_report!E1512,"-","/")</f>
        <v>PNLS/TESTS RAPIDES ET CONSOMMABLES</v>
      </c>
      <c r="F1526" s="14" t="s">
        <v>788</v>
      </c>
      <c r="G1526" s="16">
        <f>DATE(YEAR(SUBSTITUTE(LEFT(Base_report!F1512,10),"-","/")),MONTH(SUBSTITUTE(LEFT(Base_report!F1512,10),"-","/")),DAY(SUBSTITUTE(LEFT(Base_report!F1512,10),"-","/")))</f>
        <v>45300</v>
      </c>
      <c r="H1526" s="16">
        <f>DATE(YEAR(SUBSTITUTE(LEFT(Base_report!G1512,10),"-","/")),MONTH(SUBSTITUTE(LEFT(Base_report!G1512,10),"-","/")),DAY(SUBSTITUTE(LEFT(Base_report!G1512,10),"-","/")))</f>
        <v>45300</v>
      </c>
      <c r="I1526" s="17" t="str">
        <f t="shared" si="1"/>
        <v>OUI</v>
      </c>
      <c r="J1526" s="18">
        <f>IF(L1526="DS",DATE(RIGHT(B1526,4),VLOOKUP(LEFT(B1526,LEN(B1526)-5),Feuil1!$E$3:$F$19,2,FALSE)+1,10),DATE(RIGHT(B1526,4),VLOOKUP(LEFT(B1526,LEN(B1526)-5),Feuil1!$E$3:$F$19,2,FALSE)+1,7))</f>
        <v>45301</v>
      </c>
      <c r="K1526" s="19">
        <f t="shared" si="2"/>
        <v>1</v>
      </c>
      <c r="L1526" s="6" t="str">
        <f t="shared" si="3"/>
        <v>DS</v>
      </c>
    </row>
    <row r="1527" ht="14.25" customHeight="1">
      <c r="A1527" s="14" t="str">
        <f>Base_report!A1513</f>
        <v>TONKPI</v>
      </c>
      <c r="B1527" s="14" t="str">
        <f>Base_report!B1513</f>
        <v>DECEMBRE 2023</v>
      </c>
      <c r="C1527" s="15" t="str">
        <f>Base_report!C1513</f>
        <v>C5012</v>
      </c>
      <c r="D1527" s="14" t="str">
        <f>TRIM(IF(ISNUMBER(FIND("PNSME",Base_report!D1513,1)),SUBSTITUTE(Base_report!D1513,"PNSME",""),IF(ISNUMBER(FIND("PHG",Base_report!D1513,1)),SUBSTITUTE(Base_report!D1513,"PHG",""),IF(ISNUMBER(FIND("PCS",Base_report!D1513,1)),SUBSTITUTE(Base_report!D1513,"PCS",""),IF(ISNUMBER(FIND("CMU",Base_report!D1513,1)),SUBSTITUTE(Base_report!D1513,"CMU",""),Base_report!D1513)))))</f>
        <v>DISTRICT SANITAIRE MAN</v>
      </c>
      <c r="E1527" s="14" t="str">
        <f>SUBSTITUTE(Base_report!E1513,"-","/")</f>
        <v>PNLS/PRODUITS DE LABORATOIRE</v>
      </c>
      <c r="F1527" s="14" t="s">
        <v>788</v>
      </c>
      <c r="G1527" s="16">
        <f>DATE(YEAR(SUBSTITUTE(LEFT(Base_report!F1513,10),"-","/")),MONTH(SUBSTITUTE(LEFT(Base_report!F1513,10),"-","/")),DAY(SUBSTITUTE(LEFT(Base_report!F1513,10),"-","/")))</f>
        <v>45300</v>
      </c>
      <c r="H1527" s="16">
        <f>DATE(YEAR(SUBSTITUTE(LEFT(Base_report!G1513,10),"-","/")),MONTH(SUBSTITUTE(LEFT(Base_report!G1513,10),"-","/")),DAY(SUBSTITUTE(LEFT(Base_report!G1513,10),"-","/")))</f>
        <v>45300</v>
      </c>
      <c r="I1527" s="17" t="str">
        <f t="shared" si="1"/>
        <v>OUI</v>
      </c>
      <c r="J1527" s="18">
        <f>IF(L1527="DS",DATE(RIGHT(B1527,4),VLOOKUP(LEFT(B1527,LEN(B1527)-5),Feuil1!$E$3:$F$19,2,FALSE)+1,10),DATE(RIGHT(B1527,4),VLOOKUP(LEFT(B1527,LEN(B1527)-5),Feuil1!$E$3:$F$19,2,FALSE)+1,7))</f>
        <v>45301</v>
      </c>
      <c r="K1527" s="19">
        <f t="shared" si="2"/>
        <v>1</v>
      </c>
      <c r="L1527" s="6" t="str">
        <f t="shared" si="3"/>
        <v>DS</v>
      </c>
    </row>
    <row r="1528" ht="14.25" customHeight="1">
      <c r="A1528" s="14" t="str">
        <f>Base_report!A1514</f>
        <v>TCHOLOGO</v>
      </c>
      <c r="B1528" s="14" t="str">
        <f>Base_report!B1514</f>
        <v>DECEMBRE 2023</v>
      </c>
      <c r="C1528" s="15" t="str">
        <f>Base_report!C1514</f>
        <v>C3004</v>
      </c>
      <c r="D1528" s="14" t="str">
        <f>TRIM(IF(ISNUMBER(FIND("PNSME",Base_report!D1514,1)),SUBSTITUTE(Base_report!D1514,"PNSME",""),IF(ISNUMBER(FIND("PHG",Base_report!D1514,1)),SUBSTITUTE(Base_report!D1514,"PHG",""),IF(ISNUMBER(FIND("PCS",Base_report!D1514,1)),SUBSTITUTE(Base_report!D1514,"PCS",""),IF(ISNUMBER(FIND("CMU",Base_report!D1514,1)),SUBSTITUTE(Base_report!D1514,"CMU",""),Base_report!D1514)))))</f>
        <v>DISTRICT SANITAIRE FERKESSEDOUGOU</v>
      </c>
      <c r="E1528" s="14" t="str">
        <f>SUBSTITUTE(Base_report!E1514,"-","/")</f>
        <v>PNLS/PRODUITS DE LABORATOIRE</v>
      </c>
      <c r="F1528" s="14" t="s">
        <v>788</v>
      </c>
      <c r="G1528" s="16">
        <f>DATE(YEAR(SUBSTITUTE(LEFT(Base_report!F1514,10),"-","/")),MONTH(SUBSTITUTE(LEFT(Base_report!F1514,10),"-","/")),DAY(SUBSTITUTE(LEFT(Base_report!F1514,10),"-","/")))</f>
        <v>45300</v>
      </c>
      <c r="H1528" s="16">
        <f>DATE(YEAR(SUBSTITUTE(LEFT(Base_report!G1514,10),"-","/")),MONTH(SUBSTITUTE(LEFT(Base_report!G1514,10),"-","/")),DAY(SUBSTITUTE(LEFT(Base_report!G1514,10),"-","/")))</f>
        <v>45302</v>
      </c>
      <c r="I1528" s="17" t="str">
        <f t="shared" si="1"/>
        <v>OUI</v>
      </c>
      <c r="J1528" s="18">
        <f>IF(L1528="DS",DATE(RIGHT(B1528,4),VLOOKUP(LEFT(B1528,LEN(B1528)-5),Feuil1!$E$3:$F$19,2,FALSE)+1,10),DATE(RIGHT(B1528,4),VLOOKUP(LEFT(B1528,LEN(B1528)-5),Feuil1!$E$3:$F$19,2,FALSE)+1,7))</f>
        <v>45301</v>
      </c>
      <c r="K1528" s="19">
        <f t="shared" si="2"/>
        <v>0</v>
      </c>
      <c r="L1528" s="6" t="str">
        <f t="shared" si="3"/>
        <v>DS</v>
      </c>
    </row>
    <row r="1529" ht="14.25" customHeight="1">
      <c r="A1529" s="14" t="str">
        <f>Base_report!A1515</f>
        <v>BAFING</v>
      </c>
      <c r="B1529" s="14" t="str">
        <f>Base_report!B1515</f>
        <v>DECEMBRE 2023</v>
      </c>
      <c r="C1529" s="15" t="str">
        <f>Base_report!C1515</f>
        <v>C5081</v>
      </c>
      <c r="D1529" s="14" t="str">
        <f>TRIM(IF(ISNUMBER(FIND("PNSME",Base_report!D1515,1)),SUBSTITUTE(Base_report!D1515,"PNSME",""),IF(ISNUMBER(FIND("PHG",Base_report!D1515,1)),SUBSTITUTE(Base_report!D1515,"PHG",""),IF(ISNUMBER(FIND("PCS",Base_report!D1515,1)),SUBSTITUTE(Base_report!D1515,"PCS",""),IF(ISNUMBER(FIND("CMU",Base_report!D1515,1)),SUBSTITUTE(Base_report!D1515,"CMU",""),Base_report!D1515)))))</f>
        <v>DISTRICT SANITAIRE OUANINOU</v>
      </c>
      <c r="E1529" s="14" t="str">
        <f>SUBSTITUTE(Base_report!E1515,"-","/")</f>
        <v>PNLS/TESTS RAPIDES ET CONSOMMABLES</v>
      </c>
      <c r="F1529" s="14" t="s">
        <v>788</v>
      </c>
      <c r="G1529" s="16">
        <f>DATE(YEAR(SUBSTITUTE(LEFT(Base_report!F1515,10),"-","/")),MONTH(SUBSTITUTE(LEFT(Base_report!F1515,10),"-","/")),DAY(SUBSTITUTE(LEFT(Base_report!F1515,10),"-","/")))</f>
        <v>45300</v>
      </c>
      <c r="H1529" s="16">
        <f>DATE(YEAR(SUBSTITUTE(LEFT(Base_report!G1515,10),"-","/")),MONTH(SUBSTITUTE(LEFT(Base_report!G1515,10),"-","/")),DAY(SUBSTITUTE(LEFT(Base_report!G1515,10),"-","/")))</f>
        <v>45300</v>
      </c>
      <c r="I1529" s="17" t="str">
        <f t="shared" si="1"/>
        <v>OUI</v>
      </c>
      <c r="J1529" s="18">
        <f>IF(L1529="DS",DATE(RIGHT(B1529,4),VLOOKUP(LEFT(B1529,LEN(B1529)-5),Feuil1!$E$3:$F$19,2,FALSE)+1,10),DATE(RIGHT(B1529,4),VLOOKUP(LEFT(B1529,LEN(B1529)-5),Feuil1!$E$3:$F$19,2,FALSE)+1,7))</f>
        <v>45301</v>
      </c>
      <c r="K1529" s="19">
        <f t="shared" si="2"/>
        <v>1</v>
      </c>
      <c r="L1529" s="6" t="str">
        <f t="shared" si="3"/>
        <v>DS</v>
      </c>
    </row>
    <row r="1530" ht="14.25" customHeight="1">
      <c r="A1530" s="14" t="str">
        <f>Base_report!A1516</f>
        <v>ABIDJAN 1</v>
      </c>
      <c r="B1530" s="14" t="str">
        <f>Base_report!B1516</f>
        <v>DECEMBRE 2023</v>
      </c>
      <c r="C1530" s="15" t="str">
        <f>Base_report!C1516</f>
        <v>C1398</v>
      </c>
      <c r="D1530" s="14" t="str">
        <f>TRIM(IF(ISNUMBER(FIND("PNSME",Base_report!D1516,1)),SUBSTITUTE(Base_report!D1516,"PNSME",""),IF(ISNUMBER(FIND("PHG",Base_report!D1516,1)),SUBSTITUTE(Base_report!D1516,"PHG",""),IF(ISNUMBER(FIND("PCS",Base_report!D1516,1)),SUBSTITUTE(Base_report!D1516,"PCS",""),IF(ISNUMBER(FIND("CMU",Base_report!D1516,1)),SUBSTITUTE(Base_report!D1516,"CMU",""),Base_report!D1516)))))</f>
        <v>DISTRICT SANITAIRE ABOBO EST</v>
      </c>
      <c r="E1530" s="14" t="str">
        <f>SUBSTITUTE(Base_report!E1516,"-","/")</f>
        <v>PNLS/PRODUITS DE LABORATOIRE</v>
      </c>
      <c r="F1530" s="14" t="s">
        <v>788</v>
      </c>
      <c r="G1530" s="16">
        <f>DATE(YEAR(SUBSTITUTE(LEFT(Base_report!F1516,10),"-","/")),MONTH(SUBSTITUTE(LEFT(Base_report!F1516,10),"-","/")),DAY(SUBSTITUTE(LEFT(Base_report!F1516,10),"-","/")))</f>
        <v>45301</v>
      </c>
      <c r="H1530" s="16">
        <f>DATE(YEAR(SUBSTITUTE(LEFT(Base_report!G1516,10),"-","/")),MONTH(SUBSTITUTE(LEFT(Base_report!G1516,10),"-","/")),DAY(SUBSTITUTE(LEFT(Base_report!G1516,10),"-","/")))</f>
        <v>45301</v>
      </c>
      <c r="I1530" s="17" t="str">
        <f t="shared" si="1"/>
        <v>OUI</v>
      </c>
      <c r="J1530" s="18">
        <f>IF(L1530="DS",DATE(RIGHT(B1530,4),VLOOKUP(LEFT(B1530,LEN(B1530)-5),Feuil1!$E$3:$F$19,2,FALSE)+1,10),DATE(RIGHT(B1530,4),VLOOKUP(LEFT(B1530,LEN(B1530)-5),Feuil1!$E$3:$F$19,2,FALSE)+1,7))</f>
        <v>45301</v>
      </c>
      <c r="K1530" s="19">
        <f t="shared" si="2"/>
        <v>1</v>
      </c>
      <c r="L1530" s="6" t="str">
        <f t="shared" si="3"/>
        <v>DS</v>
      </c>
    </row>
    <row r="1531" ht="14.25" customHeight="1">
      <c r="A1531" s="14" t="str">
        <f>Base_report!A1517</f>
        <v>ABIDJAN 1</v>
      </c>
      <c r="B1531" s="14" t="str">
        <f>Base_report!B1517</f>
        <v>OCTOBRE DECEMBRE 2023</v>
      </c>
      <c r="C1531" s="15" t="str">
        <f>Base_report!C1517</f>
        <v>C1017</v>
      </c>
      <c r="D1531" s="14" t="str">
        <f>TRIM(IF(ISNUMBER(FIND("PNSME",Base_report!D1517,1)),SUBSTITUTE(Base_report!D1517,"PNSME",""),IF(ISNUMBER(FIND("PHG",Base_report!D1517,1)),SUBSTITUTE(Base_report!D1517,"PHG",""),IF(ISNUMBER(FIND("PCS",Base_report!D1517,1)),SUBSTITUTE(Base_report!D1517,"PCS",""),IF(ISNUMBER(FIND("CMU",Base_report!D1517,1)),SUBSTITUTE(Base_report!D1517,"CMU",""),Base_report!D1517)))))</f>
        <v>FSU COM ANDOKOI</v>
      </c>
      <c r="E1531" s="14" t="str">
        <f>SUBSTITUTE(Base_report!E1517,"-","/")</f>
        <v>PNLT/SENSIBLE MEDICAMENTS ET INTRANTS</v>
      </c>
      <c r="F1531" s="14" t="s">
        <v>788</v>
      </c>
      <c r="G1531" s="16">
        <f>DATE(YEAR(SUBSTITUTE(LEFT(Base_report!F1517,10),"-","/")),MONTH(SUBSTITUTE(LEFT(Base_report!F1517,10),"-","/")),DAY(SUBSTITUTE(LEFT(Base_report!F1517,10),"-","/")))</f>
        <v>45295</v>
      </c>
      <c r="H1531" s="16">
        <f>DATE(YEAR(SUBSTITUTE(LEFT(Base_report!G1517,10),"-","/")),MONTH(SUBSTITUTE(LEFT(Base_report!G1517,10),"-","/")),DAY(SUBSTITUTE(LEFT(Base_report!G1517,10),"-","/")))</f>
        <v>45295</v>
      </c>
      <c r="I1531" s="17" t="str">
        <f t="shared" si="1"/>
        <v>OUI</v>
      </c>
      <c r="J1531" s="18">
        <f>IF(L1531="DS",DATE(RIGHT(B1531,4),VLOOKUP(LEFT(B1531,LEN(B1531)-5),Feuil1!$E$3:$F$19,2,FALSE)+1,10),DATE(RIGHT(B1531,4),VLOOKUP(LEFT(B1531,LEN(B1531)-5),Feuil1!$E$3:$F$19,2,FALSE)+1,7))</f>
        <v>45298</v>
      </c>
      <c r="K1531" s="19">
        <f t="shared" si="2"/>
        <v>1</v>
      </c>
      <c r="L1531" s="6" t="str">
        <f t="shared" si="3"/>
        <v>FS</v>
      </c>
    </row>
    <row r="1532" ht="14.25" customHeight="1">
      <c r="A1532" s="14" t="str">
        <f>Base_report!A1518</f>
        <v>ME</v>
      </c>
      <c r="B1532" s="14" t="str">
        <f>Base_report!B1518</f>
        <v>OCTOBRE DECEMBRE 2023</v>
      </c>
      <c r="C1532" s="15" t="str">
        <f>Base_report!C1518</f>
        <v>C4015</v>
      </c>
      <c r="D1532" s="14" t="str">
        <f>TRIM(IF(ISNUMBER(FIND("PNSME",Base_report!D1518,1)),SUBSTITUTE(Base_report!D1518,"PNSME",""),IF(ISNUMBER(FIND("PHG",Base_report!D1518,1)),SUBSTITUTE(Base_report!D1518,"PHG",""),IF(ISNUMBER(FIND("PCS",Base_report!D1518,1)),SUBSTITUTE(Base_report!D1518,"PCS",""),IF(ISNUMBER(FIND("CMU",Base_report!D1518,1)),SUBSTITUTE(Base_report!D1518,"CMU",""),Base_report!D1518)))))</f>
        <v>HOPITAL GENERAL AKOUPE</v>
      </c>
      <c r="E1532" s="14" t="str">
        <f>SUBSTITUTE(Base_report!E1518,"-","/")</f>
        <v>PNLT/SENSIBLE MEDICAMENTS ET INTRANTS</v>
      </c>
      <c r="F1532" s="14" t="s">
        <v>788</v>
      </c>
      <c r="G1532" s="16">
        <f>DATE(YEAR(SUBSTITUTE(LEFT(Base_report!F1518,10),"-","/")),MONTH(SUBSTITUTE(LEFT(Base_report!F1518,10),"-","/")),DAY(SUBSTITUTE(LEFT(Base_report!F1518,10),"-","/")))</f>
        <v>45295</v>
      </c>
      <c r="H1532" s="16">
        <f>DATE(YEAR(SUBSTITUTE(LEFT(Base_report!G1518,10),"-","/")),MONTH(SUBSTITUTE(LEFT(Base_report!G1518,10),"-","/")),DAY(SUBSTITUTE(LEFT(Base_report!G1518,10),"-","/")))</f>
        <v>45295</v>
      </c>
      <c r="I1532" s="17" t="str">
        <f t="shared" si="1"/>
        <v>OUI</v>
      </c>
      <c r="J1532" s="18">
        <f>IF(L1532="DS",DATE(RIGHT(B1532,4),VLOOKUP(LEFT(B1532,LEN(B1532)-5),Feuil1!$E$3:$F$19,2,FALSE)+1,10),DATE(RIGHT(B1532,4),VLOOKUP(LEFT(B1532,LEN(B1532)-5),Feuil1!$E$3:$F$19,2,FALSE)+1,7))</f>
        <v>45298</v>
      </c>
      <c r="K1532" s="19">
        <f t="shared" si="2"/>
        <v>1</v>
      </c>
      <c r="L1532" s="6" t="str">
        <f t="shared" si="3"/>
        <v>FS</v>
      </c>
    </row>
    <row r="1533" ht="14.25" customHeight="1">
      <c r="A1533" s="14" t="str">
        <f>Base_report!A1519</f>
        <v>MARAHOUE</v>
      </c>
      <c r="B1533" s="14" t="str">
        <f>Base_report!B1519</f>
        <v>OCTOBRE DECEMBRE 2023</v>
      </c>
      <c r="C1533" s="15" t="str">
        <f>Base_report!C1519</f>
        <v>C2191</v>
      </c>
      <c r="D1533" s="14" t="str">
        <f>TRIM(IF(ISNUMBER(FIND("PNSME",Base_report!D1519,1)),SUBSTITUTE(Base_report!D1519,"PNSME",""),IF(ISNUMBER(FIND("PHG",Base_report!D1519,1)),SUBSTITUTE(Base_report!D1519,"PHG",""),IF(ISNUMBER(FIND("PCS",Base_report!D1519,1)),SUBSTITUTE(Base_report!D1519,"PCS",""),IF(ISNUMBER(FIND("CMU",Base_report!D1519,1)),SUBSTITUTE(Base_report!D1519,"CMU",""),Base_report!D1519)))))</f>
        <v>CENTRE ANTITUBERCULEUX BOUAFLE</v>
      </c>
      <c r="E1533" s="14" t="str">
        <f>SUBSTITUTE(Base_report!E1519,"-","/")</f>
        <v>PNLT/MULTI RESISTANTE MEDICAMENTS ET INTRANTS</v>
      </c>
      <c r="F1533" s="14" t="s">
        <v>788</v>
      </c>
      <c r="G1533" s="16">
        <f>DATE(YEAR(SUBSTITUTE(LEFT(Base_report!F1519,10),"-","/")),MONTH(SUBSTITUTE(LEFT(Base_report!F1519,10),"-","/")),DAY(SUBSTITUTE(LEFT(Base_report!F1519,10),"-","/")))</f>
        <v>45298</v>
      </c>
      <c r="H1533" s="16">
        <f>DATE(YEAR(SUBSTITUTE(LEFT(Base_report!G1519,10),"-","/")),MONTH(SUBSTITUTE(LEFT(Base_report!G1519,10),"-","/")),DAY(SUBSTITUTE(LEFT(Base_report!G1519,10),"-","/")))</f>
        <v>45298</v>
      </c>
      <c r="I1533" s="17" t="str">
        <f t="shared" si="1"/>
        <v>OUI</v>
      </c>
      <c r="J1533" s="18">
        <f>IF(L1533="DS",DATE(RIGHT(B1533,4),VLOOKUP(LEFT(B1533,LEN(B1533)-5),Feuil1!$E$3:$F$19,2,FALSE)+1,10),DATE(RIGHT(B1533,4),VLOOKUP(LEFT(B1533,LEN(B1533)-5),Feuil1!$E$3:$F$19,2,FALSE)+1,7))</f>
        <v>45298</v>
      </c>
      <c r="K1533" s="19">
        <f t="shared" si="2"/>
        <v>1</v>
      </c>
      <c r="L1533" s="6" t="str">
        <f t="shared" si="3"/>
        <v>FS</v>
      </c>
    </row>
    <row r="1534" ht="14.25" customHeight="1">
      <c r="A1534" s="14" t="str">
        <f>Base_report!A1520</f>
        <v>ABIDJAN 2</v>
      </c>
      <c r="B1534" s="14" t="str">
        <f>Base_report!B1520</f>
        <v>OCTOBRE DECEMBRE 2023</v>
      </c>
      <c r="C1534" s="15" t="str">
        <f>Base_report!C1520</f>
        <v>C1024</v>
      </c>
      <c r="D1534" s="14" t="str">
        <f>TRIM(IF(ISNUMBER(FIND("PNSME",Base_report!D1520,1)),SUBSTITUTE(Base_report!D1520,"PNSME",""),IF(ISNUMBER(FIND("PHG",Base_report!D1520,1)),SUBSTITUTE(Base_report!D1520,"PHG",""),IF(ISNUMBER(FIND("PCS",Base_report!D1520,1)),SUBSTITUTE(Base_report!D1520,"PCS",""),IF(ISNUMBER(FIND("CMU",Base_report!D1520,1)),SUBSTITUTE(Base_report!D1520,"CMU",""),Base_report!D1520)))))</f>
        <v>CSU COM GONZAGUEVILLE</v>
      </c>
      <c r="E1534" s="14" t="str">
        <f>SUBSTITUTE(Base_report!E1520,"-","/")</f>
        <v>PNLT/SENSIBLE MEDICAMENTS ET INTRANTS</v>
      </c>
      <c r="F1534" s="14" t="s">
        <v>788</v>
      </c>
      <c r="G1534" s="16">
        <f>DATE(YEAR(SUBSTITUTE(LEFT(Base_report!F1520,10),"-","/")),MONTH(SUBSTITUTE(LEFT(Base_report!F1520,10),"-","/")),DAY(SUBSTITUTE(LEFT(Base_report!F1520,10),"-","/")))</f>
        <v>45295</v>
      </c>
      <c r="H1534" s="16">
        <f>DATE(YEAR(SUBSTITUTE(LEFT(Base_report!G1520,10),"-","/")),MONTH(SUBSTITUTE(LEFT(Base_report!G1520,10),"-","/")),DAY(SUBSTITUTE(LEFT(Base_report!G1520,10),"-","/")))</f>
        <v>45295</v>
      </c>
      <c r="I1534" s="17" t="str">
        <f t="shared" si="1"/>
        <v>OUI</v>
      </c>
      <c r="J1534" s="18">
        <f>IF(L1534="DS",DATE(RIGHT(B1534,4),VLOOKUP(LEFT(B1534,LEN(B1534)-5),Feuil1!$E$3:$F$19,2,FALSE)+1,10),DATE(RIGHT(B1534,4),VLOOKUP(LEFT(B1534,LEN(B1534)-5),Feuil1!$E$3:$F$19,2,FALSE)+1,7))</f>
        <v>45298</v>
      </c>
      <c r="K1534" s="19">
        <f t="shared" si="2"/>
        <v>1</v>
      </c>
      <c r="L1534" s="6" t="str">
        <f t="shared" si="3"/>
        <v>FS</v>
      </c>
    </row>
    <row r="1535" ht="14.25" customHeight="1">
      <c r="A1535" s="14" t="str">
        <f>Base_report!A1521</f>
        <v>GBOKLE</v>
      </c>
      <c r="B1535" s="14" t="str">
        <f>Base_report!B1521</f>
        <v>OCTOBRE DECEMBRE 2023</v>
      </c>
      <c r="C1535" s="15" t="str">
        <f>Base_report!C1521</f>
        <v>C1945</v>
      </c>
      <c r="D1535" s="14" t="str">
        <f>TRIM(IF(ISNUMBER(FIND("PNSME",Base_report!D1521,1)),SUBSTITUTE(Base_report!D1521,"PNSME",""),IF(ISNUMBER(FIND("PHG",Base_report!D1521,1)),SUBSTITUTE(Base_report!D1521,"PHG",""),IF(ISNUMBER(FIND("PCS",Base_report!D1521,1)),SUBSTITUTE(Base_report!D1521,"PCS",""),IF(ISNUMBER(FIND("CMU",Base_report!D1521,1)),SUBSTITUTE(Base_report!D1521,"CMU",""),Base_report!D1521)))))</f>
        <v>CENTRE ANTITUBERCULEUX SASSANDRA</v>
      </c>
      <c r="E1535" s="14" t="str">
        <f>SUBSTITUTE(Base_report!E1521,"-","/")</f>
        <v>PNLT/PRODUITS DE LABORATOIRE</v>
      </c>
      <c r="F1535" s="14" t="s">
        <v>788</v>
      </c>
      <c r="G1535" s="16">
        <f>DATE(YEAR(SUBSTITUTE(LEFT(Base_report!F1521,10),"-","/")),MONTH(SUBSTITUTE(LEFT(Base_report!F1521,10),"-","/")),DAY(SUBSTITUTE(LEFT(Base_report!F1521,10),"-","/")))</f>
        <v>45296</v>
      </c>
      <c r="H1535" s="16">
        <f>DATE(YEAR(SUBSTITUTE(LEFT(Base_report!G1521,10),"-","/")),MONTH(SUBSTITUTE(LEFT(Base_report!G1521,10),"-","/")),DAY(SUBSTITUTE(LEFT(Base_report!G1521,10),"-","/")))</f>
        <v>45297</v>
      </c>
      <c r="I1535" s="17" t="str">
        <f t="shared" si="1"/>
        <v>OUI</v>
      </c>
      <c r="J1535" s="18">
        <f>IF(L1535="DS",DATE(RIGHT(B1535,4),VLOOKUP(LEFT(B1535,LEN(B1535)-5),Feuil1!$E$3:$F$19,2,FALSE)+1,10),DATE(RIGHT(B1535,4),VLOOKUP(LEFT(B1535,LEN(B1535)-5),Feuil1!$E$3:$F$19,2,FALSE)+1,7))</f>
        <v>45298</v>
      </c>
      <c r="K1535" s="19">
        <f t="shared" si="2"/>
        <v>1</v>
      </c>
      <c r="L1535" s="6" t="str">
        <f t="shared" si="3"/>
        <v>FS</v>
      </c>
    </row>
    <row r="1536" ht="14.25" customHeight="1">
      <c r="A1536" s="14" t="str">
        <f>Base_report!A1522</f>
        <v>FOLON</v>
      </c>
      <c r="B1536" s="14" t="str">
        <f>Base_report!B1522</f>
        <v>OCTOBRE DECEMBRE 2023</v>
      </c>
      <c r="C1536" s="15" t="str">
        <f>Base_report!C1522</f>
        <v>C5074</v>
      </c>
      <c r="D1536" s="14" t="str">
        <f>TRIM(IF(ISNUMBER(FIND("PNSME",Base_report!D1522,1)),SUBSTITUTE(Base_report!D1522,"PNSME",""),IF(ISNUMBER(FIND("PHG",Base_report!D1522,1)),SUBSTITUTE(Base_report!D1522,"PHG",""),IF(ISNUMBER(FIND("PCS",Base_report!D1522,1)),SUBSTITUTE(Base_report!D1522,"PCS",""),IF(ISNUMBER(FIND("CMU",Base_report!D1522,1)),SUBSTITUTE(Base_report!D1522,"CMU",""),Base_report!D1522)))))</f>
        <v>HOPITAL GENERAL KANIASSO</v>
      </c>
      <c r="E1536" s="14" t="str">
        <f>SUBSTITUTE(Base_report!E1522,"-","/")</f>
        <v>PNLT/SENSIBLE MEDICAMENTS ET INTRANTS</v>
      </c>
      <c r="F1536" s="14" t="s">
        <v>788</v>
      </c>
      <c r="G1536" s="16">
        <f>DATE(YEAR(SUBSTITUTE(LEFT(Base_report!F1522,10),"-","/")),MONTH(SUBSTITUTE(LEFT(Base_report!F1522,10),"-","/")),DAY(SUBSTITUTE(LEFT(Base_report!F1522,10),"-","/")))</f>
        <v>45297</v>
      </c>
      <c r="H1536" s="16">
        <f>DATE(YEAR(SUBSTITUTE(LEFT(Base_report!G1522,10),"-","/")),MONTH(SUBSTITUTE(LEFT(Base_report!G1522,10),"-","/")),DAY(SUBSTITUTE(LEFT(Base_report!G1522,10),"-","/")))</f>
        <v>45297</v>
      </c>
      <c r="I1536" s="17" t="str">
        <f t="shared" si="1"/>
        <v>OUI</v>
      </c>
      <c r="J1536" s="18">
        <f>IF(L1536="DS",DATE(RIGHT(B1536,4),VLOOKUP(LEFT(B1536,LEN(B1536)-5),Feuil1!$E$3:$F$19,2,FALSE)+1,10),DATE(RIGHT(B1536,4),VLOOKUP(LEFT(B1536,LEN(B1536)-5),Feuil1!$E$3:$F$19,2,FALSE)+1,7))</f>
        <v>45298</v>
      </c>
      <c r="K1536" s="19">
        <f t="shared" si="2"/>
        <v>1</v>
      </c>
      <c r="L1536" s="6" t="str">
        <f t="shared" si="3"/>
        <v>FS</v>
      </c>
    </row>
    <row r="1537" ht="14.25" customHeight="1">
      <c r="A1537" s="14" t="str">
        <f>Base_report!A1523</f>
        <v>TONKPI</v>
      </c>
      <c r="B1537" s="14" t="str">
        <f>Base_report!B1523</f>
        <v>OCTOBRE DECEMBRE 2023</v>
      </c>
      <c r="C1537" s="15" t="str">
        <f>Base_report!C1523</f>
        <v>C5012</v>
      </c>
      <c r="D1537" s="14" t="str">
        <f>TRIM(IF(ISNUMBER(FIND("PNSME",Base_report!D1523,1)),SUBSTITUTE(Base_report!D1523,"PNSME",""),IF(ISNUMBER(FIND("PHG",Base_report!D1523,1)),SUBSTITUTE(Base_report!D1523,"PHG",""),IF(ISNUMBER(FIND("PCS",Base_report!D1523,1)),SUBSTITUTE(Base_report!D1523,"PCS",""),IF(ISNUMBER(FIND("CMU",Base_report!D1523,1)),SUBSTITUTE(Base_report!D1523,"CMU",""),Base_report!D1523)))))</f>
        <v>DISTRICT SANITAIRE MAN</v>
      </c>
      <c r="E1537" s="14" t="str">
        <f>SUBSTITUTE(Base_report!E1523,"-","/")</f>
        <v>PNLT/SENSIBLE MEDICAMENTS ET INTRANTS</v>
      </c>
      <c r="F1537" s="14" t="s">
        <v>788</v>
      </c>
      <c r="G1537" s="16">
        <f>DATE(YEAR(SUBSTITUTE(LEFT(Base_report!F1523,10),"-","/")),MONTH(SUBSTITUTE(LEFT(Base_report!F1523,10),"-","/")),DAY(SUBSTITUTE(LEFT(Base_report!F1523,10),"-","/")))</f>
        <v>45300</v>
      </c>
      <c r="H1537" s="16">
        <f>DATE(YEAR(SUBSTITUTE(LEFT(Base_report!G1523,10),"-","/")),MONTH(SUBSTITUTE(LEFT(Base_report!G1523,10),"-","/")),DAY(SUBSTITUTE(LEFT(Base_report!G1523,10),"-","/")))</f>
        <v>45300</v>
      </c>
      <c r="I1537" s="17" t="str">
        <f t="shared" si="1"/>
        <v>OUI</v>
      </c>
      <c r="J1537" s="18">
        <f>IF(L1537="DS",DATE(RIGHT(B1537,4),VLOOKUP(LEFT(B1537,LEN(B1537)-5),Feuil1!$E$3:$F$19,2,FALSE)+1,10),DATE(RIGHT(B1537,4),VLOOKUP(LEFT(B1537,LEN(B1537)-5),Feuil1!$E$3:$F$19,2,FALSE)+1,7))</f>
        <v>45301</v>
      </c>
      <c r="K1537" s="19">
        <f t="shared" si="2"/>
        <v>1</v>
      </c>
      <c r="L1537" s="6" t="str">
        <f t="shared" si="3"/>
        <v>DS</v>
      </c>
    </row>
    <row r="1538" ht="14.25" customHeight="1">
      <c r="A1538" s="14" t="str">
        <f>Base_report!A1524</f>
        <v>BERE</v>
      </c>
      <c r="B1538" s="14" t="str">
        <f>Base_report!B1524</f>
        <v>OCTOBRE DECEMBRE 2023</v>
      </c>
      <c r="C1538" s="15" t="str">
        <f>Base_report!C1524</f>
        <v>C5080</v>
      </c>
      <c r="D1538" s="14" t="str">
        <f>TRIM(IF(ISNUMBER(FIND("PNSME",Base_report!D1524,1)),SUBSTITUTE(Base_report!D1524,"PNSME",""),IF(ISNUMBER(FIND("PHG",Base_report!D1524,1)),SUBSTITUTE(Base_report!D1524,"PHG",""),IF(ISNUMBER(FIND("PCS",Base_report!D1524,1)),SUBSTITUTE(Base_report!D1524,"PCS",""),IF(ISNUMBER(FIND("CMU",Base_report!D1524,1)),SUBSTITUTE(Base_report!D1524,"CMU",""),Base_report!D1524)))))</f>
        <v>DISTRICT SANITAIRE KOUNAHIRI</v>
      </c>
      <c r="E1538" s="14" t="str">
        <f>SUBSTITUTE(Base_report!E1524,"-","/")</f>
        <v>PNLT/PRODUITS DE LABORATOIRE</v>
      </c>
      <c r="F1538" s="14" t="s">
        <v>788</v>
      </c>
      <c r="G1538" s="16">
        <f>DATE(YEAR(SUBSTITUTE(LEFT(Base_report!F1524,10),"-","/")),MONTH(SUBSTITUTE(LEFT(Base_report!F1524,10),"-","/")),DAY(SUBSTITUTE(LEFT(Base_report!F1524,10),"-","/")))</f>
        <v>45208</v>
      </c>
      <c r="H1538" s="16">
        <f>DATE(YEAR(SUBSTITUTE(LEFT(Base_report!G1524,10),"-","/")),MONTH(SUBSTITUTE(LEFT(Base_report!G1524,10),"-","/")),DAY(SUBSTITUTE(LEFT(Base_report!G1524,10),"-","/")))</f>
        <v>45240</v>
      </c>
      <c r="I1538" s="17" t="str">
        <f t="shared" si="1"/>
        <v>OUI</v>
      </c>
      <c r="J1538" s="18">
        <f>IF(L1538="DS",DATE(RIGHT(B1538,4),VLOOKUP(LEFT(B1538,LEN(B1538)-5),Feuil1!$E$3:$F$19,2,FALSE)+1,10),DATE(RIGHT(B1538,4),VLOOKUP(LEFT(B1538,LEN(B1538)-5),Feuil1!$E$3:$F$19,2,FALSE)+1,7))</f>
        <v>45301</v>
      </c>
      <c r="K1538" s="19">
        <f t="shared" si="2"/>
        <v>1</v>
      </c>
      <c r="L1538" s="6" t="str">
        <f t="shared" si="3"/>
        <v>DS</v>
      </c>
    </row>
    <row r="1539" ht="14.25" customHeight="1">
      <c r="A1539" s="14" t="str">
        <f>Base_report!A1525</f>
        <v>SAN PEDRO</v>
      </c>
      <c r="B1539" s="14" t="str">
        <f>Base_report!B1525</f>
        <v>OCTOBRE DECEMBRE 2023</v>
      </c>
      <c r="C1539" s="15" t="str">
        <f>Base_report!C1525</f>
        <v>C2171</v>
      </c>
      <c r="D1539" s="14" t="str">
        <f>TRIM(IF(ISNUMBER(FIND("PNSME",Base_report!D1525,1)),SUBSTITUTE(Base_report!D1525,"PNSME",""),IF(ISNUMBER(FIND("PHG",Base_report!D1525,1)),SUBSTITUTE(Base_report!D1525,"PHG",""),IF(ISNUMBER(FIND("PCS",Base_report!D1525,1)),SUBSTITUTE(Base_report!D1525,"PCS",""),IF(ISNUMBER(FIND("CMU",Base_report!D1525,1)),SUBSTITUTE(Base_report!D1525,"CMU",""),Base_report!D1525)))))</f>
        <v>CENTRE ANTI-TUBERCULEUX SAN-PEDRO</v>
      </c>
      <c r="E1539" s="14" t="str">
        <f>SUBSTITUTE(Base_report!E1525,"-","/")</f>
        <v>PNLT/MULTI RESISTANTE MEDICAMENTS ET INTRANTS</v>
      </c>
      <c r="F1539" s="14" t="s">
        <v>788</v>
      </c>
      <c r="G1539" s="16">
        <f>DATE(YEAR(SUBSTITUTE(LEFT(Base_report!F1525,10),"-","/")),MONTH(SUBSTITUTE(LEFT(Base_report!F1525,10),"-","/")),DAY(SUBSTITUTE(LEFT(Base_report!F1525,10),"-","/")))</f>
        <v>45295</v>
      </c>
      <c r="H1539" s="16">
        <f>DATE(YEAR(SUBSTITUTE(LEFT(Base_report!G1525,10),"-","/")),MONTH(SUBSTITUTE(LEFT(Base_report!G1525,10),"-","/")),DAY(SUBSTITUTE(LEFT(Base_report!G1525,10),"-","/")))</f>
        <v>45295</v>
      </c>
      <c r="I1539" s="17" t="str">
        <f t="shared" si="1"/>
        <v>OUI</v>
      </c>
      <c r="J1539" s="18">
        <f>IF(L1539="DS",DATE(RIGHT(B1539,4),VLOOKUP(LEFT(B1539,LEN(B1539)-5),Feuil1!$E$3:$F$19,2,FALSE)+1,10),DATE(RIGHT(B1539,4),VLOOKUP(LEFT(B1539,LEN(B1539)-5),Feuil1!$E$3:$F$19,2,FALSE)+1,7))</f>
        <v>45298</v>
      </c>
      <c r="K1539" s="19">
        <f t="shared" si="2"/>
        <v>1</v>
      </c>
      <c r="L1539" s="6" t="str">
        <f t="shared" si="3"/>
        <v>FS</v>
      </c>
    </row>
    <row r="1540" ht="14.25" customHeight="1">
      <c r="A1540" s="14" t="str">
        <f>Base_report!A1526</f>
        <v>ABIDJAN 2</v>
      </c>
      <c r="B1540" s="14" t="str">
        <f>Base_report!B1526</f>
        <v>OCTOBRE DECEMBRE 2023</v>
      </c>
      <c r="C1540" s="15" t="str">
        <f>Base_report!C1526</f>
        <v>C1027</v>
      </c>
      <c r="D1540" s="14" t="str">
        <f>TRIM(IF(ISNUMBER(FIND("PNSME",Base_report!D1526,1)),SUBSTITUTE(Base_report!D1526,"PNSME",""),IF(ISNUMBER(FIND("PHG",Base_report!D1526,1)),SUBSTITUTE(Base_report!D1526,"PHG",""),IF(ISNUMBER(FIND("PCS",Base_report!D1526,1)),SUBSTITUTE(Base_report!D1526,"PCS",""),IF(ISNUMBER(FIND("CMU",Base_report!D1526,1)),SUBSTITUTE(Base_report!D1526,"CMU",""),Base_report!D1526)))))</f>
        <v>CSU COM KOUMASSI-DIVO</v>
      </c>
      <c r="E1540" s="14" t="str">
        <f>SUBSTITUTE(Base_report!E1526,"-","/")</f>
        <v>PNLT/SENSIBLE MEDICAMENTS ET INTRANTS</v>
      </c>
      <c r="F1540" s="14" t="s">
        <v>788</v>
      </c>
      <c r="G1540" s="16">
        <f>DATE(YEAR(SUBSTITUTE(LEFT(Base_report!F1526,10),"-","/")),MONTH(SUBSTITUTE(LEFT(Base_report!F1526,10),"-","/")),DAY(SUBSTITUTE(LEFT(Base_report!F1526,10),"-","/")))</f>
        <v>45294</v>
      </c>
      <c r="H1540" s="16">
        <f>DATE(YEAR(SUBSTITUTE(LEFT(Base_report!G1526,10),"-","/")),MONTH(SUBSTITUTE(LEFT(Base_report!G1526,10),"-","/")),DAY(SUBSTITUTE(LEFT(Base_report!G1526,10),"-","/")))</f>
        <v>45294</v>
      </c>
      <c r="I1540" s="17" t="str">
        <f t="shared" si="1"/>
        <v>OUI</v>
      </c>
      <c r="J1540" s="18">
        <f>IF(L1540="DS",DATE(RIGHT(B1540,4),VLOOKUP(LEFT(B1540,LEN(B1540)-5),Feuil1!$E$3:$F$19,2,FALSE)+1,10),DATE(RIGHT(B1540,4),VLOOKUP(LEFT(B1540,LEN(B1540)-5),Feuil1!$E$3:$F$19,2,FALSE)+1,7))</f>
        <v>45298</v>
      </c>
      <c r="K1540" s="19">
        <f t="shared" si="2"/>
        <v>1</v>
      </c>
      <c r="L1540" s="6" t="str">
        <f t="shared" si="3"/>
        <v>FS</v>
      </c>
    </row>
    <row r="1541" ht="14.25" customHeight="1">
      <c r="A1541" s="14" t="str">
        <f>Base_report!A1527</f>
        <v>ABIDJAN 2</v>
      </c>
      <c r="B1541" s="14" t="str">
        <f>Base_report!B1527</f>
        <v>OCTOBRE DECEMBRE 2023</v>
      </c>
      <c r="C1541" s="15" t="str">
        <f>Base_report!C1527</f>
        <v>C1749</v>
      </c>
      <c r="D1541" s="14" t="str">
        <f>TRIM(IF(ISNUMBER(FIND("PNSME",Base_report!D1527,1)),SUBSTITUTE(Base_report!D1527,"PNSME",""),IF(ISNUMBER(FIND("PHG",Base_report!D1527,1)),SUBSTITUTE(Base_report!D1527,"PHG",""),IF(ISNUMBER(FIND("PCS",Base_report!D1527,1)),SUBSTITUTE(Base_report!D1527,"PCS",""),IF(ISNUMBER(FIND("CMU",Base_report!D1527,1)),SUBSTITUTE(Base_report!D1527,"CMU",""),Base_report!D1527)))))</f>
        <v>CENTRE ANTITUBERCULEUX BINGERVILLE</v>
      </c>
      <c r="E1541" s="14" t="str">
        <f>SUBSTITUTE(Base_report!E1527,"-","/")</f>
        <v>PNLT/MULTI RESISTANTE MEDICAMENTS ET INTRANTS</v>
      </c>
      <c r="F1541" s="14" t="s">
        <v>788</v>
      </c>
      <c r="G1541" s="16">
        <f>DATE(YEAR(SUBSTITUTE(LEFT(Base_report!F1527,10),"-","/")),MONTH(SUBSTITUTE(LEFT(Base_report!F1527,10),"-","/")),DAY(SUBSTITUTE(LEFT(Base_report!F1527,10),"-","/")))</f>
        <v>45293</v>
      </c>
      <c r="H1541" s="16">
        <f>DATE(YEAR(SUBSTITUTE(LEFT(Base_report!G1527,10),"-","/")),MONTH(SUBSTITUTE(LEFT(Base_report!G1527,10),"-","/")),DAY(SUBSTITUTE(LEFT(Base_report!G1527,10),"-","/")))</f>
        <v>45294</v>
      </c>
      <c r="I1541" s="17" t="str">
        <f t="shared" si="1"/>
        <v>OUI</v>
      </c>
      <c r="J1541" s="18">
        <f>IF(L1541="DS",DATE(RIGHT(B1541,4),VLOOKUP(LEFT(B1541,LEN(B1541)-5),Feuil1!$E$3:$F$19,2,FALSE)+1,10),DATE(RIGHT(B1541,4),VLOOKUP(LEFT(B1541,LEN(B1541)-5),Feuil1!$E$3:$F$19,2,FALSE)+1,7))</f>
        <v>45298</v>
      </c>
      <c r="K1541" s="19">
        <f t="shared" si="2"/>
        <v>1</v>
      </c>
      <c r="L1541" s="6" t="str">
        <f t="shared" si="3"/>
        <v>FS</v>
      </c>
    </row>
    <row r="1542" ht="14.25" customHeight="1">
      <c r="A1542" s="14" t="str">
        <f>Base_report!A1528</f>
        <v>BAGOUE</v>
      </c>
      <c r="B1542" s="14" t="str">
        <f>Base_report!B1528</f>
        <v>OCTOBRE DECEMBRE 2023</v>
      </c>
      <c r="C1542" s="15" t="str">
        <f>Base_report!C1528</f>
        <v>C3015</v>
      </c>
      <c r="D1542" s="14" t="str">
        <f>TRIM(IF(ISNUMBER(FIND("PNSME",Base_report!D1528,1)),SUBSTITUTE(Base_report!D1528,"PNSME",""),IF(ISNUMBER(FIND("PHG",Base_report!D1528,1)),SUBSTITUTE(Base_report!D1528,"PHG",""),IF(ISNUMBER(FIND("PCS",Base_report!D1528,1)),SUBSTITUTE(Base_report!D1528,"PCS",""),IF(ISNUMBER(FIND("CMU",Base_report!D1528,1)),SUBSTITUTE(Base_report!D1528,"CMU",""),Base_report!D1528)))))</f>
        <v>HOPITAL GENERAL KOUTO</v>
      </c>
      <c r="E1542" s="14" t="str">
        <f>SUBSTITUTE(Base_report!E1528,"-","/")</f>
        <v>PNLT/SENSIBLE MEDICAMENTS ET INTRANTS</v>
      </c>
      <c r="F1542" s="14" t="s">
        <v>788</v>
      </c>
      <c r="G1542" s="16">
        <f>DATE(YEAR(SUBSTITUTE(LEFT(Base_report!F1528,10),"-","/")),MONTH(SUBSTITUTE(LEFT(Base_report!F1528,10),"-","/")),DAY(SUBSTITUTE(LEFT(Base_report!F1528,10),"-","/")))</f>
        <v>45299</v>
      </c>
      <c r="H1542" s="16">
        <f>DATE(YEAR(SUBSTITUTE(LEFT(Base_report!G1528,10),"-","/")),MONTH(SUBSTITUTE(LEFT(Base_report!G1528,10),"-","/")),DAY(SUBSTITUTE(LEFT(Base_report!G1528,10),"-","/")))</f>
        <v>45299</v>
      </c>
      <c r="I1542" s="17" t="str">
        <f t="shared" si="1"/>
        <v>OUI</v>
      </c>
      <c r="J1542" s="18">
        <f>IF(L1542="DS",DATE(RIGHT(B1542,4),VLOOKUP(LEFT(B1542,LEN(B1542)-5),Feuil1!$E$3:$F$19,2,FALSE)+1,10),DATE(RIGHT(B1542,4),VLOOKUP(LEFT(B1542,LEN(B1542)-5),Feuil1!$E$3:$F$19,2,FALSE)+1,7))</f>
        <v>45298</v>
      </c>
      <c r="K1542" s="19">
        <f t="shared" si="2"/>
        <v>0</v>
      </c>
      <c r="L1542" s="6" t="str">
        <f t="shared" si="3"/>
        <v>FS</v>
      </c>
    </row>
    <row r="1543" ht="14.25" customHeight="1">
      <c r="A1543" s="14" t="str">
        <f>Base_report!A1529</f>
        <v>N'ZI</v>
      </c>
      <c r="B1543" s="14" t="str">
        <f>Base_report!B1529</f>
        <v>OCTOBRE DECEMBRE 2023</v>
      </c>
      <c r="C1543" s="15" t="str">
        <f>Base_report!C1529</f>
        <v>C2019</v>
      </c>
      <c r="D1543" s="14" t="str">
        <f>TRIM(IF(ISNUMBER(FIND("PNSME",Base_report!D1529,1)),SUBSTITUTE(Base_report!D1529,"PNSME",""),IF(ISNUMBER(FIND("PHG",Base_report!D1529,1)),SUBSTITUTE(Base_report!D1529,"PHG",""),IF(ISNUMBER(FIND("PCS",Base_report!D1529,1)),SUBSTITUTE(Base_report!D1529,"PCS",""),IF(ISNUMBER(FIND("CMU",Base_report!D1529,1)),SUBSTITUTE(Base_report!D1529,"CMU",""),Base_report!D1529)))))</f>
        <v>DISTRICT SANITAIRE BOCANDA</v>
      </c>
      <c r="E1543" s="14" t="str">
        <f>SUBSTITUTE(Base_report!E1529,"-","/")</f>
        <v>PNLT/SENSIBLE MEDICAMENTS ET INTRANTS</v>
      </c>
      <c r="F1543" s="14" t="s">
        <v>788</v>
      </c>
      <c r="G1543" s="16">
        <f>DATE(YEAR(SUBSTITUTE(LEFT(Base_report!F1529,10),"-","/")),MONTH(SUBSTITUTE(LEFT(Base_report!F1529,10),"-","/")),DAY(SUBSTITUTE(LEFT(Base_report!F1529,10),"-","/")))</f>
        <v>45301</v>
      </c>
      <c r="H1543" s="16">
        <f>DATE(YEAR(SUBSTITUTE(LEFT(Base_report!G1529,10),"-","/")),MONTH(SUBSTITUTE(LEFT(Base_report!G1529,10),"-","/")),DAY(SUBSTITUTE(LEFT(Base_report!G1529,10),"-","/")))</f>
        <v>45301</v>
      </c>
      <c r="I1543" s="17" t="str">
        <f t="shared" si="1"/>
        <v>OUI</v>
      </c>
      <c r="J1543" s="18">
        <f>IF(L1543="DS",DATE(RIGHT(B1543,4),VLOOKUP(LEFT(B1543,LEN(B1543)-5),Feuil1!$E$3:$F$19,2,FALSE)+1,10),DATE(RIGHT(B1543,4),VLOOKUP(LEFT(B1543,LEN(B1543)-5),Feuil1!$E$3:$F$19,2,FALSE)+1,7))</f>
        <v>45301</v>
      </c>
      <c r="K1543" s="19">
        <f t="shared" si="2"/>
        <v>1</v>
      </c>
      <c r="L1543" s="6" t="str">
        <f t="shared" si="3"/>
        <v>DS</v>
      </c>
    </row>
    <row r="1544" ht="14.25" customHeight="1">
      <c r="A1544" s="14" t="str">
        <f>Base_report!A1530</f>
        <v>BERE</v>
      </c>
      <c r="B1544" s="14" t="str">
        <f>Base_report!B1530</f>
        <v>OCTOBRE DECEMBRE 2023</v>
      </c>
      <c r="C1544" s="15" t="str">
        <f>Base_report!C1530</f>
        <v>C5091</v>
      </c>
      <c r="D1544" s="14" t="str">
        <f>TRIM(IF(ISNUMBER(FIND("PNSME",Base_report!D1530,1)),SUBSTITUTE(Base_report!D1530,"PNSME",""),IF(ISNUMBER(FIND("PHG",Base_report!D1530,1)),SUBSTITUTE(Base_report!D1530,"PHG",""),IF(ISNUMBER(FIND("PCS",Base_report!D1530,1)),SUBSTITUTE(Base_report!D1530,"PCS",""),IF(ISNUMBER(FIND("CMU",Base_report!D1530,1)),SUBSTITUTE(Base_report!D1530,"CMU",""),Base_report!D1530)))))</f>
        <v>HOPITAL GENERAL DIANRA</v>
      </c>
      <c r="E1544" s="14" t="str">
        <f>SUBSTITUTE(Base_report!E1530,"-","/")</f>
        <v>PNLT/SENSIBLE MEDICAMENTS ET INTRANTS</v>
      </c>
      <c r="F1544" s="14" t="s">
        <v>788</v>
      </c>
      <c r="G1544" s="16">
        <f>DATE(YEAR(SUBSTITUTE(LEFT(Base_report!F1530,10),"-","/")),MONTH(SUBSTITUTE(LEFT(Base_report!F1530,10),"-","/")),DAY(SUBSTITUTE(LEFT(Base_report!F1530,10),"-","/")))</f>
        <v>45297</v>
      </c>
      <c r="H1544" s="16">
        <f>DATE(YEAR(SUBSTITUTE(LEFT(Base_report!G1530,10),"-","/")),MONTH(SUBSTITUTE(LEFT(Base_report!G1530,10),"-","/")),DAY(SUBSTITUTE(LEFT(Base_report!G1530,10),"-","/")))</f>
        <v>45297</v>
      </c>
      <c r="I1544" s="17" t="str">
        <f t="shared" si="1"/>
        <v>OUI</v>
      </c>
      <c r="J1544" s="18">
        <f>IF(L1544="DS",DATE(RIGHT(B1544,4),VLOOKUP(LEFT(B1544,LEN(B1544)-5),Feuil1!$E$3:$F$19,2,FALSE)+1,10),DATE(RIGHT(B1544,4),VLOOKUP(LEFT(B1544,LEN(B1544)-5),Feuil1!$E$3:$F$19,2,FALSE)+1,7))</f>
        <v>45298</v>
      </c>
      <c r="K1544" s="19">
        <f t="shared" si="2"/>
        <v>1</v>
      </c>
      <c r="L1544" s="6" t="str">
        <f t="shared" si="3"/>
        <v>FS</v>
      </c>
    </row>
    <row r="1545" ht="14.25" customHeight="1">
      <c r="A1545" s="14" t="str">
        <f>Base_report!A1531</f>
        <v>CAVALLY</v>
      </c>
      <c r="B1545" s="14" t="str">
        <f>Base_report!B1531</f>
        <v>OCTOBRE DECEMBRE 2023</v>
      </c>
      <c r="C1545" s="15" t="str">
        <f>Base_report!C1531</f>
        <v>C5085</v>
      </c>
      <c r="D1545" s="14" t="str">
        <f>TRIM(IF(ISNUMBER(FIND("PNSME",Base_report!D1531,1)),SUBSTITUTE(Base_report!D1531,"PNSME",""),IF(ISNUMBER(FIND("PHG",Base_report!D1531,1)),SUBSTITUTE(Base_report!D1531,"PHG",""),IF(ISNUMBER(FIND("PCS",Base_report!D1531,1)),SUBSTITUTE(Base_report!D1531,"PCS",""),IF(ISNUMBER(FIND("CMU",Base_report!D1531,1)),SUBSTITUTE(Base_report!D1531,"CMU",""),Base_report!D1531)))))</f>
        <v>HOPITAL GENERAL TAI</v>
      </c>
      <c r="E1545" s="14" t="str">
        <f>SUBSTITUTE(Base_report!E1531,"-","/")</f>
        <v>PNLT/SENSIBLE MEDICAMENTS ET INTRANTS</v>
      </c>
      <c r="F1545" s="14" t="s">
        <v>788</v>
      </c>
      <c r="G1545" s="16">
        <f>DATE(YEAR(SUBSTITUTE(LEFT(Base_report!F1531,10),"-","/")),MONTH(SUBSTITUTE(LEFT(Base_report!F1531,10),"-","/")),DAY(SUBSTITUTE(LEFT(Base_report!F1531,10),"-","/")))</f>
        <v>45296</v>
      </c>
      <c r="H1545" s="16">
        <f>DATE(YEAR(SUBSTITUTE(LEFT(Base_report!G1531,10),"-","/")),MONTH(SUBSTITUTE(LEFT(Base_report!G1531,10),"-","/")),DAY(SUBSTITUTE(LEFT(Base_report!G1531,10),"-","/")))</f>
        <v>45296</v>
      </c>
      <c r="I1545" s="17" t="str">
        <f t="shared" si="1"/>
        <v>OUI</v>
      </c>
      <c r="J1545" s="18">
        <f>IF(L1545="DS",DATE(RIGHT(B1545,4),VLOOKUP(LEFT(B1545,LEN(B1545)-5),Feuil1!$E$3:$F$19,2,FALSE)+1,10),DATE(RIGHT(B1545,4),VLOOKUP(LEFT(B1545,LEN(B1545)-5),Feuil1!$E$3:$F$19,2,FALSE)+1,7))</f>
        <v>45298</v>
      </c>
      <c r="K1545" s="19">
        <f t="shared" si="2"/>
        <v>1</v>
      </c>
      <c r="L1545" s="6" t="str">
        <f t="shared" si="3"/>
        <v>FS</v>
      </c>
    </row>
    <row r="1546" ht="14.25" customHeight="1">
      <c r="A1546" s="14" t="str">
        <f>Base_report!A1532</f>
        <v>BOUNKANI</v>
      </c>
      <c r="B1546" s="14" t="str">
        <f>Base_report!B1532</f>
        <v>OCTOBRE DECEMBRE 2023</v>
      </c>
      <c r="C1546" s="15" t="str">
        <f>Base_report!C1532</f>
        <v>C4094</v>
      </c>
      <c r="D1546" s="14" t="str">
        <f>TRIM(IF(ISNUMBER(FIND("PNSME",Base_report!D1532,1)),SUBSTITUTE(Base_report!D1532,"PNSME",""),IF(ISNUMBER(FIND("PHG",Base_report!D1532,1)),SUBSTITUTE(Base_report!D1532,"PHG",""),IF(ISNUMBER(FIND("PCS",Base_report!D1532,1)),SUBSTITUTE(Base_report!D1532,"PCS",""),IF(ISNUMBER(FIND("CMU",Base_report!D1532,1)),SUBSTITUTE(Base_report!D1532,"CMU",""),Base_report!D1532)))))</f>
        <v>CENTRE ANTITUBERCULEUX BOUNA</v>
      </c>
      <c r="E1546" s="14" t="str">
        <f>SUBSTITUTE(Base_report!E1532,"-","/")</f>
        <v>PNLT/SENSIBLE MEDICAMENTS ET INTRANTS</v>
      </c>
      <c r="F1546" s="14" t="s">
        <v>788</v>
      </c>
      <c r="G1546" s="16">
        <f>DATE(YEAR(SUBSTITUTE(LEFT(Base_report!F1532,10),"-","/")),MONTH(SUBSTITUTE(LEFT(Base_report!F1532,10),"-","/")),DAY(SUBSTITUTE(LEFT(Base_report!F1532,10),"-","/")))</f>
        <v>45299</v>
      </c>
      <c r="H1546" s="16">
        <f>DATE(YEAR(SUBSTITUTE(LEFT(Base_report!G1532,10),"-","/")),MONTH(SUBSTITUTE(LEFT(Base_report!G1532,10),"-","/")),DAY(SUBSTITUTE(LEFT(Base_report!G1532,10),"-","/")))</f>
        <v>45299</v>
      </c>
      <c r="I1546" s="17" t="str">
        <f t="shared" si="1"/>
        <v>OUI</v>
      </c>
      <c r="J1546" s="18">
        <f>IF(L1546="DS",DATE(RIGHT(B1546,4),VLOOKUP(LEFT(B1546,LEN(B1546)-5),Feuil1!$E$3:$F$19,2,FALSE)+1,10),DATE(RIGHT(B1546,4),VLOOKUP(LEFT(B1546,LEN(B1546)-5),Feuil1!$E$3:$F$19,2,FALSE)+1,7))</f>
        <v>45298</v>
      </c>
      <c r="K1546" s="19">
        <f t="shared" si="2"/>
        <v>0</v>
      </c>
      <c r="L1546" s="6" t="str">
        <f t="shared" si="3"/>
        <v>FS</v>
      </c>
    </row>
    <row r="1547" ht="14.25" customHeight="1">
      <c r="A1547" s="14" t="str">
        <f>Base_report!A1533</f>
        <v>NAWA</v>
      </c>
      <c r="B1547" s="14" t="str">
        <f>Base_report!B1533</f>
        <v>OCTOBRE DECEMBRE 2023</v>
      </c>
      <c r="C1547" s="15" t="str">
        <f>Base_report!C1533</f>
        <v>C2015</v>
      </c>
      <c r="D1547" s="14" t="str">
        <f>TRIM(IF(ISNUMBER(FIND("PNSME",Base_report!D1533,1)),SUBSTITUTE(Base_report!D1533,"PNSME",""),IF(ISNUMBER(FIND("PHG",Base_report!D1533,1)),SUBSTITUTE(Base_report!D1533,"PHG",""),IF(ISNUMBER(FIND("PCS",Base_report!D1533,1)),SUBSTITUTE(Base_report!D1533,"PCS",""),IF(ISNUMBER(FIND("CMU",Base_report!D1533,1)),SUBSTITUTE(Base_report!D1533,"CMU",""),Base_report!D1533)))))</f>
        <v>CSU GRAND ZATTRY</v>
      </c>
      <c r="E1547" s="14" t="str">
        <f>SUBSTITUTE(Base_report!E1533,"-","/")</f>
        <v>PNLT/SENSIBLE MEDICAMENTS ET INTRANTS</v>
      </c>
      <c r="F1547" s="14" t="s">
        <v>788</v>
      </c>
      <c r="G1547" s="16">
        <f>DATE(YEAR(SUBSTITUTE(LEFT(Base_report!F1533,10),"-","/")),MONTH(SUBSTITUTE(LEFT(Base_report!F1533,10),"-","/")),DAY(SUBSTITUTE(LEFT(Base_report!F1533,10),"-","/")))</f>
        <v>45295</v>
      </c>
      <c r="H1547" s="16">
        <f>DATE(YEAR(SUBSTITUTE(LEFT(Base_report!G1533,10),"-","/")),MONTH(SUBSTITUTE(LEFT(Base_report!G1533,10),"-","/")),DAY(SUBSTITUTE(LEFT(Base_report!G1533,10),"-","/")))</f>
        <v>45295</v>
      </c>
      <c r="I1547" s="17" t="str">
        <f t="shared" si="1"/>
        <v>OUI</v>
      </c>
      <c r="J1547" s="18">
        <f>IF(L1547="DS",DATE(RIGHT(B1547,4),VLOOKUP(LEFT(B1547,LEN(B1547)-5),Feuil1!$E$3:$F$19,2,FALSE)+1,10),DATE(RIGHT(B1547,4),VLOOKUP(LEFT(B1547,LEN(B1547)-5),Feuil1!$E$3:$F$19,2,FALSE)+1,7))</f>
        <v>45298</v>
      </c>
      <c r="K1547" s="19">
        <f t="shared" si="2"/>
        <v>1</v>
      </c>
      <c r="L1547" s="6" t="str">
        <f t="shared" si="3"/>
        <v>FS</v>
      </c>
    </row>
    <row r="1548" ht="14.25" customHeight="1">
      <c r="A1548" s="14" t="str">
        <f>Base_report!A1534</f>
        <v>NAWA</v>
      </c>
      <c r="B1548" s="14" t="str">
        <f>Base_report!B1534</f>
        <v>OCTOBRE DECEMBRE 2023</v>
      </c>
      <c r="C1548" s="15" t="str">
        <f>Base_report!C1534</f>
        <v>C2190</v>
      </c>
      <c r="D1548" s="14" t="str">
        <f>TRIM(IF(ISNUMBER(FIND("PNSME",Base_report!D1534,1)),SUBSTITUTE(Base_report!D1534,"PNSME",""),IF(ISNUMBER(FIND("PHG",Base_report!D1534,1)),SUBSTITUTE(Base_report!D1534,"PHG",""),IF(ISNUMBER(FIND("PCS",Base_report!D1534,1)),SUBSTITUTE(Base_report!D1534,"PCS",""),IF(ISNUMBER(FIND("CMU",Base_report!D1534,1)),SUBSTITUTE(Base_report!D1534,"CMU",""),Base_report!D1534)))))</f>
        <v>CENTRE ANTITUBERCULEUX SOUBRE</v>
      </c>
      <c r="E1548" s="14" t="str">
        <f>SUBSTITUTE(Base_report!E1534,"-","/")</f>
        <v>PNLT/SENSIBLE MEDICAMENTS ET INTRANTS</v>
      </c>
      <c r="F1548" s="14" t="s">
        <v>788</v>
      </c>
      <c r="G1548" s="16">
        <f>DATE(YEAR(SUBSTITUTE(LEFT(Base_report!F1534,10),"-","/")),MONTH(SUBSTITUTE(LEFT(Base_report!F1534,10),"-","/")),DAY(SUBSTITUTE(LEFT(Base_report!F1534,10),"-","/")))</f>
        <v>45297</v>
      </c>
      <c r="H1548" s="16">
        <f>DATE(YEAR(SUBSTITUTE(LEFT(Base_report!G1534,10),"-","/")),MONTH(SUBSTITUTE(LEFT(Base_report!G1534,10),"-","/")),DAY(SUBSTITUTE(LEFT(Base_report!G1534,10),"-","/")))</f>
        <v>45298</v>
      </c>
      <c r="I1548" s="17" t="str">
        <f t="shared" si="1"/>
        <v>OUI</v>
      </c>
      <c r="J1548" s="18">
        <f>IF(L1548="DS",DATE(RIGHT(B1548,4),VLOOKUP(LEFT(B1548,LEN(B1548)-5),Feuil1!$E$3:$F$19,2,FALSE)+1,10),DATE(RIGHT(B1548,4),VLOOKUP(LEFT(B1548,LEN(B1548)-5),Feuil1!$E$3:$F$19,2,FALSE)+1,7))</f>
        <v>45298</v>
      </c>
      <c r="K1548" s="19">
        <f t="shared" si="2"/>
        <v>1</v>
      </c>
      <c r="L1548" s="6" t="str">
        <f t="shared" si="3"/>
        <v>FS</v>
      </c>
    </row>
    <row r="1549" ht="14.25" customHeight="1">
      <c r="A1549" s="14" t="str">
        <f>Base_report!A1535</f>
        <v>NAWA</v>
      </c>
      <c r="B1549" s="14" t="str">
        <f>Base_report!B1535</f>
        <v>OCTOBRE DECEMBRE 2023</v>
      </c>
      <c r="C1549" s="15" t="str">
        <f>Base_report!C1535</f>
        <v>C2190</v>
      </c>
      <c r="D1549" s="14" t="str">
        <f>TRIM(IF(ISNUMBER(FIND("PNSME",Base_report!D1535,1)),SUBSTITUTE(Base_report!D1535,"PNSME",""),IF(ISNUMBER(FIND("PHG",Base_report!D1535,1)),SUBSTITUTE(Base_report!D1535,"PHG",""),IF(ISNUMBER(FIND("PCS",Base_report!D1535,1)),SUBSTITUTE(Base_report!D1535,"PCS",""),IF(ISNUMBER(FIND("CMU",Base_report!D1535,1)),SUBSTITUTE(Base_report!D1535,"CMU",""),Base_report!D1535)))))</f>
        <v>CENTRE ANTITUBERCULEUX SOUBRE</v>
      </c>
      <c r="E1549" s="14" t="str">
        <f>SUBSTITUTE(Base_report!E1535,"-","/")</f>
        <v>PNLT/PRODUITS DE LABORATOIRE</v>
      </c>
      <c r="F1549" s="14" t="s">
        <v>788</v>
      </c>
      <c r="G1549" s="16">
        <f>DATE(YEAR(SUBSTITUTE(LEFT(Base_report!F1535,10),"-","/")),MONTH(SUBSTITUTE(LEFT(Base_report!F1535,10),"-","/")),DAY(SUBSTITUTE(LEFT(Base_report!F1535,10),"-","/")))</f>
        <v>45298</v>
      </c>
      <c r="H1549" s="16">
        <f>DATE(YEAR(SUBSTITUTE(LEFT(Base_report!G1535,10),"-","/")),MONTH(SUBSTITUTE(LEFT(Base_report!G1535,10),"-","/")),DAY(SUBSTITUTE(LEFT(Base_report!G1535,10),"-","/")))</f>
        <v>45298</v>
      </c>
      <c r="I1549" s="17" t="str">
        <f t="shared" si="1"/>
        <v>OUI</v>
      </c>
      <c r="J1549" s="18">
        <f>IF(L1549="DS",DATE(RIGHT(B1549,4),VLOOKUP(LEFT(B1549,LEN(B1549)-5),Feuil1!$E$3:$F$19,2,FALSE)+1,10),DATE(RIGHT(B1549,4),VLOOKUP(LEFT(B1549,LEN(B1549)-5),Feuil1!$E$3:$F$19,2,FALSE)+1,7))</f>
        <v>45298</v>
      </c>
      <c r="K1549" s="19">
        <f t="shared" si="2"/>
        <v>1</v>
      </c>
      <c r="L1549" s="6" t="str">
        <f t="shared" si="3"/>
        <v>FS</v>
      </c>
    </row>
    <row r="1550" ht="14.25" customHeight="1">
      <c r="A1550" s="14" t="str">
        <f>Base_report!A1536</f>
        <v>HAUT-SASSANDRA</v>
      </c>
      <c r="B1550" s="14" t="str">
        <f>Base_report!B1536</f>
        <v>OCTOBRE DECEMBRE 2023</v>
      </c>
      <c r="C1550" s="15" t="str">
        <f>Base_report!C1536</f>
        <v>C2172</v>
      </c>
      <c r="D1550" s="14" t="str">
        <f>TRIM(IF(ISNUMBER(FIND("PNSME",Base_report!D1536,1)),SUBSTITUTE(Base_report!D1536,"PNSME",""),IF(ISNUMBER(FIND("PHG",Base_report!D1536,1)),SUBSTITUTE(Base_report!D1536,"PHG",""),IF(ISNUMBER(FIND("PCS",Base_report!D1536,1)),SUBSTITUTE(Base_report!D1536,"PCS",""),IF(ISNUMBER(FIND("CMU",Base_report!D1536,1)),SUBSTITUTE(Base_report!D1536,"CMU",""),Base_report!D1536)))))</f>
        <v>CENTRE ANTITUBERCULEUX DALOA</v>
      </c>
      <c r="E1550" s="14" t="str">
        <f>SUBSTITUTE(Base_report!E1536,"-","/")</f>
        <v>PNLT/SENSIBLE MEDICAMENTS ET INTRANTS</v>
      </c>
      <c r="F1550" s="14" t="s">
        <v>788</v>
      </c>
      <c r="G1550" s="16">
        <f>DATE(YEAR(SUBSTITUTE(LEFT(Base_report!F1536,10),"-","/")),MONTH(SUBSTITUTE(LEFT(Base_report!F1536,10),"-","/")),DAY(SUBSTITUTE(LEFT(Base_report!F1536,10),"-","/")))</f>
        <v>45297</v>
      </c>
      <c r="H1550" s="16">
        <f>DATE(YEAR(SUBSTITUTE(LEFT(Base_report!G1536,10),"-","/")),MONTH(SUBSTITUTE(LEFT(Base_report!G1536,10),"-","/")),DAY(SUBSTITUTE(LEFT(Base_report!G1536,10),"-","/")))</f>
        <v>45297</v>
      </c>
      <c r="I1550" s="17" t="str">
        <f t="shared" si="1"/>
        <v>OUI</v>
      </c>
      <c r="J1550" s="18">
        <f>IF(L1550="DS",DATE(RIGHT(B1550,4),VLOOKUP(LEFT(B1550,LEN(B1550)-5),Feuil1!$E$3:$F$19,2,FALSE)+1,10),DATE(RIGHT(B1550,4),VLOOKUP(LEFT(B1550,LEN(B1550)-5),Feuil1!$E$3:$F$19,2,FALSE)+1,7))</f>
        <v>45298</v>
      </c>
      <c r="K1550" s="19">
        <f t="shared" si="2"/>
        <v>1</v>
      </c>
      <c r="L1550" s="6" t="str">
        <f t="shared" si="3"/>
        <v>FS</v>
      </c>
    </row>
    <row r="1551" ht="14.25" customHeight="1">
      <c r="A1551" s="14" t="str">
        <f>Base_report!A1537</f>
        <v>BELIER</v>
      </c>
      <c r="B1551" s="14" t="str">
        <f>Base_report!B1537</f>
        <v>OCTOBRE DECEMBRE 2023</v>
      </c>
      <c r="C1551" s="15" t="str">
        <f>Base_report!C1537</f>
        <v>C2038</v>
      </c>
      <c r="D1551" s="14" t="str">
        <f>TRIM(IF(ISNUMBER(FIND("PNSME",Base_report!D1537,1)),SUBSTITUTE(Base_report!D1537,"PNSME",""),IF(ISNUMBER(FIND("PHG",Base_report!D1537,1)),SUBSTITUTE(Base_report!D1537,"PHG",""),IF(ISNUMBER(FIND("PCS",Base_report!D1537,1)),SUBSTITUTE(Base_report!D1537,"PCS",""),IF(ISNUMBER(FIND("CMU",Base_report!D1537,1)),SUBSTITUTE(Base_report!D1537,"CMU",""),Base_report!D1537)))))</f>
        <v>DISTRICT SANITAIRE TOUMODI</v>
      </c>
      <c r="E1551" s="14" t="str">
        <f>SUBSTITUTE(Base_report!E1537,"-","/")</f>
        <v>PNLT/SENSIBLE MEDICAMENTS ET INTRANTS</v>
      </c>
      <c r="F1551" s="14" t="s">
        <v>788</v>
      </c>
      <c r="G1551" s="16">
        <f>DATE(YEAR(SUBSTITUTE(LEFT(Base_report!F1537,10),"-","/")),MONTH(SUBSTITUTE(LEFT(Base_report!F1537,10),"-","/")),DAY(SUBSTITUTE(LEFT(Base_report!F1537,10),"-","/")))</f>
        <v>45301</v>
      </c>
      <c r="H1551" s="16">
        <f>DATE(YEAR(SUBSTITUTE(LEFT(Base_report!G1537,10),"-","/")),MONTH(SUBSTITUTE(LEFT(Base_report!G1537,10),"-","/")),DAY(SUBSTITUTE(LEFT(Base_report!G1537,10),"-","/")))</f>
        <v>45301</v>
      </c>
      <c r="I1551" s="17" t="str">
        <f t="shared" si="1"/>
        <v>OUI</v>
      </c>
      <c r="J1551" s="18">
        <f>IF(L1551="DS",DATE(RIGHT(B1551,4),VLOOKUP(LEFT(B1551,LEN(B1551)-5),Feuil1!$E$3:$F$19,2,FALSE)+1,10),DATE(RIGHT(B1551,4),VLOOKUP(LEFT(B1551,LEN(B1551)-5),Feuil1!$E$3:$F$19,2,FALSE)+1,7))</f>
        <v>45301</v>
      </c>
      <c r="K1551" s="19">
        <f t="shared" si="2"/>
        <v>1</v>
      </c>
      <c r="L1551" s="6" t="str">
        <f t="shared" si="3"/>
        <v>DS</v>
      </c>
    </row>
    <row r="1552" ht="14.25" customHeight="1">
      <c r="A1552" s="14" t="str">
        <f>Base_report!A1538</f>
        <v>ABIDJAN 2</v>
      </c>
      <c r="B1552" s="14" t="str">
        <f>Base_report!B1538</f>
        <v>OCTOBRE DECEMBRE 2023</v>
      </c>
      <c r="C1552" s="15" t="str">
        <f>Base_report!C1538</f>
        <v>C1407</v>
      </c>
      <c r="D1552" s="14" t="str">
        <f>TRIM(IF(ISNUMBER(FIND("PNSME",Base_report!D1538,1)),SUBSTITUTE(Base_report!D1538,"PNSME",""),IF(ISNUMBER(FIND("PHG",Base_report!D1538,1)),SUBSTITUTE(Base_report!D1538,"PHG",""),IF(ISNUMBER(FIND("PCS",Base_report!D1538,1)),SUBSTITUTE(Base_report!D1538,"PCS",""),IF(ISNUMBER(FIND("CMU",Base_report!D1538,1)),SUBSTITUTE(Base_report!D1538,"CMU",""),Base_report!D1538)))))</f>
        <v>CIRBA</v>
      </c>
      <c r="E1552" s="14" t="str">
        <f>SUBSTITUTE(Base_report!E1538,"-","/")</f>
        <v>PNLT/SENSIBLE MEDICAMENTS ET INTRANTS</v>
      </c>
      <c r="F1552" s="14" t="s">
        <v>788</v>
      </c>
      <c r="G1552" s="16">
        <f>DATE(YEAR(SUBSTITUTE(LEFT(Base_report!F1538,10),"-","/")),MONTH(SUBSTITUTE(LEFT(Base_report!F1538,10),"-","/")),DAY(SUBSTITUTE(LEFT(Base_report!F1538,10),"-","/")))</f>
        <v>45282</v>
      </c>
      <c r="H1552" s="16">
        <f>DATE(YEAR(SUBSTITUTE(LEFT(Base_report!G1538,10),"-","/")),MONTH(SUBSTITUTE(LEFT(Base_report!G1538,10),"-","/")),DAY(SUBSTITUTE(LEFT(Base_report!G1538,10),"-","/")))</f>
        <v>45295</v>
      </c>
      <c r="I1552" s="17" t="str">
        <f t="shared" si="1"/>
        <v>OUI</v>
      </c>
      <c r="J1552" s="18">
        <f>IF(L1552="DS",DATE(RIGHT(B1552,4),VLOOKUP(LEFT(B1552,LEN(B1552)-5),Feuil1!$E$3:$F$19,2,FALSE)+1,10),DATE(RIGHT(B1552,4),VLOOKUP(LEFT(B1552,LEN(B1552)-5),Feuil1!$E$3:$F$19,2,FALSE)+1,7))</f>
        <v>45298</v>
      </c>
      <c r="K1552" s="19">
        <f t="shared" si="2"/>
        <v>1</v>
      </c>
      <c r="L1552" s="6" t="str">
        <f t="shared" si="3"/>
        <v>FS</v>
      </c>
    </row>
    <row r="1553" ht="14.25" customHeight="1">
      <c r="A1553" s="14" t="str">
        <f>Base_report!A1539</f>
        <v>GOH</v>
      </c>
      <c r="B1553" s="14" t="str">
        <f>Base_report!B1539</f>
        <v>OCTOBRE DECEMBRE 2023</v>
      </c>
      <c r="C1553" s="15" t="str">
        <f>Base_report!C1539</f>
        <v>C2017</v>
      </c>
      <c r="D1553" s="14" t="str">
        <f>TRIM(IF(ISNUMBER(FIND("PNSME",Base_report!D1539,1)),SUBSTITUTE(Base_report!D1539,"PNSME",""),IF(ISNUMBER(FIND("PHG",Base_report!D1539,1)),SUBSTITUTE(Base_report!D1539,"PHG",""),IF(ISNUMBER(FIND("PCS",Base_report!D1539,1)),SUBSTITUTE(Base_report!D1539,"PCS",""),IF(ISNUMBER(FIND("CMU",Base_report!D1539,1)),SUBSTITUTE(Base_report!D1539,"CMU",""),Base_report!D1539)))))</f>
        <v>CSU OURAGAHIO</v>
      </c>
      <c r="E1553" s="14" t="str">
        <f>SUBSTITUTE(Base_report!E1539,"-","/")</f>
        <v>PNLT/SENSIBLE MEDICAMENTS ET INTRANTS</v>
      </c>
      <c r="F1553" s="14" t="s">
        <v>788</v>
      </c>
      <c r="G1553" s="16">
        <f>DATE(YEAR(SUBSTITUTE(LEFT(Base_report!F1539,10),"-","/")),MONTH(SUBSTITUTE(LEFT(Base_report!F1539,10),"-","/")),DAY(SUBSTITUTE(LEFT(Base_report!F1539,10),"-","/")))</f>
        <v>45295</v>
      </c>
      <c r="H1553" s="16">
        <f>DATE(YEAR(SUBSTITUTE(LEFT(Base_report!G1539,10),"-","/")),MONTH(SUBSTITUTE(LEFT(Base_report!G1539,10),"-","/")),DAY(SUBSTITUTE(LEFT(Base_report!G1539,10),"-","/")))</f>
        <v>45299</v>
      </c>
      <c r="I1553" s="17" t="str">
        <f t="shared" si="1"/>
        <v>OUI</v>
      </c>
      <c r="J1553" s="18">
        <f>IF(L1553="DS",DATE(RIGHT(B1553,4),VLOOKUP(LEFT(B1553,LEN(B1553)-5),Feuil1!$E$3:$F$19,2,FALSE)+1,10),DATE(RIGHT(B1553,4),VLOOKUP(LEFT(B1553,LEN(B1553)-5),Feuil1!$E$3:$F$19,2,FALSE)+1,7))</f>
        <v>45298</v>
      </c>
      <c r="K1553" s="19">
        <f t="shared" si="2"/>
        <v>0</v>
      </c>
      <c r="L1553" s="6" t="str">
        <f t="shared" si="3"/>
        <v>FS</v>
      </c>
    </row>
    <row r="1554" ht="14.25" customHeight="1">
      <c r="A1554" s="14" t="str">
        <f>Base_report!A1540</f>
        <v>SUD-COMOE</v>
      </c>
      <c r="B1554" s="14" t="str">
        <f>Base_report!B1540</f>
        <v>OCTOBRE DECEMBRE 2023</v>
      </c>
      <c r="C1554" s="15" t="str">
        <f>Base_report!C1540</f>
        <v>C1043</v>
      </c>
      <c r="D1554" s="14" t="str">
        <f>TRIM(IF(ISNUMBER(FIND("PNSME",Base_report!D1540,1)),SUBSTITUTE(Base_report!D1540,"PNSME",""),IF(ISNUMBER(FIND("PHG",Base_report!D1540,1)),SUBSTITUTE(Base_report!D1540,"PHG",""),IF(ISNUMBER(FIND("PCS",Base_report!D1540,1)),SUBSTITUTE(Base_report!D1540,"PCS",""),IF(ISNUMBER(FIND("CMU",Base_report!D1540,1)),SUBSTITUTE(Base_report!D1540,"CMU",""),Base_report!D1540)))))</f>
        <v>DISTRICT SANITAIRE ABOISSO</v>
      </c>
      <c r="E1554" s="14" t="str">
        <f>SUBSTITUTE(Base_report!E1540,"-","/")</f>
        <v>PNLT/SENSIBLE MEDICAMENTS ET INTRANTS</v>
      </c>
      <c r="F1554" s="14" t="s">
        <v>788</v>
      </c>
      <c r="G1554" s="16">
        <f>DATE(YEAR(SUBSTITUTE(LEFT(Base_report!F1540,10),"-","/")),MONTH(SUBSTITUTE(LEFT(Base_report!F1540,10),"-","/")),DAY(SUBSTITUTE(LEFT(Base_report!F1540,10),"-","/")))</f>
        <v>45300</v>
      </c>
      <c r="H1554" s="16">
        <f>DATE(YEAR(SUBSTITUTE(LEFT(Base_report!G1540,10),"-","/")),MONTH(SUBSTITUTE(LEFT(Base_report!G1540,10),"-","/")),DAY(SUBSTITUTE(LEFT(Base_report!G1540,10),"-","/")))</f>
        <v>45302</v>
      </c>
      <c r="I1554" s="17" t="str">
        <f t="shared" si="1"/>
        <v>OUI</v>
      </c>
      <c r="J1554" s="18">
        <f>IF(L1554="DS",DATE(RIGHT(B1554,4),VLOOKUP(LEFT(B1554,LEN(B1554)-5),Feuil1!$E$3:$F$19,2,FALSE)+1,10),DATE(RIGHT(B1554,4),VLOOKUP(LEFT(B1554,LEN(B1554)-5),Feuil1!$E$3:$F$19,2,FALSE)+1,7))</f>
        <v>45301</v>
      </c>
      <c r="K1554" s="19">
        <f t="shared" si="2"/>
        <v>0</v>
      </c>
      <c r="L1554" s="6" t="str">
        <f t="shared" si="3"/>
        <v>DS</v>
      </c>
    </row>
    <row r="1555" ht="14.25" customHeight="1">
      <c r="A1555" s="14" t="str">
        <f>Base_report!A1541</f>
        <v>MORONOU</v>
      </c>
      <c r="B1555" s="14" t="str">
        <f>Base_report!B1541</f>
        <v>OCTOBRE DECEMBRE 2023</v>
      </c>
      <c r="C1555" s="15" t="str">
        <f>Base_report!C1541</f>
        <v>C4016</v>
      </c>
      <c r="D1555" s="14" t="str">
        <f>TRIM(IF(ISNUMBER(FIND("PNSME",Base_report!D1541,1)),SUBSTITUTE(Base_report!D1541,"PNSME",""),IF(ISNUMBER(FIND("PHG",Base_report!D1541,1)),SUBSTITUTE(Base_report!D1541,"PHG",""),IF(ISNUMBER(FIND("PCS",Base_report!D1541,1)),SUBSTITUTE(Base_report!D1541,"PCS",""),IF(ISNUMBER(FIND("CMU",Base_report!D1541,1)),SUBSTITUTE(Base_report!D1541,"CMU",""),Base_report!D1541)))))</f>
        <v>HOPITAL GENERAL ARRAH</v>
      </c>
      <c r="E1555" s="14" t="str">
        <f>SUBSTITUTE(Base_report!E1541,"-","/")</f>
        <v>PNLT/SENSIBLE MEDICAMENTS ET INTRANTS</v>
      </c>
      <c r="F1555" s="14" t="s">
        <v>788</v>
      </c>
      <c r="G1555" s="16">
        <f>DATE(YEAR(SUBSTITUTE(LEFT(Base_report!F1541,10),"-","/")),MONTH(SUBSTITUTE(LEFT(Base_report!F1541,10),"-","/")),DAY(SUBSTITUTE(LEFT(Base_report!F1541,10),"-","/")))</f>
        <v>45295</v>
      </c>
      <c r="H1555" s="16">
        <f>DATE(YEAR(SUBSTITUTE(LEFT(Base_report!G1541,10),"-","/")),MONTH(SUBSTITUTE(LEFT(Base_report!G1541,10),"-","/")),DAY(SUBSTITUTE(LEFT(Base_report!G1541,10),"-","/")))</f>
        <v>45296</v>
      </c>
      <c r="I1555" s="17" t="str">
        <f t="shared" si="1"/>
        <v>OUI</v>
      </c>
      <c r="J1555" s="18">
        <f>IF(L1555="DS",DATE(RIGHT(B1555,4),VLOOKUP(LEFT(B1555,LEN(B1555)-5),Feuil1!$E$3:$F$19,2,FALSE)+1,10),DATE(RIGHT(B1555,4),VLOOKUP(LEFT(B1555,LEN(B1555)-5),Feuil1!$E$3:$F$19,2,FALSE)+1,7))</f>
        <v>45298</v>
      </c>
      <c r="K1555" s="19">
        <f t="shared" si="2"/>
        <v>1</v>
      </c>
      <c r="L1555" s="6" t="str">
        <f t="shared" si="3"/>
        <v>FS</v>
      </c>
    </row>
    <row r="1556" ht="14.25" customHeight="1">
      <c r="A1556" s="14" t="str">
        <f>Base_report!A1542</f>
        <v>KABADOUGOU</v>
      </c>
      <c r="B1556" s="14" t="str">
        <f>Base_report!B1542</f>
        <v>OCTOBRE DECEMBRE 2023</v>
      </c>
      <c r="C1556" s="15" t="str">
        <f>Base_report!C1542</f>
        <v>C5077</v>
      </c>
      <c r="D1556" s="14" t="str">
        <f>TRIM(IF(ISNUMBER(FIND("PNSME",Base_report!D1542,1)),SUBSTITUTE(Base_report!D1542,"PNSME",""),IF(ISNUMBER(FIND("PHG",Base_report!D1542,1)),SUBSTITUTE(Base_report!D1542,"PHG",""),IF(ISNUMBER(FIND("PCS",Base_report!D1542,1)),SUBSTITUTE(Base_report!D1542,"PCS",""),IF(ISNUMBER(FIND("CMU",Base_report!D1542,1)),SUBSTITUTE(Base_report!D1542,"CMU",""),Base_report!D1542)))))</f>
        <v>HOPITAL GENERAL SEGUELON</v>
      </c>
      <c r="E1556" s="14" t="str">
        <f>SUBSTITUTE(Base_report!E1542,"-","/")</f>
        <v>PNLT/SENSIBLE MEDICAMENTS ET INTRANTS</v>
      </c>
      <c r="F1556" s="14" t="s">
        <v>788</v>
      </c>
      <c r="G1556" s="16">
        <f>DATE(YEAR(SUBSTITUTE(LEFT(Base_report!F1542,10),"-","/")),MONTH(SUBSTITUTE(LEFT(Base_report!F1542,10),"-","/")),DAY(SUBSTITUTE(LEFT(Base_report!F1542,10),"-","/")))</f>
        <v>45232</v>
      </c>
      <c r="H1556" s="16">
        <f>DATE(YEAR(SUBSTITUTE(LEFT(Base_report!G1542,10),"-","/")),MONTH(SUBSTITUTE(LEFT(Base_report!G1542,10),"-","/")),DAY(SUBSTITUTE(LEFT(Base_report!G1542,10),"-","/")))</f>
        <v>45296</v>
      </c>
      <c r="I1556" s="17" t="str">
        <f t="shared" si="1"/>
        <v>OUI</v>
      </c>
      <c r="J1556" s="18">
        <f>IF(L1556="DS",DATE(RIGHT(B1556,4),VLOOKUP(LEFT(B1556,LEN(B1556)-5),Feuil1!$E$3:$F$19,2,FALSE)+1,10),DATE(RIGHT(B1556,4),VLOOKUP(LEFT(B1556,LEN(B1556)-5),Feuil1!$E$3:$F$19,2,FALSE)+1,7))</f>
        <v>45298</v>
      </c>
      <c r="K1556" s="19">
        <f t="shared" si="2"/>
        <v>1</v>
      </c>
      <c r="L1556" s="6" t="str">
        <f t="shared" si="3"/>
        <v>FS</v>
      </c>
    </row>
    <row r="1557" ht="14.25" customHeight="1">
      <c r="A1557" s="14" t="str">
        <f>Base_report!A1543</f>
        <v>BOUNKANI</v>
      </c>
      <c r="B1557" s="14" t="str">
        <f>Base_report!B1543</f>
        <v>OCTOBRE DECEMBRE 2023</v>
      </c>
      <c r="C1557" s="15" t="str">
        <f>Base_report!C1543</f>
        <v>C4003</v>
      </c>
      <c r="D1557" s="14" t="str">
        <f>TRIM(IF(ISNUMBER(FIND("PNSME",Base_report!D1543,1)),SUBSTITUTE(Base_report!D1543,"PNSME",""),IF(ISNUMBER(FIND("PHG",Base_report!D1543,1)),SUBSTITUTE(Base_report!D1543,"PHG",""),IF(ISNUMBER(FIND("PCS",Base_report!D1543,1)),SUBSTITUTE(Base_report!D1543,"PCS",""),IF(ISNUMBER(FIND("CMU",Base_report!D1543,1)),SUBSTITUTE(Base_report!D1543,"CMU",""),Base_report!D1543)))))</f>
        <v>HOPITAL GENERAL NASSIAN</v>
      </c>
      <c r="E1557" s="14" t="str">
        <f>SUBSTITUTE(Base_report!E1543,"-","/")</f>
        <v>PNLT/SENSIBLE MEDICAMENTS ET INTRANTS</v>
      </c>
      <c r="F1557" s="14" t="s">
        <v>788</v>
      </c>
      <c r="G1557" s="16">
        <f>DATE(YEAR(SUBSTITUTE(LEFT(Base_report!F1543,10),"-","/")),MONTH(SUBSTITUTE(LEFT(Base_report!F1543,10),"-","/")),DAY(SUBSTITUTE(LEFT(Base_report!F1543,10),"-","/")))</f>
        <v>45290</v>
      </c>
      <c r="H1557" s="16">
        <f>DATE(YEAR(SUBSTITUTE(LEFT(Base_report!G1543,10),"-","/")),MONTH(SUBSTITUTE(LEFT(Base_report!G1543,10),"-","/")),DAY(SUBSTITUTE(LEFT(Base_report!G1543,10),"-","/")))</f>
        <v>45290</v>
      </c>
      <c r="I1557" s="17" t="str">
        <f t="shared" si="1"/>
        <v>OUI</v>
      </c>
      <c r="J1557" s="18">
        <f>IF(L1557="DS",DATE(RIGHT(B1557,4),VLOOKUP(LEFT(B1557,LEN(B1557)-5),Feuil1!$E$3:$F$19,2,FALSE)+1,10),DATE(RIGHT(B1557,4),VLOOKUP(LEFT(B1557,LEN(B1557)-5),Feuil1!$E$3:$F$19,2,FALSE)+1,7))</f>
        <v>45298</v>
      </c>
      <c r="K1557" s="19">
        <f t="shared" si="2"/>
        <v>1</v>
      </c>
      <c r="L1557" s="6" t="str">
        <f t="shared" si="3"/>
        <v>FS</v>
      </c>
    </row>
    <row r="1558" ht="14.25" customHeight="1">
      <c r="A1558" s="14" t="str">
        <f>Base_report!A1544</f>
        <v>BERE</v>
      </c>
      <c r="B1558" s="14" t="str">
        <f>Base_report!B1544</f>
        <v>OCTOBRE DECEMBRE 2023</v>
      </c>
      <c r="C1558" s="15" t="str">
        <f>Base_report!C1544</f>
        <v>C5084</v>
      </c>
      <c r="D1558" s="14" t="str">
        <f>TRIM(IF(ISNUMBER(FIND("PNSME",Base_report!D1544,1)),SUBSTITUTE(Base_report!D1544,"PNSME",""),IF(ISNUMBER(FIND("PHG",Base_report!D1544,1)),SUBSTITUTE(Base_report!D1544,"PHG",""),IF(ISNUMBER(FIND("PCS",Base_report!D1544,1)),SUBSTITUTE(Base_report!D1544,"PCS",""),IF(ISNUMBER(FIND("CMU",Base_report!D1544,1)),SUBSTITUTE(Base_report!D1544,"CMU",""),Base_report!D1544)))))</f>
        <v>HOPITAL GENERAL KOUNAHIRI</v>
      </c>
      <c r="E1558" s="14" t="str">
        <f>SUBSTITUTE(Base_report!E1544,"-","/")</f>
        <v>PNLT/SENSIBLE MEDICAMENTS ET INTRANTS</v>
      </c>
      <c r="F1558" s="14" t="s">
        <v>788</v>
      </c>
      <c r="G1558" s="16">
        <f>DATE(YEAR(SUBSTITUTE(LEFT(Base_report!F1544,10),"-","/")),MONTH(SUBSTITUTE(LEFT(Base_report!F1544,10),"-","/")),DAY(SUBSTITUTE(LEFT(Base_report!F1544,10),"-","/")))</f>
        <v>45296</v>
      </c>
      <c r="H1558" s="16">
        <f>DATE(YEAR(SUBSTITUTE(LEFT(Base_report!G1544,10),"-","/")),MONTH(SUBSTITUTE(LEFT(Base_report!G1544,10),"-","/")),DAY(SUBSTITUTE(LEFT(Base_report!G1544,10),"-","/")))</f>
        <v>45296</v>
      </c>
      <c r="I1558" s="17" t="str">
        <f t="shared" si="1"/>
        <v>OUI</v>
      </c>
      <c r="J1558" s="18">
        <f>IF(L1558="DS",DATE(RIGHT(B1558,4),VLOOKUP(LEFT(B1558,LEN(B1558)-5),Feuil1!$E$3:$F$19,2,FALSE)+1,10),DATE(RIGHT(B1558,4),VLOOKUP(LEFT(B1558,LEN(B1558)-5),Feuil1!$E$3:$F$19,2,FALSE)+1,7))</f>
        <v>45298</v>
      </c>
      <c r="K1558" s="19">
        <f t="shared" si="2"/>
        <v>1</v>
      </c>
      <c r="L1558" s="6" t="str">
        <f t="shared" si="3"/>
        <v>FS</v>
      </c>
    </row>
    <row r="1559" ht="14.25" customHeight="1">
      <c r="A1559" s="14" t="str">
        <f>Base_report!A1545</f>
        <v>N'ZI</v>
      </c>
      <c r="B1559" s="14" t="str">
        <f>Base_report!B1545</f>
        <v>OCTOBRE DECEMBRE 2023</v>
      </c>
      <c r="C1559" s="15" t="str">
        <f>Base_report!C1545</f>
        <v>C4087</v>
      </c>
      <c r="D1559" s="14" t="str">
        <f>TRIM(IF(ISNUMBER(FIND("PNSME",Base_report!D1545,1)),SUBSTITUTE(Base_report!D1545,"PNSME",""),IF(ISNUMBER(FIND("PHG",Base_report!D1545,1)),SUBSTITUTE(Base_report!D1545,"PHG",""),IF(ISNUMBER(FIND("PCS",Base_report!D1545,1)),SUBSTITUTE(Base_report!D1545,"PCS",""),IF(ISNUMBER(FIND("CMU",Base_report!D1545,1)),SUBSTITUTE(Base_report!D1545,"CMU",""),Base_report!D1545)))))</f>
        <v>HOPITAL GENERAL KOUASSI-KOUASSIKRO</v>
      </c>
      <c r="E1559" s="14" t="str">
        <f>SUBSTITUTE(Base_report!E1545,"-","/")</f>
        <v>PNLT/SENSIBLE MEDICAMENTS ET INTRANTS</v>
      </c>
      <c r="F1559" s="14" t="s">
        <v>788</v>
      </c>
      <c r="G1559" s="16">
        <f>DATE(YEAR(SUBSTITUTE(LEFT(Base_report!F1545,10),"-","/")),MONTH(SUBSTITUTE(LEFT(Base_report!F1545,10),"-","/")),DAY(SUBSTITUTE(LEFT(Base_report!F1545,10),"-","/")))</f>
        <v>45296</v>
      </c>
      <c r="H1559" s="16">
        <f>DATE(YEAR(SUBSTITUTE(LEFT(Base_report!G1545,10),"-","/")),MONTH(SUBSTITUTE(LEFT(Base_report!G1545,10),"-","/")),DAY(SUBSTITUTE(LEFT(Base_report!G1545,10),"-","/")))</f>
        <v>45297</v>
      </c>
      <c r="I1559" s="17" t="str">
        <f t="shared" si="1"/>
        <v>OUI</v>
      </c>
      <c r="J1559" s="18">
        <f>IF(L1559="DS",DATE(RIGHT(B1559,4),VLOOKUP(LEFT(B1559,LEN(B1559)-5),Feuil1!$E$3:$F$19,2,FALSE)+1,10),DATE(RIGHT(B1559,4),VLOOKUP(LEFT(B1559,LEN(B1559)-5),Feuil1!$E$3:$F$19,2,FALSE)+1,7))</f>
        <v>45298</v>
      </c>
      <c r="K1559" s="19">
        <f t="shared" si="2"/>
        <v>1</v>
      </c>
      <c r="L1559" s="6" t="str">
        <f t="shared" si="3"/>
        <v>FS</v>
      </c>
    </row>
    <row r="1560" ht="14.25" customHeight="1">
      <c r="A1560" s="14" t="str">
        <f>Base_report!A1546</f>
        <v>ABIDJAN 2</v>
      </c>
      <c r="B1560" s="14" t="str">
        <f>Base_report!B1546</f>
        <v>OCTOBRE DECEMBRE 2023</v>
      </c>
      <c r="C1560" s="15" t="str">
        <f>Base_report!C1546</f>
        <v>C1005</v>
      </c>
      <c r="D1560" s="14" t="str">
        <f>TRIM(IF(ISNUMBER(FIND("PNSME",Base_report!D1546,1)),SUBSTITUTE(Base_report!D1546,"PNSME",""),IF(ISNUMBER(FIND("PHG",Base_report!D1546,1)),SUBSTITUTE(Base_report!D1546,"PHG",""),IF(ISNUMBER(FIND("PCS",Base_report!D1546,1)),SUBSTITUTE(Base_report!D1546,"PCS",""),IF(ISNUMBER(FIND("CMU",Base_report!D1546,1)),SUBSTITUTE(Base_report!D1546,"CMU",""),Base_report!D1546)))))</f>
        <v>CHU COCODY</v>
      </c>
      <c r="E1560" s="14" t="str">
        <f>SUBSTITUTE(Base_report!E1546,"-","/")</f>
        <v>PNLT/MULTI RESISTANTE MEDICAMENTS ET INTRANTS</v>
      </c>
      <c r="F1560" s="14" t="s">
        <v>788</v>
      </c>
      <c r="G1560" s="16">
        <f>DATE(YEAR(SUBSTITUTE(LEFT(Base_report!F1546,10),"-","/")),MONTH(SUBSTITUTE(LEFT(Base_report!F1546,10),"-","/")),DAY(SUBSTITUTE(LEFT(Base_report!F1546,10),"-","/")))</f>
        <v>45298</v>
      </c>
      <c r="H1560" s="16">
        <f>DATE(YEAR(SUBSTITUTE(LEFT(Base_report!G1546,10),"-","/")),MONTH(SUBSTITUTE(LEFT(Base_report!G1546,10),"-","/")),DAY(SUBSTITUTE(LEFT(Base_report!G1546,10),"-","/")))</f>
        <v>45299</v>
      </c>
      <c r="I1560" s="17" t="str">
        <f t="shared" si="1"/>
        <v>OUI</v>
      </c>
      <c r="J1560" s="18">
        <f>IF(L1560="DS",DATE(RIGHT(B1560,4),VLOOKUP(LEFT(B1560,LEN(B1560)-5),Feuil1!$E$3:$F$19,2,FALSE)+1,10),DATE(RIGHT(B1560,4),VLOOKUP(LEFT(B1560,LEN(B1560)-5),Feuil1!$E$3:$F$19,2,FALSE)+1,7))</f>
        <v>45298</v>
      </c>
      <c r="K1560" s="19">
        <f t="shared" si="2"/>
        <v>0</v>
      </c>
      <c r="L1560" s="6" t="str">
        <f t="shared" si="3"/>
        <v>FS</v>
      </c>
    </row>
    <row r="1561" ht="14.25" customHeight="1">
      <c r="A1561" s="14" t="str">
        <f>Base_report!A1547</f>
        <v>FOLON</v>
      </c>
      <c r="B1561" s="14" t="str">
        <f>Base_report!B1547</f>
        <v>OCTOBRE DECEMBRE 2023</v>
      </c>
      <c r="C1561" s="15" t="str">
        <f>Base_report!C1547</f>
        <v>C5074</v>
      </c>
      <c r="D1561" s="14" t="str">
        <f>TRIM(IF(ISNUMBER(FIND("PNSME",Base_report!D1547,1)),SUBSTITUTE(Base_report!D1547,"PNSME",""),IF(ISNUMBER(FIND("PHG",Base_report!D1547,1)),SUBSTITUTE(Base_report!D1547,"PHG",""),IF(ISNUMBER(FIND("PCS",Base_report!D1547,1)),SUBSTITUTE(Base_report!D1547,"PCS",""),IF(ISNUMBER(FIND("CMU",Base_report!D1547,1)),SUBSTITUTE(Base_report!D1547,"CMU",""),Base_report!D1547)))))</f>
        <v>HOPITAL GENERAL KANIASSO</v>
      </c>
      <c r="E1561" s="14" t="str">
        <f>SUBSTITUTE(Base_report!E1547,"-","/")</f>
        <v>PNLT/PRODUITS DE LABORATOIRE</v>
      </c>
      <c r="F1561" s="14" t="s">
        <v>788</v>
      </c>
      <c r="G1561" s="16">
        <f>DATE(YEAR(SUBSTITUTE(LEFT(Base_report!F1547,10),"-","/")),MONTH(SUBSTITUTE(LEFT(Base_report!F1547,10),"-","/")),DAY(SUBSTITUTE(LEFT(Base_report!F1547,10),"-","/")))</f>
        <v>45297</v>
      </c>
      <c r="H1561" s="16">
        <f>DATE(YEAR(SUBSTITUTE(LEFT(Base_report!G1547,10),"-","/")),MONTH(SUBSTITUTE(LEFT(Base_report!G1547,10),"-","/")),DAY(SUBSTITUTE(LEFT(Base_report!G1547,10),"-","/")))</f>
        <v>45297</v>
      </c>
      <c r="I1561" s="17" t="str">
        <f t="shared" si="1"/>
        <v>OUI</v>
      </c>
      <c r="J1561" s="18">
        <f>IF(L1561="DS",DATE(RIGHT(B1561,4),VLOOKUP(LEFT(B1561,LEN(B1561)-5),Feuil1!$E$3:$F$19,2,FALSE)+1,10),DATE(RIGHT(B1561,4),VLOOKUP(LEFT(B1561,LEN(B1561)-5),Feuil1!$E$3:$F$19,2,FALSE)+1,7))</f>
        <v>45298</v>
      </c>
      <c r="K1561" s="19">
        <f t="shared" si="2"/>
        <v>1</v>
      </c>
      <c r="L1561" s="6" t="str">
        <f t="shared" si="3"/>
        <v>FS</v>
      </c>
    </row>
    <row r="1562" ht="14.25" customHeight="1">
      <c r="A1562" s="14" t="str">
        <f>Base_report!A1548</f>
        <v>MORONOU</v>
      </c>
      <c r="B1562" s="14" t="str">
        <f>Base_report!B1548</f>
        <v>OCTOBRE DECEMBRE 2023</v>
      </c>
      <c r="C1562" s="15" t="str">
        <f>Base_report!C1548</f>
        <v>C4009</v>
      </c>
      <c r="D1562" s="14" t="str">
        <f>TRIM(IF(ISNUMBER(FIND("PNSME",Base_report!D1548,1)),SUBSTITUTE(Base_report!D1548,"PNSME",""),IF(ISNUMBER(FIND("PHG",Base_report!D1548,1)),SUBSTITUTE(Base_report!D1548,"PHG",""),IF(ISNUMBER(FIND("PCS",Base_report!D1548,1)),SUBSTITUTE(Base_report!D1548,"PCS",""),IF(ISNUMBER(FIND("CMU",Base_report!D1548,1)),SUBSTITUTE(Base_report!D1548,"CMU",""),Base_report!D1548)))))</f>
        <v>DISTRICT SANITAIRE BONGOUANOU</v>
      </c>
      <c r="E1562" s="14" t="str">
        <f>SUBSTITUTE(Base_report!E1548,"-","/")</f>
        <v>PNLT/SENSIBLE MEDICAMENTS ET INTRANTS</v>
      </c>
      <c r="F1562" s="14" t="s">
        <v>788</v>
      </c>
      <c r="G1562" s="16">
        <f>DATE(YEAR(SUBSTITUTE(LEFT(Base_report!F1548,10),"-","/")),MONTH(SUBSTITUTE(LEFT(Base_report!F1548,10),"-","/")),DAY(SUBSTITUTE(LEFT(Base_report!F1548,10),"-","/")))</f>
        <v>45300</v>
      </c>
      <c r="H1562" s="16">
        <f>DATE(YEAR(SUBSTITUTE(LEFT(Base_report!G1548,10),"-","/")),MONTH(SUBSTITUTE(LEFT(Base_report!G1548,10),"-","/")),DAY(SUBSTITUTE(LEFT(Base_report!G1548,10),"-","/")))</f>
        <v>45301</v>
      </c>
      <c r="I1562" s="17" t="str">
        <f t="shared" si="1"/>
        <v>OUI</v>
      </c>
      <c r="J1562" s="18">
        <f>IF(L1562="DS",DATE(RIGHT(B1562,4),VLOOKUP(LEFT(B1562,LEN(B1562)-5),Feuil1!$E$3:$F$19,2,FALSE)+1,10),DATE(RIGHT(B1562,4),VLOOKUP(LEFT(B1562,LEN(B1562)-5),Feuil1!$E$3:$F$19,2,FALSE)+1,7))</f>
        <v>45301</v>
      </c>
      <c r="K1562" s="19">
        <f t="shared" si="2"/>
        <v>1</v>
      </c>
      <c r="L1562" s="6" t="str">
        <f t="shared" si="3"/>
        <v>DS</v>
      </c>
    </row>
    <row r="1563" ht="14.25" customHeight="1">
      <c r="A1563" s="14" t="str">
        <f>Base_report!A1549</f>
        <v>ME</v>
      </c>
      <c r="B1563" s="14" t="str">
        <f>Base_report!B1549</f>
        <v>OCTOBRE DECEMBRE 2023</v>
      </c>
      <c r="C1563" s="15" t="str">
        <f>Base_report!C1549</f>
        <v>C4036</v>
      </c>
      <c r="D1563" s="14" t="str">
        <f>TRIM(IF(ISNUMBER(FIND("PNSME",Base_report!D1549,1)),SUBSTITUTE(Base_report!D1549,"PNSME",""),IF(ISNUMBER(FIND("PHG",Base_report!D1549,1)),SUBSTITUTE(Base_report!D1549,"PHG",""),IF(ISNUMBER(FIND("PCS",Base_report!D1549,1)),SUBSTITUTE(Base_report!D1549,"PCS",""),IF(ISNUMBER(FIND("CMU",Base_report!D1549,1)),SUBSTITUTE(Base_report!D1549,"CMU",""),Base_report!D1549)))))</f>
        <v>DISTRICT SANITAIRE ADZOPE</v>
      </c>
      <c r="E1563" s="14" t="str">
        <f>SUBSTITUTE(Base_report!E1549,"-","/")</f>
        <v>PNLT/SENSIBLE MEDICAMENTS ET INTRANTS</v>
      </c>
      <c r="F1563" s="14" t="s">
        <v>788</v>
      </c>
      <c r="G1563" s="16">
        <f>DATE(YEAR(SUBSTITUTE(LEFT(Base_report!F1549,10),"-","/")),MONTH(SUBSTITUTE(LEFT(Base_report!F1549,10),"-","/")),DAY(SUBSTITUTE(LEFT(Base_report!F1549,10),"-","/")))</f>
        <v>45301</v>
      </c>
      <c r="H1563" s="16">
        <f>DATE(YEAR(SUBSTITUTE(LEFT(Base_report!G1549,10),"-","/")),MONTH(SUBSTITUTE(LEFT(Base_report!G1549,10),"-","/")),DAY(SUBSTITUTE(LEFT(Base_report!G1549,10),"-","/")))</f>
        <v>45301</v>
      </c>
      <c r="I1563" s="17" t="str">
        <f t="shared" si="1"/>
        <v>OUI</v>
      </c>
      <c r="J1563" s="18">
        <f>IF(L1563="DS",DATE(RIGHT(B1563,4),VLOOKUP(LEFT(B1563,LEN(B1563)-5),Feuil1!$E$3:$F$19,2,FALSE)+1,10),DATE(RIGHT(B1563,4),VLOOKUP(LEFT(B1563,LEN(B1563)-5),Feuil1!$E$3:$F$19,2,FALSE)+1,7))</f>
        <v>45301</v>
      </c>
      <c r="K1563" s="19">
        <f t="shared" si="2"/>
        <v>1</v>
      </c>
      <c r="L1563" s="6" t="str">
        <f t="shared" si="3"/>
        <v>DS</v>
      </c>
    </row>
    <row r="1564" ht="14.25" customHeight="1">
      <c r="A1564" s="14" t="str">
        <f>Base_report!A1550</f>
        <v>ABIDJAN 1</v>
      </c>
      <c r="B1564" s="14" t="str">
        <f>Base_report!B1550</f>
        <v>OCTOBRE DECEMBRE 2023</v>
      </c>
      <c r="C1564" s="15" t="str">
        <f>Base_report!C1550</f>
        <v>C1398</v>
      </c>
      <c r="D1564" s="14" t="str">
        <f>TRIM(IF(ISNUMBER(FIND("PNSME",Base_report!D1550,1)),SUBSTITUTE(Base_report!D1550,"PNSME",""),IF(ISNUMBER(FIND("PHG",Base_report!D1550,1)),SUBSTITUTE(Base_report!D1550,"PHG",""),IF(ISNUMBER(FIND("PCS",Base_report!D1550,1)),SUBSTITUTE(Base_report!D1550,"PCS",""),IF(ISNUMBER(FIND("CMU",Base_report!D1550,1)),SUBSTITUTE(Base_report!D1550,"CMU",""),Base_report!D1550)))))</f>
        <v>DISTRICT SANITAIRE ABOBO EST</v>
      </c>
      <c r="E1564" s="14" t="str">
        <f>SUBSTITUTE(Base_report!E1550,"-","/")</f>
        <v>PNLT/SENSIBLE MEDICAMENTS ET INTRANTS</v>
      </c>
      <c r="F1564" s="14" t="s">
        <v>788</v>
      </c>
      <c r="G1564" s="16">
        <f>DATE(YEAR(SUBSTITUTE(LEFT(Base_report!F1550,10),"-","/")),MONTH(SUBSTITUTE(LEFT(Base_report!F1550,10),"-","/")),DAY(SUBSTITUTE(LEFT(Base_report!F1550,10),"-","/")))</f>
        <v>45301</v>
      </c>
      <c r="H1564" s="16">
        <f>DATE(YEAR(SUBSTITUTE(LEFT(Base_report!G1550,10),"-","/")),MONTH(SUBSTITUTE(LEFT(Base_report!G1550,10),"-","/")),DAY(SUBSTITUTE(LEFT(Base_report!G1550,10),"-","/")))</f>
        <v>45301</v>
      </c>
      <c r="I1564" s="17" t="str">
        <f t="shared" si="1"/>
        <v>OUI</v>
      </c>
      <c r="J1564" s="18">
        <f>IF(L1564="DS",DATE(RIGHT(B1564,4),VLOOKUP(LEFT(B1564,LEN(B1564)-5),Feuil1!$E$3:$F$19,2,FALSE)+1,10),DATE(RIGHT(B1564,4),VLOOKUP(LEFT(B1564,LEN(B1564)-5),Feuil1!$E$3:$F$19,2,FALSE)+1,7))</f>
        <v>45301</v>
      </c>
      <c r="K1564" s="19">
        <f t="shared" si="2"/>
        <v>1</v>
      </c>
      <c r="L1564" s="6" t="str">
        <f t="shared" si="3"/>
        <v>DS</v>
      </c>
    </row>
    <row r="1565" ht="14.25" customHeight="1">
      <c r="A1565" s="14" t="str">
        <f>Base_report!A1551</f>
        <v>BERE</v>
      </c>
      <c r="B1565" s="14" t="str">
        <f>Base_report!B1551</f>
        <v>OCTOBRE DECEMBRE 2023</v>
      </c>
      <c r="C1565" s="15" t="str">
        <f>Base_report!C1551</f>
        <v>C5080</v>
      </c>
      <c r="D1565" s="14" t="str">
        <f>TRIM(IF(ISNUMBER(FIND("PNSME",Base_report!D1551,1)),SUBSTITUTE(Base_report!D1551,"PNSME",""),IF(ISNUMBER(FIND("PHG",Base_report!D1551,1)),SUBSTITUTE(Base_report!D1551,"PHG",""),IF(ISNUMBER(FIND("PCS",Base_report!D1551,1)),SUBSTITUTE(Base_report!D1551,"PCS",""),IF(ISNUMBER(FIND("CMU",Base_report!D1551,1)),SUBSTITUTE(Base_report!D1551,"CMU",""),Base_report!D1551)))))</f>
        <v>DISTRICT SANITAIRE KOUNAHIRI</v>
      </c>
      <c r="E1565" s="14" t="str">
        <f>SUBSTITUTE(Base_report!E1551,"-","/")</f>
        <v>PNLT/SENSIBLE MEDICAMENTS ET INTRANTS</v>
      </c>
      <c r="F1565" s="14" t="s">
        <v>788</v>
      </c>
      <c r="G1565" s="16">
        <f>DATE(YEAR(SUBSTITUTE(LEFT(Base_report!F1551,10),"-","/")),MONTH(SUBSTITUTE(LEFT(Base_report!F1551,10),"-","/")),DAY(SUBSTITUTE(LEFT(Base_report!F1551,10),"-","/")))</f>
        <v>45239</v>
      </c>
      <c r="H1565" s="16">
        <f>DATE(YEAR(SUBSTITUTE(LEFT(Base_report!G1551,10),"-","/")),MONTH(SUBSTITUTE(LEFT(Base_report!G1551,10),"-","/")),DAY(SUBSTITUTE(LEFT(Base_report!G1551,10),"-","/")))</f>
        <v>45270</v>
      </c>
      <c r="I1565" s="17" t="str">
        <f t="shared" si="1"/>
        <v>OUI</v>
      </c>
      <c r="J1565" s="18">
        <f>IF(L1565="DS",DATE(RIGHT(B1565,4),VLOOKUP(LEFT(B1565,LEN(B1565)-5),Feuil1!$E$3:$F$19,2,FALSE)+1,10),DATE(RIGHT(B1565,4),VLOOKUP(LEFT(B1565,LEN(B1565)-5),Feuil1!$E$3:$F$19,2,FALSE)+1,7))</f>
        <v>45301</v>
      </c>
      <c r="K1565" s="19">
        <f t="shared" si="2"/>
        <v>1</v>
      </c>
      <c r="L1565" s="6" t="str">
        <f t="shared" si="3"/>
        <v>DS</v>
      </c>
    </row>
    <row r="1566" ht="14.25" customHeight="1">
      <c r="A1566" s="14" t="str">
        <f>Base_report!A1552</f>
        <v>CAVALLY</v>
      </c>
      <c r="B1566" s="14" t="str">
        <f>Base_report!B1552</f>
        <v>OCTOBRE DECEMBRE 2023</v>
      </c>
      <c r="C1566" s="15" t="str">
        <f>Base_report!C1552</f>
        <v>C5014</v>
      </c>
      <c r="D1566" s="14" t="str">
        <f>TRIM(IF(ISNUMBER(FIND("PNSME",Base_report!D1552,1)),SUBSTITUTE(Base_report!D1552,"PNSME",""),IF(ISNUMBER(FIND("PHG",Base_report!D1552,1)),SUBSTITUTE(Base_report!D1552,"PHG",""),IF(ISNUMBER(FIND("PCS",Base_report!D1552,1)),SUBSTITUTE(Base_report!D1552,"PCS",""),IF(ISNUMBER(FIND("CMU",Base_report!D1552,1)),SUBSTITUTE(Base_report!D1552,"CMU",""),Base_report!D1552)))))</f>
        <v>DISTRICT SANITAIRE TOULEPLEU</v>
      </c>
      <c r="E1566" s="14" t="str">
        <f>SUBSTITUTE(Base_report!E1552,"-","/")</f>
        <v>PNLT/SENSIBLE MEDICAMENTS ET INTRANTS</v>
      </c>
      <c r="F1566" s="14" t="s">
        <v>788</v>
      </c>
      <c r="G1566" s="16">
        <f>DATE(YEAR(SUBSTITUTE(LEFT(Base_report!F1552,10),"-","/")),MONTH(SUBSTITUTE(LEFT(Base_report!F1552,10),"-","/")),DAY(SUBSTITUTE(LEFT(Base_report!F1552,10),"-","/")))</f>
        <v>45300</v>
      </c>
      <c r="H1566" s="16">
        <f>DATE(YEAR(SUBSTITUTE(LEFT(Base_report!G1552,10),"-","/")),MONTH(SUBSTITUTE(LEFT(Base_report!G1552,10),"-","/")),DAY(SUBSTITUTE(LEFT(Base_report!G1552,10),"-","/")))</f>
        <v>45300</v>
      </c>
      <c r="I1566" s="17" t="str">
        <f t="shared" si="1"/>
        <v>OUI</v>
      </c>
      <c r="J1566" s="18">
        <f>IF(L1566="DS",DATE(RIGHT(B1566,4),VLOOKUP(LEFT(B1566,LEN(B1566)-5),Feuil1!$E$3:$F$19,2,FALSE)+1,10),DATE(RIGHT(B1566,4),VLOOKUP(LEFT(B1566,LEN(B1566)-5),Feuil1!$E$3:$F$19,2,FALSE)+1,7))</f>
        <v>45301</v>
      </c>
      <c r="K1566" s="19">
        <f t="shared" si="2"/>
        <v>1</v>
      </c>
      <c r="L1566" s="6" t="str">
        <f t="shared" si="3"/>
        <v>DS</v>
      </c>
    </row>
    <row r="1567" ht="14.25" customHeight="1">
      <c r="A1567" s="14" t="str">
        <f>Base_report!A1553</f>
        <v>HAUT-SASSANDRA</v>
      </c>
      <c r="B1567" s="14" t="str">
        <f>Base_report!B1553</f>
        <v>OCTOBRE DECEMBRE 2023</v>
      </c>
      <c r="C1567" s="15" t="str">
        <f>Base_report!C1553</f>
        <v>C2031</v>
      </c>
      <c r="D1567" s="14" t="str">
        <f>TRIM(IF(ISNUMBER(FIND("PNSME",Base_report!D1553,1)),SUBSTITUTE(Base_report!D1553,"PNSME",""),IF(ISNUMBER(FIND("PHG",Base_report!D1553,1)),SUBSTITUTE(Base_report!D1553,"PHG",""),IF(ISNUMBER(FIND("PCS",Base_report!D1553,1)),SUBSTITUTE(Base_report!D1553,"PCS",""),IF(ISNUMBER(FIND("CMU",Base_report!D1553,1)),SUBSTITUTE(Base_report!D1553,"CMU",""),Base_report!D1553)))))</f>
        <v>DISTRICT SANITAIRE ISSIA</v>
      </c>
      <c r="E1567" s="14" t="str">
        <f>SUBSTITUTE(Base_report!E1553,"-","/")</f>
        <v>PNLT/SENSIBLE MEDICAMENTS ET INTRANTS</v>
      </c>
      <c r="F1567" s="14" t="s">
        <v>788</v>
      </c>
      <c r="G1567" s="16">
        <f>DATE(YEAR(SUBSTITUTE(LEFT(Base_report!F1553,10),"-","/")),MONTH(SUBSTITUTE(LEFT(Base_report!F1553,10),"-","/")),DAY(SUBSTITUTE(LEFT(Base_report!F1553,10),"-","/")))</f>
        <v>45301</v>
      </c>
      <c r="H1567" s="16">
        <f>DATE(YEAR(SUBSTITUTE(LEFT(Base_report!G1553,10),"-","/")),MONTH(SUBSTITUTE(LEFT(Base_report!G1553,10),"-","/")),DAY(SUBSTITUTE(LEFT(Base_report!G1553,10),"-","/")))</f>
        <v>45301</v>
      </c>
      <c r="I1567" s="17" t="str">
        <f t="shared" si="1"/>
        <v>OUI</v>
      </c>
      <c r="J1567" s="18">
        <f>IF(L1567="DS",DATE(RIGHT(B1567,4),VLOOKUP(LEFT(B1567,LEN(B1567)-5),Feuil1!$E$3:$F$19,2,FALSE)+1,10),DATE(RIGHT(B1567,4),VLOOKUP(LEFT(B1567,LEN(B1567)-5),Feuil1!$E$3:$F$19,2,FALSE)+1,7))</f>
        <v>45301</v>
      </c>
      <c r="K1567" s="19">
        <f t="shared" si="2"/>
        <v>1</v>
      </c>
      <c r="L1567" s="6" t="str">
        <f t="shared" si="3"/>
        <v>DS</v>
      </c>
    </row>
    <row r="1568" ht="14.25" customHeight="1">
      <c r="A1568" s="14" t="str">
        <f>Base_report!A1554</f>
        <v>PORO</v>
      </c>
      <c r="B1568" s="14" t="str">
        <f>Base_report!B1554</f>
        <v>OCTOBRE DECEMBRE 2023</v>
      </c>
      <c r="C1568" s="15" t="str">
        <f>Base_report!C1554</f>
        <v>C2218</v>
      </c>
      <c r="D1568" s="14" t="str">
        <f>TRIM(IF(ISNUMBER(FIND("PNSME",Base_report!D1554,1)),SUBSTITUTE(Base_report!D1554,"PNSME",""),IF(ISNUMBER(FIND("PHG",Base_report!D1554,1)),SUBSTITUTE(Base_report!D1554,"PHG",""),IF(ISNUMBER(FIND("PCS",Base_report!D1554,1)),SUBSTITUTE(Base_report!D1554,"PCS",""),IF(ISNUMBER(FIND("CMU",Base_report!D1554,1)),SUBSTITUTE(Base_report!D1554,"CMU",""),Base_report!D1554)))))</f>
        <v>DISTRICT SANITAIRE KORHOGO 2</v>
      </c>
      <c r="E1568" s="14" t="str">
        <f>SUBSTITUTE(Base_report!E1554,"-","/")</f>
        <v>PNLT/SENSIBLE MEDICAMENTS ET INTRANTS</v>
      </c>
      <c r="F1568" s="14" t="s">
        <v>788</v>
      </c>
      <c r="G1568" s="16">
        <f>DATE(YEAR(SUBSTITUTE(LEFT(Base_report!F1554,10),"-","/")),MONTH(SUBSTITUTE(LEFT(Base_report!F1554,10),"-","/")),DAY(SUBSTITUTE(LEFT(Base_report!F1554,10),"-","/")))</f>
        <v>45240</v>
      </c>
      <c r="H1568" s="16">
        <f>DATE(YEAR(SUBSTITUTE(LEFT(Base_report!G1554,10),"-","/")),MONTH(SUBSTITUTE(LEFT(Base_report!G1554,10),"-","/")),DAY(SUBSTITUTE(LEFT(Base_report!G1554,10),"-","/")))</f>
        <v>45301</v>
      </c>
      <c r="I1568" s="17" t="str">
        <f t="shared" si="1"/>
        <v>OUI</v>
      </c>
      <c r="J1568" s="18">
        <f>IF(L1568="DS",DATE(RIGHT(B1568,4),VLOOKUP(LEFT(B1568,LEN(B1568)-5),Feuil1!$E$3:$F$19,2,FALSE)+1,10),DATE(RIGHT(B1568,4),VLOOKUP(LEFT(B1568,LEN(B1568)-5),Feuil1!$E$3:$F$19,2,FALSE)+1,7))</f>
        <v>45301</v>
      </c>
      <c r="K1568" s="19">
        <f t="shared" si="2"/>
        <v>1</v>
      </c>
      <c r="L1568" s="6" t="str">
        <f t="shared" si="3"/>
        <v>DS</v>
      </c>
    </row>
    <row r="1569" ht="14.25" customHeight="1">
      <c r="A1569" s="14" t="str">
        <f>Base_report!A1555</f>
        <v>GBEKE</v>
      </c>
      <c r="B1569" s="14" t="str">
        <f>Base_report!B1555</f>
        <v>OCTOBRE DECEMBRE 2023</v>
      </c>
      <c r="C1569" s="15" t="str">
        <f>Base_report!C1555</f>
        <v>C2010</v>
      </c>
      <c r="D1569" s="14" t="str">
        <f>TRIM(IF(ISNUMBER(FIND("PNSME",Base_report!D1555,1)),SUBSTITUTE(Base_report!D1555,"PNSME",""),IF(ISNUMBER(FIND("PHG",Base_report!D1555,1)),SUBSTITUTE(Base_report!D1555,"PHG",""),IF(ISNUMBER(FIND("PCS",Base_report!D1555,1)),SUBSTITUTE(Base_report!D1555,"PCS",""),IF(ISNUMBER(FIND("CMU",Base_report!D1555,1)),SUBSTITUTE(Base_report!D1555,"CMU",""),Base_report!D1555)))))</f>
        <v>CHU BOUAKE</v>
      </c>
      <c r="E1569" s="14" t="str">
        <f>SUBSTITUTE(Base_report!E1555,"-","/")</f>
        <v>PNLT/SENSIBLE MEDICAMENTS ET INTRANTS</v>
      </c>
      <c r="F1569" s="14" t="s">
        <v>788</v>
      </c>
      <c r="G1569" s="16">
        <f>DATE(YEAR(SUBSTITUTE(LEFT(Base_report!F1555,10),"-","/")),MONTH(SUBSTITUTE(LEFT(Base_report!F1555,10),"-","/")),DAY(SUBSTITUTE(LEFT(Base_report!F1555,10),"-","/")))</f>
        <v>45299</v>
      </c>
      <c r="H1569" s="16">
        <f>DATE(YEAR(SUBSTITUTE(LEFT(Base_report!G1555,10),"-","/")),MONTH(SUBSTITUTE(LEFT(Base_report!G1555,10),"-","/")),DAY(SUBSTITUTE(LEFT(Base_report!G1555,10),"-","/")))</f>
        <v>45300</v>
      </c>
      <c r="I1569" s="17" t="str">
        <f t="shared" si="1"/>
        <v>OUI</v>
      </c>
      <c r="J1569" s="18">
        <f>IF(L1569="DS",DATE(RIGHT(B1569,4),VLOOKUP(LEFT(B1569,LEN(B1569)-5),Feuil1!$E$3:$F$19,2,FALSE)+1,10),DATE(RIGHT(B1569,4),VLOOKUP(LEFT(B1569,LEN(B1569)-5),Feuil1!$E$3:$F$19,2,FALSE)+1,7))</f>
        <v>45298</v>
      </c>
      <c r="K1569" s="19">
        <f t="shared" si="2"/>
        <v>0</v>
      </c>
      <c r="L1569" s="6" t="str">
        <f t="shared" si="3"/>
        <v>FS</v>
      </c>
    </row>
    <row r="1570" ht="14.25" customHeight="1">
      <c r="A1570" s="14" t="str">
        <f>Base_report!A1556</f>
        <v>AGNEBY-TIASSA</v>
      </c>
      <c r="B1570" s="14" t="str">
        <f>Base_report!B1556</f>
        <v>OCTOBRE DECEMBRE 2023</v>
      </c>
      <c r="C1570" s="15" t="str">
        <f>Base_report!C1556</f>
        <v>C1098</v>
      </c>
      <c r="D1570" s="14" t="str">
        <f>TRIM(IF(ISNUMBER(FIND("PNSME",Base_report!D1556,1)),SUBSTITUTE(Base_report!D1556,"PNSME",""),IF(ISNUMBER(FIND("PHG",Base_report!D1556,1)),SUBSTITUTE(Base_report!D1556,"PHG",""),IF(ISNUMBER(FIND("PCS",Base_report!D1556,1)),SUBSTITUTE(Base_report!D1556,"PCS",""),IF(ISNUMBER(FIND("CMU",Base_report!D1556,1)),SUBSTITUTE(Base_report!D1556,"CMU",""),Base_report!D1556)))))</f>
        <v>HOPITAL GENERAL SIKENSI</v>
      </c>
      <c r="E1570" s="14" t="str">
        <f>SUBSTITUTE(Base_report!E1556,"-","/")</f>
        <v>PNLT/SENSIBLE MEDICAMENTS ET INTRANTS</v>
      </c>
      <c r="F1570" s="14" t="s">
        <v>788</v>
      </c>
      <c r="G1570" s="16">
        <f>DATE(YEAR(SUBSTITUTE(LEFT(Base_report!F1556,10),"-","/")),MONTH(SUBSTITUTE(LEFT(Base_report!F1556,10),"-","/")),DAY(SUBSTITUTE(LEFT(Base_report!F1556,10),"-","/")))</f>
        <v>45294</v>
      </c>
      <c r="H1570" s="16">
        <f>DATE(YEAR(SUBSTITUTE(LEFT(Base_report!G1556,10),"-","/")),MONTH(SUBSTITUTE(LEFT(Base_report!G1556,10),"-","/")),DAY(SUBSTITUTE(LEFT(Base_report!G1556,10),"-","/")))</f>
        <v>45295</v>
      </c>
      <c r="I1570" s="17" t="str">
        <f t="shared" si="1"/>
        <v>OUI</v>
      </c>
      <c r="J1570" s="18">
        <f>IF(L1570="DS",DATE(RIGHT(B1570,4),VLOOKUP(LEFT(B1570,LEN(B1570)-5),Feuil1!$E$3:$F$19,2,FALSE)+1,10),DATE(RIGHT(B1570,4),VLOOKUP(LEFT(B1570,LEN(B1570)-5),Feuil1!$E$3:$F$19,2,FALSE)+1,7))</f>
        <v>45298</v>
      </c>
      <c r="K1570" s="19">
        <f t="shared" si="2"/>
        <v>1</v>
      </c>
      <c r="L1570" s="6" t="str">
        <f t="shared" si="3"/>
        <v>FS</v>
      </c>
    </row>
    <row r="1571" ht="14.25" customHeight="1">
      <c r="A1571" s="14" t="str">
        <f>Base_report!A1557</f>
        <v>ABIDJAN 2</v>
      </c>
      <c r="B1571" s="14" t="str">
        <f>Base_report!B1557</f>
        <v>OCTOBRE DECEMBRE 2023</v>
      </c>
      <c r="C1571" s="15" t="str">
        <f>Base_report!C1557</f>
        <v>C1426</v>
      </c>
      <c r="D1571" s="14" t="str">
        <f>TRIM(IF(ISNUMBER(FIND("PNSME",Base_report!D1557,1)),SUBSTITUTE(Base_report!D1557,"PNSME",""),IF(ISNUMBER(FIND("PHG",Base_report!D1557,1)),SUBSTITUTE(Base_report!D1557,"PHG",""),IF(ISNUMBER(FIND("PCS",Base_report!D1557,1)),SUBSTITUTE(Base_report!D1557,"PCS",""),IF(ISNUMBER(FIND("CMU",Base_report!D1557,1)),SUBSTITUTE(Base_report!D1557,"CMU",""),Base_report!D1557)))))</f>
        <v>CEDRES (PROJET FAC-SIDA CHU TREICHVILLE)</v>
      </c>
      <c r="E1571" s="14" t="str">
        <f>SUBSTITUTE(Base_report!E1557,"-","/")</f>
        <v>PNLT/PRODUITS DE LABORATOIRE</v>
      </c>
      <c r="F1571" s="14" t="s">
        <v>788</v>
      </c>
      <c r="G1571" s="16">
        <f>DATE(YEAR(SUBSTITUTE(LEFT(Base_report!F1557,10),"-","/")),MONTH(SUBSTITUTE(LEFT(Base_report!F1557,10),"-","/")),DAY(SUBSTITUTE(LEFT(Base_report!F1557,10),"-","/")))</f>
        <v>45244</v>
      </c>
      <c r="H1571" s="16">
        <f>DATE(YEAR(SUBSTITUTE(LEFT(Base_report!G1557,10),"-","/")),MONTH(SUBSTITUTE(LEFT(Base_report!G1557,10),"-","/")),DAY(SUBSTITUTE(LEFT(Base_report!G1557,10),"-","/")))</f>
        <v>45252</v>
      </c>
      <c r="I1571" s="17" t="str">
        <f t="shared" si="1"/>
        <v>OUI</v>
      </c>
      <c r="J1571" s="18">
        <f>IF(L1571="DS",DATE(RIGHT(B1571,4),VLOOKUP(LEFT(B1571,LEN(B1571)-5),Feuil1!$E$3:$F$19,2,FALSE)+1,10),DATE(RIGHT(B1571,4),VLOOKUP(LEFT(B1571,LEN(B1571)-5),Feuil1!$E$3:$F$19,2,FALSE)+1,7))</f>
        <v>45298</v>
      </c>
      <c r="K1571" s="19">
        <f t="shared" si="2"/>
        <v>1</v>
      </c>
      <c r="L1571" s="6" t="str">
        <f t="shared" si="3"/>
        <v>FS</v>
      </c>
    </row>
    <row r="1572" ht="14.25" customHeight="1">
      <c r="A1572" s="14" t="str">
        <f>Base_report!A1558</f>
        <v>ABIDJAN 1</v>
      </c>
      <c r="B1572" s="14" t="str">
        <f>Base_report!B1558</f>
        <v>OCTOBRE DECEMBRE 2023</v>
      </c>
      <c r="C1572" s="15" t="str">
        <f>Base_report!C1558</f>
        <v>C1064</v>
      </c>
      <c r="D1572" s="14" t="str">
        <f>TRIM(IF(ISNUMBER(FIND("PNSME",Base_report!D1558,1)),SUBSTITUTE(Base_report!D1558,"PNSME",""),IF(ISNUMBER(FIND("PHG",Base_report!D1558,1)),SUBSTITUTE(Base_report!D1558,"PHG",""),IF(ISNUMBER(FIND("PCS",Base_report!D1558,1)),SUBSTITUTE(Base_report!D1558,"PCS",""),IF(ISNUMBER(FIND("CMU",Base_report!D1558,1)),SUBSTITUTE(Base_report!D1558,"CMU",""),Base_report!D1558)))))</f>
        <v>FSU COM ABOBO AVOCATIER</v>
      </c>
      <c r="E1572" s="14" t="str">
        <f>SUBSTITUTE(Base_report!E1558,"-","/")</f>
        <v>PNLT/SENSIBLE MEDICAMENTS ET INTRANTS</v>
      </c>
      <c r="F1572" s="14" t="s">
        <v>788</v>
      </c>
      <c r="G1572" s="16">
        <f>DATE(YEAR(SUBSTITUTE(LEFT(Base_report!F1558,10),"-","/")),MONTH(SUBSTITUTE(LEFT(Base_report!F1558,10),"-","/")),DAY(SUBSTITUTE(LEFT(Base_report!F1558,10),"-","/")))</f>
        <v>45300</v>
      </c>
      <c r="H1572" s="16">
        <f>DATE(YEAR(SUBSTITUTE(LEFT(Base_report!G1558,10),"-","/")),MONTH(SUBSTITUTE(LEFT(Base_report!G1558,10),"-","/")),DAY(SUBSTITUTE(LEFT(Base_report!G1558,10),"-","/")))</f>
        <v>45300</v>
      </c>
      <c r="I1572" s="17" t="str">
        <f t="shared" si="1"/>
        <v>OUI</v>
      </c>
      <c r="J1572" s="18">
        <f>IF(L1572="DS",DATE(RIGHT(B1572,4),VLOOKUP(LEFT(B1572,LEN(B1572)-5),Feuil1!$E$3:$F$19,2,FALSE)+1,10),DATE(RIGHT(B1572,4),VLOOKUP(LEFT(B1572,LEN(B1572)-5),Feuil1!$E$3:$F$19,2,FALSE)+1,7))</f>
        <v>45298</v>
      </c>
      <c r="K1572" s="19">
        <f t="shared" si="2"/>
        <v>0</v>
      </c>
      <c r="L1572" s="6" t="str">
        <f t="shared" si="3"/>
        <v>FS</v>
      </c>
    </row>
    <row r="1573" ht="14.25" customHeight="1">
      <c r="A1573" s="14" t="str">
        <f>Base_report!A1559</f>
        <v>TCHOLOGO</v>
      </c>
      <c r="B1573" s="14" t="str">
        <f>Base_report!B1559</f>
        <v>OCTOBRE DECEMBRE 2023</v>
      </c>
      <c r="C1573" s="15" t="str">
        <f>Base_report!C1559</f>
        <v>C3063</v>
      </c>
      <c r="D1573" s="14" t="str">
        <f>TRIM(IF(ISNUMBER(FIND("PNSME",Base_report!D1559,1)),SUBSTITUTE(Base_report!D1559,"PNSME",""),IF(ISNUMBER(FIND("PHG",Base_report!D1559,1)),SUBSTITUTE(Base_report!D1559,"PHG",""),IF(ISNUMBER(FIND("PCS",Base_report!D1559,1)),SUBSTITUTE(Base_report!D1559,"PCS",""),IF(ISNUMBER(FIND("CMU",Base_report!D1559,1)),SUBSTITUTE(Base_report!D1559,"CMU",""),Base_report!D1559)))))</f>
        <v>CENTRE ANTITUBERCULEUX FERKESSEDOUGOU</v>
      </c>
      <c r="E1573" s="14" t="str">
        <f>SUBSTITUTE(Base_report!E1559,"-","/")</f>
        <v>PNLT/MULTI RESISTANTE MEDICAMENTS ET INTRANTS</v>
      </c>
      <c r="F1573" s="14" t="s">
        <v>788</v>
      </c>
      <c r="G1573" s="16">
        <f>DATE(YEAR(SUBSTITUTE(LEFT(Base_report!F1559,10),"-","/")),MONTH(SUBSTITUTE(LEFT(Base_report!F1559,10),"-","/")),DAY(SUBSTITUTE(LEFT(Base_report!F1559,10),"-","/")))</f>
        <v>45302</v>
      </c>
      <c r="H1573" s="16">
        <f>DATE(YEAR(SUBSTITUTE(LEFT(Base_report!G1559,10),"-","/")),MONTH(SUBSTITUTE(LEFT(Base_report!G1559,10),"-","/")),DAY(SUBSTITUTE(LEFT(Base_report!G1559,10),"-","/")))</f>
        <v>45302</v>
      </c>
      <c r="I1573" s="17" t="str">
        <f t="shared" si="1"/>
        <v>OUI</v>
      </c>
      <c r="J1573" s="18">
        <f>IF(L1573="DS",DATE(RIGHT(B1573,4),VLOOKUP(LEFT(B1573,LEN(B1573)-5),Feuil1!$E$3:$F$19,2,FALSE)+1,10),DATE(RIGHT(B1573,4),VLOOKUP(LEFT(B1573,LEN(B1573)-5),Feuil1!$E$3:$F$19,2,FALSE)+1,7))</f>
        <v>45298</v>
      </c>
      <c r="K1573" s="19">
        <f t="shared" si="2"/>
        <v>0</v>
      </c>
      <c r="L1573" s="6" t="str">
        <f t="shared" si="3"/>
        <v>FS</v>
      </c>
    </row>
    <row r="1574" ht="14.25" customHeight="1">
      <c r="A1574" s="14" t="str">
        <f>Base_report!A1560</f>
        <v>GRANDS PONTS</v>
      </c>
      <c r="B1574" s="14" t="str">
        <f>Base_report!B1560</f>
        <v>OCTOBRE DECEMBRE 2023</v>
      </c>
      <c r="C1574" s="15" t="str">
        <f>Base_report!C1560</f>
        <v>C1944</v>
      </c>
      <c r="D1574" s="14" t="str">
        <f>TRIM(IF(ISNUMBER(FIND("PNSME",Base_report!D1560,1)),SUBSTITUTE(Base_report!D1560,"PNSME",""),IF(ISNUMBER(FIND("PHG",Base_report!D1560,1)),SUBSTITUTE(Base_report!D1560,"PHG",""),IF(ISNUMBER(FIND("PCS",Base_report!D1560,1)),SUBSTITUTE(Base_report!D1560,"PCS",""),IF(ISNUMBER(FIND("CMU",Base_report!D1560,1)),SUBSTITUTE(Base_report!D1560,"CMU",""),Base_report!D1560)))))</f>
        <v>CENTRE ANTITUBERCULEUX DABOU</v>
      </c>
      <c r="E1574" s="14" t="str">
        <f>SUBSTITUTE(Base_report!E1560,"-","/")</f>
        <v>PNLT/MULTI RESISTANTE MEDICAMENTS ET INTRANTS</v>
      </c>
      <c r="F1574" s="14" t="s">
        <v>788</v>
      </c>
      <c r="G1574" s="16">
        <f>DATE(YEAR(SUBSTITUTE(LEFT(Base_report!F1560,10),"-","/")),MONTH(SUBSTITUTE(LEFT(Base_report!F1560,10),"-","/")),DAY(SUBSTITUTE(LEFT(Base_report!F1560,10),"-","/")))</f>
        <v>45301</v>
      </c>
      <c r="H1574" s="16">
        <f>DATE(YEAR(SUBSTITUTE(LEFT(Base_report!G1560,10),"-","/")),MONTH(SUBSTITUTE(LEFT(Base_report!G1560,10),"-","/")),DAY(SUBSTITUTE(LEFT(Base_report!G1560,10),"-","/")))</f>
        <v>45301</v>
      </c>
      <c r="I1574" s="17" t="str">
        <f t="shared" si="1"/>
        <v>OUI</v>
      </c>
      <c r="J1574" s="18">
        <f>IF(L1574="DS",DATE(RIGHT(B1574,4),VLOOKUP(LEFT(B1574,LEN(B1574)-5),Feuil1!$E$3:$F$19,2,FALSE)+1,10),DATE(RIGHT(B1574,4),VLOOKUP(LEFT(B1574,LEN(B1574)-5),Feuil1!$E$3:$F$19,2,FALSE)+1,7))</f>
        <v>45298</v>
      </c>
      <c r="K1574" s="19">
        <f t="shared" si="2"/>
        <v>0</v>
      </c>
      <c r="L1574" s="6" t="str">
        <f t="shared" si="3"/>
        <v>FS</v>
      </c>
    </row>
    <row r="1575" ht="14.25" customHeight="1">
      <c r="A1575" s="14" t="str">
        <f>Base_report!A1561</f>
        <v>GUEMON</v>
      </c>
      <c r="B1575" s="14" t="str">
        <f>Base_report!B1561</f>
        <v>OCTOBRE DECEMBRE 2023</v>
      </c>
      <c r="C1575" s="15" t="str">
        <f>Base_report!C1561</f>
        <v>C5015</v>
      </c>
      <c r="D1575" s="14" t="str">
        <f>TRIM(IF(ISNUMBER(FIND("PNSME",Base_report!D1561,1)),SUBSTITUTE(Base_report!D1561,"PNSME",""),IF(ISNUMBER(FIND("PHG",Base_report!D1561,1)),SUBSTITUTE(Base_report!D1561,"PHG",""),IF(ISNUMBER(FIND("PCS",Base_report!D1561,1)),SUBSTITUTE(Base_report!D1561,"PCS",""),IF(ISNUMBER(FIND("CMU",Base_report!D1561,1)),SUBSTITUTE(Base_report!D1561,"CMU",""),Base_report!D1561)))))</f>
        <v>HOPITAL GENERAL BANGOLO</v>
      </c>
      <c r="E1575" s="14" t="str">
        <f>SUBSTITUTE(Base_report!E1561,"-","/")</f>
        <v>PNLT/SENSIBLE MEDICAMENTS ET INTRANTS</v>
      </c>
      <c r="F1575" s="14" t="s">
        <v>788</v>
      </c>
      <c r="G1575" s="16">
        <f>DATE(YEAR(SUBSTITUTE(LEFT(Base_report!F1561,10),"-","/")),MONTH(SUBSTITUTE(LEFT(Base_report!F1561,10),"-","/")),DAY(SUBSTITUTE(LEFT(Base_report!F1561,10),"-","/")))</f>
        <v>45298</v>
      </c>
      <c r="H1575" s="16">
        <f>DATE(YEAR(SUBSTITUTE(LEFT(Base_report!G1561,10),"-","/")),MONTH(SUBSTITUTE(LEFT(Base_report!G1561,10),"-","/")),DAY(SUBSTITUTE(LEFT(Base_report!G1561,10),"-","/")))</f>
        <v>45298</v>
      </c>
      <c r="I1575" s="17" t="str">
        <f t="shared" si="1"/>
        <v>OUI</v>
      </c>
      <c r="J1575" s="18">
        <f>IF(L1575="DS",DATE(RIGHT(B1575,4),VLOOKUP(LEFT(B1575,LEN(B1575)-5),Feuil1!$E$3:$F$19,2,FALSE)+1,10),DATE(RIGHT(B1575,4),VLOOKUP(LEFT(B1575,LEN(B1575)-5),Feuil1!$E$3:$F$19,2,FALSE)+1,7))</f>
        <v>45298</v>
      </c>
      <c r="K1575" s="19">
        <f t="shared" si="2"/>
        <v>1</v>
      </c>
      <c r="L1575" s="6" t="str">
        <f t="shared" si="3"/>
        <v>FS</v>
      </c>
    </row>
    <row r="1576" ht="14.25" customHeight="1">
      <c r="A1576" s="14" t="str">
        <f>Base_report!A1562</f>
        <v>KABADOUGOU</v>
      </c>
      <c r="B1576" s="14" t="str">
        <f>Base_report!B1562</f>
        <v>OCTOBRE DECEMBRE 2023</v>
      </c>
      <c r="C1576" s="15" t="str">
        <f>Base_report!C1562</f>
        <v>C5062</v>
      </c>
      <c r="D1576" s="14" t="str">
        <f>TRIM(IF(ISNUMBER(FIND("PNSME",Base_report!D1562,1)),SUBSTITUTE(Base_report!D1562,"PNSME",""),IF(ISNUMBER(FIND("PHG",Base_report!D1562,1)),SUBSTITUTE(Base_report!D1562,"PHG",""),IF(ISNUMBER(FIND("PCS",Base_report!D1562,1)),SUBSTITUTE(Base_report!D1562,"PCS",""),IF(ISNUMBER(FIND("CMU",Base_report!D1562,1)),SUBSTITUTE(Base_report!D1562,"CMU",""),Base_report!D1562)))))</f>
        <v>CENTRE ANTITUBERCULEUX ODIENNE</v>
      </c>
      <c r="E1576" s="14" t="str">
        <f>SUBSTITUTE(Base_report!E1562,"-","/")</f>
        <v>PNLT/SENSIBLE MEDICAMENTS ET INTRANTS</v>
      </c>
      <c r="F1576" s="14" t="s">
        <v>788</v>
      </c>
      <c r="G1576" s="16">
        <f>DATE(YEAR(SUBSTITUTE(LEFT(Base_report!F1562,10),"-","/")),MONTH(SUBSTITUTE(LEFT(Base_report!F1562,10),"-","/")),DAY(SUBSTITUTE(LEFT(Base_report!F1562,10),"-","/")))</f>
        <v>45297</v>
      </c>
      <c r="H1576" s="16">
        <f>DATE(YEAR(SUBSTITUTE(LEFT(Base_report!G1562,10),"-","/")),MONTH(SUBSTITUTE(LEFT(Base_report!G1562,10),"-","/")),DAY(SUBSTITUTE(LEFT(Base_report!G1562,10),"-","/")))</f>
        <v>45298</v>
      </c>
      <c r="I1576" s="17" t="str">
        <f t="shared" si="1"/>
        <v>OUI</v>
      </c>
      <c r="J1576" s="18">
        <f>IF(L1576="DS",DATE(RIGHT(B1576,4),VLOOKUP(LEFT(B1576,LEN(B1576)-5),Feuil1!$E$3:$F$19,2,FALSE)+1,10),DATE(RIGHT(B1576,4),VLOOKUP(LEFT(B1576,LEN(B1576)-5),Feuil1!$E$3:$F$19,2,FALSE)+1,7))</f>
        <v>45298</v>
      </c>
      <c r="K1576" s="19">
        <f t="shared" si="2"/>
        <v>1</v>
      </c>
      <c r="L1576" s="6" t="str">
        <f t="shared" si="3"/>
        <v>FS</v>
      </c>
    </row>
    <row r="1577" ht="14.25" customHeight="1">
      <c r="A1577" s="14" t="str">
        <f>Base_report!A1563</f>
        <v>KABADOUGOU</v>
      </c>
      <c r="B1577" s="14" t="str">
        <f>Base_report!B1563</f>
        <v>OCTOBRE DECEMBRE 2023</v>
      </c>
      <c r="C1577" s="15" t="str">
        <f>Base_report!C1563</f>
        <v>C5062</v>
      </c>
      <c r="D1577" s="14" t="str">
        <f>TRIM(IF(ISNUMBER(FIND("PNSME",Base_report!D1563,1)),SUBSTITUTE(Base_report!D1563,"PNSME",""),IF(ISNUMBER(FIND("PHG",Base_report!D1563,1)),SUBSTITUTE(Base_report!D1563,"PHG",""),IF(ISNUMBER(FIND("PCS",Base_report!D1563,1)),SUBSTITUTE(Base_report!D1563,"PCS",""),IF(ISNUMBER(FIND("CMU",Base_report!D1563,1)),SUBSTITUTE(Base_report!D1563,"CMU",""),Base_report!D1563)))))</f>
        <v>CENTRE ANTITUBERCULEUX ODIENNE</v>
      </c>
      <c r="E1577" s="14" t="str">
        <f>SUBSTITUTE(Base_report!E1563,"-","/")</f>
        <v>PNLT/MULTI RESISTANTE MEDICAMENTS ET INTRANTS</v>
      </c>
      <c r="F1577" s="14" t="s">
        <v>788</v>
      </c>
      <c r="G1577" s="16">
        <f>DATE(YEAR(SUBSTITUTE(LEFT(Base_report!F1563,10),"-","/")),MONTH(SUBSTITUTE(LEFT(Base_report!F1563,10),"-","/")),DAY(SUBSTITUTE(LEFT(Base_report!F1563,10),"-","/")))</f>
        <v>45298</v>
      </c>
      <c r="H1577" s="16">
        <f>DATE(YEAR(SUBSTITUTE(LEFT(Base_report!G1563,10),"-","/")),MONTH(SUBSTITUTE(LEFT(Base_report!G1563,10),"-","/")),DAY(SUBSTITUTE(LEFT(Base_report!G1563,10),"-","/")))</f>
        <v>45298</v>
      </c>
      <c r="I1577" s="17" t="str">
        <f t="shared" si="1"/>
        <v>OUI</v>
      </c>
      <c r="J1577" s="18">
        <f>IF(L1577="DS",DATE(RIGHT(B1577,4),VLOOKUP(LEFT(B1577,LEN(B1577)-5),Feuil1!$E$3:$F$19,2,FALSE)+1,10),DATE(RIGHT(B1577,4),VLOOKUP(LEFT(B1577,LEN(B1577)-5),Feuil1!$E$3:$F$19,2,FALSE)+1,7))</f>
        <v>45298</v>
      </c>
      <c r="K1577" s="19">
        <f t="shared" si="2"/>
        <v>1</v>
      </c>
      <c r="L1577" s="6" t="str">
        <f t="shared" si="3"/>
        <v>FS</v>
      </c>
    </row>
    <row r="1578" ht="14.25" customHeight="1">
      <c r="A1578" s="14" t="str">
        <f>Base_report!A1564</f>
        <v>CAVALLY</v>
      </c>
      <c r="B1578" s="14" t="str">
        <f>Base_report!B1564</f>
        <v>OCTOBRE DECEMBRE 2023</v>
      </c>
      <c r="C1578" s="15" t="str">
        <f>Base_report!C1564</f>
        <v>C5011</v>
      </c>
      <c r="D1578" s="14" t="str">
        <f>TRIM(IF(ISNUMBER(FIND("PNSME",Base_report!D1564,1)),SUBSTITUTE(Base_report!D1564,"PNSME",""),IF(ISNUMBER(FIND("PHG",Base_report!D1564,1)),SUBSTITUTE(Base_report!D1564,"PHG",""),IF(ISNUMBER(FIND("PCS",Base_report!D1564,1)),SUBSTITUTE(Base_report!D1564,"PCS",""),IF(ISNUMBER(FIND("CMU",Base_report!D1564,1)),SUBSTITUTE(Base_report!D1564,"CMU",""),Base_report!D1564)))))</f>
        <v>DISTRICT SANITAIRE GUIGLO</v>
      </c>
      <c r="E1578" s="14" t="str">
        <f>SUBSTITUTE(Base_report!E1564,"-","/")</f>
        <v>PNLT/SENSIBLE MEDICAMENTS ET INTRANTS</v>
      </c>
      <c r="F1578" s="14" t="s">
        <v>788</v>
      </c>
      <c r="G1578" s="16">
        <f>DATE(YEAR(SUBSTITUTE(LEFT(Base_report!F1564,10),"-","/")),MONTH(SUBSTITUTE(LEFT(Base_report!F1564,10),"-","/")),DAY(SUBSTITUTE(LEFT(Base_report!F1564,10),"-","/")))</f>
        <v>45301</v>
      </c>
      <c r="H1578" s="16">
        <f>DATE(YEAR(SUBSTITUTE(LEFT(Base_report!G1564,10),"-","/")),MONTH(SUBSTITUTE(LEFT(Base_report!G1564,10),"-","/")),DAY(SUBSTITUTE(LEFT(Base_report!G1564,10),"-","/")))</f>
        <v>45301</v>
      </c>
      <c r="I1578" s="17" t="str">
        <f t="shared" si="1"/>
        <v>OUI</v>
      </c>
      <c r="J1578" s="18">
        <f>IF(L1578="DS",DATE(RIGHT(B1578,4),VLOOKUP(LEFT(B1578,LEN(B1578)-5),Feuil1!$E$3:$F$19,2,FALSE)+1,10),DATE(RIGHT(B1578,4),VLOOKUP(LEFT(B1578,LEN(B1578)-5),Feuil1!$E$3:$F$19,2,FALSE)+1,7))</f>
        <v>45301</v>
      </c>
      <c r="K1578" s="19">
        <f t="shared" si="2"/>
        <v>1</v>
      </c>
      <c r="L1578" s="6" t="str">
        <f t="shared" si="3"/>
        <v>DS</v>
      </c>
    </row>
    <row r="1579" ht="14.25" customHeight="1">
      <c r="A1579" s="14" t="str">
        <f>Base_report!A1565</f>
        <v>ABIDJAN 2</v>
      </c>
      <c r="B1579" s="14" t="str">
        <f>Base_report!B1565</f>
        <v>OCTOBRE DECEMBRE 2023</v>
      </c>
      <c r="C1579" s="15" t="str">
        <f>Base_report!C1565</f>
        <v>C1051</v>
      </c>
      <c r="D1579" s="14" t="str">
        <f>TRIM(IF(ISNUMBER(FIND("PNSME",Base_report!D1565,1)),SUBSTITUTE(Base_report!D1565,"PNSME",""),IF(ISNUMBER(FIND("PHG",Base_report!D1565,1)),SUBSTITUTE(Base_report!D1565,"PHG",""),IF(ISNUMBER(FIND("PCS",Base_report!D1565,1)),SUBSTITUTE(Base_report!D1565,"PCS",""),IF(ISNUMBER(FIND("CMU",Base_report!D1565,1)),SUBSTITUTE(Base_report!D1565,"CMU",""),Base_report!D1565)))))</f>
        <v>FSU ABOBO DOUME</v>
      </c>
      <c r="E1579" s="14" t="str">
        <f>SUBSTITUTE(Base_report!E1565,"-","/")</f>
        <v>PNLT/SENSIBLE MEDICAMENTS ET INTRANTS</v>
      </c>
      <c r="F1579" s="14" t="s">
        <v>788</v>
      </c>
      <c r="G1579" s="16">
        <f>DATE(YEAR(SUBSTITUTE(LEFT(Base_report!F1565,10),"-","/")),MONTH(SUBSTITUTE(LEFT(Base_report!F1565,10),"-","/")),DAY(SUBSTITUTE(LEFT(Base_report!F1565,10),"-","/")))</f>
        <v>45294</v>
      </c>
      <c r="H1579" s="16">
        <f>DATE(YEAR(SUBSTITUTE(LEFT(Base_report!G1565,10),"-","/")),MONTH(SUBSTITUTE(LEFT(Base_report!G1565,10),"-","/")),DAY(SUBSTITUTE(LEFT(Base_report!G1565,10),"-","/")))</f>
        <v>45294</v>
      </c>
      <c r="I1579" s="17" t="str">
        <f t="shared" si="1"/>
        <v>OUI</v>
      </c>
      <c r="J1579" s="18">
        <f>IF(L1579="DS",DATE(RIGHT(B1579,4),VLOOKUP(LEFT(B1579,LEN(B1579)-5),Feuil1!$E$3:$F$19,2,FALSE)+1,10),DATE(RIGHT(B1579,4),VLOOKUP(LEFT(B1579,LEN(B1579)-5),Feuil1!$E$3:$F$19,2,FALSE)+1,7))</f>
        <v>45298</v>
      </c>
      <c r="K1579" s="19">
        <f t="shared" si="2"/>
        <v>1</v>
      </c>
      <c r="L1579" s="6" t="str">
        <f t="shared" si="3"/>
        <v>FS</v>
      </c>
    </row>
    <row r="1580" ht="14.25" customHeight="1">
      <c r="A1580" s="14" t="str">
        <f>Base_report!A1566</f>
        <v>N'ZI</v>
      </c>
      <c r="B1580" s="14" t="str">
        <f>Base_report!B1566</f>
        <v>OCTOBRE DECEMBRE 2023</v>
      </c>
      <c r="C1580" s="15" t="str">
        <f>Base_report!C1566</f>
        <v>C2049</v>
      </c>
      <c r="D1580" s="14" t="str">
        <f>TRIM(IF(ISNUMBER(FIND("PNSME",Base_report!D1566,1)),SUBSTITUTE(Base_report!D1566,"PNSME",""),IF(ISNUMBER(FIND("PHG",Base_report!D1566,1)),SUBSTITUTE(Base_report!D1566,"PHG",""),IF(ISNUMBER(FIND("PCS",Base_report!D1566,1)),SUBSTITUTE(Base_report!D1566,"PCS",""),IF(ISNUMBER(FIND("CMU",Base_report!D1566,1)),SUBSTITUTE(Base_report!D1566,"CMU",""),Base_report!D1566)))))</f>
        <v>HOPITAL GENERAL BOCANDA</v>
      </c>
      <c r="E1580" s="14" t="str">
        <f>SUBSTITUTE(Base_report!E1566,"-","/")</f>
        <v>PNLT/SENSIBLE MEDICAMENTS ET INTRANTS</v>
      </c>
      <c r="F1580" s="14" t="s">
        <v>788</v>
      </c>
      <c r="G1580" s="16">
        <f>DATE(YEAR(SUBSTITUTE(LEFT(Base_report!F1566,10),"-","/")),MONTH(SUBSTITUTE(LEFT(Base_report!F1566,10),"-","/")),DAY(SUBSTITUTE(LEFT(Base_report!F1566,10),"-","/")))</f>
        <v>45296</v>
      </c>
      <c r="H1580" s="16">
        <f>DATE(YEAR(SUBSTITUTE(LEFT(Base_report!G1566,10),"-","/")),MONTH(SUBSTITUTE(LEFT(Base_report!G1566,10),"-","/")),DAY(SUBSTITUTE(LEFT(Base_report!G1566,10),"-","/")))</f>
        <v>45297</v>
      </c>
      <c r="I1580" s="17" t="str">
        <f t="shared" si="1"/>
        <v>OUI</v>
      </c>
      <c r="J1580" s="18">
        <f>IF(L1580="DS",DATE(RIGHT(B1580,4),VLOOKUP(LEFT(B1580,LEN(B1580)-5),Feuil1!$E$3:$F$19,2,FALSE)+1,10),DATE(RIGHT(B1580,4),VLOOKUP(LEFT(B1580,LEN(B1580)-5),Feuil1!$E$3:$F$19,2,FALSE)+1,7))</f>
        <v>45298</v>
      </c>
      <c r="K1580" s="19">
        <f t="shared" si="2"/>
        <v>1</v>
      </c>
      <c r="L1580" s="6" t="str">
        <f t="shared" si="3"/>
        <v>FS</v>
      </c>
    </row>
    <row r="1581" ht="14.25" customHeight="1">
      <c r="A1581" s="14" t="str">
        <f>Base_report!A1567</f>
        <v>BELIER</v>
      </c>
      <c r="B1581" s="14" t="str">
        <f>Base_report!B1567</f>
        <v>OCTOBRE DECEMBRE 2023</v>
      </c>
      <c r="C1581" s="15" t="str">
        <f>Base_report!C1567</f>
        <v>C2042</v>
      </c>
      <c r="D1581" s="14" t="str">
        <f>TRIM(IF(ISNUMBER(FIND("PNSME",Base_report!D1567,1)),SUBSTITUTE(Base_report!D1567,"PNSME",""),IF(ISNUMBER(FIND("PHG",Base_report!D1567,1)),SUBSTITUTE(Base_report!D1567,"PHG",""),IF(ISNUMBER(FIND("PCS",Base_report!D1567,1)),SUBSTITUTE(Base_report!D1567,"PCS",""),IF(ISNUMBER(FIND("CMU",Base_report!D1567,1)),SUBSTITUTE(Base_report!D1567,"CMU",""),Base_report!D1567)))))</f>
        <v>DISTRICT SANITAIRE TIEBISSOU</v>
      </c>
      <c r="E1581" s="14" t="str">
        <f>SUBSTITUTE(Base_report!E1567,"-","/")</f>
        <v>PNLT/SENSIBLE MEDICAMENTS ET INTRANTS</v>
      </c>
      <c r="F1581" s="14" t="s">
        <v>788</v>
      </c>
      <c r="G1581" s="16">
        <f>DATE(YEAR(SUBSTITUTE(LEFT(Base_report!F1567,10),"-","/")),MONTH(SUBSTITUTE(LEFT(Base_report!F1567,10),"-","/")),DAY(SUBSTITUTE(LEFT(Base_report!F1567,10),"-","/")))</f>
        <v>45300</v>
      </c>
      <c r="H1581" s="16">
        <f>DATE(YEAR(SUBSTITUTE(LEFT(Base_report!G1567,10),"-","/")),MONTH(SUBSTITUTE(LEFT(Base_report!G1567,10),"-","/")),DAY(SUBSTITUTE(LEFT(Base_report!G1567,10),"-","/")))</f>
        <v>45300</v>
      </c>
      <c r="I1581" s="17" t="str">
        <f t="shared" si="1"/>
        <v>OUI</v>
      </c>
      <c r="J1581" s="18">
        <f>IF(L1581="DS",DATE(RIGHT(B1581,4),VLOOKUP(LEFT(B1581,LEN(B1581)-5),Feuil1!$E$3:$F$19,2,FALSE)+1,10),DATE(RIGHT(B1581,4),VLOOKUP(LEFT(B1581,LEN(B1581)-5),Feuil1!$E$3:$F$19,2,FALSE)+1,7))</f>
        <v>45301</v>
      </c>
      <c r="K1581" s="19">
        <f t="shared" si="2"/>
        <v>1</v>
      </c>
      <c r="L1581" s="6" t="str">
        <f t="shared" si="3"/>
        <v>DS</v>
      </c>
    </row>
    <row r="1582" ht="14.25" customHeight="1">
      <c r="A1582" s="14" t="str">
        <f>Base_report!A1568</f>
        <v>ME</v>
      </c>
      <c r="B1582" s="14" t="str">
        <f>Base_report!B1568</f>
        <v>OCTOBRE DECEMBRE 2023</v>
      </c>
      <c r="C1582" s="15" t="str">
        <f>Base_report!C1568</f>
        <v>C4067</v>
      </c>
      <c r="D1582" s="14" t="str">
        <f>TRIM(IF(ISNUMBER(FIND("PNSME",Base_report!D1568,1)),SUBSTITUTE(Base_report!D1568,"PNSME",""),IF(ISNUMBER(FIND("PHG",Base_report!D1568,1)),SUBSTITUTE(Base_report!D1568,"PHG",""),IF(ISNUMBER(FIND("PCS",Base_report!D1568,1)),SUBSTITUTE(Base_report!D1568,"PCS",""),IF(ISNUMBER(FIND("CMU",Base_report!D1568,1)),SUBSTITUTE(Base_report!D1568,"CMU",""),Base_report!D1568)))))</f>
        <v>CENTRE ANTITUBERCULEUX ADZOPE</v>
      </c>
      <c r="E1582" s="14" t="str">
        <f>SUBSTITUTE(Base_report!E1568,"-","/")</f>
        <v>PNLT/SENSIBLE MEDICAMENTS ET INTRANTS</v>
      </c>
      <c r="F1582" s="14" t="s">
        <v>788</v>
      </c>
      <c r="G1582" s="16">
        <f>DATE(YEAR(SUBSTITUTE(LEFT(Base_report!F1568,10),"-","/")),MONTH(SUBSTITUTE(LEFT(Base_report!F1568,10),"-","/")),DAY(SUBSTITUTE(LEFT(Base_report!F1568,10),"-","/")))</f>
        <v>45295</v>
      </c>
      <c r="H1582" s="16">
        <f>DATE(YEAR(SUBSTITUTE(LEFT(Base_report!G1568,10),"-","/")),MONTH(SUBSTITUTE(LEFT(Base_report!G1568,10),"-","/")),DAY(SUBSTITUTE(LEFT(Base_report!G1568,10),"-","/")))</f>
        <v>45299</v>
      </c>
      <c r="I1582" s="17" t="str">
        <f t="shared" si="1"/>
        <v>OUI</v>
      </c>
      <c r="J1582" s="18">
        <f>IF(L1582="DS",DATE(RIGHT(B1582,4),VLOOKUP(LEFT(B1582,LEN(B1582)-5),Feuil1!$E$3:$F$19,2,FALSE)+1,10),DATE(RIGHT(B1582,4),VLOOKUP(LEFT(B1582,LEN(B1582)-5),Feuil1!$E$3:$F$19,2,FALSE)+1,7))</f>
        <v>45298</v>
      </c>
      <c r="K1582" s="19">
        <f t="shared" si="2"/>
        <v>0</v>
      </c>
      <c r="L1582" s="6" t="str">
        <f t="shared" si="3"/>
        <v>FS</v>
      </c>
    </row>
    <row r="1583" ht="14.25" customHeight="1">
      <c r="A1583" s="14" t="str">
        <f>Base_report!A1569</f>
        <v>NAWA</v>
      </c>
      <c r="B1583" s="14" t="str">
        <f>Base_report!B1569</f>
        <v>OCTOBRE DECEMBRE 2023</v>
      </c>
      <c r="C1583" s="15" t="str">
        <f>Base_report!C1569</f>
        <v>C1411</v>
      </c>
      <c r="D1583" s="14" t="str">
        <f>TRIM(IF(ISNUMBER(FIND("PNSME",Base_report!D1569,1)),SUBSTITUTE(Base_report!D1569,"PNSME",""),IF(ISNUMBER(FIND("PHG",Base_report!D1569,1)),SUBSTITUTE(Base_report!D1569,"PHG",""),IF(ISNUMBER(FIND("PCS",Base_report!D1569,1)),SUBSTITUTE(Base_report!D1569,"PCS",""),IF(ISNUMBER(FIND("CMU",Base_report!D1569,1)),SUBSTITUTE(Base_report!D1569,"CMU",""),Base_report!D1569)))))</f>
        <v>FSU MEAGUI</v>
      </c>
      <c r="E1583" s="14" t="str">
        <f>SUBSTITUTE(Base_report!E1569,"-","/")</f>
        <v>PNLT/SENSIBLE MEDICAMENTS ET INTRANTS</v>
      </c>
      <c r="F1583" s="14" t="s">
        <v>788</v>
      </c>
      <c r="G1583" s="16">
        <f>DATE(YEAR(SUBSTITUTE(LEFT(Base_report!F1569,10),"-","/")),MONTH(SUBSTITUTE(LEFT(Base_report!F1569,10),"-","/")),DAY(SUBSTITUTE(LEFT(Base_report!F1569,10),"-","/")))</f>
        <v>45296</v>
      </c>
      <c r="H1583" s="16">
        <f>DATE(YEAR(SUBSTITUTE(LEFT(Base_report!G1569,10),"-","/")),MONTH(SUBSTITUTE(LEFT(Base_report!G1569,10),"-","/")),DAY(SUBSTITUTE(LEFT(Base_report!G1569,10),"-","/")))</f>
        <v>45296</v>
      </c>
      <c r="I1583" s="17" t="str">
        <f t="shared" si="1"/>
        <v>OUI</v>
      </c>
      <c r="J1583" s="18">
        <f>IF(L1583="DS",DATE(RIGHT(B1583,4),VLOOKUP(LEFT(B1583,LEN(B1583)-5),Feuil1!$E$3:$F$19,2,FALSE)+1,10),DATE(RIGHT(B1583,4),VLOOKUP(LEFT(B1583,LEN(B1583)-5),Feuil1!$E$3:$F$19,2,FALSE)+1,7))</f>
        <v>45298</v>
      </c>
      <c r="K1583" s="19">
        <f t="shared" si="2"/>
        <v>1</v>
      </c>
      <c r="L1583" s="6" t="str">
        <f t="shared" si="3"/>
        <v>FS</v>
      </c>
    </row>
    <row r="1584" ht="14.25" customHeight="1">
      <c r="A1584" s="14" t="str">
        <f>Base_report!A1570</f>
        <v>GOH</v>
      </c>
      <c r="B1584" s="14" t="str">
        <f>Base_report!B1570</f>
        <v>OCTOBRE DECEMBRE 2023</v>
      </c>
      <c r="C1584" s="15" t="str">
        <f>Base_report!C1570</f>
        <v>C2088</v>
      </c>
      <c r="D1584" s="14" t="str">
        <f>TRIM(IF(ISNUMBER(FIND("PNSME",Base_report!D1570,1)),SUBSTITUTE(Base_report!D1570,"PNSME",""),IF(ISNUMBER(FIND("PHG",Base_report!D1570,1)),SUBSTITUTE(Base_report!D1570,"PHG",""),IF(ISNUMBER(FIND("PCS",Base_report!D1570,1)),SUBSTITUTE(Base_report!D1570,"PCS",""),IF(ISNUMBER(FIND("CMU",Base_report!D1570,1)),SUBSTITUTE(Base_report!D1570,"CMU",""),Base_report!D1570)))))</f>
        <v>DISTRICT SANITAIRE GAGNOA 2</v>
      </c>
      <c r="E1584" s="14" t="str">
        <f>SUBSTITUTE(Base_report!E1570,"-","/")</f>
        <v>PNLT/SENSIBLE MEDICAMENTS ET INTRANTS</v>
      </c>
      <c r="F1584" s="14" t="s">
        <v>788</v>
      </c>
      <c r="G1584" s="16">
        <f>DATE(YEAR(SUBSTITUTE(LEFT(Base_report!F1570,10),"-","/")),MONTH(SUBSTITUTE(LEFT(Base_report!F1570,10),"-","/")),DAY(SUBSTITUTE(LEFT(Base_report!F1570,10),"-","/")))</f>
        <v>45300</v>
      </c>
      <c r="H1584" s="16">
        <f>DATE(YEAR(SUBSTITUTE(LEFT(Base_report!G1570,10),"-","/")),MONTH(SUBSTITUTE(LEFT(Base_report!G1570,10),"-","/")),DAY(SUBSTITUTE(LEFT(Base_report!G1570,10),"-","/")))</f>
        <v>45300</v>
      </c>
      <c r="I1584" s="17" t="str">
        <f t="shared" si="1"/>
        <v>OUI</v>
      </c>
      <c r="J1584" s="18">
        <f>IF(L1584="DS",DATE(RIGHT(B1584,4),VLOOKUP(LEFT(B1584,LEN(B1584)-5),Feuil1!$E$3:$F$19,2,FALSE)+1,10),DATE(RIGHT(B1584,4),VLOOKUP(LEFT(B1584,LEN(B1584)-5),Feuil1!$E$3:$F$19,2,FALSE)+1,7))</f>
        <v>45301</v>
      </c>
      <c r="K1584" s="19">
        <f t="shared" si="2"/>
        <v>1</v>
      </c>
      <c r="L1584" s="6" t="str">
        <f t="shared" si="3"/>
        <v>DS</v>
      </c>
    </row>
    <row r="1585" ht="14.25" customHeight="1">
      <c r="A1585" s="14" t="str">
        <f>Base_report!A1571</f>
        <v>SUD-COMOE</v>
      </c>
      <c r="B1585" s="14" t="str">
        <f>Base_report!B1571</f>
        <v>OCTOBRE DECEMBRE 2023</v>
      </c>
      <c r="C1585" s="15" t="str">
        <f>Base_report!C1571</f>
        <v>C1085</v>
      </c>
      <c r="D1585" s="14" t="str">
        <f>TRIM(IF(ISNUMBER(FIND("PNSME",Base_report!D1571,1)),SUBSTITUTE(Base_report!D1571,"PNSME",""),IF(ISNUMBER(FIND("PHG",Base_report!D1571,1)),SUBSTITUTE(Base_report!D1571,"PHG",""),IF(ISNUMBER(FIND("PCS",Base_report!D1571,1)),SUBSTITUTE(Base_report!D1571,"PCS",""),IF(ISNUMBER(FIND("CMU",Base_report!D1571,1)),SUBSTITUTE(Base_report!D1571,"CMU",""),Base_report!D1571)))))</f>
        <v>HOPITAL GENERAL AYAME</v>
      </c>
      <c r="E1585" s="14" t="str">
        <f>SUBSTITUTE(Base_report!E1571,"-","/")</f>
        <v>PNLT/SENSIBLE MEDICAMENTS ET INTRANTS</v>
      </c>
      <c r="F1585" s="14" t="s">
        <v>788</v>
      </c>
      <c r="G1585" s="16">
        <f>DATE(YEAR(SUBSTITUTE(LEFT(Base_report!F1571,10),"-","/")),MONTH(SUBSTITUTE(LEFT(Base_report!F1571,10),"-","/")),DAY(SUBSTITUTE(LEFT(Base_report!F1571,10),"-","/")))</f>
        <v>45296</v>
      </c>
      <c r="H1585" s="16">
        <f>DATE(YEAR(SUBSTITUTE(LEFT(Base_report!G1571,10),"-","/")),MONTH(SUBSTITUTE(LEFT(Base_report!G1571,10),"-","/")),DAY(SUBSTITUTE(LEFT(Base_report!G1571,10),"-","/")))</f>
        <v>45296</v>
      </c>
      <c r="I1585" s="17" t="str">
        <f t="shared" si="1"/>
        <v>OUI</v>
      </c>
      <c r="J1585" s="18">
        <f>IF(L1585="DS",DATE(RIGHT(B1585,4),VLOOKUP(LEFT(B1585,LEN(B1585)-5),Feuil1!$E$3:$F$19,2,FALSE)+1,10),DATE(RIGHT(B1585,4),VLOOKUP(LEFT(B1585,LEN(B1585)-5),Feuil1!$E$3:$F$19,2,FALSE)+1,7))</f>
        <v>45298</v>
      </c>
      <c r="K1585" s="19">
        <f t="shared" si="2"/>
        <v>1</v>
      </c>
      <c r="L1585" s="6" t="str">
        <f t="shared" si="3"/>
        <v>FS</v>
      </c>
    </row>
    <row r="1586" ht="14.25" customHeight="1">
      <c r="A1586" s="14" t="str">
        <f>Base_report!A1572</f>
        <v>ABIDJAN 2</v>
      </c>
      <c r="B1586" s="14" t="str">
        <f>Base_report!B1572</f>
        <v>OCTOBRE DECEMBRE 2023</v>
      </c>
      <c r="C1586" s="15" t="str">
        <f>Base_report!C1572</f>
        <v>C1745</v>
      </c>
      <c r="D1586" s="14" t="str">
        <f>TRIM(IF(ISNUMBER(FIND("PNSME",Base_report!D1572,1)),SUBSTITUTE(Base_report!D1572,"PNSME",""),IF(ISNUMBER(FIND("PHG",Base_report!D1572,1)),SUBSTITUTE(Base_report!D1572,"PHG",""),IF(ISNUMBER(FIND("PCS",Base_report!D1572,1)),SUBSTITUTE(Base_report!D1572,"PCS",""),IF(ISNUMBER(FIND("CMU",Base_report!D1572,1)),SUBSTITUTE(Base_report!D1572,"CMU",""),Base_report!D1572)))))</f>
        <v>CHU ANGRE</v>
      </c>
      <c r="E1586" s="14" t="str">
        <f>SUBSTITUTE(Base_report!E1572,"-","/")</f>
        <v>PNLT/SENSIBLE MEDICAMENTS ET INTRANTS</v>
      </c>
      <c r="F1586" s="14" t="s">
        <v>788</v>
      </c>
      <c r="G1586" s="16">
        <f>DATE(YEAR(SUBSTITUTE(LEFT(Base_report!F1572,10),"-","/")),MONTH(SUBSTITUTE(LEFT(Base_report!F1572,10),"-","/")),DAY(SUBSTITUTE(LEFT(Base_report!F1572,10),"-","/")))</f>
        <v>45295</v>
      </c>
      <c r="H1586" s="16">
        <f>DATE(YEAR(SUBSTITUTE(LEFT(Base_report!G1572,10),"-","/")),MONTH(SUBSTITUTE(LEFT(Base_report!G1572,10),"-","/")),DAY(SUBSTITUTE(LEFT(Base_report!G1572,10),"-","/")))</f>
        <v>45297</v>
      </c>
      <c r="I1586" s="17" t="str">
        <f t="shared" si="1"/>
        <v>OUI</v>
      </c>
      <c r="J1586" s="18">
        <f>IF(L1586="DS",DATE(RIGHT(B1586,4),VLOOKUP(LEFT(B1586,LEN(B1586)-5),Feuil1!$E$3:$F$19,2,FALSE)+1,10),DATE(RIGHT(B1586,4),VLOOKUP(LEFT(B1586,LEN(B1586)-5),Feuil1!$E$3:$F$19,2,FALSE)+1,7))</f>
        <v>45298</v>
      </c>
      <c r="K1586" s="19">
        <f t="shared" si="2"/>
        <v>1</v>
      </c>
      <c r="L1586" s="6" t="str">
        <f t="shared" si="3"/>
        <v>FS</v>
      </c>
    </row>
    <row r="1587" ht="14.25" customHeight="1">
      <c r="A1587" s="14" t="str">
        <f>Base_report!A1573</f>
        <v>WORODOUGOU</v>
      </c>
      <c r="B1587" s="14" t="str">
        <f>Base_report!B1573</f>
        <v>OCTOBRE DECEMBRE 2023</v>
      </c>
      <c r="C1587" s="15" t="str">
        <f>Base_report!C1573</f>
        <v>C2193</v>
      </c>
      <c r="D1587" s="14" t="str">
        <f>TRIM(IF(ISNUMBER(FIND("PNSME",Base_report!D1573,1)),SUBSTITUTE(Base_report!D1573,"PNSME",""),IF(ISNUMBER(FIND("PHG",Base_report!D1573,1)),SUBSTITUTE(Base_report!D1573,"PHG",""),IF(ISNUMBER(FIND("PCS",Base_report!D1573,1)),SUBSTITUTE(Base_report!D1573,"PCS",""),IF(ISNUMBER(FIND("CMU",Base_report!D1573,1)),SUBSTITUTE(Base_report!D1573,"CMU",""),Base_report!D1573)))))</f>
        <v>CENTRE ANTITUBERCULEUX SEGUELA</v>
      </c>
      <c r="E1587" s="14" t="str">
        <f>SUBSTITUTE(Base_report!E1573,"-","/")</f>
        <v>PNLT/SENSIBLE MEDICAMENTS ET INTRANTS</v>
      </c>
      <c r="F1587" s="14" t="s">
        <v>788</v>
      </c>
      <c r="G1587" s="16">
        <f>DATE(YEAR(SUBSTITUTE(LEFT(Base_report!F1573,10),"-","/")),MONTH(SUBSTITUTE(LEFT(Base_report!F1573,10),"-","/")),DAY(SUBSTITUTE(LEFT(Base_report!F1573,10),"-","/")))</f>
        <v>45298</v>
      </c>
      <c r="H1587" s="16">
        <f>DATE(YEAR(SUBSTITUTE(LEFT(Base_report!G1573,10),"-","/")),MONTH(SUBSTITUTE(LEFT(Base_report!G1573,10),"-","/")),DAY(SUBSTITUTE(LEFT(Base_report!G1573,10),"-","/")))</f>
        <v>45298</v>
      </c>
      <c r="I1587" s="17" t="str">
        <f t="shared" si="1"/>
        <v>OUI</v>
      </c>
      <c r="J1587" s="18">
        <f>IF(L1587="DS",DATE(RIGHT(B1587,4),VLOOKUP(LEFT(B1587,LEN(B1587)-5),Feuil1!$E$3:$F$19,2,FALSE)+1,10),DATE(RIGHT(B1587,4),VLOOKUP(LEFT(B1587,LEN(B1587)-5),Feuil1!$E$3:$F$19,2,FALSE)+1,7))</f>
        <v>45298</v>
      </c>
      <c r="K1587" s="19">
        <f t="shared" si="2"/>
        <v>1</v>
      </c>
      <c r="L1587" s="6" t="str">
        <f t="shared" si="3"/>
        <v>FS</v>
      </c>
    </row>
    <row r="1588" ht="14.25" customHeight="1">
      <c r="A1588" s="14" t="str">
        <f>Base_report!A1574</f>
        <v>BELIER</v>
      </c>
      <c r="B1588" s="14" t="str">
        <f>Base_report!B1574</f>
        <v>OCTOBRE DECEMBRE 2023</v>
      </c>
      <c r="C1588" s="15" t="str">
        <f>Base_report!C1574</f>
        <v>C2173</v>
      </c>
      <c r="D1588" s="14" t="str">
        <f>TRIM(IF(ISNUMBER(FIND("PNSME",Base_report!D1574,1)),SUBSTITUTE(Base_report!D1574,"PNSME",""),IF(ISNUMBER(FIND("PHG",Base_report!D1574,1)),SUBSTITUTE(Base_report!D1574,"PHG",""),IF(ISNUMBER(FIND("PCS",Base_report!D1574,1)),SUBSTITUTE(Base_report!D1574,"PCS",""),IF(ISNUMBER(FIND("CMU",Base_report!D1574,1)),SUBSTITUTE(Base_report!D1574,"CMU",""),Base_report!D1574)))))</f>
        <v>PROJET CENTRE ANTITUBERCULEUX YAMOUSSOUKRO</v>
      </c>
      <c r="E1588" s="14" t="str">
        <f>SUBSTITUTE(Base_report!E1574,"-","/")</f>
        <v>PNLT/PRODUITS DE LABORATOIRE</v>
      </c>
      <c r="F1588" s="14" t="s">
        <v>788</v>
      </c>
      <c r="G1588" s="16">
        <f>DATE(YEAR(SUBSTITUTE(LEFT(Base_report!F1574,10),"-","/")),MONTH(SUBSTITUTE(LEFT(Base_report!F1574,10),"-","/")),DAY(SUBSTITUTE(LEFT(Base_report!F1574,10),"-","/")))</f>
        <v>45300</v>
      </c>
      <c r="H1588" s="16">
        <f>DATE(YEAR(SUBSTITUTE(LEFT(Base_report!G1574,10),"-","/")),MONTH(SUBSTITUTE(LEFT(Base_report!G1574,10),"-","/")),DAY(SUBSTITUTE(LEFT(Base_report!G1574,10),"-","/")))</f>
        <v>45300</v>
      </c>
      <c r="I1588" s="17" t="str">
        <f t="shared" si="1"/>
        <v>OUI</v>
      </c>
      <c r="J1588" s="18">
        <f>IF(L1588="DS",DATE(RIGHT(B1588,4),VLOOKUP(LEFT(B1588,LEN(B1588)-5),Feuil1!$E$3:$F$19,2,FALSE)+1,10),DATE(RIGHT(B1588,4),VLOOKUP(LEFT(B1588,LEN(B1588)-5),Feuil1!$E$3:$F$19,2,FALSE)+1,7))</f>
        <v>45298</v>
      </c>
      <c r="K1588" s="19">
        <f t="shared" si="2"/>
        <v>0</v>
      </c>
      <c r="L1588" s="6" t="str">
        <f t="shared" si="3"/>
        <v>FS</v>
      </c>
    </row>
    <row r="1589" ht="14.25" customHeight="1">
      <c r="A1589" s="14" t="str">
        <f>Base_report!A1575</f>
        <v>GRANDS PONTS</v>
      </c>
      <c r="B1589" s="14" t="str">
        <f>Base_report!B1575</f>
        <v>OCTOBRE DECEMBRE 2023</v>
      </c>
      <c r="C1589" s="15" t="str">
        <f>Base_report!C1575</f>
        <v>C1944</v>
      </c>
      <c r="D1589" s="14" t="str">
        <f>TRIM(IF(ISNUMBER(FIND("PNSME",Base_report!D1575,1)),SUBSTITUTE(Base_report!D1575,"PNSME",""),IF(ISNUMBER(FIND("PHG",Base_report!D1575,1)),SUBSTITUTE(Base_report!D1575,"PHG",""),IF(ISNUMBER(FIND("PCS",Base_report!D1575,1)),SUBSTITUTE(Base_report!D1575,"PCS",""),IF(ISNUMBER(FIND("CMU",Base_report!D1575,1)),SUBSTITUTE(Base_report!D1575,"CMU",""),Base_report!D1575)))))</f>
        <v>CENTRE ANTITUBERCULEUX DABOU</v>
      </c>
      <c r="E1589" s="14" t="str">
        <f>SUBSTITUTE(Base_report!E1575,"-","/")</f>
        <v>PNLT/PRODUITS DE LABORATOIRE</v>
      </c>
      <c r="F1589" s="14" t="s">
        <v>788</v>
      </c>
      <c r="G1589" s="16">
        <f>DATE(YEAR(SUBSTITUTE(LEFT(Base_report!F1575,10),"-","/")),MONTH(SUBSTITUTE(LEFT(Base_report!F1575,10),"-","/")),DAY(SUBSTITUTE(LEFT(Base_report!F1575,10),"-","/")))</f>
        <v>45301</v>
      </c>
      <c r="H1589" s="16">
        <f>DATE(YEAR(SUBSTITUTE(LEFT(Base_report!G1575,10),"-","/")),MONTH(SUBSTITUTE(LEFT(Base_report!G1575,10),"-","/")),DAY(SUBSTITUTE(LEFT(Base_report!G1575,10),"-","/")))</f>
        <v>45301</v>
      </c>
      <c r="I1589" s="17" t="str">
        <f t="shared" si="1"/>
        <v>OUI</v>
      </c>
      <c r="J1589" s="18">
        <f>IF(L1589="DS",DATE(RIGHT(B1589,4),VLOOKUP(LEFT(B1589,LEN(B1589)-5),Feuil1!$E$3:$F$19,2,FALSE)+1,10),DATE(RIGHT(B1589,4),VLOOKUP(LEFT(B1589,LEN(B1589)-5),Feuil1!$E$3:$F$19,2,FALSE)+1,7))</f>
        <v>45298</v>
      </c>
      <c r="K1589" s="19">
        <f t="shared" si="2"/>
        <v>0</v>
      </c>
      <c r="L1589" s="6" t="str">
        <f t="shared" si="3"/>
        <v>FS</v>
      </c>
    </row>
    <row r="1590" ht="14.25" customHeight="1">
      <c r="A1590" s="14" t="str">
        <f>Base_report!A1576</f>
        <v>KABADOUGOU</v>
      </c>
      <c r="B1590" s="14" t="str">
        <f>Base_report!B1576</f>
        <v>OCTOBRE DECEMBRE 2023</v>
      </c>
      <c r="C1590" s="15" t="str">
        <f>Base_report!C1576</f>
        <v>C5062</v>
      </c>
      <c r="D1590" s="14" t="str">
        <f>TRIM(IF(ISNUMBER(FIND("PNSME",Base_report!D1576,1)),SUBSTITUTE(Base_report!D1576,"PNSME",""),IF(ISNUMBER(FIND("PHG",Base_report!D1576,1)),SUBSTITUTE(Base_report!D1576,"PHG",""),IF(ISNUMBER(FIND("PCS",Base_report!D1576,1)),SUBSTITUTE(Base_report!D1576,"PCS",""),IF(ISNUMBER(FIND("CMU",Base_report!D1576,1)),SUBSTITUTE(Base_report!D1576,"CMU",""),Base_report!D1576)))))</f>
        <v>CENTRE ANTITUBERCULEUX ODIENNE</v>
      </c>
      <c r="E1590" s="14" t="str">
        <f>SUBSTITUTE(Base_report!E1576,"-","/")</f>
        <v>PNLT/PRODUITS DE LABORATOIRE</v>
      </c>
      <c r="F1590" s="14" t="s">
        <v>788</v>
      </c>
      <c r="G1590" s="16">
        <f>DATE(YEAR(SUBSTITUTE(LEFT(Base_report!F1576,10),"-","/")),MONTH(SUBSTITUTE(LEFT(Base_report!F1576,10),"-","/")),DAY(SUBSTITUTE(LEFT(Base_report!F1576,10),"-","/")))</f>
        <v>45298</v>
      </c>
      <c r="H1590" s="16">
        <f>DATE(YEAR(SUBSTITUTE(LEFT(Base_report!G1576,10),"-","/")),MONTH(SUBSTITUTE(LEFT(Base_report!G1576,10),"-","/")),DAY(SUBSTITUTE(LEFT(Base_report!G1576,10),"-","/")))</f>
        <v>45298</v>
      </c>
      <c r="I1590" s="17" t="str">
        <f t="shared" si="1"/>
        <v>OUI</v>
      </c>
      <c r="J1590" s="18">
        <f>IF(L1590="DS",DATE(RIGHT(B1590,4),VLOOKUP(LEFT(B1590,LEN(B1590)-5),Feuil1!$E$3:$F$19,2,FALSE)+1,10),DATE(RIGHT(B1590,4),VLOOKUP(LEFT(B1590,LEN(B1590)-5),Feuil1!$E$3:$F$19,2,FALSE)+1,7))</f>
        <v>45298</v>
      </c>
      <c r="K1590" s="19">
        <f t="shared" si="2"/>
        <v>1</v>
      </c>
      <c r="L1590" s="6" t="str">
        <f t="shared" si="3"/>
        <v>FS</v>
      </c>
    </row>
    <row r="1591" ht="14.25" customHeight="1">
      <c r="A1591" s="14" t="str">
        <f>Base_report!A1577</f>
        <v>FOLON</v>
      </c>
      <c r="B1591" s="14" t="str">
        <f>Base_report!B1577</f>
        <v>OCTOBRE DECEMBRE 2023</v>
      </c>
      <c r="C1591" s="15" t="str">
        <f>Base_report!C1577</f>
        <v>C5082</v>
      </c>
      <c r="D1591" s="14" t="str">
        <f>TRIM(IF(ISNUMBER(FIND("PNSME",Base_report!D1577,1)),SUBSTITUTE(Base_report!D1577,"PNSME",""),IF(ISNUMBER(FIND("PHG",Base_report!D1577,1)),SUBSTITUTE(Base_report!D1577,"PHG",""),IF(ISNUMBER(FIND("PCS",Base_report!D1577,1)),SUBSTITUTE(Base_report!D1577,"PCS",""),IF(ISNUMBER(FIND("CMU",Base_report!D1577,1)),SUBSTITUTE(Base_report!D1577,"CMU",""),Base_report!D1577)))))</f>
        <v>DISTRICT SANITAIRE KANIASSO</v>
      </c>
      <c r="E1591" s="14" t="str">
        <f>SUBSTITUTE(Base_report!E1577,"-","/")</f>
        <v>PNLT/SENSIBLE MEDICAMENTS ET INTRANTS</v>
      </c>
      <c r="F1591" s="14" t="s">
        <v>788</v>
      </c>
      <c r="G1591" s="16">
        <f>DATE(YEAR(SUBSTITUTE(LEFT(Base_report!F1577,10),"-","/")),MONTH(SUBSTITUTE(LEFT(Base_report!F1577,10),"-","/")),DAY(SUBSTITUTE(LEFT(Base_report!F1577,10),"-","/")))</f>
        <v>45299</v>
      </c>
      <c r="H1591" s="16">
        <f>DATE(YEAR(SUBSTITUTE(LEFT(Base_report!G1577,10),"-","/")),MONTH(SUBSTITUTE(LEFT(Base_report!G1577,10),"-","/")),DAY(SUBSTITUTE(LEFT(Base_report!G1577,10),"-","/")))</f>
        <v>45302</v>
      </c>
      <c r="I1591" s="17" t="str">
        <f t="shared" si="1"/>
        <v>OUI</v>
      </c>
      <c r="J1591" s="18">
        <f>IF(L1591="DS",DATE(RIGHT(B1591,4),VLOOKUP(LEFT(B1591,LEN(B1591)-5),Feuil1!$E$3:$F$19,2,FALSE)+1,10),DATE(RIGHT(B1591,4),VLOOKUP(LEFT(B1591,LEN(B1591)-5),Feuil1!$E$3:$F$19,2,FALSE)+1,7))</f>
        <v>45301</v>
      </c>
      <c r="K1591" s="19">
        <f t="shared" si="2"/>
        <v>0</v>
      </c>
      <c r="L1591" s="6" t="str">
        <f t="shared" si="3"/>
        <v>DS</v>
      </c>
    </row>
    <row r="1592" ht="14.25" customHeight="1">
      <c r="A1592" s="14" t="str">
        <f>Base_report!A1578</f>
        <v>INDENIE-DJUABLIN</v>
      </c>
      <c r="B1592" s="14" t="str">
        <f>Base_report!B1578</f>
        <v>OCTOBRE DECEMBRE 2023</v>
      </c>
      <c r="C1592" s="15" t="str">
        <f>Base_report!C1578</f>
        <v>C4005</v>
      </c>
      <c r="D1592" s="14" t="str">
        <f>TRIM(IF(ISNUMBER(FIND("PNSME",Base_report!D1578,1)),SUBSTITUTE(Base_report!D1578,"PNSME",""),IF(ISNUMBER(FIND("PHG",Base_report!D1578,1)),SUBSTITUTE(Base_report!D1578,"PHG",""),IF(ISNUMBER(FIND("PCS",Base_report!D1578,1)),SUBSTITUTE(Base_report!D1578,"PCS",""),IF(ISNUMBER(FIND("CMU",Base_report!D1578,1)),SUBSTITUTE(Base_report!D1578,"CMU",""),Base_report!D1578)))))</f>
        <v>DISTRICT SANITAIRE AGNIBILEKROU</v>
      </c>
      <c r="E1592" s="14" t="str">
        <f>SUBSTITUTE(Base_report!E1578,"-","/")</f>
        <v>PNLT/SENSIBLE MEDICAMENTS ET INTRANTS</v>
      </c>
      <c r="F1592" s="14" t="s">
        <v>788</v>
      </c>
      <c r="G1592" s="16">
        <f>DATE(YEAR(SUBSTITUTE(LEFT(Base_report!F1578,10),"-","/")),MONTH(SUBSTITUTE(LEFT(Base_report!F1578,10),"-","/")),DAY(SUBSTITUTE(LEFT(Base_report!F1578,10),"-","/")))</f>
        <v>45299</v>
      </c>
      <c r="H1592" s="16">
        <f>DATE(YEAR(SUBSTITUTE(LEFT(Base_report!G1578,10),"-","/")),MONTH(SUBSTITUTE(LEFT(Base_report!G1578,10),"-","/")),DAY(SUBSTITUTE(LEFT(Base_report!G1578,10),"-","/")))</f>
        <v>45299</v>
      </c>
      <c r="I1592" s="17" t="str">
        <f t="shared" si="1"/>
        <v>OUI</v>
      </c>
      <c r="J1592" s="18">
        <f>IF(L1592="DS",DATE(RIGHT(B1592,4),VLOOKUP(LEFT(B1592,LEN(B1592)-5),Feuil1!$E$3:$F$19,2,FALSE)+1,10),DATE(RIGHT(B1592,4),VLOOKUP(LEFT(B1592,LEN(B1592)-5),Feuil1!$E$3:$F$19,2,FALSE)+1,7))</f>
        <v>45301</v>
      </c>
      <c r="K1592" s="19">
        <f t="shared" si="2"/>
        <v>1</v>
      </c>
      <c r="L1592" s="6" t="str">
        <f t="shared" si="3"/>
        <v>DS</v>
      </c>
    </row>
    <row r="1593" ht="14.25" customHeight="1">
      <c r="A1593" s="14" t="str">
        <f>Base_report!A1579</f>
        <v>GBOKLE</v>
      </c>
      <c r="B1593" s="14" t="str">
        <f>Base_report!B1579</f>
        <v>OCTOBRE DECEMBRE 2023</v>
      </c>
      <c r="C1593" s="15" t="str">
        <f>Base_report!C1579</f>
        <v>C1095</v>
      </c>
      <c r="D1593" s="14" t="str">
        <f>TRIM(IF(ISNUMBER(FIND("PNSME",Base_report!D1579,1)),SUBSTITUTE(Base_report!D1579,"PNSME",""),IF(ISNUMBER(FIND("PHG",Base_report!D1579,1)),SUBSTITUTE(Base_report!D1579,"PHG",""),IF(ISNUMBER(FIND("PCS",Base_report!D1579,1)),SUBSTITUTE(Base_report!D1579,"PCS",""),IF(ISNUMBER(FIND("CMU",Base_report!D1579,1)),SUBSTITUTE(Base_report!D1579,"CMU",""),Base_report!D1579)))))</f>
        <v>HOPITAL GENERAL SASSANDRA</v>
      </c>
      <c r="E1593" s="14" t="str">
        <f>SUBSTITUTE(Base_report!E1579,"-","/")</f>
        <v>PNLT/SENSIBLE MEDICAMENTS ET INTRANTS</v>
      </c>
      <c r="F1593" s="14" t="s">
        <v>788</v>
      </c>
      <c r="G1593" s="16">
        <f>DATE(YEAR(SUBSTITUTE(LEFT(Base_report!F1579,10),"-","/")),MONTH(SUBSTITUTE(LEFT(Base_report!F1579,10),"-","/")),DAY(SUBSTITUTE(LEFT(Base_report!F1579,10),"-","/")))</f>
        <v>45296</v>
      </c>
      <c r="H1593" s="16">
        <f>DATE(YEAR(SUBSTITUTE(LEFT(Base_report!G1579,10),"-","/")),MONTH(SUBSTITUTE(LEFT(Base_report!G1579,10),"-","/")),DAY(SUBSTITUTE(LEFT(Base_report!G1579,10),"-","/")))</f>
        <v>45297</v>
      </c>
      <c r="I1593" s="17" t="str">
        <f t="shared" si="1"/>
        <v>OUI</v>
      </c>
      <c r="J1593" s="18">
        <f>IF(L1593="DS",DATE(RIGHT(B1593,4),VLOOKUP(LEFT(B1593,LEN(B1593)-5),Feuil1!$E$3:$F$19,2,FALSE)+1,10),DATE(RIGHT(B1593,4),VLOOKUP(LEFT(B1593,LEN(B1593)-5),Feuil1!$E$3:$F$19,2,FALSE)+1,7))</f>
        <v>45298</v>
      </c>
      <c r="K1593" s="19">
        <f t="shared" si="2"/>
        <v>1</v>
      </c>
      <c r="L1593" s="6" t="str">
        <f t="shared" si="3"/>
        <v>FS</v>
      </c>
    </row>
    <row r="1594" ht="14.25" customHeight="1">
      <c r="A1594" s="14" t="str">
        <f>Base_report!A1580</f>
        <v>HAUT-SASSANDRA</v>
      </c>
      <c r="B1594" s="14" t="str">
        <f>Base_report!B1580</f>
        <v>OCTOBRE DECEMBRE 2023</v>
      </c>
      <c r="C1594" s="15" t="str">
        <f>Base_report!C1580</f>
        <v>C2172</v>
      </c>
      <c r="D1594" s="14" t="str">
        <f>TRIM(IF(ISNUMBER(FIND("PNSME",Base_report!D1580,1)),SUBSTITUTE(Base_report!D1580,"PNSME",""),IF(ISNUMBER(FIND("PHG",Base_report!D1580,1)),SUBSTITUTE(Base_report!D1580,"PHG",""),IF(ISNUMBER(FIND("PCS",Base_report!D1580,1)),SUBSTITUTE(Base_report!D1580,"PCS",""),IF(ISNUMBER(FIND("CMU",Base_report!D1580,1)),SUBSTITUTE(Base_report!D1580,"CMU",""),Base_report!D1580)))))</f>
        <v>CENTRE ANTITUBERCULEUX DALOA</v>
      </c>
      <c r="E1594" s="14" t="str">
        <f>SUBSTITUTE(Base_report!E1580,"-","/")</f>
        <v>PNLT/MULTI RESISTANTE MEDICAMENTS ET INTRANTS</v>
      </c>
      <c r="F1594" s="14" t="s">
        <v>788</v>
      </c>
      <c r="G1594" s="16">
        <f>DATE(YEAR(SUBSTITUTE(LEFT(Base_report!F1580,10),"-","/")),MONTH(SUBSTITUTE(LEFT(Base_report!F1580,10),"-","/")),DAY(SUBSTITUTE(LEFT(Base_report!F1580,10),"-","/")))</f>
        <v>45297</v>
      </c>
      <c r="H1594" s="16">
        <f>DATE(YEAR(SUBSTITUTE(LEFT(Base_report!G1580,10),"-","/")),MONTH(SUBSTITUTE(LEFT(Base_report!G1580,10),"-","/")),DAY(SUBSTITUTE(LEFT(Base_report!G1580,10),"-","/")))</f>
        <v>45297</v>
      </c>
      <c r="I1594" s="17" t="str">
        <f t="shared" si="1"/>
        <v>OUI</v>
      </c>
      <c r="J1594" s="18">
        <f>IF(L1594="DS",DATE(RIGHT(B1594,4),VLOOKUP(LEFT(B1594,LEN(B1594)-5),Feuil1!$E$3:$F$19,2,FALSE)+1,10),DATE(RIGHT(B1594,4),VLOOKUP(LEFT(B1594,LEN(B1594)-5),Feuil1!$E$3:$F$19,2,FALSE)+1,7))</f>
        <v>45298</v>
      </c>
      <c r="K1594" s="19">
        <f t="shared" si="2"/>
        <v>1</v>
      </c>
      <c r="L1594" s="6" t="str">
        <f t="shared" si="3"/>
        <v>FS</v>
      </c>
    </row>
    <row r="1595" ht="14.25" customHeight="1">
      <c r="A1595" s="14" t="str">
        <f>Base_report!A1581</f>
        <v>HAUT-SASSANDRA</v>
      </c>
      <c r="B1595" s="14" t="str">
        <f>Base_report!B1581</f>
        <v>OCTOBRE DECEMBRE 2023</v>
      </c>
      <c r="C1595" s="15" t="str">
        <f>Base_report!C1581</f>
        <v>C2061</v>
      </c>
      <c r="D1595" s="14" t="str">
        <f>TRIM(IF(ISNUMBER(FIND("PNSME",Base_report!D1581,1)),SUBSTITUTE(Base_report!D1581,"PNSME",""),IF(ISNUMBER(FIND("PHG",Base_report!D1581,1)),SUBSTITUTE(Base_report!D1581,"PHG",""),IF(ISNUMBER(FIND("PCS",Base_report!D1581,1)),SUBSTITUTE(Base_report!D1581,"PCS",""),IF(ISNUMBER(FIND("CMU",Base_report!D1581,1)),SUBSTITUTE(Base_report!D1581,"CMU",""),Base_report!D1581)))))</f>
        <v>HOPITAL GENERAL SAIOUA</v>
      </c>
      <c r="E1595" s="14" t="str">
        <f>SUBSTITUTE(Base_report!E1581,"-","/")</f>
        <v>PNLT/SENSIBLE MEDICAMENTS ET INTRANTS</v>
      </c>
      <c r="F1595" s="14" t="s">
        <v>788</v>
      </c>
      <c r="G1595" s="16">
        <f>DATE(YEAR(SUBSTITUTE(LEFT(Base_report!F1581,10),"-","/")),MONTH(SUBSTITUTE(LEFT(Base_report!F1581,10),"-","/")),DAY(SUBSTITUTE(LEFT(Base_report!F1581,10),"-","/")))</f>
        <v>45296</v>
      </c>
      <c r="H1595" s="16">
        <f>DATE(YEAR(SUBSTITUTE(LEFT(Base_report!G1581,10),"-","/")),MONTH(SUBSTITUTE(LEFT(Base_report!G1581,10),"-","/")),DAY(SUBSTITUTE(LEFT(Base_report!G1581,10),"-","/")))</f>
        <v>45296</v>
      </c>
      <c r="I1595" s="17" t="str">
        <f t="shared" si="1"/>
        <v>OUI</v>
      </c>
      <c r="J1595" s="18">
        <f>IF(L1595="DS",DATE(RIGHT(B1595,4),VLOOKUP(LEFT(B1595,LEN(B1595)-5),Feuil1!$E$3:$F$19,2,FALSE)+1,10),DATE(RIGHT(B1595,4),VLOOKUP(LEFT(B1595,LEN(B1595)-5),Feuil1!$E$3:$F$19,2,FALSE)+1,7))</f>
        <v>45298</v>
      </c>
      <c r="K1595" s="19">
        <f t="shared" si="2"/>
        <v>1</v>
      </c>
      <c r="L1595" s="6" t="str">
        <f t="shared" si="3"/>
        <v>FS</v>
      </c>
    </row>
    <row r="1596" ht="14.25" customHeight="1">
      <c r="A1596" s="14" t="str">
        <f>Base_report!A1582</f>
        <v>ABIDJAN 1</v>
      </c>
      <c r="B1596" s="14" t="str">
        <f>Base_report!B1582</f>
        <v>OCTOBRE DECEMBRE 2023</v>
      </c>
      <c r="C1596" s="15" t="str">
        <f>Base_report!C1582</f>
        <v>C1080</v>
      </c>
      <c r="D1596" s="14" t="str">
        <f>TRIM(IF(ISNUMBER(FIND("PNSME",Base_report!D1582,1)),SUBSTITUTE(Base_report!D1582,"PNSME",""),IF(ISNUMBER(FIND("PHG",Base_report!D1582,1)),SUBSTITUTE(Base_report!D1582,"PHG",""),IF(ISNUMBER(FIND("PCS",Base_report!D1582,1)),SUBSTITUTE(Base_report!D1582,"PCS",""),IF(ISNUMBER(FIND("CMU",Base_report!D1582,1)),SUBSTITUTE(Base_report!D1582,"CMU",""),Base_report!D1582)))))</f>
        <v>CHR ABOBO</v>
      </c>
      <c r="E1596" s="14" t="str">
        <f>SUBSTITUTE(Base_report!E1582,"-","/")</f>
        <v>PNLT/SENSIBLE MEDICAMENTS ET INTRANTS</v>
      </c>
      <c r="F1596" s="14" t="s">
        <v>788</v>
      </c>
      <c r="G1596" s="16">
        <f>DATE(YEAR(SUBSTITUTE(LEFT(Base_report!F1582,10),"-","/")),MONTH(SUBSTITUTE(LEFT(Base_report!F1582,10),"-","/")),DAY(SUBSTITUTE(LEFT(Base_report!F1582,10),"-","/")))</f>
        <v>45295</v>
      </c>
      <c r="H1596" s="16">
        <f>DATE(YEAR(SUBSTITUTE(LEFT(Base_report!G1582,10),"-","/")),MONTH(SUBSTITUTE(LEFT(Base_report!G1582,10),"-","/")),DAY(SUBSTITUTE(LEFT(Base_report!G1582,10),"-","/")))</f>
        <v>45295</v>
      </c>
      <c r="I1596" s="17" t="str">
        <f t="shared" si="1"/>
        <v>OUI</v>
      </c>
      <c r="J1596" s="18">
        <f>IF(L1596="DS",DATE(RIGHT(B1596,4),VLOOKUP(LEFT(B1596,LEN(B1596)-5),Feuil1!$E$3:$F$19,2,FALSE)+1,10),DATE(RIGHT(B1596,4),VLOOKUP(LEFT(B1596,LEN(B1596)-5),Feuil1!$E$3:$F$19,2,FALSE)+1,7))</f>
        <v>45298</v>
      </c>
      <c r="K1596" s="19">
        <f t="shared" si="2"/>
        <v>1</v>
      </c>
      <c r="L1596" s="6" t="str">
        <f t="shared" si="3"/>
        <v>FS</v>
      </c>
    </row>
    <row r="1597" ht="14.25" customHeight="1">
      <c r="A1597" s="14" t="str">
        <f>Base_report!A1583</f>
        <v>CAVALLY</v>
      </c>
      <c r="B1597" s="14" t="str">
        <f>Base_report!B1583</f>
        <v>OCTOBRE DECEMBRE 2023</v>
      </c>
      <c r="C1597" s="15" t="str">
        <f>Base_report!C1583</f>
        <v>C5017</v>
      </c>
      <c r="D1597" s="14" t="str">
        <f>TRIM(IF(ISNUMBER(FIND("PNSME",Base_report!D1583,1)),SUBSTITUTE(Base_report!D1583,"PNSME",""),IF(ISNUMBER(FIND("PHG",Base_report!D1583,1)),SUBSTITUTE(Base_report!D1583,"PHG",""),IF(ISNUMBER(FIND("PCS",Base_report!D1583,1)),SUBSTITUTE(Base_report!D1583,"PCS",""),IF(ISNUMBER(FIND("CMU",Base_report!D1583,1)),SUBSTITUTE(Base_report!D1583,"CMU",""),Base_report!D1583)))))</f>
        <v>HOPITAL GENERAL BLOLEQUIN</v>
      </c>
      <c r="E1597" s="14" t="str">
        <f>SUBSTITUTE(Base_report!E1583,"-","/")</f>
        <v>PNLT/SENSIBLE MEDICAMENTS ET INTRANTS</v>
      </c>
      <c r="F1597" s="14" t="s">
        <v>788</v>
      </c>
      <c r="G1597" s="16">
        <f>DATE(YEAR(SUBSTITUTE(LEFT(Base_report!F1583,10),"-","/")),MONTH(SUBSTITUTE(LEFT(Base_report!F1583,10),"-","/")),DAY(SUBSTITUTE(LEFT(Base_report!F1583,10),"-","/")))</f>
        <v>45296</v>
      </c>
      <c r="H1597" s="16">
        <f>DATE(YEAR(SUBSTITUTE(LEFT(Base_report!G1583,10),"-","/")),MONTH(SUBSTITUTE(LEFT(Base_report!G1583,10),"-","/")),DAY(SUBSTITUTE(LEFT(Base_report!G1583,10),"-","/")))</f>
        <v>45296</v>
      </c>
      <c r="I1597" s="17" t="str">
        <f t="shared" si="1"/>
        <v>OUI</v>
      </c>
      <c r="J1597" s="18">
        <f>IF(L1597="DS",DATE(RIGHT(B1597,4),VLOOKUP(LEFT(B1597,LEN(B1597)-5),Feuil1!$E$3:$F$19,2,FALSE)+1,10),DATE(RIGHT(B1597,4),VLOOKUP(LEFT(B1597,LEN(B1597)-5),Feuil1!$E$3:$F$19,2,FALSE)+1,7))</f>
        <v>45298</v>
      </c>
      <c r="K1597" s="19">
        <f t="shared" si="2"/>
        <v>1</v>
      </c>
      <c r="L1597" s="6" t="str">
        <f t="shared" si="3"/>
        <v>FS</v>
      </c>
    </row>
    <row r="1598" ht="14.25" customHeight="1">
      <c r="A1598" s="14" t="str">
        <f>Base_report!A1584</f>
        <v>GBEKE</v>
      </c>
      <c r="B1598" s="14" t="str">
        <f>Base_report!B1584</f>
        <v>OCTOBRE DECEMBRE 2023</v>
      </c>
      <c r="C1598" s="15" t="str">
        <f>Base_report!C1584</f>
        <v>C2047</v>
      </c>
      <c r="D1598" s="14" t="str">
        <f>TRIM(IF(ISNUMBER(FIND("PNSME",Base_report!D1584,1)),SUBSTITUTE(Base_report!D1584,"PNSME",""),IF(ISNUMBER(FIND("PHG",Base_report!D1584,1)),SUBSTITUTE(Base_report!D1584,"PHG",""),IF(ISNUMBER(FIND("PCS",Base_report!D1584,1)),SUBSTITUTE(Base_report!D1584,"PCS",""),IF(ISNUMBER(FIND("CMU",Base_report!D1584,1)),SUBSTITUTE(Base_report!D1584,"CMU",""),Base_report!D1584)))))</f>
        <v>HOPITAL GENERAL BEOUMI</v>
      </c>
      <c r="E1598" s="14" t="str">
        <f>SUBSTITUTE(Base_report!E1584,"-","/")</f>
        <v>PNLT/SENSIBLE MEDICAMENTS ET INTRANTS</v>
      </c>
      <c r="F1598" s="14" t="s">
        <v>788</v>
      </c>
      <c r="G1598" s="16">
        <f>DATE(YEAR(SUBSTITUTE(LEFT(Base_report!F1584,10),"-","/")),MONTH(SUBSTITUTE(LEFT(Base_report!F1584,10),"-","/")),DAY(SUBSTITUTE(LEFT(Base_report!F1584,10),"-","/")))</f>
        <v>45296</v>
      </c>
      <c r="H1598" s="16">
        <f>DATE(YEAR(SUBSTITUTE(LEFT(Base_report!G1584,10),"-","/")),MONTH(SUBSTITUTE(LEFT(Base_report!G1584,10),"-","/")),DAY(SUBSTITUTE(LEFT(Base_report!G1584,10),"-","/")))</f>
        <v>45297</v>
      </c>
      <c r="I1598" s="17" t="str">
        <f t="shared" si="1"/>
        <v>OUI</v>
      </c>
      <c r="J1598" s="18">
        <f>IF(L1598="DS",DATE(RIGHT(B1598,4),VLOOKUP(LEFT(B1598,LEN(B1598)-5),Feuil1!$E$3:$F$19,2,FALSE)+1,10),DATE(RIGHT(B1598,4),VLOOKUP(LEFT(B1598,LEN(B1598)-5),Feuil1!$E$3:$F$19,2,FALSE)+1,7))</f>
        <v>45298</v>
      </c>
      <c r="K1598" s="19">
        <f t="shared" si="2"/>
        <v>1</v>
      </c>
      <c r="L1598" s="6" t="str">
        <f t="shared" si="3"/>
        <v>FS</v>
      </c>
    </row>
    <row r="1599" ht="14.25" customHeight="1">
      <c r="A1599" s="14" t="str">
        <f>Base_report!A1585</f>
        <v>TONKPI</v>
      </c>
      <c r="B1599" s="14" t="str">
        <f>Base_report!B1585</f>
        <v>OCTOBRE DECEMBRE 2023</v>
      </c>
      <c r="C1599" s="15" t="str">
        <f>Base_report!C1585</f>
        <v>C5006</v>
      </c>
      <c r="D1599" s="14" t="str">
        <f>TRIM(IF(ISNUMBER(FIND("PNSME",Base_report!D1585,1)),SUBSTITUTE(Base_report!D1585,"PNSME",""),IF(ISNUMBER(FIND("PHG",Base_report!D1585,1)),SUBSTITUTE(Base_report!D1585,"PHG",""),IF(ISNUMBER(FIND("PCS",Base_report!D1585,1)),SUBSTITUTE(Base_report!D1585,"PCS",""),IF(ISNUMBER(FIND("CMU",Base_report!D1585,1)),SUBSTITUTE(Base_report!D1585,"CMU",""),Base_report!D1585)))))</f>
        <v>HOPITAL GENERAL ZOUAN HOUNIEN</v>
      </c>
      <c r="E1599" s="14" t="str">
        <f>SUBSTITUTE(Base_report!E1585,"-","/")</f>
        <v>PNLT/SENSIBLE MEDICAMENTS ET INTRANTS</v>
      </c>
      <c r="F1599" s="14" t="s">
        <v>788</v>
      </c>
      <c r="G1599" s="16">
        <f>DATE(YEAR(SUBSTITUTE(LEFT(Base_report!F1585,10),"-","/")),MONTH(SUBSTITUTE(LEFT(Base_report!F1585,10),"-","/")),DAY(SUBSTITUTE(LEFT(Base_report!F1585,10),"-","/")))</f>
        <v>45298</v>
      </c>
      <c r="H1599" s="16">
        <f>DATE(YEAR(SUBSTITUTE(LEFT(Base_report!G1585,10),"-","/")),MONTH(SUBSTITUTE(LEFT(Base_report!G1585,10),"-","/")),DAY(SUBSTITUTE(LEFT(Base_report!G1585,10),"-","/")))</f>
        <v>45298</v>
      </c>
      <c r="I1599" s="17" t="str">
        <f t="shared" si="1"/>
        <v>OUI</v>
      </c>
      <c r="J1599" s="18">
        <f>IF(L1599="DS",DATE(RIGHT(B1599,4),VLOOKUP(LEFT(B1599,LEN(B1599)-5),Feuil1!$E$3:$F$19,2,FALSE)+1,10),DATE(RIGHT(B1599,4),VLOOKUP(LEFT(B1599,LEN(B1599)-5),Feuil1!$E$3:$F$19,2,FALSE)+1,7))</f>
        <v>45298</v>
      </c>
      <c r="K1599" s="19">
        <f t="shared" si="2"/>
        <v>1</v>
      </c>
      <c r="L1599" s="6" t="str">
        <f t="shared" si="3"/>
        <v>FS</v>
      </c>
    </row>
    <row r="1600" ht="14.25" customHeight="1">
      <c r="A1600" s="14" t="str">
        <f>Base_report!A1586</f>
        <v>PORO</v>
      </c>
      <c r="B1600" s="14" t="str">
        <f>Base_report!B1586</f>
        <v>OCTOBRE DECEMBRE 2023</v>
      </c>
      <c r="C1600" s="15" t="str">
        <f>Base_report!C1586</f>
        <v>C3016</v>
      </c>
      <c r="D1600" s="14" t="str">
        <f>TRIM(IF(ISNUMBER(FIND("PNSME",Base_report!D1586,1)),SUBSTITUTE(Base_report!D1586,"PNSME",""),IF(ISNUMBER(FIND("PHG",Base_report!D1586,1)),SUBSTITUTE(Base_report!D1586,"PHG",""),IF(ISNUMBER(FIND("PCS",Base_report!D1586,1)),SUBSTITUTE(Base_report!D1586,"PCS",""),IF(ISNUMBER(FIND("CMU",Base_report!D1586,1)),SUBSTITUTE(Base_report!D1586,"CMU",""),Base_report!D1586)))))</f>
        <v>HOPITAL GENERAL MBENGUE</v>
      </c>
      <c r="E1600" s="14" t="str">
        <f>SUBSTITUTE(Base_report!E1586,"-","/")</f>
        <v>PNLT/SENSIBLE MEDICAMENTS ET INTRANTS</v>
      </c>
      <c r="F1600" s="14" t="s">
        <v>788</v>
      </c>
      <c r="G1600" s="16">
        <f>DATE(YEAR(SUBSTITUTE(LEFT(Base_report!F1586,10),"-","/")),MONTH(SUBSTITUTE(LEFT(Base_report!F1586,10),"-","/")),DAY(SUBSTITUTE(LEFT(Base_report!F1586,10),"-","/")))</f>
        <v>45298</v>
      </c>
      <c r="H1600" s="16">
        <f>DATE(YEAR(SUBSTITUTE(LEFT(Base_report!G1586,10),"-","/")),MONTH(SUBSTITUTE(LEFT(Base_report!G1586,10),"-","/")),DAY(SUBSTITUTE(LEFT(Base_report!G1586,10),"-","/")))</f>
        <v>45298</v>
      </c>
      <c r="I1600" s="17" t="str">
        <f t="shared" si="1"/>
        <v>OUI</v>
      </c>
      <c r="J1600" s="18">
        <f>IF(L1600="DS",DATE(RIGHT(B1600,4),VLOOKUP(LEFT(B1600,LEN(B1600)-5),Feuil1!$E$3:$F$19,2,FALSE)+1,10),DATE(RIGHT(B1600,4),VLOOKUP(LEFT(B1600,LEN(B1600)-5),Feuil1!$E$3:$F$19,2,FALSE)+1,7))</f>
        <v>45298</v>
      </c>
      <c r="K1600" s="19">
        <f t="shared" si="2"/>
        <v>1</v>
      </c>
      <c r="L1600" s="6" t="str">
        <f t="shared" si="3"/>
        <v>FS</v>
      </c>
    </row>
    <row r="1601" ht="14.25" customHeight="1">
      <c r="A1601" s="14" t="str">
        <f>Base_report!A1587</f>
        <v>GRANDS PONTS</v>
      </c>
      <c r="B1601" s="14" t="str">
        <f>Base_report!B1587</f>
        <v>OCTOBRE DECEMBRE 2023</v>
      </c>
      <c r="C1601" s="15" t="str">
        <f>Base_report!C1587</f>
        <v>C1102</v>
      </c>
      <c r="D1601" s="14" t="str">
        <f>TRIM(IF(ISNUMBER(FIND("PNSME",Base_report!D1587,1)),SUBSTITUTE(Base_report!D1587,"PNSME",""),IF(ISNUMBER(FIND("PHG",Base_report!D1587,1)),SUBSTITUTE(Base_report!D1587,"PHG",""),IF(ISNUMBER(FIND("PCS",Base_report!D1587,1)),SUBSTITUTE(Base_report!D1587,"PCS",""),IF(ISNUMBER(FIND("CMU",Base_report!D1587,1)),SUBSTITUTE(Base_report!D1587,"CMU",""),Base_report!D1587)))))</f>
        <v>HOPITAL METHODISTE DE DABOU</v>
      </c>
      <c r="E1601" s="14" t="str">
        <f>SUBSTITUTE(Base_report!E1587,"-","/")</f>
        <v>PNLT/SENSIBLE MEDICAMENTS ET INTRANTS</v>
      </c>
      <c r="F1601" s="14" t="s">
        <v>788</v>
      </c>
      <c r="G1601" s="16">
        <f>DATE(YEAR(SUBSTITUTE(LEFT(Base_report!F1587,10),"-","/")),MONTH(SUBSTITUTE(LEFT(Base_report!F1587,10),"-","/")),DAY(SUBSTITUTE(LEFT(Base_report!F1587,10),"-","/")))</f>
        <v>45294</v>
      </c>
      <c r="H1601" s="16">
        <f>DATE(YEAR(SUBSTITUTE(LEFT(Base_report!G1587,10),"-","/")),MONTH(SUBSTITUTE(LEFT(Base_report!G1587,10),"-","/")),DAY(SUBSTITUTE(LEFT(Base_report!G1587,10),"-","/")))</f>
        <v>45296</v>
      </c>
      <c r="I1601" s="17" t="str">
        <f t="shared" si="1"/>
        <v>OUI</v>
      </c>
      <c r="J1601" s="18">
        <f>IF(L1601="DS",DATE(RIGHT(B1601,4),VLOOKUP(LEFT(B1601,LEN(B1601)-5),Feuil1!$E$3:$F$19,2,FALSE)+1,10),DATE(RIGHT(B1601,4),VLOOKUP(LEFT(B1601,LEN(B1601)-5),Feuil1!$E$3:$F$19,2,FALSE)+1,7))</f>
        <v>45298</v>
      </c>
      <c r="K1601" s="19">
        <f t="shared" si="2"/>
        <v>1</v>
      </c>
      <c r="L1601" s="6" t="str">
        <f t="shared" si="3"/>
        <v>FS</v>
      </c>
    </row>
    <row r="1602" ht="14.25" customHeight="1">
      <c r="A1602" s="14" t="str">
        <f>Base_report!A1588</f>
        <v>ABIDJAN 1</v>
      </c>
      <c r="B1602" s="14" t="str">
        <f>Base_report!B1588</f>
        <v>OCTOBRE DECEMBRE 2023</v>
      </c>
      <c r="C1602" s="15" t="str">
        <f>Base_report!C1588</f>
        <v>C1078</v>
      </c>
      <c r="D1602" s="14" t="str">
        <f>TRIM(IF(ISNUMBER(FIND("PNSME",Base_report!D1588,1)),SUBSTITUTE(Base_report!D1588,"PNSME",""),IF(ISNUMBER(FIND("PHG",Base_report!D1588,1)),SUBSTITUTE(Base_report!D1588,"PHG",""),IF(ISNUMBER(FIND("PCS",Base_report!D1588,1)),SUBSTITUTE(Base_report!D1588,"PCS",""),IF(ISNUMBER(FIND("CMU",Base_report!D1588,1)),SUBSTITUTE(Base_report!D1588,"CMU",""),Base_report!D1588)))))</f>
        <v>FSU COM YOPOUGON TOIT ROUGE</v>
      </c>
      <c r="E1602" s="14" t="str">
        <f>SUBSTITUTE(Base_report!E1588,"-","/")</f>
        <v>PNLT/SENSIBLE MEDICAMENTS ET INTRANTS</v>
      </c>
      <c r="F1602" s="14" t="s">
        <v>788</v>
      </c>
      <c r="G1602" s="16">
        <f>DATE(YEAR(SUBSTITUTE(LEFT(Base_report!F1588,10),"-","/")),MONTH(SUBSTITUTE(LEFT(Base_report!F1588,10),"-","/")),DAY(SUBSTITUTE(LEFT(Base_report!F1588,10),"-","/")))</f>
        <v>45293</v>
      </c>
      <c r="H1602" s="16">
        <f>DATE(YEAR(SUBSTITUTE(LEFT(Base_report!G1588,10),"-","/")),MONTH(SUBSTITUTE(LEFT(Base_report!G1588,10),"-","/")),DAY(SUBSTITUTE(LEFT(Base_report!G1588,10),"-","/")))</f>
        <v>45296</v>
      </c>
      <c r="I1602" s="17" t="str">
        <f t="shared" si="1"/>
        <v>OUI</v>
      </c>
      <c r="J1602" s="18">
        <f>IF(L1602="DS",DATE(RIGHT(B1602,4),VLOOKUP(LEFT(B1602,LEN(B1602)-5),Feuil1!$E$3:$F$19,2,FALSE)+1,10),DATE(RIGHT(B1602,4),VLOOKUP(LEFT(B1602,LEN(B1602)-5),Feuil1!$E$3:$F$19,2,FALSE)+1,7))</f>
        <v>45298</v>
      </c>
      <c r="K1602" s="19">
        <f t="shared" si="2"/>
        <v>1</v>
      </c>
      <c r="L1602" s="6" t="str">
        <f t="shared" si="3"/>
        <v>FS</v>
      </c>
    </row>
    <row r="1603" ht="14.25" customHeight="1">
      <c r="A1603" s="14" t="str">
        <f>Base_report!A1589</f>
        <v>ABIDJAN 1</v>
      </c>
      <c r="B1603" s="14" t="str">
        <f>Base_report!B1589</f>
        <v>OCTOBRE DECEMBRE 2023</v>
      </c>
      <c r="C1603" s="15" t="str">
        <f>Base_report!C1589</f>
        <v>C1074</v>
      </c>
      <c r="D1603" s="14" t="str">
        <f>TRIM(IF(ISNUMBER(FIND("PNSME",Base_report!D1589,1)),SUBSTITUTE(Base_report!D1589,"PNSME",""),IF(ISNUMBER(FIND("PHG",Base_report!D1589,1)),SUBSTITUTE(Base_report!D1589,"PHG",""),IF(ISNUMBER(FIND("PCS",Base_report!D1589,1)),SUBSTITUTE(Base_report!D1589,"PCS",""),IF(ISNUMBER(FIND("CMU",Base_report!D1589,1)),SUBSTITUTE(Base_report!D1589,"CMU",""),Base_report!D1589)))))</f>
        <v>FSU COM YOPOUGON GESCO</v>
      </c>
      <c r="E1603" s="14" t="str">
        <f>SUBSTITUTE(Base_report!E1589,"-","/")</f>
        <v>PNLT/SENSIBLE MEDICAMENTS ET INTRANTS</v>
      </c>
      <c r="F1603" s="14" t="s">
        <v>788</v>
      </c>
      <c r="G1603" s="16">
        <f>DATE(YEAR(SUBSTITUTE(LEFT(Base_report!F1589,10),"-","/")),MONTH(SUBSTITUTE(LEFT(Base_report!F1589,10),"-","/")),DAY(SUBSTITUTE(LEFT(Base_report!F1589,10),"-","/")))</f>
        <v>45294</v>
      </c>
      <c r="H1603" s="16">
        <f>DATE(YEAR(SUBSTITUTE(LEFT(Base_report!G1589,10),"-","/")),MONTH(SUBSTITUTE(LEFT(Base_report!G1589,10),"-","/")),DAY(SUBSTITUTE(LEFT(Base_report!G1589,10),"-","/")))</f>
        <v>45294</v>
      </c>
      <c r="I1603" s="17" t="str">
        <f t="shared" si="1"/>
        <v>OUI</v>
      </c>
      <c r="J1603" s="18">
        <f>IF(L1603="DS",DATE(RIGHT(B1603,4),VLOOKUP(LEFT(B1603,LEN(B1603)-5),Feuil1!$E$3:$F$19,2,FALSE)+1,10),DATE(RIGHT(B1603,4),VLOOKUP(LEFT(B1603,LEN(B1603)-5),Feuil1!$E$3:$F$19,2,FALSE)+1,7))</f>
        <v>45298</v>
      </c>
      <c r="K1603" s="19">
        <f t="shared" si="2"/>
        <v>1</v>
      </c>
      <c r="L1603" s="6" t="str">
        <f t="shared" si="3"/>
        <v>FS</v>
      </c>
    </row>
    <row r="1604" ht="14.25" customHeight="1">
      <c r="A1604" s="14" t="str">
        <f>Base_report!A1590</f>
        <v>GUEMON</v>
      </c>
      <c r="B1604" s="14" t="str">
        <f>Base_report!B1590</f>
        <v>OCTOBRE DECEMBRE 2023</v>
      </c>
      <c r="C1604" s="15" t="str">
        <f>Base_report!C1590</f>
        <v>C5010</v>
      </c>
      <c r="D1604" s="14" t="str">
        <f>TRIM(IF(ISNUMBER(FIND("PNSME",Base_report!D1590,1)),SUBSTITUTE(Base_report!D1590,"PNSME",""),IF(ISNUMBER(FIND("PHG",Base_report!D1590,1)),SUBSTITUTE(Base_report!D1590,"PHG",""),IF(ISNUMBER(FIND("PCS",Base_report!D1590,1)),SUBSTITUTE(Base_report!D1590,"PCS",""),IF(ISNUMBER(FIND("CMU",Base_report!D1590,1)),SUBSTITUTE(Base_report!D1590,"CMU",""),Base_report!D1590)))))</f>
        <v>DISTRICT SANITAIRE DUEKOUE</v>
      </c>
      <c r="E1604" s="14" t="str">
        <f>SUBSTITUTE(Base_report!E1590,"-","/")</f>
        <v>PNLT/SENSIBLE MEDICAMENTS ET INTRANTS</v>
      </c>
      <c r="F1604" s="14" t="s">
        <v>788</v>
      </c>
      <c r="G1604" s="16">
        <f>DATE(YEAR(SUBSTITUTE(LEFT(Base_report!F1590,10),"-","/")),MONTH(SUBSTITUTE(LEFT(Base_report!F1590,10),"-","/")),DAY(SUBSTITUTE(LEFT(Base_report!F1590,10),"-","/")))</f>
        <v>45301</v>
      </c>
      <c r="H1604" s="16">
        <f>DATE(YEAR(SUBSTITUTE(LEFT(Base_report!G1590,10),"-","/")),MONTH(SUBSTITUTE(LEFT(Base_report!G1590,10),"-","/")),DAY(SUBSTITUTE(LEFT(Base_report!G1590,10),"-","/")))</f>
        <v>45301</v>
      </c>
      <c r="I1604" s="17" t="str">
        <f t="shared" si="1"/>
        <v>OUI</v>
      </c>
      <c r="J1604" s="18">
        <f>IF(L1604="DS",DATE(RIGHT(B1604,4),VLOOKUP(LEFT(B1604,LEN(B1604)-5),Feuil1!$E$3:$F$19,2,FALSE)+1,10),DATE(RIGHT(B1604,4),VLOOKUP(LEFT(B1604,LEN(B1604)-5),Feuil1!$E$3:$F$19,2,FALSE)+1,7))</f>
        <v>45301</v>
      </c>
      <c r="K1604" s="19">
        <f t="shared" si="2"/>
        <v>1</v>
      </c>
      <c r="L1604" s="6" t="str">
        <f t="shared" si="3"/>
        <v>DS</v>
      </c>
    </row>
    <row r="1605" ht="14.25" customHeight="1">
      <c r="A1605" s="14" t="str">
        <f>Base_report!A1591</f>
        <v>ABIDJAN 2</v>
      </c>
      <c r="B1605" s="14" t="str">
        <f>Base_report!B1591</f>
        <v>OCTOBRE DECEMBRE 2023</v>
      </c>
      <c r="C1605" s="15" t="str">
        <f>Base_report!C1591</f>
        <v>C1749</v>
      </c>
      <c r="D1605" s="14" t="str">
        <f>TRIM(IF(ISNUMBER(FIND("PNSME",Base_report!D1591,1)),SUBSTITUTE(Base_report!D1591,"PNSME",""),IF(ISNUMBER(FIND("PHG",Base_report!D1591,1)),SUBSTITUTE(Base_report!D1591,"PHG",""),IF(ISNUMBER(FIND("PCS",Base_report!D1591,1)),SUBSTITUTE(Base_report!D1591,"PCS",""),IF(ISNUMBER(FIND("CMU",Base_report!D1591,1)),SUBSTITUTE(Base_report!D1591,"CMU",""),Base_report!D1591)))))</f>
        <v>CENTRE ANTITUBERCULEUX BINGERVILLE</v>
      </c>
      <c r="E1605" s="14" t="str">
        <f>SUBSTITUTE(Base_report!E1591,"-","/")</f>
        <v>PNLT/SENSIBLE MEDICAMENTS ET INTRANTS</v>
      </c>
      <c r="F1605" s="14" t="s">
        <v>788</v>
      </c>
      <c r="G1605" s="16">
        <f>DATE(YEAR(SUBSTITUTE(LEFT(Base_report!F1591,10),"-","/")),MONTH(SUBSTITUTE(LEFT(Base_report!F1591,10),"-","/")),DAY(SUBSTITUTE(LEFT(Base_report!F1591,10),"-","/")))</f>
        <v>45295</v>
      </c>
      <c r="H1605" s="16">
        <f>DATE(YEAR(SUBSTITUTE(LEFT(Base_report!G1591,10),"-","/")),MONTH(SUBSTITUTE(LEFT(Base_report!G1591,10),"-","/")),DAY(SUBSTITUTE(LEFT(Base_report!G1591,10),"-","/")))</f>
        <v>45295</v>
      </c>
      <c r="I1605" s="17" t="str">
        <f t="shared" si="1"/>
        <v>OUI</v>
      </c>
      <c r="J1605" s="18">
        <f>IF(L1605="DS",DATE(RIGHT(B1605,4),VLOOKUP(LEFT(B1605,LEN(B1605)-5),Feuil1!$E$3:$F$19,2,FALSE)+1,10),DATE(RIGHT(B1605,4),VLOOKUP(LEFT(B1605,LEN(B1605)-5),Feuil1!$E$3:$F$19,2,FALSE)+1,7))</f>
        <v>45298</v>
      </c>
      <c r="K1605" s="19">
        <f t="shared" si="2"/>
        <v>1</v>
      </c>
      <c r="L1605" s="6" t="str">
        <f t="shared" si="3"/>
        <v>FS</v>
      </c>
    </row>
    <row r="1606" ht="14.25" customHeight="1">
      <c r="A1606" s="14" t="str">
        <f>Base_report!A1592</f>
        <v>GOH</v>
      </c>
      <c r="B1606" s="14" t="str">
        <f>Base_report!B1592</f>
        <v>OCTOBRE DECEMBRE 2023</v>
      </c>
      <c r="C1606" s="15" t="str">
        <f>Base_report!C1592</f>
        <v>C2001</v>
      </c>
      <c r="D1606" s="14" t="str">
        <f>TRIM(IF(ISNUMBER(FIND("PNSME",Base_report!D1592,1)),SUBSTITUTE(Base_report!D1592,"PNSME",""),IF(ISNUMBER(FIND("PHG",Base_report!D1592,1)),SUBSTITUTE(Base_report!D1592,"PHG",""),IF(ISNUMBER(FIND("PCS",Base_report!D1592,1)),SUBSTITUTE(Base_report!D1592,"PCS",""),IF(ISNUMBER(FIND("CMU",Base_report!D1592,1)),SUBSTITUTE(Base_report!D1592,"CMU",""),Base_report!D1592)))))</f>
        <v>CENTRE ANTITUBERCULEUX GAGNOA</v>
      </c>
      <c r="E1606" s="14" t="str">
        <f>SUBSTITUTE(Base_report!E1592,"-","/")</f>
        <v>PNLT/PRODUITS DE LABORATOIRE</v>
      </c>
      <c r="F1606" s="14" t="s">
        <v>788</v>
      </c>
      <c r="G1606" s="16">
        <f>DATE(YEAR(SUBSTITUTE(LEFT(Base_report!F1592,10),"-","/")),MONTH(SUBSTITUTE(LEFT(Base_report!F1592,10),"-","/")),DAY(SUBSTITUTE(LEFT(Base_report!F1592,10),"-","/")))</f>
        <v>45296</v>
      </c>
      <c r="H1606" s="16">
        <f>DATE(YEAR(SUBSTITUTE(LEFT(Base_report!G1592,10),"-","/")),MONTH(SUBSTITUTE(LEFT(Base_report!G1592,10),"-","/")),DAY(SUBSTITUTE(LEFT(Base_report!G1592,10),"-","/")))</f>
        <v>45296</v>
      </c>
      <c r="I1606" s="17" t="str">
        <f t="shared" si="1"/>
        <v>OUI</v>
      </c>
      <c r="J1606" s="18">
        <f>IF(L1606="DS",DATE(RIGHT(B1606,4),VLOOKUP(LEFT(B1606,LEN(B1606)-5),Feuil1!$E$3:$F$19,2,FALSE)+1,10),DATE(RIGHT(B1606,4),VLOOKUP(LEFT(B1606,LEN(B1606)-5),Feuil1!$E$3:$F$19,2,FALSE)+1,7))</f>
        <v>45298</v>
      </c>
      <c r="K1606" s="19">
        <f t="shared" si="2"/>
        <v>1</v>
      </c>
      <c r="L1606" s="6" t="str">
        <f t="shared" si="3"/>
        <v>FS</v>
      </c>
    </row>
    <row r="1607" ht="14.25" customHeight="1">
      <c r="A1607" s="14" t="str">
        <f>Base_report!A1593</f>
        <v>ME</v>
      </c>
      <c r="B1607" s="14" t="str">
        <f>Base_report!B1593</f>
        <v>OCTOBRE DECEMBRE 2023</v>
      </c>
      <c r="C1607" s="15" t="str">
        <f>Base_report!C1593</f>
        <v>C4038</v>
      </c>
      <c r="D1607" s="14" t="str">
        <f>TRIM(IF(ISNUMBER(FIND("PNSME",Base_report!D1593,1)),SUBSTITUTE(Base_report!D1593,"PNSME",""),IF(ISNUMBER(FIND("PHG",Base_report!D1593,1)),SUBSTITUTE(Base_report!D1593,"PHG",""),IF(ISNUMBER(FIND("PCS",Base_report!D1593,1)),SUBSTITUTE(Base_report!D1593,"PCS",""),IF(ISNUMBER(FIND("CMU",Base_report!D1593,1)),SUBSTITUTE(Base_report!D1593,"CMU",""),Base_report!D1593)))))</f>
        <v>HOPITAL GENERAL AFFERY</v>
      </c>
      <c r="E1607" s="14" t="str">
        <f>SUBSTITUTE(Base_report!E1593,"-","/")</f>
        <v>PNLT/SENSIBLE MEDICAMENTS ET INTRANTS</v>
      </c>
      <c r="F1607" s="14" t="s">
        <v>788</v>
      </c>
      <c r="G1607" s="16">
        <f>DATE(YEAR(SUBSTITUTE(LEFT(Base_report!F1593,10),"-","/")),MONTH(SUBSTITUTE(LEFT(Base_report!F1593,10),"-","/")),DAY(SUBSTITUTE(LEFT(Base_report!F1593,10),"-","/")))</f>
        <v>45294</v>
      </c>
      <c r="H1607" s="16">
        <f>DATE(YEAR(SUBSTITUTE(LEFT(Base_report!G1593,10),"-","/")),MONTH(SUBSTITUTE(LEFT(Base_report!G1593,10),"-","/")),DAY(SUBSTITUTE(LEFT(Base_report!G1593,10),"-","/")))</f>
        <v>45295</v>
      </c>
      <c r="I1607" s="17" t="str">
        <f t="shared" si="1"/>
        <v>OUI</v>
      </c>
      <c r="J1607" s="18">
        <f>IF(L1607="DS",DATE(RIGHT(B1607,4),VLOOKUP(LEFT(B1607,LEN(B1607)-5),Feuil1!$E$3:$F$19,2,FALSE)+1,10),DATE(RIGHT(B1607,4),VLOOKUP(LEFT(B1607,LEN(B1607)-5),Feuil1!$E$3:$F$19,2,FALSE)+1,7))</f>
        <v>45298</v>
      </c>
      <c r="K1607" s="19">
        <f t="shared" si="2"/>
        <v>1</v>
      </c>
      <c r="L1607" s="6" t="str">
        <f t="shared" si="3"/>
        <v>FS</v>
      </c>
    </row>
    <row r="1608" ht="14.25" customHeight="1">
      <c r="A1608" s="14" t="str">
        <f>Base_report!A1594</f>
        <v>LOH-DJIBOUA</v>
      </c>
      <c r="B1608" s="14" t="str">
        <f>Base_report!B1594</f>
        <v>OCTOBRE DECEMBRE 2023</v>
      </c>
      <c r="C1608" s="15" t="str">
        <f>Base_report!C1594</f>
        <v>C2016</v>
      </c>
      <c r="D1608" s="14" t="str">
        <f>TRIM(IF(ISNUMBER(FIND("PNSME",Base_report!D1594,1)),SUBSTITUTE(Base_report!D1594,"PNSME",""),IF(ISNUMBER(FIND("PHG",Base_report!D1594,1)),SUBSTITUTE(Base_report!D1594,"PHG",""),IF(ISNUMBER(FIND("PCS",Base_report!D1594,1)),SUBSTITUTE(Base_report!D1594,"PCS",""),IF(ISNUMBER(FIND("CMU",Base_report!D1594,1)),SUBSTITUTE(Base_report!D1594,"CMU",""),Base_report!D1594)))))</f>
        <v>CSU HIRE</v>
      </c>
      <c r="E1608" s="14" t="str">
        <f>SUBSTITUTE(Base_report!E1594,"-","/")</f>
        <v>PNLT/SENSIBLE MEDICAMENTS ET INTRANTS</v>
      </c>
      <c r="F1608" s="14" t="s">
        <v>788</v>
      </c>
      <c r="G1608" s="16">
        <f>DATE(YEAR(SUBSTITUTE(LEFT(Base_report!F1594,10),"-","/")),MONTH(SUBSTITUTE(LEFT(Base_report!F1594,10),"-","/")),DAY(SUBSTITUTE(LEFT(Base_report!F1594,10),"-","/")))</f>
        <v>45296</v>
      </c>
      <c r="H1608" s="16">
        <f>DATE(YEAR(SUBSTITUTE(LEFT(Base_report!G1594,10),"-","/")),MONTH(SUBSTITUTE(LEFT(Base_report!G1594,10),"-","/")),DAY(SUBSTITUTE(LEFT(Base_report!G1594,10),"-","/")))</f>
        <v>45300</v>
      </c>
      <c r="I1608" s="17" t="str">
        <f t="shared" si="1"/>
        <v>OUI</v>
      </c>
      <c r="J1608" s="18">
        <f>IF(L1608="DS",DATE(RIGHT(B1608,4),VLOOKUP(LEFT(B1608,LEN(B1608)-5),Feuil1!$E$3:$F$19,2,FALSE)+1,10),DATE(RIGHT(B1608,4),VLOOKUP(LEFT(B1608,LEN(B1608)-5),Feuil1!$E$3:$F$19,2,FALSE)+1,7))</f>
        <v>45298</v>
      </c>
      <c r="K1608" s="19">
        <f t="shared" si="2"/>
        <v>0</v>
      </c>
      <c r="L1608" s="6" t="str">
        <f t="shared" si="3"/>
        <v>FS</v>
      </c>
    </row>
    <row r="1609" ht="14.25" customHeight="1">
      <c r="A1609" s="14" t="str">
        <f>Base_report!A1595</f>
        <v>ABIDJAN 2</v>
      </c>
      <c r="B1609" s="14" t="str">
        <f>Base_report!B1595</f>
        <v>OCTOBRE DECEMBRE 2023</v>
      </c>
      <c r="C1609" s="15" t="str">
        <f>Base_report!C1595</f>
        <v>C1055</v>
      </c>
      <c r="D1609" s="14" t="str">
        <f>TRIM(IF(ISNUMBER(FIND("PNSME",Base_report!D1595,1)),SUBSTITUTE(Base_report!D1595,"PNSME",""),IF(ISNUMBER(FIND("PHG",Base_report!D1595,1)),SUBSTITUTE(Base_report!D1595,"PHG",""),IF(ISNUMBER(FIND("PCS",Base_report!D1595,1)),SUBSTITUTE(Base_report!D1595,"PCS",""),IF(ISNUMBER(FIND("CMU",Base_report!D1595,1)),SUBSTITUTE(Base_report!D1595,"CMU",""),Base_report!D1595)))))</f>
        <v>FSU BLOCKHAUSS</v>
      </c>
      <c r="E1609" s="14" t="str">
        <f>SUBSTITUTE(Base_report!E1595,"-","/")</f>
        <v>PNLT/SENSIBLE MEDICAMENTS ET INTRANTS</v>
      </c>
      <c r="F1609" s="14" t="s">
        <v>788</v>
      </c>
      <c r="G1609" s="16">
        <f>DATE(YEAR(SUBSTITUTE(LEFT(Base_report!F1595,10),"-","/")),MONTH(SUBSTITUTE(LEFT(Base_report!F1595,10),"-","/")),DAY(SUBSTITUTE(LEFT(Base_report!F1595,10),"-","/")))</f>
        <v>45298</v>
      </c>
      <c r="H1609" s="16">
        <f>DATE(YEAR(SUBSTITUTE(LEFT(Base_report!G1595,10),"-","/")),MONTH(SUBSTITUTE(LEFT(Base_report!G1595,10),"-","/")),DAY(SUBSTITUTE(LEFT(Base_report!G1595,10),"-","/")))</f>
        <v>45299</v>
      </c>
      <c r="I1609" s="17" t="str">
        <f t="shared" si="1"/>
        <v>OUI</v>
      </c>
      <c r="J1609" s="18">
        <f>IF(L1609="DS",DATE(RIGHT(B1609,4),VLOOKUP(LEFT(B1609,LEN(B1609)-5),Feuil1!$E$3:$F$19,2,FALSE)+1,10),DATE(RIGHT(B1609,4),VLOOKUP(LEFT(B1609,LEN(B1609)-5),Feuil1!$E$3:$F$19,2,FALSE)+1,7))</f>
        <v>45298</v>
      </c>
      <c r="K1609" s="19">
        <f t="shared" si="2"/>
        <v>0</v>
      </c>
      <c r="L1609" s="6" t="str">
        <f t="shared" si="3"/>
        <v>FS</v>
      </c>
    </row>
    <row r="1610" ht="14.25" customHeight="1">
      <c r="A1610" s="14" t="str">
        <f>Base_report!A1596</f>
        <v>PORO</v>
      </c>
      <c r="B1610" s="14" t="str">
        <f>Base_report!B1596</f>
        <v>OCTOBRE DECEMBRE 2023</v>
      </c>
      <c r="C1610" s="15" t="str">
        <f>Base_report!C1596</f>
        <v>C3057</v>
      </c>
      <c r="D1610" s="14" t="str">
        <f>TRIM(IF(ISNUMBER(FIND("PNSME",Base_report!D1596,1)),SUBSTITUTE(Base_report!D1596,"PNSME",""),IF(ISNUMBER(FIND("PHG",Base_report!D1596,1)),SUBSTITUTE(Base_report!D1596,"PHG",""),IF(ISNUMBER(FIND("PCS",Base_report!D1596,1)),SUBSTITUTE(Base_report!D1596,"PCS",""),IF(ISNUMBER(FIND("CMU",Base_report!D1596,1)),SUBSTITUTE(Base_report!D1596,"CMU",""),Base_report!D1596)))))</f>
        <v>DISTRICT SANITAIRE SINEMATIALI</v>
      </c>
      <c r="E1610" s="14" t="str">
        <f>SUBSTITUTE(Base_report!E1596,"-","/")</f>
        <v>PNLT/PRODUITS DE LABORATOIRE</v>
      </c>
      <c r="F1610" s="14" t="s">
        <v>788</v>
      </c>
      <c r="G1610" s="16">
        <f>DATE(YEAR(SUBSTITUTE(LEFT(Base_report!F1596,10),"-","/")),MONTH(SUBSTITUTE(LEFT(Base_report!F1596,10),"-","/")),DAY(SUBSTITUTE(LEFT(Base_report!F1596,10),"-","/")))</f>
        <v>45300</v>
      </c>
      <c r="H1610" s="16">
        <f>DATE(YEAR(SUBSTITUTE(LEFT(Base_report!G1596,10),"-","/")),MONTH(SUBSTITUTE(LEFT(Base_report!G1596,10),"-","/")),DAY(SUBSTITUTE(LEFT(Base_report!G1596,10),"-","/")))</f>
        <v>45300</v>
      </c>
      <c r="I1610" s="17" t="str">
        <f t="shared" si="1"/>
        <v>OUI</v>
      </c>
      <c r="J1610" s="18">
        <f>IF(L1610="DS",DATE(RIGHT(B1610,4),VLOOKUP(LEFT(B1610,LEN(B1610)-5),Feuil1!$E$3:$F$19,2,FALSE)+1,10),DATE(RIGHT(B1610,4),VLOOKUP(LEFT(B1610,LEN(B1610)-5),Feuil1!$E$3:$F$19,2,FALSE)+1,7))</f>
        <v>45301</v>
      </c>
      <c r="K1610" s="19">
        <f t="shared" si="2"/>
        <v>1</v>
      </c>
      <c r="L1610" s="6" t="str">
        <f t="shared" si="3"/>
        <v>DS</v>
      </c>
    </row>
    <row r="1611" ht="14.25" customHeight="1">
      <c r="A1611" s="14" t="str">
        <f>Base_report!A1597</f>
        <v>MARAHOUE</v>
      </c>
      <c r="B1611" s="14" t="str">
        <f>Base_report!B1597</f>
        <v>OCTOBRE DECEMBRE 2023</v>
      </c>
      <c r="C1611" s="15" t="str">
        <f>Base_report!C1597</f>
        <v>C2191</v>
      </c>
      <c r="D1611" s="14" t="str">
        <f>TRIM(IF(ISNUMBER(FIND("PNSME",Base_report!D1597,1)),SUBSTITUTE(Base_report!D1597,"PNSME",""),IF(ISNUMBER(FIND("PHG",Base_report!D1597,1)),SUBSTITUTE(Base_report!D1597,"PHG",""),IF(ISNUMBER(FIND("PCS",Base_report!D1597,1)),SUBSTITUTE(Base_report!D1597,"PCS",""),IF(ISNUMBER(FIND("CMU",Base_report!D1597,1)),SUBSTITUTE(Base_report!D1597,"CMU",""),Base_report!D1597)))))</f>
        <v>CENTRE ANTITUBERCULEUX BOUAFLE</v>
      </c>
      <c r="E1611" s="14" t="str">
        <f>SUBSTITUTE(Base_report!E1597,"-","/")</f>
        <v>PNLT/PRODUITS DE LABORATOIRE</v>
      </c>
      <c r="F1611" s="14" t="s">
        <v>788</v>
      </c>
      <c r="G1611" s="16">
        <f>DATE(YEAR(SUBSTITUTE(LEFT(Base_report!F1597,10),"-","/")),MONTH(SUBSTITUTE(LEFT(Base_report!F1597,10),"-","/")),DAY(SUBSTITUTE(LEFT(Base_report!F1597,10),"-","/")))</f>
        <v>45298</v>
      </c>
      <c r="H1611" s="16">
        <f>DATE(YEAR(SUBSTITUTE(LEFT(Base_report!G1597,10),"-","/")),MONTH(SUBSTITUTE(LEFT(Base_report!G1597,10),"-","/")),DAY(SUBSTITUTE(LEFT(Base_report!G1597,10),"-","/")))</f>
        <v>45298</v>
      </c>
      <c r="I1611" s="17" t="str">
        <f t="shared" si="1"/>
        <v>OUI</v>
      </c>
      <c r="J1611" s="18">
        <f>IF(L1611="DS",DATE(RIGHT(B1611,4),VLOOKUP(LEFT(B1611,LEN(B1611)-5),Feuil1!$E$3:$F$19,2,FALSE)+1,10),DATE(RIGHT(B1611,4),VLOOKUP(LEFT(B1611,LEN(B1611)-5),Feuil1!$E$3:$F$19,2,FALSE)+1,7))</f>
        <v>45298</v>
      </c>
      <c r="K1611" s="19">
        <f t="shared" si="2"/>
        <v>1</v>
      </c>
      <c r="L1611" s="6" t="str">
        <f t="shared" si="3"/>
        <v>FS</v>
      </c>
    </row>
    <row r="1612" ht="14.25" customHeight="1">
      <c r="A1612" s="14" t="str">
        <f>Base_report!A1598</f>
        <v>BAFING</v>
      </c>
      <c r="B1612" s="14" t="str">
        <f>Base_report!B1598</f>
        <v>OCTOBRE DECEMBRE 2023</v>
      </c>
      <c r="C1612" s="15" t="str">
        <f>Base_report!C1598</f>
        <v>C5076</v>
      </c>
      <c r="D1612" s="14" t="str">
        <f>TRIM(IF(ISNUMBER(FIND("PNSME",Base_report!D1598,1)),SUBSTITUTE(Base_report!D1598,"PNSME",""),IF(ISNUMBER(FIND("PHG",Base_report!D1598,1)),SUBSTITUTE(Base_report!D1598,"PHG",""),IF(ISNUMBER(FIND("PCS",Base_report!D1598,1)),SUBSTITUTE(Base_report!D1598,"PCS",""),IF(ISNUMBER(FIND("CMU",Base_report!D1598,1)),SUBSTITUTE(Base_report!D1598,"CMU",""),Base_report!D1598)))))</f>
        <v>HOPITAL GENERAL KORO</v>
      </c>
      <c r="E1612" s="14" t="str">
        <f>SUBSTITUTE(Base_report!E1598,"-","/")</f>
        <v>PNLT/SENSIBLE MEDICAMENTS ET INTRANTS</v>
      </c>
      <c r="F1612" s="14" t="s">
        <v>788</v>
      </c>
      <c r="G1612" s="16">
        <f>DATE(YEAR(SUBSTITUTE(LEFT(Base_report!F1598,10),"-","/")),MONTH(SUBSTITUTE(LEFT(Base_report!F1598,10),"-","/")),DAY(SUBSTITUTE(LEFT(Base_report!F1598,10),"-","/")))</f>
        <v>45298</v>
      </c>
      <c r="H1612" s="16">
        <f>DATE(YEAR(SUBSTITUTE(LEFT(Base_report!G1598,10),"-","/")),MONTH(SUBSTITUTE(LEFT(Base_report!G1598,10),"-","/")),DAY(SUBSTITUTE(LEFT(Base_report!G1598,10),"-","/")))</f>
        <v>45298</v>
      </c>
      <c r="I1612" s="17" t="str">
        <f t="shared" si="1"/>
        <v>OUI</v>
      </c>
      <c r="J1612" s="18">
        <f>IF(L1612="DS",DATE(RIGHT(B1612,4),VLOOKUP(LEFT(B1612,LEN(B1612)-5),Feuil1!$E$3:$F$19,2,FALSE)+1,10),DATE(RIGHT(B1612,4),VLOOKUP(LEFT(B1612,LEN(B1612)-5),Feuil1!$E$3:$F$19,2,FALSE)+1,7))</f>
        <v>45298</v>
      </c>
      <c r="K1612" s="19">
        <f t="shared" si="2"/>
        <v>1</v>
      </c>
      <c r="L1612" s="6" t="str">
        <f t="shared" si="3"/>
        <v>FS</v>
      </c>
    </row>
    <row r="1613" ht="14.25" customHeight="1">
      <c r="A1613" s="14" t="str">
        <f>Base_report!A1599</f>
        <v>WORODOUGOU</v>
      </c>
      <c r="B1613" s="14" t="str">
        <f>Base_report!B1599</f>
        <v>OCTOBRE DECEMBRE 2023</v>
      </c>
      <c r="C1613" s="15" t="str">
        <f>Base_report!C1599</f>
        <v>C2193</v>
      </c>
      <c r="D1613" s="14" t="str">
        <f>TRIM(IF(ISNUMBER(FIND("PNSME",Base_report!D1599,1)),SUBSTITUTE(Base_report!D1599,"PNSME",""),IF(ISNUMBER(FIND("PHG",Base_report!D1599,1)),SUBSTITUTE(Base_report!D1599,"PHG",""),IF(ISNUMBER(FIND("PCS",Base_report!D1599,1)),SUBSTITUTE(Base_report!D1599,"PCS",""),IF(ISNUMBER(FIND("CMU",Base_report!D1599,1)),SUBSTITUTE(Base_report!D1599,"CMU",""),Base_report!D1599)))))</f>
        <v>CENTRE ANTITUBERCULEUX SEGUELA</v>
      </c>
      <c r="E1613" s="14" t="str">
        <f>SUBSTITUTE(Base_report!E1599,"-","/")</f>
        <v>PNLT/PRODUITS DE LABORATOIRE</v>
      </c>
      <c r="F1613" s="14" t="s">
        <v>788</v>
      </c>
      <c r="G1613" s="16">
        <f>DATE(YEAR(SUBSTITUTE(LEFT(Base_report!F1599,10),"-","/")),MONTH(SUBSTITUTE(LEFT(Base_report!F1599,10),"-","/")),DAY(SUBSTITUTE(LEFT(Base_report!F1599,10),"-","/")))</f>
        <v>45298</v>
      </c>
      <c r="H1613" s="16">
        <f>DATE(YEAR(SUBSTITUTE(LEFT(Base_report!G1599,10),"-","/")),MONTH(SUBSTITUTE(LEFT(Base_report!G1599,10),"-","/")),DAY(SUBSTITUTE(LEFT(Base_report!G1599,10),"-","/")))</f>
        <v>45298</v>
      </c>
      <c r="I1613" s="17" t="str">
        <f t="shared" si="1"/>
        <v>OUI</v>
      </c>
      <c r="J1613" s="18">
        <f>IF(L1613="DS",DATE(RIGHT(B1613,4),VLOOKUP(LEFT(B1613,LEN(B1613)-5),Feuil1!$E$3:$F$19,2,FALSE)+1,10),DATE(RIGHT(B1613,4),VLOOKUP(LEFT(B1613,LEN(B1613)-5),Feuil1!$E$3:$F$19,2,FALSE)+1,7))</f>
        <v>45298</v>
      </c>
      <c r="K1613" s="19">
        <f t="shared" si="2"/>
        <v>1</v>
      </c>
      <c r="L1613" s="6" t="str">
        <f t="shared" si="3"/>
        <v>FS</v>
      </c>
    </row>
    <row r="1614" ht="14.25" customHeight="1">
      <c r="A1614" s="14" t="str">
        <f>Base_report!A1600</f>
        <v>GONTOUGO</v>
      </c>
      <c r="B1614" s="14" t="str">
        <f>Base_report!B1600</f>
        <v>OCTOBRE DECEMBRE 2023</v>
      </c>
      <c r="C1614" s="15" t="str">
        <f>Base_report!C1600</f>
        <v>C4013</v>
      </c>
      <c r="D1614" s="14" t="str">
        <f>TRIM(IF(ISNUMBER(FIND("PNSME",Base_report!D1600,1)),SUBSTITUTE(Base_report!D1600,"PNSME",""),IF(ISNUMBER(FIND("PHG",Base_report!D1600,1)),SUBSTITUTE(Base_report!D1600,"PHG",""),IF(ISNUMBER(FIND("PCS",Base_report!D1600,1)),SUBSTITUTE(Base_report!D1600,"PCS",""),IF(ISNUMBER(FIND("CMU",Base_report!D1600,1)),SUBSTITUTE(Base_report!D1600,"CMU",""),Base_report!D1600)))))</f>
        <v>DISTRICT SANITAIRE TANDA</v>
      </c>
      <c r="E1614" s="14" t="str">
        <f>SUBSTITUTE(Base_report!E1600,"-","/")</f>
        <v>PNLT/SENSIBLE MEDICAMENTS ET INTRANTS</v>
      </c>
      <c r="F1614" s="14" t="s">
        <v>788</v>
      </c>
      <c r="G1614" s="16">
        <f>DATE(YEAR(SUBSTITUTE(LEFT(Base_report!F1600,10),"-","/")),MONTH(SUBSTITUTE(LEFT(Base_report!F1600,10),"-","/")),DAY(SUBSTITUTE(LEFT(Base_report!F1600,10),"-","/")))</f>
        <v>45300</v>
      </c>
      <c r="H1614" s="16">
        <f>DATE(YEAR(SUBSTITUTE(LEFT(Base_report!G1600,10),"-","/")),MONTH(SUBSTITUTE(LEFT(Base_report!G1600,10),"-","/")),DAY(SUBSTITUTE(LEFT(Base_report!G1600,10),"-","/")))</f>
        <v>45301</v>
      </c>
      <c r="I1614" s="17" t="str">
        <f t="shared" si="1"/>
        <v>OUI</v>
      </c>
      <c r="J1614" s="18">
        <f>IF(L1614="DS",DATE(RIGHT(B1614,4),VLOOKUP(LEFT(B1614,LEN(B1614)-5),Feuil1!$E$3:$F$19,2,FALSE)+1,10),DATE(RIGHT(B1614,4),VLOOKUP(LEFT(B1614,LEN(B1614)-5),Feuil1!$E$3:$F$19,2,FALSE)+1,7))</f>
        <v>45301</v>
      </c>
      <c r="K1614" s="19">
        <f t="shared" si="2"/>
        <v>1</v>
      </c>
      <c r="L1614" s="6" t="str">
        <f t="shared" si="3"/>
        <v>DS</v>
      </c>
    </row>
    <row r="1615" ht="14.25" customHeight="1">
      <c r="A1615" s="14" t="str">
        <f>Base_report!A1601</f>
        <v>INDENIE-DJUABLIN</v>
      </c>
      <c r="B1615" s="14" t="str">
        <f>Base_report!B1601</f>
        <v>OCTOBRE DECEMBRE 2023</v>
      </c>
      <c r="C1615" s="15" t="str">
        <f>Base_report!C1601</f>
        <v>C4056</v>
      </c>
      <c r="D1615" s="14" t="str">
        <f>TRIM(IF(ISNUMBER(FIND("PNSME",Base_report!D1601,1)),SUBSTITUTE(Base_report!D1601,"PNSME",""),IF(ISNUMBER(FIND("PHG",Base_report!D1601,1)),SUBSTITUTE(Base_report!D1601,"PHG",""),IF(ISNUMBER(FIND("PCS",Base_report!D1601,1)),SUBSTITUTE(Base_report!D1601,"PCS",""),IF(ISNUMBER(FIND("CMU",Base_report!D1601,1)),SUBSTITUTE(Base_report!D1601,"CMU",""),Base_report!D1601)))))</f>
        <v>HOPITAL GENERAL BETTIE</v>
      </c>
      <c r="E1615" s="14" t="str">
        <f>SUBSTITUTE(Base_report!E1601,"-","/")</f>
        <v>PNLT/SENSIBLE MEDICAMENTS ET INTRANTS</v>
      </c>
      <c r="F1615" s="14" t="s">
        <v>788</v>
      </c>
      <c r="G1615" s="16">
        <f>DATE(YEAR(SUBSTITUTE(LEFT(Base_report!F1601,10),"-","/")),MONTH(SUBSTITUTE(LEFT(Base_report!F1601,10),"-","/")),DAY(SUBSTITUTE(LEFT(Base_report!F1601,10),"-","/")))</f>
        <v>45290</v>
      </c>
      <c r="H1615" s="16">
        <f>DATE(YEAR(SUBSTITUTE(LEFT(Base_report!G1601,10),"-","/")),MONTH(SUBSTITUTE(LEFT(Base_report!G1601,10),"-","/")),DAY(SUBSTITUTE(LEFT(Base_report!G1601,10),"-","/")))</f>
        <v>45294</v>
      </c>
      <c r="I1615" s="17" t="str">
        <f t="shared" si="1"/>
        <v>OUI</v>
      </c>
      <c r="J1615" s="18">
        <f>IF(L1615="DS",DATE(RIGHT(B1615,4),VLOOKUP(LEFT(B1615,LEN(B1615)-5),Feuil1!$E$3:$F$19,2,FALSE)+1,10),DATE(RIGHT(B1615,4),VLOOKUP(LEFT(B1615,LEN(B1615)-5),Feuil1!$E$3:$F$19,2,FALSE)+1,7))</f>
        <v>45298</v>
      </c>
      <c r="K1615" s="19">
        <f t="shared" si="2"/>
        <v>1</v>
      </c>
      <c r="L1615" s="6" t="str">
        <f t="shared" si="3"/>
        <v>FS</v>
      </c>
    </row>
    <row r="1616" ht="14.25" customHeight="1">
      <c r="A1616" s="14" t="str">
        <f>Base_report!A1602</f>
        <v>N'ZI</v>
      </c>
      <c r="B1616" s="14" t="str">
        <f>Base_report!B1602</f>
        <v>OCTOBRE DECEMBRE 2023</v>
      </c>
      <c r="C1616" s="15" t="str">
        <f>Base_report!C1602</f>
        <v>C2192</v>
      </c>
      <c r="D1616" s="14" t="str">
        <f>TRIM(IF(ISNUMBER(FIND("PNSME",Base_report!D1602,1)),SUBSTITUTE(Base_report!D1602,"PNSME",""),IF(ISNUMBER(FIND("PHG",Base_report!D1602,1)),SUBSTITUTE(Base_report!D1602,"PHG",""),IF(ISNUMBER(FIND("PCS",Base_report!D1602,1)),SUBSTITUTE(Base_report!D1602,"PCS",""),IF(ISNUMBER(FIND("CMU",Base_report!D1602,1)),SUBSTITUTE(Base_report!D1602,"CMU",""),Base_report!D1602)))))</f>
        <v>CENTRE ANTITUBERCULEUX DIMBOKRO</v>
      </c>
      <c r="E1616" s="14" t="str">
        <f>SUBSTITUTE(Base_report!E1602,"-","/")</f>
        <v>PNLT/MULTI RESISTANTE MEDICAMENTS ET INTRANTS</v>
      </c>
      <c r="F1616" s="14" t="s">
        <v>788</v>
      </c>
      <c r="G1616" s="16">
        <f>DATE(YEAR(SUBSTITUTE(LEFT(Base_report!F1602,10),"-","/")),MONTH(SUBSTITUTE(LEFT(Base_report!F1602,10),"-","/")),DAY(SUBSTITUTE(LEFT(Base_report!F1602,10),"-","/")))</f>
        <v>45295</v>
      </c>
      <c r="H1616" s="16">
        <f>DATE(YEAR(SUBSTITUTE(LEFT(Base_report!G1602,10),"-","/")),MONTH(SUBSTITUTE(LEFT(Base_report!G1602,10),"-","/")),DAY(SUBSTITUTE(LEFT(Base_report!G1602,10),"-","/")))</f>
        <v>45296</v>
      </c>
      <c r="I1616" s="17" t="str">
        <f t="shared" si="1"/>
        <v>OUI</v>
      </c>
      <c r="J1616" s="18">
        <f>IF(L1616="DS",DATE(RIGHT(B1616,4),VLOOKUP(LEFT(B1616,LEN(B1616)-5),Feuil1!$E$3:$F$19,2,FALSE)+1,10),DATE(RIGHT(B1616,4),VLOOKUP(LEFT(B1616,LEN(B1616)-5),Feuil1!$E$3:$F$19,2,FALSE)+1,7))</f>
        <v>45298</v>
      </c>
      <c r="K1616" s="19">
        <f t="shared" si="2"/>
        <v>1</v>
      </c>
      <c r="L1616" s="6" t="str">
        <f t="shared" si="3"/>
        <v>FS</v>
      </c>
    </row>
    <row r="1617" ht="14.25" customHeight="1">
      <c r="A1617" s="14" t="str">
        <f>Base_report!A1603</f>
        <v>GBEKE</v>
      </c>
      <c r="B1617" s="14" t="str">
        <f>Base_report!B1603</f>
        <v>OCTOBRE DECEMBRE 2023</v>
      </c>
      <c r="C1617" s="15" t="str">
        <f>Base_report!C1603</f>
        <v>C2023</v>
      </c>
      <c r="D1617" s="14" t="str">
        <f>TRIM(IF(ISNUMBER(FIND("PNSME",Base_report!D1603,1)),SUBSTITUTE(Base_report!D1603,"PNSME",""),IF(ISNUMBER(FIND("PHG",Base_report!D1603,1)),SUBSTITUTE(Base_report!D1603,"PHG",""),IF(ISNUMBER(FIND("PCS",Base_report!D1603,1)),SUBSTITUTE(Base_report!D1603,"PCS",""),IF(ISNUMBER(FIND("CMU",Base_report!D1603,1)),SUBSTITUTE(Base_report!D1603,"CMU",""),Base_report!D1603)))))</f>
        <v>DISTRICT SANITAIRE BOUAKE NORD-OUEST</v>
      </c>
      <c r="E1617" s="14" t="str">
        <f>SUBSTITUTE(Base_report!E1603,"-","/")</f>
        <v>PNLT/SENSIBLE MEDICAMENTS ET INTRANTS</v>
      </c>
      <c r="F1617" s="14" t="s">
        <v>788</v>
      </c>
      <c r="G1617" s="16">
        <f>DATE(YEAR(SUBSTITUTE(LEFT(Base_report!F1603,10),"-","/")),MONTH(SUBSTITUTE(LEFT(Base_report!F1603,10),"-","/")),DAY(SUBSTITUTE(LEFT(Base_report!F1603,10),"-","/")))</f>
        <v>45299</v>
      </c>
      <c r="H1617" s="16">
        <f>DATE(YEAR(SUBSTITUTE(LEFT(Base_report!G1603,10),"-","/")),MONTH(SUBSTITUTE(LEFT(Base_report!G1603,10),"-","/")),DAY(SUBSTITUTE(LEFT(Base_report!G1603,10),"-","/")))</f>
        <v>45302</v>
      </c>
      <c r="I1617" s="17" t="str">
        <f t="shared" si="1"/>
        <v>OUI</v>
      </c>
      <c r="J1617" s="18">
        <f>IF(L1617="DS",DATE(RIGHT(B1617,4),VLOOKUP(LEFT(B1617,LEN(B1617)-5),Feuil1!$E$3:$F$19,2,FALSE)+1,10),DATE(RIGHT(B1617,4),VLOOKUP(LEFT(B1617,LEN(B1617)-5),Feuil1!$E$3:$F$19,2,FALSE)+1,7))</f>
        <v>45301</v>
      </c>
      <c r="K1617" s="19">
        <f t="shared" si="2"/>
        <v>0</v>
      </c>
      <c r="L1617" s="6" t="str">
        <f t="shared" si="3"/>
        <v>DS</v>
      </c>
    </row>
    <row r="1618" ht="14.25" customHeight="1">
      <c r="A1618" s="14" t="str">
        <f>Base_report!A1604</f>
        <v>NAWA</v>
      </c>
      <c r="B1618" s="14" t="str">
        <f>Base_report!B1604</f>
        <v>OCTOBRE DECEMBRE 2023</v>
      </c>
      <c r="C1618" s="15" t="str">
        <f>Base_report!C1604</f>
        <v>C2211</v>
      </c>
      <c r="D1618" s="14" t="str">
        <f>TRIM(IF(ISNUMBER(FIND("PNSME",Base_report!D1604,1)),SUBSTITUTE(Base_report!D1604,"PNSME",""),IF(ISNUMBER(FIND("PHG",Base_report!D1604,1)),SUBSTITUTE(Base_report!D1604,"PHG",""),IF(ISNUMBER(FIND("PCS",Base_report!D1604,1)),SUBSTITUTE(Base_report!D1604,"PCS",""),IF(ISNUMBER(FIND("CMU",Base_report!D1604,1)),SUBSTITUTE(Base_report!D1604,"CMU",""),Base_report!D1604)))))</f>
        <v>DISTRICT SANITAIRE MEAGUI</v>
      </c>
      <c r="E1618" s="14" t="str">
        <f>SUBSTITUTE(Base_report!E1604,"-","/")</f>
        <v>PNLT/SENSIBLE MEDICAMENTS ET INTRANTS</v>
      </c>
      <c r="F1618" s="14" t="s">
        <v>788</v>
      </c>
      <c r="G1618" s="16">
        <f>DATE(YEAR(SUBSTITUTE(LEFT(Base_report!F1604,10),"-","/")),MONTH(SUBSTITUTE(LEFT(Base_report!F1604,10),"-","/")),DAY(SUBSTITUTE(LEFT(Base_report!F1604,10),"-","/")))</f>
        <v>45298</v>
      </c>
      <c r="H1618" s="16">
        <f>DATE(YEAR(SUBSTITUTE(LEFT(Base_report!G1604,10),"-","/")),MONTH(SUBSTITUTE(LEFT(Base_report!G1604,10),"-","/")),DAY(SUBSTITUTE(LEFT(Base_report!G1604,10),"-","/")))</f>
        <v>45299</v>
      </c>
      <c r="I1618" s="17" t="str">
        <f t="shared" si="1"/>
        <v>OUI</v>
      </c>
      <c r="J1618" s="18">
        <f>IF(L1618="DS",DATE(RIGHT(B1618,4),VLOOKUP(LEFT(B1618,LEN(B1618)-5),Feuil1!$E$3:$F$19,2,FALSE)+1,10),DATE(RIGHT(B1618,4),VLOOKUP(LEFT(B1618,LEN(B1618)-5),Feuil1!$E$3:$F$19,2,FALSE)+1,7))</f>
        <v>45301</v>
      </c>
      <c r="K1618" s="19">
        <f t="shared" si="2"/>
        <v>1</v>
      </c>
      <c r="L1618" s="6" t="str">
        <f t="shared" si="3"/>
        <v>DS</v>
      </c>
    </row>
    <row r="1619" ht="14.25" customHeight="1">
      <c r="A1619" s="14" t="str">
        <f>Base_report!A1605</f>
        <v>LOH-DJIBOUA</v>
      </c>
      <c r="B1619" s="14" t="str">
        <f>Base_report!B1605</f>
        <v>OCTOBRE DECEMBRE 2023</v>
      </c>
      <c r="C1619" s="15" t="str">
        <f>Base_report!C1605</f>
        <v>C2174</v>
      </c>
      <c r="D1619" s="14" t="str">
        <f>TRIM(IF(ISNUMBER(FIND("PNSME",Base_report!D1605,1)),SUBSTITUTE(Base_report!D1605,"PNSME",""),IF(ISNUMBER(FIND("PHG",Base_report!D1605,1)),SUBSTITUTE(Base_report!D1605,"PHG",""),IF(ISNUMBER(FIND("PCS",Base_report!D1605,1)),SUBSTITUTE(Base_report!D1605,"PCS",""),IF(ISNUMBER(FIND("CMU",Base_report!D1605,1)),SUBSTITUTE(Base_report!D1605,"CMU",""),Base_report!D1605)))))</f>
        <v>CENTRE ANTITUBERCULEUX DIVO</v>
      </c>
      <c r="E1619" s="14" t="str">
        <f>SUBSTITUTE(Base_report!E1605,"-","/")</f>
        <v>PNLT/PRODUITS DE LABORATOIRE</v>
      </c>
      <c r="F1619" s="14" t="s">
        <v>788</v>
      </c>
      <c r="G1619" s="16">
        <f>DATE(YEAR(SUBSTITUTE(LEFT(Base_report!F1605,10),"-","/")),MONTH(SUBSTITUTE(LEFT(Base_report!F1605,10),"-","/")),DAY(SUBSTITUTE(LEFT(Base_report!F1605,10),"-","/")))</f>
        <v>45297</v>
      </c>
      <c r="H1619" s="16">
        <f>DATE(YEAR(SUBSTITUTE(LEFT(Base_report!G1605,10),"-","/")),MONTH(SUBSTITUTE(LEFT(Base_report!G1605,10),"-","/")),DAY(SUBSTITUTE(LEFT(Base_report!G1605,10),"-","/")))</f>
        <v>45297</v>
      </c>
      <c r="I1619" s="17" t="str">
        <f t="shared" si="1"/>
        <v>OUI</v>
      </c>
      <c r="J1619" s="18">
        <f>IF(L1619="DS",DATE(RIGHT(B1619,4),VLOOKUP(LEFT(B1619,LEN(B1619)-5),Feuil1!$E$3:$F$19,2,FALSE)+1,10),DATE(RIGHT(B1619,4),VLOOKUP(LEFT(B1619,LEN(B1619)-5),Feuil1!$E$3:$F$19,2,FALSE)+1,7))</f>
        <v>45298</v>
      </c>
      <c r="K1619" s="19">
        <f t="shared" si="2"/>
        <v>1</v>
      </c>
      <c r="L1619" s="6" t="str">
        <f t="shared" si="3"/>
        <v>FS</v>
      </c>
    </row>
    <row r="1620" ht="14.25" customHeight="1">
      <c r="A1620" s="14" t="str">
        <f>Base_report!A1606</f>
        <v>TCHOLOGO</v>
      </c>
      <c r="B1620" s="14" t="str">
        <f>Base_report!B1606</f>
        <v>OCTOBRE DECEMBRE 2023</v>
      </c>
      <c r="C1620" s="15" t="str">
        <f>Base_report!C1606</f>
        <v>C3001</v>
      </c>
      <c r="D1620" s="14" t="str">
        <f>TRIM(IF(ISNUMBER(FIND("PNSME",Base_report!D1606,1)),SUBSTITUTE(Base_report!D1606,"PNSME",""),IF(ISNUMBER(FIND("PHG",Base_report!D1606,1)),SUBSTITUTE(Base_report!D1606,"PHG",""),IF(ISNUMBER(FIND("PCS",Base_report!D1606,1)),SUBSTITUTE(Base_report!D1606,"PCS",""),IF(ISNUMBER(FIND("CMU",Base_report!D1606,1)),SUBSTITUTE(Base_report!D1606,"CMU",""),Base_report!D1606)))))</f>
        <v>CSU NIELLE</v>
      </c>
      <c r="E1620" s="14" t="str">
        <f>SUBSTITUTE(Base_report!E1606,"-","/")</f>
        <v>PNLT/SENSIBLE MEDICAMENTS ET INTRANTS</v>
      </c>
      <c r="F1620" s="14" t="s">
        <v>788</v>
      </c>
      <c r="G1620" s="16">
        <f>DATE(YEAR(SUBSTITUTE(LEFT(Base_report!F1606,10),"-","/")),MONTH(SUBSTITUTE(LEFT(Base_report!F1606,10),"-","/")),DAY(SUBSTITUTE(LEFT(Base_report!F1606,10),"-","/")))</f>
        <v>45292</v>
      </c>
      <c r="H1620" s="16">
        <f>DATE(YEAR(SUBSTITUTE(LEFT(Base_report!G1606,10),"-","/")),MONTH(SUBSTITUTE(LEFT(Base_report!G1606,10),"-","/")),DAY(SUBSTITUTE(LEFT(Base_report!G1606,10),"-","/")))</f>
        <v>45292</v>
      </c>
      <c r="I1620" s="17" t="str">
        <f t="shared" si="1"/>
        <v>OUI</v>
      </c>
      <c r="J1620" s="18">
        <f>IF(L1620="DS",DATE(RIGHT(B1620,4),VLOOKUP(LEFT(B1620,LEN(B1620)-5),Feuil1!$E$3:$F$19,2,FALSE)+1,10),DATE(RIGHT(B1620,4),VLOOKUP(LEFT(B1620,LEN(B1620)-5),Feuil1!$E$3:$F$19,2,FALSE)+1,7))</f>
        <v>45298</v>
      </c>
      <c r="K1620" s="19">
        <f t="shared" si="2"/>
        <v>1</v>
      </c>
      <c r="L1620" s="6" t="str">
        <f t="shared" si="3"/>
        <v>FS</v>
      </c>
    </row>
    <row r="1621" ht="14.25" customHeight="1">
      <c r="A1621" s="14" t="str">
        <f>Base_report!A1607</f>
        <v>ABIDJAN 1</v>
      </c>
      <c r="B1621" s="14" t="str">
        <f>Base_report!B1607</f>
        <v>OCTOBRE DECEMBRE 2023</v>
      </c>
      <c r="C1621" s="15" t="str">
        <f>Base_report!C1607</f>
        <v>C1680</v>
      </c>
      <c r="D1621" s="14" t="str">
        <f>TRIM(IF(ISNUMBER(FIND("PNSME",Base_report!D1607,1)),SUBSTITUTE(Base_report!D1607,"PNSME",""),IF(ISNUMBER(FIND("PHG",Base_report!D1607,1)),SUBSTITUTE(Base_report!D1607,"PHG",""),IF(ISNUMBER(FIND("PCS",Base_report!D1607,1)),SUBSTITUTE(Base_report!D1607,"PCS",""),IF(ISNUMBER(FIND("CMU",Base_report!D1607,1)),SUBSTITUTE(Base_report!D1607,"CMU",""),Base_report!D1607)))))</f>
        <v>CENTRE ANTITUBERCULEUX ABOBO</v>
      </c>
      <c r="E1621" s="14" t="str">
        <f>SUBSTITUTE(Base_report!E1607,"-","/")</f>
        <v>PNLT/MULTI RESISTANTE MEDICAMENTS ET INTRANTS</v>
      </c>
      <c r="F1621" s="14" t="s">
        <v>788</v>
      </c>
      <c r="G1621" s="16">
        <f>DATE(YEAR(SUBSTITUTE(LEFT(Base_report!F1607,10),"-","/")),MONTH(SUBSTITUTE(LEFT(Base_report!F1607,10),"-","/")),DAY(SUBSTITUTE(LEFT(Base_report!F1607,10),"-","/")))</f>
        <v>45296</v>
      </c>
      <c r="H1621" s="16">
        <f>DATE(YEAR(SUBSTITUTE(LEFT(Base_report!G1607,10),"-","/")),MONTH(SUBSTITUTE(LEFT(Base_report!G1607,10),"-","/")),DAY(SUBSTITUTE(LEFT(Base_report!G1607,10),"-","/")))</f>
        <v>45296</v>
      </c>
      <c r="I1621" s="17" t="str">
        <f t="shared" si="1"/>
        <v>OUI</v>
      </c>
      <c r="J1621" s="18">
        <f>IF(L1621="DS",DATE(RIGHT(B1621,4),VLOOKUP(LEFT(B1621,LEN(B1621)-5),Feuil1!$E$3:$F$19,2,FALSE)+1,10),DATE(RIGHT(B1621,4),VLOOKUP(LEFT(B1621,LEN(B1621)-5),Feuil1!$E$3:$F$19,2,FALSE)+1,7))</f>
        <v>45298</v>
      </c>
      <c r="K1621" s="19">
        <f t="shared" si="2"/>
        <v>1</v>
      </c>
      <c r="L1621" s="6" t="str">
        <f t="shared" si="3"/>
        <v>FS</v>
      </c>
    </row>
    <row r="1622" ht="14.25" customHeight="1">
      <c r="A1622" s="14" t="str">
        <f>Base_report!A1608</f>
        <v>FOLON</v>
      </c>
      <c r="B1622" s="14" t="str">
        <f>Base_report!B1608</f>
        <v>OCTOBRE DECEMBRE 2023</v>
      </c>
      <c r="C1622" s="15" t="str">
        <f>Base_report!C1608</f>
        <v>C5038</v>
      </c>
      <c r="D1622" s="14" t="str">
        <f>TRIM(IF(ISNUMBER(FIND("PNSME",Base_report!D1608,1)),SUBSTITUTE(Base_report!D1608,"PNSME",""),IF(ISNUMBER(FIND("PHG",Base_report!D1608,1)),SUBSTITUTE(Base_report!D1608,"PHG",""),IF(ISNUMBER(FIND("PCS",Base_report!D1608,1)),SUBSTITUTE(Base_report!D1608,"PCS",""),IF(ISNUMBER(FIND("CMU",Base_report!D1608,1)),SUBSTITUTE(Base_report!D1608,"CMU",""),Base_report!D1608)))))</f>
        <v>DISTRICT SANITAIRE MINIGNAN</v>
      </c>
      <c r="E1622" s="14" t="str">
        <f>SUBSTITUTE(Base_report!E1608,"-","/")</f>
        <v>PNLT/SENSIBLE MEDICAMENTS ET INTRANTS</v>
      </c>
      <c r="F1622" s="14" t="s">
        <v>788</v>
      </c>
      <c r="G1622" s="16">
        <f>DATE(YEAR(SUBSTITUTE(LEFT(Base_report!F1608,10),"-","/")),MONTH(SUBSTITUTE(LEFT(Base_report!F1608,10),"-","/")),DAY(SUBSTITUTE(LEFT(Base_report!F1608,10),"-","/")))</f>
        <v>45299</v>
      </c>
      <c r="H1622" s="16">
        <f>DATE(YEAR(SUBSTITUTE(LEFT(Base_report!G1608,10),"-","/")),MONTH(SUBSTITUTE(LEFT(Base_report!G1608,10),"-","/")),DAY(SUBSTITUTE(LEFT(Base_report!G1608,10),"-","/")))</f>
        <v>45300</v>
      </c>
      <c r="I1622" s="17" t="str">
        <f t="shared" si="1"/>
        <v>OUI</v>
      </c>
      <c r="J1622" s="18">
        <f>IF(L1622="DS",DATE(RIGHT(B1622,4),VLOOKUP(LEFT(B1622,LEN(B1622)-5),Feuil1!$E$3:$F$19,2,FALSE)+1,10),DATE(RIGHT(B1622,4),VLOOKUP(LEFT(B1622,LEN(B1622)-5),Feuil1!$E$3:$F$19,2,FALSE)+1,7))</f>
        <v>45301</v>
      </c>
      <c r="K1622" s="19">
        <f t="shared" si="2"/>
        <v>1</v>
      </c>
      <c r="L1622" s="6" t="str">
        <f t="shared" si="3"/>
        <v>DS</v>
      </c>
    </row>
    <row r="1623" ht="14.25" customHeight="1">
      <c r="A1623" s="14" t="str">
        <f>Base_report!A1609</f>
        <v>IFFOU</v>
      </c>
      <c r="B1623" s="14" t="str">
        <f>Base_report!B1609</f>
        <v>OCTOBRE DECEMBRE 2023</v>
      </c>
      <c r="C1623" s="15" t="str">
        <f>Base_report!C1609</f>
        <v>C4024</v>
      </c>
      <c r="D1623" s="14" t="str">
        <f>TRIM(IF(ISNUMBER(FIND("PNSME",Base_report!D1609,1)),SUBSTITUTE(Base_report!D1609,"PNSME",""),IF(ISNUMBER(FIND("PHG",Base_report!D1609,1)),SUBSTITUTE(Base_report!D1609,"PHG",""),IF(ISNUMBER(FIND("PCS",Base_report!D1609,1)),SUBSTITUTE(Base_report!D1609,"PCS",""),IF(ISNUMBER(FIND("CMU",Base_report!D1609,1)),SUBSTITUTE(Base_report!D1609,"CMU",""),Base_report!D1609)))))</f>
        <v>CSU OUELLE</v>
      </c>
      <c r="E1623" s="14" t="str">
        <f>SUBSTITUTE(Base_report!E1609,"-","/")</f>
        <v>PNLT/SENSIBLE MEDICAMENTS ET INTRANTS</v>
      </c>
      <c r="F1623" s="14" t="s">
        <v>788</v>
      </c>
      <c r="G1623" s="16">
        <f>DATE(YEAR(SUBSTITUTE(LEFT(Base_report!F1609,10),"-","/")),MONTH(SUBSTITUTE(LEFT(Base_report!F1609,10),"-","/")),DAY(SUBSTITUTE(LEFT(Base_report!F1609,10),"-","/")))</f>
        <v>45296</v>
      </c>
      <c r="H1623" s="16">
        <f>DATE(YEAR(SUBSTITUTE(LEFT(Base_report!G1609,10),"-","/")),MONTH(SUBSTITUTE(LEFT(Base_report!G1609,10),"-","/")),DAY(SUBSTITUTE(LEFT(Base_report!G1609,10),"-","/")))</f>
        <v>45298</v>
      </c>
      <c r="I1623" s="17" t="str">
        <f t="shared" si="1"/>
        <v>OUI</v>
      </c>
      <c r="J1623" s="18">
        <f>IF(L1623="DS",DATE(RIGHT(B1623,4),VLOOKUP(LEFT(B1623,LEN(B1623)-5),Feuil1!$E$3:$F$19,2,FALSE)+1,10),DATE(RIGHT(B1623,4),VLOOKUP(LEFT(B1623,LEN(B1623)-5),Feuil1!$E$3:$F$19,2,FALSE)+1,7))</f>
        <v>45298</v>
      </c>
      <c r="K1623" s="19">
        <f t="shared" si="2"/>
        <v>1</v>
      </c>
      <c r="L1623" s="6" t="str">
        <f t="shared" si="3"/>
        <v>FS</v>
      </c>
    </row>
    <row r="1624" ht="14.25" customHeight="1">
      <c r="A1624" s="14" t="str">
        <f>Base_report!A1610</f>
        <v>ABIDJAN 1</v>
      </c>
      <c r="B1624" s="14" t="str">
        <f>Base_report!B1610</f>
        <v>OCTOBRE DECEMBRE 2023</v>
      </c>
      <c r="C1624" s="15" t="str">
        <f>Base_report!C1610</f>
        <v>C1068</v>
      </c>
      <c r="D1624" s="14" t="str">
        <f>TRIM(IF(ISNUMBER(FIND("PNSME",Base_report!D1610,1)),SUBSTITUTE(Base_report!D1610,"PNSME",""),IF(ISNUMBER(FIND("PHG",Base_report!D1610,1)),SUBSTITUTE(Base_report!D1610,"PHG",""),IF(ISNUMBER(FIND("PCS",Base_report!D1610,1)),SUBSTITUTE(Base_report!D1610,"PCS",""),IF(ISNUMBER(FIND("CMU",Base_report!D1610,1)),SUBSTITUTE(Base_report!D1610,"CMU",""),Base_report!D1610)))))</f>
        <v>FSU COM ANONKOUA-KOUTE</v>
      </c>
      <c r="E1624" s="14" t="str">
        <f>SUBSTITUTE(Base_report!E1610,"-","/")</f>
        <v>PNLT/SENSIBLE MEDICAMENTS ET INTRANTS</v>
      </c>
      <c r="F1624" s="14" t="s">
        <v>788</v>
      </c>
      <c r="G1624" s="16">
        <f>DATE(YEAR(SUBSTITUTE(LEFT(Base_report!F1610,10),"-","/")),MONTH(SUBSTITUTE(LEFT(Base_report!F1610,10),"-","/")),DAY(SUBSTITUTE(LEFT(Base_report!F1610,10),"-","/")))</f>
        <v>45301</v>
      </c>
      <c r="H1624" s="16">
        <f>DATE(YEAR(SUBSTITUTE(LEFT(Base_report!G1610,10),"-","/")),MONTH(SUBSTITUTE(LEFT(Base_report!G1610,10),"-","/")),DAY(SUBSTITUTE(LEFT(Base_report!G1610,10),"-","/")))</f>
        <v>45301</v>
      </c>
      <c r="I1624" s="17" t="str">
        <f t="shared" si="1"/>
        <v>OUI</v>
      </c>
      <c r="J1624" s="18">
        <f>IF(L1624="DS",DATE(RIGHT(B1624,4),VLOOKUP(LEFT(B1624,LEN(B1624)-5),Feuil1!$E$3:$F$19,2,FALSE)+1,10),DATE(RIGHT(B1624,4),VLOOKUP(LEFT(B1624,LEN(B1624)-5),Feuil1!$E$3:$F$19,2,FALSE)+1,7))</f>
        <v>45298</v>
      </c>
      <c r="K1624" s="19">
        <f t="shared" si="2"/>
        <v>0</v>
      </c>
      <c r="L1624" s="6" t="str">
        <f t="shared" si="3"/>
        <v>FS</v>
      </c>
    </row>
    <row r="1625" ht="14.25" customHeight="1">
      <c r="A1625" s="14" t="str">
        <f>Base_report!A1611</f>
        <v>ABIDJAN 1</v>
      </c>
      <c r="B1625" s="14" t="str">
        <f>Base_report!B1611</f>
        <v>OCTOBRE DECEMBRE 2023</v>
      </c>
      <c r="C1625" s="15" t="str">
        <f>Base_report!C1611</f>
        <v>C1077</v>
      </c>
      <c r="D1625" s="14" t="str">
        <f>TRIM(IF(ISNUMBER(FIND("PNSME",Base_report!D1611,1)),SUBSTITUTE(Base_report!D1611,"PNSME",""),IF(ISNUMBER(FIND("PHG",Base_report!D1611,1)),SUBSTITUTE(Base_report!D1611,"PHG",""),IF(ISNUMBER(FIND("PCS",Base_report!D1611,1)),SUBSTITUTE(Base_report!D1611,"PCS",""),IF(ISNUMBER(FIND("CMU",Base_report!D1611,1)),SUBSTITUTE(Base_report!D1611,"CMU",""),Base_report!D1611)))))</f>
        <v>FSU COM YOPOUGON PORT-BOUET 2</v>
      </c>
      <c r="E1625" s="14" t="str">
        <f>SUBSTITUTE(Base_report!E1611,"-","/")</f>
        <v>PNLT/SENSIBLE MEDICAMENTS ET INTRANTS</v>
      </c>
      <c r="F1625" s="14" t="s">
        <v>788</v>
      </c>
      <c r="G1625" s="16">
        <f>DATE(YEAR(SUBSTITUTE(LEFT(Base_report!F1611,10),"-","/")),MONTH(SUBSTITUTE(LEFT(Base_report!F1611,10),"-","/")),DAY(SUBSTITUTE(LEFT(Base_report!F1611,10),"-","/")))</f>
        <v>45300</v>
      </c>
      <c r="H1625" s="16">
        <f>DATE(YEAR(SUBSTITUTE(LEFT(Base_report!G1611,10),"-","/")),MONTH(SUBSTITUTE(LEFT(Base_report!G1611,10),"-","/")),DAY(SUBSTITUTE(LEFT(Base_report!G1611,10),"-","/")))</f>
        <v>45300</v>
      </c>
      <c r="I1625" s="17" t="str">
        <f t="shared" si="1"/>
        <v>OUI</v>
      </c>
      <c r="J1625" s="18">
        <f>IF(L1625="DS",DATE(RIGHT(B1625,4),VLOOKUP(LEFT(B1625,LEN(B1625)-5),Feuil1!$E$3:$F$19,2,FALSE)+1,10),DATE(RIGHT(B1625,4),VLOOKUP(LEFT(B1625,LEN(B1625)-5),Feuil1!$E$3:$F$19,2,FALSE)+1,7))</f>
        <v>45298</v>
      </c>
      <c r="K1625" s="19">
        <f t="shared" si="2"/>
        <v>0</v>
      </c>
      <c r="L1625" s="6" t="str">
        <f t="shared" si="3"/>
        <v>FS</v>
      </c>
    </row>
    <row r="1626" ht="14.25" customHeight="1">
      <c r="A1626" s="14" t="str">
        <f>Base_report!A1612</f>
        <v>BAGOUE</v>
      </c>
      <c r="B1626" s="14" t="str">
        <f>Base_report!B1612</f>
        <v>OCTOBRE DECEMBRE 2023</v>
      </c>
      <c r="C1626" s="15" t="str">
        <f>Base_report!C1612</f>
        <v>C3010</v>
      </c>
      <c r="D1626" s="14" t="str">
        <f>TRIM(IF(ISNUMBER(FIND("PNSME",Base_report!D1612,1)),SUBSTITUTE(Base_report!D1612,"PNSME",""),IF(ISNUMBER(FIND("PHG",Base_report!D1612,1)),SUBSTITUTE(Base_report!D1612,"PHG",""),IF(ISNUMBER(FIND("PCS",Base_report!D1612,1)),SUBSTITUTE(Base_report!D1612,"PCS",""),IF(ISNUMBER(FIND("CMU",Base_report!D1612,1)),SUBSTITUTE(Base_report!D1612,"CMU",""),Base_report!D1612)))))</f>
        <v>HOPITAL GENERAL BOUNDIALI</v>
      </c>
      <c r="E1626" s="14" t="str">
        <f>SUBSTITUTE(Base_report!E1612,"-","/")</f>
        <v>PNLT/SENSIBLE MEDICAMENTS ET INTRANTS</v>
      </c>
      <c r="F1626" s="14" t="s">
        <v>788</v>
      </c>
      <c r="G1626" s="16">
        <f>DATE(YEAR(SUBSTITUTE(LEFT(Base_report!F1612,10),"-","/")),MONTH(SUBSTITUTE(LEFT(Base_report!F1612,10),"-","/")),DAY(SUBSTITUTE(LEFT(Base_report!F1612,10),"-","/")))</f>
        <v>45295</v>
      </c>
      <c r="H1626" s="16">
        <f>DATE(YEAR(SUBSTITUTE(LEFT(Base_report!G1612,10),"-","/")),MONTH(SUBSTITUTE(LEFT(Base_report!G1612,10),"-","/")),DAY(SUBSTITUTE(LEFT(Base_report!G1612,10),"-","/")))</f>
        <v>45296</v>
      </c>
      <c r="I1626" s="17" t="str">
        <f t="shared" si="1"/>
        <v>OUI</v>
      </c>
      <c r="J1626" s="18">
        <f>IF(L1626="DS",DATE(RIGHT(B1626,4),VLOOKUP(LEFT(B1626,LEN(B1626)-5),Feuil1!$E$3:$F$19,2,FALSE)+1,10),DATE(RIGHT(B1626,4),VLOOKUP(LEFT(B1626,LEN(B1626)-5),Feuil1!$E$3:$F$19,2,FALSE)+1,7))</f>
        <v>45298</v>
      </c>
      <c r="K1626" s="19">
        <f t="shared" si="2"/>
        <v>1</v>
      </c>
      <c r="L1626" s="6" t="str">
        <f t="shared" si="3"/>
        <v>FS</v>
      </c>
    </row>
    <row r="1627" ht="14.25" customHeight="1">
      <c r="A1627" s="14" t="str">
        <f>Base_report!A1613</f>
        <v>BOUNKANI</v>
      </c>
      <c r="B1627" s="14" t="str">
        <f>Base_report!B1613</f>
        <v>OCTOBRE DECEMBRE 2023</v>
      </c>
      <c r="C1627" s="15" t="str">
        <f>Base_report!C1613</f>
        <v>C4094</v>
      </c>
      <c r="D1627" s="14" t="str">
        <f>TRIM(IF(ISNUMBER(FIND("PNSME",Base_report!D1613,1)),SUBSTITUTE(Base_report!D1613,"PNSME",""),IF(ISNUMBER(FIND("PHG",Base_report!D1613,1)),SUBSTITUTE(Base_report!D1613,"PHG",""),IF(ISNUMBER(FIND("PCS",Base_report!D1613,1)),SUBSTITUTE(Base_report!D1613,"PCS",""),IF(ISNUMBER(FIND("CMU",Base_report!D1613,1)),SUBSTITUTE(Base_report!D1613,"CMU",""),Base_report!D1613)))))</f>
        <v>CENTRE ANTITUBERCULEUX BOUNA</v>
      </c>
      <c r="E1627" s="14" t="str">
        <f>SUBSTITUTE(Base_report!E1613,"-","/")</f>
        <v>PNLT/PRODUITS DE LABORATOIRE</v>
      </c>
      <c r="F1627" s="14" t="s">
        <v>788</v>
      </c>
      <c r="G1627" s="16">
        <f>DATE(YEAR(SUBSTITUTE(LEFT(Base_report!F1613,10),"-","/")),MONTH(SUBSTITUTE(LEFT(Base_report!F1613,10),"-","/")),DAY(SUBSTITUTE(LEFT(Base_report!F1613,10),"-","/")))</f>
        <v>45301</v>
      </c>
      <c r="H1627" s="16">
        <f>DATE(YEAR(SUBSTITUTE(LEFT(Base_report!G1613,10),"-","/")),MONTH(SUBSTITUTE(LEFT(Base_report!G1613,10),"-","/")),DAY(SUBSTITUTE(LEFT(Base_report!G1613,10),"-","/")))</f>
        <v>45301</v>
      </c>
      <c r="I1627" s="17" t="str">
        <f t="shared" si="1"/>
        <v>OUI</v>
      </c>
      <c r="J1627" s="18">
        <f>IF(L1627="DS",DATE(RIGHT(B1627,4),VLOOKUP(LEFT(B1627,LEN(B1627)-5),Feuil1!$E$3:$F$19,2,FALSE)+1,10),DATE(RIGHT(B1627,4),VLOOKUP(LEFT(B1627,LEN(B1627)-5),Feuil1!$E$3:$F$19,2,FALSE)+1,7))</f>
        <v>45298</v>
      </c>
      <c r="K1627" s="19">
        <f t="shared" si="2"/>
        <v>0</v>
      </c>
      <c r="L1627" s="6" t="str">
        <f t="shared" si="3"/>
        <v>FS</v>
      </c>
    </row>
    <row r="1628" ht="14.25" customHeight="1">
      <c r="A1628" s="14" t="str">
        <f>Base_report!A1614</f>
        <v>INDENIE-DJUABLIN</v>
      </c>
      <c r="B1628" s="14" t="str">
        <f>Base_report!B1614</f>
        <v>OCTOBRE DECEMBRE 2023</v>
      </c>
      <c r="C1628" s="15" t="str">
        <f>Base_report!C1614</f>
        <v>C4014</v>
      </c>
      <c r="D1628" s="14" t="str">
        <f>TRIM(IF(ISNUMBER(FIND("PNSME",Base_report!D1614,1)),SUBSTITUTE(Base_report!D1614,"PNSME",""),IF(ISNUMBER(FIND("PHG",Base_report!D1614,1)),SUBSTITUTE(Base_report!D1614,"PHG",""),IF(ISNUMBER(FIND("PCS",Base_report!D1614,1)),SUBSTITUTE(Base_report!D1614,"PCS",""),IF(ISNUMBER(FIND("CMU",Base_report!D1614,1)),SUBSTITUTE(Base_report!D1614,"CMU",""),Base_report!D1614)))))</f>
        <v>HOPITAL GENERAL AGNIBILEKROU</v>
      </c>
      <c r="E1628" s="14" t="str">
        <f>SUBSTITUTE(Base_report!E1614,"-","/")</f>
        <v>PNLT/SENSIBLE MEDICAMENTS ET INTRANTS</v>
      </c>
      <c r="F1628" s="14" t="s">
        <v>788</v>
      </c>
      <c r="G1628" s="16">
        <f>DATE(YEAR(SUBSTITUTE(LEFT(Base_report!F1614,10),"-","/")),MONTH(SUBSTITUTE(LEFT(Base_report!F1614,10),"-","/")),DAY(SUBSTITUTE(LEFT(Base_report!F1614,10),"-","/")))</f>
        <v>45293</v>
      </c>
      <c r="H1628" s="16">
        <f>DATE(YEAR(SUBSTITUTE(LEFT(Base_report!G1614,10),"-","/")),MONTH(SUBSTITUTE(LEFT(Base_report!G1614,10),"-","/")),DAY(SUBSTITUTE(LEFT(Base_report!G1614,10),"-","/")))</f>
        <v>45294</v>
      </c>
      <c r="I1628" s="17" t="str">
        <f t="shared" si="1"/>
        <v>OUI</v>
      </c>
      <c r="J1628" s="18">
        <f>IF(L1628="DS",DATE(RIGHT(B1628,4),VLOOKUP(LEFT(B1628,LEN(B1628)-5),Feuil1!$E$3:$F$19,2,FALSE)+1,10),DATE(RIGHT(B1628,4),VLOOKUP(LEFT(B1628,LEN(B1628)-5),Feuil1!$E$3:$F$19,2,FALSE)+1,7))</f>
        <v>45298</v>
      </c>
      <c r="K1628" s="19">
        <f t="shared" si="2"/>
        <v>1</v>
      </c>
      <c r="L1628" s="6" t="str">
        <f t="shared" si="3"/>
        <v>FS</v>
      </c>
    </row>
    <row r="1629" ht="14.25" customHeight="1">
      <c r="A1629" s="14" t="str">
        <f>Base_report!A1615</f>
        <v>PORO</v>
      </c>
      <c r="B1629" s="14" t="str">
        <f>Base_report!B1615</f>
        <v>OCTOBRE DECEMBRE 2023</v>
      </c>
      <c r="C1629" s="15" t="str">
        <f>Base_report!C1615</f>
        <v>C3006</v>
      </c>
      <c r="D1629" s="14" t="str">
        <f>TRIM(IF(ISNUMBER(FIND("PNSME",Base_report!D1615,1)),SUBSTITUTE(Base_report!D1615,"PNSME",""),IF(ISNUMBER(FIND("PHG",Base_report!D1615,1)),SUBSTITUTE(Base_report!D1615,"PHG",""),IF(ISNUMBER(FIND("PCS",Base_report!D1615,1)),SUBSTITUTE(Base_report!D1615,"PCS",""),IF(ISNUMBER(FIND("CMU",Base_report!D1615,1)),SUBSTITUTE(Base_report!D1615,"CMU",""),Base_report!D1615)))))</f>
        <v>DISTRICT SANITAIRE KORHOGO 1</v>
      </c>
      <c r="E1629" s="14" t="str">
        <f>SUBSTITUTE(Base_report!E1615,"-","/")</f>
        <v>PNLT/SENSIBLE MEDICAMENTS ET INTRANTS</v>
      </c>
      <c r="F1629" s="14" t="s">
        <v>788</v>
      </c>
      <c r="G1629" s="16">
        <f>DATE(YEAR(SUBSTITUTE(LEFT(Base_report!F1615,10),"-","/")),MONTH(SUBSTITUTE(LEFT(Base_report!F1615,10),"-","/")),DAY(SUBSTITUTE(LEFT(Base_report!F1615,10),"-","/")))</f>
        <v>45300</v>
      </c>
      <c r="H1629" s="16">
        <f>DATE(YEAR(SUBSTITUTE(LEFT(Base_report!G1615,10),"-","/")),MONTH(SUBSTITUTE(LEFT(Base_report!G1615,10),"-","/")),DAY(SUBSTITUTE(LEFT(Base_report!G1615,10),"-","/")))</f>
        <v>45300</v>
      </c>
      <c r="I1629" s="17" t="str">
        <f t="shared" si="1"/>
        <v>OUI</v>
      </c>
      <c r="J1629" s="18">
        <f>IF(L1629="DS",DATE(RIGHT(B1629,4),VLOOKUP(LEFT(B1629,LEN(B1629)-5),Feuil1!$E$3:$F$19,2,FALSE)+1,10),DATE(RIGHT(B1629,4),VLOOKUP(LEFT(B1629,LEN(B1629)-5),Feuil1!$E$3:$F$19,2,FALSE)+1,7))</f>
        <v>45301</v>
      </c>
      <c r="K1629" s="19">
        <f t="shared" si="2"/>
        <v>1</v>
      </c>
      <c r="L1629" s="6" t="str">
        <f t="shared" si="3"/>
        <v>DS</v>
      </c>
    </row>
    <row r="1630" ht="14.25" customHeight="1">
      <c r="A1630" s="14" t="str">
        <f>Base_report!A1616</f>
        <v>ABIDJAN 2</v>
      </c>
      <c r="B1630" s="14" t="str">
        <f>Base_report!B1616</f>
        <v>OCTOBRE DECEMBRE 2023</v>
      </c>
      <c r="C1630" s="15" t="str">
        <f>Base_report!C1616</f>
        <v>C1400</v>
      </c>
      <c r="D1630" s="14" t="str">
        <f>TRIM(IF(ISNUMBER(FIND("PNSME",Base_report!D1616,1)),SUBSTITUTE(Base_report!D1616,"PNSME",""),IF(ISNUMBER(FIND("PHG",Base_report!D1616,1)),SUBSTITUTE(Base_report!D1616,"PHG",""),IF(ISNUMBER(FIND("PCS",Base_report!D1616,1)),SUBSTITUTE(Base_report!D1616,"PCS",""),IF(ISNUMBER(FIND("CMU",Base_report!D1616,1)),SUBSTITUTE(Base_report!D1616,"CMU",""),Base_report!D1616)))))</f>
        <v>DISTRICT SANITAIRE COCODY BINGERVILLE</v>
      </c>
      <c r="E1630" s="14" t="str">
        <f>SUBSTITUTE(Base_report!E1616,"-","/")</f>
        <v>PNLT/SENSIBLE MEDICAMENTS ET INTRANTS</v>
      </c>
      <c r="F1630" s="14" t="s">
        <v>788</v>
      </c>
      <c r="G1630" s="16">
        <f>DATE(YEAR(SUBSTITUTE(LEFT(Base_report!F1616,10),"-","/")),MONTH(SUBSTITUTE(LEFT(Base_report!F1616,10),"-","/")),DAY(SUBSTITUTE(LEFT(Base_report!F1616,10),"-","/")))</f>
        <v>45300</v>
      </c>
      <c r="H1630" s="16">
        <f>DATE(YEAR(SUBSTITUTE(LEFT(Base_report!G1616,10),"-","/")),MONTH(SUBSTITUTE(LEFT(Base_report!G1616,10),"-","/")),DAY(SUBSTITUTE(LEFT(Base_report!G1616,10),"-","/")))</f>
        <v>45301</v>
      </c>
      <c r="I1630" s="17" t="str">
        <f t="shared" si="1"/>
        <v>OUI</v>
      </c>
      <c r="J1630" s="18">
        <f>IF(L1630="DS",DATE(RIGHT(B1630,4),VLOOKUP(LEFT(B1630,LEN(B1630)-5),Feuil1!$E$3:$F$19,2,FALSE)+1,10),DATE(RIGHT(B1630,4),VLOOKUP(LEFT(B1630,LEN(B1630)-5),Feuil1!$E$3:$F$19,2,FALSE)+1,7))</f>
        <v>45301</v>
      </c>
      <c r="K1630" s="19">
        <f t="shared" si="2"/>
        <v>1</v>
      </c>
      <c r="L1630" s="6" t="str">
        <f t="shared" si="3"/>
        <v>DS</v>
      </c>
    </row>
    <row r="1631" ht="14.25" customHeight="1">
      <c r="A1631" s="14" t="str">
        <f>Base_report!A1617</f>
        <v>ABIDJAN 1</v>
      </c>
      <c r="B1631" s="14" t="str">
        <f>Base_report!B1617</f>
        <v>OCTOBRE DECEMBRE 2023</v>
      </c>
      <c r="C1631" s="15" t="str">
        <f>Base_report!C1617</f>
        <v>C1084</v>
      </c>
      <c r="D1631" s="14" t="str">
        <f>TRIM(IF(ISNUMBER(FIND("PNSME",Base_report!D1617,1)),SUBSTITUTE(Base_report!D1617,"PNSME",""),IF(ISNUMBER(FIND("PHG",Base_report!D1617,1)),SUBSTITUTE(Base_report!D1617,"PHG",""),IF(ISNUMBER(FIND("PCS",Base_report!D1617,1)),SUBSTITUTE(Base_report!D1617,"PCS",""),IF(ISNUMBER(FIND("CMU",Base_report!D1617,1)),SUBSTITUTE(Base_report!D1617,"CMU",""),Base_report!D1617)))))</f>
        <v>HOPITAL GENERAL ANYAMA</v>
      </c>
      <c r="E1631" s="14" t="str">
        <f>SUBSTITUTE(Base_report!E1617,"-","/")</f>
        <v>PNLT/SENSIBLE MEDICAMENTS ET INTRANTS</v>
      </c>
      <c r="F1631" s="14" t="s">
        <v>788</v>
      </c>
      <c r="G1631" s="16">
        <f>DATE(YEAR(SUBSTITUTE(LEFT(Base_report!F1617,10),"-","/")),MONTH(SUBSTITUTE(LEFT(Base_report!F1617,10),"-","/")),DAY(SUBSTITUTE(LEFT(Base_report!F1617,10),"-","/")))</f>
        <v>45298</v>
      </c>
      <c r="H1631" s="16">
        <f>DATE(YEAR(SUBSTITUTE(LEFT(Base_report!G1617,10),"-","/")),MONTH(SUBSTITUTE(LEFT(Base_report!G1617,10),"-","/")),DAY(SUBSTITUTE(LEFT(Base_report!G1617,10),"-","/")))</f>
        <v>45298</v>
      </c>
      <c r="I1631" s="17" t="str">
        <f t="shared" si="1"/>
        <v>OUI</v>
      </c>
      <c r="J1631" s="18">
        <f>IF(L1631="DS",DATE(RIGHT(B1631,4),VLOOKUP(LEFT(B1631,LEN(B1631)-5),Feuil1!$E$3:$F$19,2,FALSE)+1,10),DATE(RIGHT(B1631,4),VLOOKUP(LEFT(B1631,LEN(B1631)-5),Feuil1!$E$3:$F$19,2,FALSE)+1,7))</f>
        <v>45298</v>
      </c>
      <c r="K1631" s="19">
        <f t="shared" si="2"/>
        <v>1</v>
      </c>
      <c r="L1631" s="6" t="str">
        <f t="shared" si="3"/>
        <v>FS</v>
      </c>
    </row>
    <row r="1632" ht="14.25" customHeight="1">
      <c r="A1632" s="14" t="str">
        <f>Base_report!A1618</f>
        <v>MORONOU</v>
      </c>
      <c r="B1632" s="14" t="str">
        <f>Base_report!B1618</f>
        <v>OCTOBRE DECEMBRE 2023</v>
      </c>
      <c r="C1632" s="15" t="str">
        <f>Base_report!C1618</f>
        <v>C4092</v>
      </c>
      <c r="D1632" s="14" t="str">
        <f>TRIM(IF(ISNUMBER(FIND("PNSME",Base_report!D1618,1)),SUBSTITUTE(Base_report!D1618,"PNSME",""),IF(ISNUMBER(FIND("PHG",Base_report!D1618,1)),SUBSTITUTE(Base_report!D1618,"PHG",""),IF(ISNUMBER(FIND("PCS",Base_report!D1618,1)),SUBSTITUTE(Base_report!D1618,"PCS",""),IF(ISNUMBER(FIND("CMU",Base_report!D1618,1)),SUBSTITUTE(Base_report!D1618,"CMU",""),Base_report!D1618)))))</f>
        <v>CENTRE ANTITUBERCULEUX BONGOUANOU</v>
      </c>
      <c r="E1632" s="14" t="str">
        <f>SUBSTITUTE(Base_report!E1618,"-","/")</f>
        <v>PNLT/PRODUITS DE LABORATOIRE</v>
      </c>
      <c r="F1632" s="14" t="s">
        <v>788</v>
      </c>
      <c r="G1632" s="16">
        <f>DATE(YEAR(SUBSTITUTE(LEFT(Base_report!F1618,10),"-","/")),MONTH(SUBSTITUTE(LEFT(Base_report!F1618,10),"-","/")),DAY(SUBSTITUTE(LEFT(Base_report!F1618,10),"-","/")))</f>
        <v>45300</v>
      </c>
      <c r="H1632" s="16">
        <f>DATE(YEAR(SUBSTITUTE(LEFT(Base_report!G1618,10),"-","/")),MONTH(SUBSTITUTE(LEFT(Base_report!G1618,10),"-","/")),DAY(SUBSTITUTE(LEFT(Base_report!G1618,10),"-","/")))</f>
        <v>45300</v>
      </c>
      <c r="I1632" s="17" t="str">
        <f t="shared" si="1"/>
        <v>OUI</v>
      </c>
      <c r="J1632" s="18">
        <f>IF(L1632="DS",DATE(RIGHT(B1632,4),VLOOKUP(LEFT(B1632,LEN(B1632)-5),Feuil1!$E$3:$F$19,2,FALSE)+1,10),DATE(RIGHT(B1632,4),VLOOKUP(LEFT(B1632,LEN(B1632)-5),Feuil1!$E$3:$F$19,2,FALSE)+1,7))</f>
        <v>45298</v>
      </c>
      <c r="K1632" s="19">
        <f t="shared" si="2"/>
        <v>0</v>
      </c>
      <c r="L1632" s="6" t="str">
        <f t="shared" si="3"/>
        <v>FS</v>
      </c>
    </row>
    <row r="1633" ht="14.25" customHeight="1">
      <c r="A1633" s="14" t="str">
        <f>Base_report!A1619</f>
        <v>BERE</v>
      </c>
      <c r="B1633" s="14" t="str">
        <f>Base_report!B1619</f>
        <v>OCTOBRE DECEMBRE 2023</v>
      </c>
      <c r="C1633" s="15" t="str">
        <f>Base_report!C1619</f>
        <v>C5083</v>
      </c>
      <c r="D1633" s="14" t="str">
        <f>TRIM(IF(ISNUMBER(FIND("PNSME",Base_report!D1619,1)),SUBSTITUTE(Base_report!D1619,"PNSME",""),IF(ISNUMBER(FIND("PHG",Base_report!D1619,1)),SUBSTITUTE(Base_report!D1619,"PHG",""),IF(ISNUMBER(FIND("PCS",Base_report!D1619,1)),SUBSTITUTE(Base_report!D1619,"PCS",""),IF(ISNUMBER(FIND("CMU",Base_report!D1619,1)),SUBSTITUTE(Base_report!D1619,"CMU",""),Base_report!D1619)))))</f>
        <v>DISTRICT SANITAIRE DIANRA</v>
      </c>
      <c r="E1633" s="14" t="str">
        <f>SUBSTITUTE(Base_report!E1619,"-","/")</f>
        <v>PNLT/SENSIBLE MEDICAMENTS ET INTRANTS</v>
      </c>
      <c r="F1633" s="14" t="s">
        <v>788</v>
      </c>
      <c r="G1633" s="16">
        <f>DATE(YEAR(SUBSTITUTE(LEFT(Base_report!F1619,10),"-","/")),MONTH(SUBSTITUTE(LEFT(Base_report!F1619,10),"-","/")),DAY(SUBSTITUTE(LEFT(Base_report!F1619,10),"-","/")))</f>
        <v>45301</v>
      </c>
      <c r="H1633" s="16">
        <f>DATE(YEAR(SUBSTITUTE(LEFT(Base_report!G1619,10),"-","/")),MONTH(SUBSTITUTE(LEFT(Base_report!G1619,10),"-","/")),DAY(SUBSTITUTE(LEFT(Base_report!G1619,10),"-","/")))</f>
        <v>45301</v>
      </c>
      <c r="I1633" s="17" t="str">
        <f t="shared" si="1"/>
        <v>OUI</v>
      </c>
      <c r="J1633" s="18">
        <f>IF(L1633="DS",DATE(RIGHT(B1633,4),VLOOKUP(LEFT(B1633,LEN(B1633)-5),Feuil1!$E$3:$F$19,2,FALSE)+1,10),DATE(RIGHT(B1633,4),VLOOKUP(LEFT(B1633,LEN(B1633)-5),Feuil1!$E$3:$F$19,2,FALSE)+1,7))</f>
        <v>45301</v>
      </c>
      <c r="K1633" s="19">
        <f t="shared" si="2"/>
        <v>1</v>
      </c>
      <c r="L1633" s="6" t="str">
        <f t="shared" si="3"/>
        <v>DS</v>
      </c>
    </row>
    <row r="1634" ht="14.25" customHeight="1">
      <c r="A1634" s="14" t="str">
        <f>Base_report!A1620</f>
        <v>ME</v>
      </c>
      <c r="B1634" s="14" t="str">
        <f>Base_report!B1620</f>
        <v>OCTOBRE DECEMBRE 2023</v>
      </c>
      <c r="C1634" s="15" t="str">
        <f>Base_report!C1620</f>
        <v>C1093</v>
      </c>
      <c r="D1634" s="14" t="str">
        <f>TRIM(IF(ISNUMBER(FIND("PNSME",Base_report!D1620,1)),SUBSTITUTE(Base_report!D1620,"PNSME",""),IF(ISNUMBER(FIND("PHG",Base_report!D1620,1)),SUBSTITUTE(Base_report!D1620,"PHG",""),IF(ISNUMBER(FIND("PCS",Base_report!D1620,1)),SUBSTITUTE(Base_report!D1620,"PCS",""),IF(ISNUMBER(FIND("CMU",Base_report!D1620,1)),SUBSTITUTE(Base_report!D1620,"CMU",""),Base_report!D1620)))))</f>
        <v>HOPITAL GENERAL MEMNI</v>
      </c>
      <c r="E1634" s="14" t="str">
        <f>SUBSTITUTE(Base_report!E1620,"-","/")</f>
        <v>PNLT/SENSIBLE MEDICAMENTS ET INTRANTS</v>
      </c>
      <c r="F1634" s="14" t="s">
        <v>788</v>
      </c>
      <c r="G1634" s="16">
        <f>DATE(YEAR(SUBSTITUTE(LEFT(Base_report!F1620,10),"-","/")),MONTH(SUBSTITUTE(LEFT(Base_report!F1620,10),"-","/")),DAY(SUBSTITUTE(LEFT(Base_report!F1620,10),"-","/")))</f>
        <v>45297</v>
      </c>
      <c r="H1634" s="16">
        <f>DATE(YEAR(SUBSTITUTE(LEFT(Base_report!G1620,10),"-","/")),MONTH(SUBSTITUTE(LEFT(Base_report!G1620,10),"-","/")),DAY(SUBSTITUTE(LEFT(Base_report!G1620,10),"-","/")))</f>
        <v>45298</v>
      </c>
      <c r="I1634" s="17" t="str">
        <f t="shared" si="1"/>
        <v>OUI</v>
      </c>
      <c r="J1634" s="18">
        <f>IF(L1634="DS",DATE(RIGHT(B1634,4),VLOOKUP(LEFT(B1634,LEN(B1634)-5),Feuil1!$E$3:$F$19,2,FALSE)+1,10),DATE(RIGHT(B1634,4),VLOOKUP(LEFT(B1634,LEN(B1634)-5),Feuil1!$E$3:$F$19,2,FALSE)+1,7))</f>
        <v>45298</v>
      </c>
      <c r="K1634" s="19">
        <f t="shared" si="2"/>
        <v>1</v>
      </c>
      <c r="L1634" s="6" t="str">
        <f t="shared" si="3"/>
        <v>FS</v>
      </c>
    </row>
    <row r="1635" ht="14.25" customHeight="1">
      <c r="A1635" s="14" t="str">
        <f>Base_report!A1621</f>
        <v>ABIDJAN 1</v>
      </c>
      <c r="B1635" s="14" t="str">
        <f>Base_report!B1621</f>
        <v>OCTOBRE DECEMBRE 2023</v>
      </c>
      <c r="C1635" s="15" t="str">
        <f>Base_report!C1621</f>
        <v>C1073</v>
      </c>
      <c r="D1635" s="14" t="str">
        <f>TRIM(IF(ISNUMBER(FIND("PNSME",Base_report!D1621,1)),SUBSTITUTE(Base_report!D1621,"PNSME",""),IF(ISNUMBER(FIND("PHG",Base_report!D1621,1)),SUBSTITUTE(Base_report!D1621,"PHG",""),IF(ISNUMBER(FIND("PCS",Base_report!D1621,1)),SUBSTITUTE(Base_report!D1621,"PCS",""),IF(ISNUMBER(FIND("CMU",Base_report!D1621,1)),SUBSTITUTE(Base_report!D1621,"CMU",""),Base_report!D1621)))))</f>
        <v>FSU COM YOPOUGON ATTIE-OUASSAKARA</v>
      </c>
      <c r="E1635" s="14" t="str">
        <f>SUBSTITUTE(Base_report!E1621,"-","/")</f>
        <v>PNLT/SENSIBLE MEDICAMENTS ET INTRANTS</v>
      </c>
      <c r="F1635" s="14" t="s">
        <v>788</v>
      </c>
      <c r="G1635" s="16">
        <f>DATE(YEAR(SUBSTITUTE(LEFT(Base_report!F1621,10),"-","/")),MONTH(SUBSTITUTE(LEFT(Base_report!F1621,10),"-","/")),DAY(SUBSTITUTE(LEFT(Base_report!F1621,10),"-","/")))</f>
        <v>45296</v>
      </c>
      <c r="H1635" s="16">
        <f>DATE(YEAR(SUBSTITUTE(LEFT(Base_report!G1621,10),"-","/")),MONTH(SUBSTITUTE(LEFT(Base_report!G1621,10),"-","/")),DAY(SUBSTITUTE(LEFT(Base_report!G1621,10),"-","/")))</f>
        <v>45296</v>
      </c>
      <c r="I1635" s="17" t="str">
        <f t="shared" si="1"/>
        <v>OUI</v>
      </c>
      <c r="J1635" s="18">
        <f>IF(L1635="DS",DATE(RIGHT(B1635,4),VLOOKUP(LEFT(B1635,LEN(B1635)-5),Feuil1!$E$3:$F$19,2,FALSE)+1,10),DATE(RIGHT(B1635,4),VLOOKUP(LEFT(B1635,LEN(B1635)-5),Feuil1!$E$3:$F$19,2,FALSE)+1,7))</f>
        <v>45298</v>
      </c>
      <c r="K1635" s="19">
        <f t="shared" si="2"/>
        <v>1</v>
      </c>
      <c r="L1635" s="6" t="str">
        <f t="shared" si="3"/>
        <v>FS</v>
      </c>
    </row>
    <row r="1636" ht="14.25" customHeight="1">
      <c r="A1636" s="14" t="str">
        <f>Base_report!A1622</f>
        <v>AGNEBY-TIASSA</v>
      </c>
      <c r="B1636" s="14" t="str">
        <f>Base_report!B1622</f>
        <v>OCTOBRE DECEMBRE 2023</v>
      </c>
      <c r="C1636" s="15" t="str">
        <f>Base_report!C1622</f>
        <v>C1045</v>
      </c>
      <c r="D1636" s="14" t="str">
        <f>TRIM(IF(ISNUMBER(FIND("PNSME",Base_report!D1622,1)),SUBSTITUTE(Base_report!D1622,"PNSME",""),IF(ISNUMBER(FIND("PHG",Base_report!D1622,1)),SUBSTITUTE(Base_report!D1622,"PHG",""),IF(ISNUMBER(FIND("PCS",Base_report!D1622,1)),SUBSTITUTE(Base_report!D1622,"PCS",""),IF(ISNUMBER(FIND("CMU",Base_report!D1622,1)),SUBSTITUTE(Base_report!D1622,"CMU",""),Base_report!D1622)))))</f>
        <v>DISTRICT SANITAIRE AGBOVILLE</v>
      </c>
      <c r="E1636" s="14" t="str">
        <f>SUBSTITUTE(Base_report!E1622,"-","/")</f>
        <v>PNLT/SENSIBLE MEDICAMENTS ET INTRANTS</v>
      </c>
      <c r="F1636" s="14" t="s">
        <v>788</v>
      </c>
      <c r="G1636" s="16">
        <f>DATE(YEAR(SUBSTITUTE(LEFT(Base_report!F1622,10),"-","/")),MONTH(SUBSTITUTE(LEFT(Base_report!F1622,10),"-","/")),DAY(SUBSTITUTE(LEFT(Base_report!F1622,10),"-","/")))</f>
        <v>45301</v>
      </c>
      <c r="H1636" s="16">
        <f>DATE(YEAR(SUBSTITUTE(LEFT(Base_report!G1622,10),"-","/")),MONTH(SUBSTITUTE(LEFT(Base_report!G1622,10),"-","/")),DAY(SUBSTITUTE(LEFT(Base_report!G1622,10),"-","/")))</f>
        <v>45301</v>
      </c>
      <c r="I1636" s="17" t="str">
        <f t="shared" si="1"/>
        <v>OUI</v>
      </c>
      <c r="J1636" s="18">
        <f>IF(L1636="DS",DATE(RIGHT(B1636,4),VLOOKUP(LEFT(B1636,LEN(B1636)-5),Feuil1!$E$3:$F$19,2,FALSE)+1,10),DATE(RIGHT(B1636,4),VLOOKUP(LEFT(B1636,LEN(B1636)-5),Feuil1!$E$3:$F$19,2,FALSE)+1,7))</f>
        <v>45301</v>
      </c>
      <c r="K1636" s="19">
        <f t="shared" si="2"/>
        <v>1</v>
      </c>
      <c r="L1636" s="6" t="str">
        <f t="shared" si="3"/>
        <v>DS</v>
      </c>
    </row>
    <row r="1637" ht="14.25" customHeight="1">
      <c r="A1637" s="14" t="str">
        <f>Base_report!A1623</f>
        <v>BELIER</v>
      </c>
      <c r="B1637" s="14" t="str">
        <f>Base_report!B1623</f>
        <v>OCTOBRE DECEMBRE 2023</v>
      </c>
      <c r="C1637" s="15" t="str">
        <f>Base_report!C1623</f>
        <v>C2026</v>
      </c>
      <c r="D1637" s="14" t="str">
        <f>TRIM(IF(ISNUMBER(FIND("PNSME",Base_report!D1623,1)),SUBSTITUTE(Base_report!D1623,"PNSME",""),IF(ISNUMBER(FIND("PHG",Base_report!D1623,1)),SUBSTITUTE(Base_report!D1623,"PHG",""),IF(ISNUMBER(FIND("PCS",Base_report!D1623,1)),SUBSTITUTE(Base_report!D1623,"PCS",""),IF(ISNUMBER(FIND("CMU",Base_report!D1623,1)),SUBSTITUTE(Base_report!D1623,"CMU",""),Base_report!D1623)))))</f>
        <v>DISTRICT SANITAIRE DIDIEVI</v>
      </c>
      <c r="E1637" s="14" t="str">
        <f>SUBSTITUTE(Base_report!E1623,"-","/")</f>
        <v>PNLT/SENSIBLE MEDICAMENTS ET INTRANTS</v>
      </c>
      <c r="F1637" s="14" t="s">
        <v>788</v>
      </c>
      <c r="G1637" s="16">
        <f>DATE(YEAR(SUBSTITUTE(LEFT(Base_report!F1623,10),"-","/")),MONTH(SUBSTITUTE(LEFT(Base_report!F1623,10),"-","/")),DAY(SUBSTITUTE(LEFT(Base_report!F1623,10),"-","/")))</f>
        <v>45300</v>
      </c>
      <c r="H1637" s="16">
        <f>DATE(YEAR(SUBSTITUTE(LEFT(Base_report!G1623,10),"-","/")),MONTH(SUBSTITUTE(LEFT(Base_report!G1623,10),"-","/")),DAY(SUBSTITUTE(LEFT(Base_report!G1623,10),"-","/")))</f>
        <v>45301</v>
      </c>
      <c r="I1637" s="17" t="str">
        <f t="shared" si="1"/>
        <v>OUI</v>
      </c>
      <c r="J1637" s="18">
        <f>IF(L1637="DS",DATE(RIGHT(B1637,4),VLOOKUP(LEFT(B1637,LEN(B1637)-5),Feuil1!$E$3:$F$19,2,FALSE)+1,10),DATE(RIGHT(B1637,4),VLOOKUP(LEFT(B1637,LEN(B1637)-5),Feuil1!$E$3:$F$19,2,FALSE)+1,7))</f>
        <v>45301</v>
      </c>
      <c r="K1637" s="19">
        <f t="shared" si="2"/>
        <v>1</v>
      </c>
      <c r="L1637" s="6" t="str">
        <f t="shared" si="3"/>
        <v>DS</v>
      </c>
    </row>
    <row r="1638" ht="14.25" customHeight="1">
      <c r="A1638" s="14" t="str">
        <f>Base_report!A1624</f>
        <v>GRANDS PONTS</v>
      </c>
      <c r="B1638" s="14" t="str">
        <f>Base_report!B1624</f>
        <v>OCTOBRE DECEMBRE 2023</v>
      </c>
      <c r="C1638" s="15" t="str">
        <f>Base_report!C1624</f>
        <v>C1050</v>
      </c>
      <c r="D1638" s="14" t="str">
        <f>TRIM(IF(ISNUMBER(FIND("PNSME",Base_report!D1624,1)),SUBSTITUTE(Base_report!D1624,"PNSME",""),IF(ISNUMBER(FIND("PHG",Base_report!D1624,1)),SUBSTITUTE(Base_report!D1624,"PHG",""),IF(ISNUMBER(FIND("PCS",Base_report!D1624,1)),SUBSTITUTE(Base_report!D1624,"PCS",""),IF(ISNUMBER(FIND("CMU",Base_report!D1624,1)),SUBSTITUTE(Base_report!D1624,"CMU",""),Base_report!D1624)))))</f>
        <v>DISTRICT SANITAIRE JACQUEVILLE</v>
      </c>
      <c r="E1638" s="14" t="str">
        <f>SUBSTITUTE(Base_report!E1624,"-","/")</f>
        <v>PNLT/SENSIBLE MEDICAMENTS ET INTRANTS</v>
      </c>
      <c r="F1638" s="14" t="s">
        <v>788</v>
      </c>
      <c r="G1638" s="16">
        <f>DATE(YEAR(SUBSTITUTE(LEFT(Base_report!F1624,10),"-","/")),MONTH(SUBSTITUTE(LEFT(Base_report!F1624,10),"-","/")),DAY(SUBSTITUTE(LEFT(Base_report!F1624,10),"-","/")))</f>
        <v>45300</v>
      </c>
      <c r="H1638" s="16">
        <f>DATE(YEAR(SUBSTITUTE(LEFT(Base_report!G1624,10),"-","/")),MONTH(SUBSTITUTE(LEFT(Base_report!G1624,10),"-","/")),DAY(SUBSTITUTE(LEFT(Base_report!G1624,10),"-","/")))</f>
        <v>45300</v>
      </c>
      <c r="I1638" s="17" t="str">
        <f t="shared" si="1"/>
        <v>OUI</v>
      </c>
      <c r="J1638" s="18">
        <f>IF(L1638="DS",DATE(RIGHT(B1638,4),VLOOKUP(LEFT(B1638,LEN(B1638)-5),Feuil1!$E$3:$F$19,2,FALSE)+1,10),DATE(RIGHT(B1638,4),VLOOKUP(LEFT(B1638,LEN(B1638)-5),Feuil1!$E$3:$F$19,2,FALSE)+1,7))</f>
        <v>45301</v>
      </c>
      <c r="K1638" s="19">
        <f t="shared" si="2"/>
        <v>1</v>
      </c>
      <c r="L1638" s="6" t="str">
        <f t="shared" si="3"/>
        <v>DS</v>
      </c>
    </row>
    <row r="1639" ht="14.25" customHeight="1">
      <c r="A1639" s="14" t="str">
        <f>Base_report!A1625</f>
        <v>HAUT-SASSANDRA</v>
      </c>
      <c r="B1639" s="14" t="str">
        <f>Base_report!B1625</f>
        <v>OCTOBRE DECEMBRE 2023</v>
      </c>
      <c r="C1639" s="15" t="str">
        <f>Base_report!C1625</f>
        <v>C2025</v>
      </c>
      <c r="D1639" s="14" t="str">
        <f>TRIM(IF(ISNUMBER(FIND("PNSME",Base_report!D1625,1)),SUBSTITUTE(Base_report!D1625,"PNSME",""),IF(ISNUMBER(FIND("PHG",Base_report!D1625,1)),SUBSTITUTE(Base_report!D1625,"PHG",""),IF(ISNUMBER(FIND("PCS",Base_report!D1625,1)),SUBSTITUTE(Base_report!D1625,"PCS",""),IF(ISNUMBER(FIND("CMU",Base_report!D1625,1)),SUBSTITUTE(Base_report!D1625,"CMU",""),Base_report!D1625)))))</f>
        <v>DISTRICT SANITAIRE DALOA</v>
      </c>
      <c r="E1639" s="14" t="str">
        <f>SUBSTITUTE(Base_report!E1625,"-","/")</f>
        <v>PNLT/SENSIBLE MEDICAMENTS ET INTRANTS</v>
      </c>
      <c r="F1639" s="14" t="s">
        <v>788</v>
      </c>
      <c r="G1639" s="16">
        <f>DATE(YEAR(SUBSTITUTE(LEFT(Base_report!F1625,10),"-","/")),MONTH(SUBSTITUTE(LEFT(Base_report!F1625,10),"-","/")),DAY(SUBSTITUTE(LEFT(Base_report!F1625,10),"-","/")))</f>
        <v>45301</v>
      </c>
      <c r="H1639" s="16">
        <f>DATE(YEAR(SUBSTITUTE(LEFT(Base_report!G1625,10),"-","/")),MONTH(SUBSTITUTE(LEFT(Base_report!G1625,10),"-","/")),DAY(SUBSTITUTE(LEFT(Base_report!G1625,10),"-","/")))</f>
        <v>45301</v>
      </c>
      <c r="I1639" s="17" t="str">
        <f t="shared" si="1"/>
        <v>OUI</v>
      </c>
      <c r="J1639" s="18">
        <f>IF(L1639="DS",DATE(RIGHT(B1639,4),VLOOKUP(LEFT(B1639,LEN(B1639)-5),Feuil1!$E$3:$F$19,2,FALSE)+1,10),DATE(RIGHT(B1639,4),VLOOKUP(LEFT(B1639,LEN(B1639)-5),Feuil1!$E$3:$F$19,2,FALSE)+1,7))</f>
        <v>45301</v>
      </c>
      <c r="K1639" s="19">
        <f t="shared" si="2"/>
        <v>1</v>
      </c>
      <c r="L1639" s="6" t="str">
        <f t="shared" si="3"/>
        <v>DS</v>
      </c>
    </row>
    <row r="1640" ht="14.25" customHeight="1">
      <c r="A1640" s="14" t="str">
        <f>Base_report!A1626</f>
        <v>CAVALLY</v>
      </c>
      <c r="B1640" s="14" t="str">
        <f>Base_report!B1626</f>
        <v>OCTOBRE DECEMBRE 2023</v>
      </c>
      <c r="C1640" s="15" t="str">
        <f>Base_report!C1626</f>
        <v>C5070</v>
      </c>
      <c r="D1640" s="14" t="str">
        <f>TRIM(IF(ISNUMBER(FIND("PNSME",Base_report!D1626,1)),SUBSTITUTE(Base_report!D1626,"PNSME",""),IF(ISNUMBER(FIND("PHG",Base_report!D1626,1)),SUBSTITUTE(Base_report!D1626,"PHG",""),IF(ISNUMBER(FIND("PCS",Base_report!D1626,1)),SUBSTITUTE(Base_report!D1626,"PCS",""),IF(ISNUMBER(FIND("CMU",Base_report!D1626,1)),SUBSTITUTE(Base_report!D1626,"CMU",""),Base_report!D1626)))))</f>
        <v>DISTRICT SANITAIRE TAI</v>
      </c>
      <c r="E1640" s="14" t="str">
        <f>SUBSTITUTE(Base_report!E1626,"-","/")</f>
        <v>PNLT/SENSIBLE MEDICAMENTS ET INTRANTS</v>
      </c>
      <c r="F1640" s="14" t="s">
        <v>788</v>
      </c>
      <c r="G1640" s="16">
        <f>DATE(YEAR(SUBSTITUTE(LEFT(Base_report!F1626,10),"-","/")),MONTH(SUBSTITUTE(LEFT(Base_report!F1626,10),"-","/")),DAY(SUBSTITUTE(LEFT(Base_report!F1626,10),"-","/")))</f>
        <v>45301</v>
      </c>
      <c r="H1640" s="16">
        <f>DATE(YEAR(SUBSTITUTE(LEFT(Base_report!G1626,10),"-","/")),MONTH(SUBSTITUTE(LEFT(Base_report!G1626,10),"-","/")),DAY(SUBSTITUTE(LEFT(Base_report!G1626,10),"-","/")))</f>
        <v>45301</v>
      </c>
      <c r="I1640" s="17" t="str">
        <f t="shared" si="1"/>
        <v>OUI</v>
      </c>
      <c r="J1640" s="18">
        <f>IF(L1640="DS",DATE(RIGHT(B1640,4),VLOOKUP(LEFT(B1640,LEN(B1640)-5),Feuil1!$E$3:$F$19,2,FALSE)+1,10),DATE(RIGHT(B1640,4),VLOOKUP(LEFT(B1640,LEN(B1640)-5),Feuil1!$E$3:$F$19,2,FALSE)+1,7))</f>
        <v>45301</v>
      </c>
      <c r="K1640" s="19">
        <f t="shared" si="2"/>
        <v>1</v>
      </c>
      <c r="L1640" s="6" t="str">
        <f t="shared" si="3"/>
        <v>DS</v>
      </c>
    </row>
    <row r="1641" ht="14.25" customHeight="1">
      <c r="A1641" s="14" t="str">
        <f>Base_report!A1627</f>
        <v>ABIDJAN 2</v>
      </c>
      <c r="B1641" s="14" t="str">
        <f>Base_report!B1627</f>
        <v>OCTOBRE DECEMBRE 2023</v>
      </c>
      <c r="C1641" s="15" t="str">
        <f>Base_report!C1627</f>
        <v>C1001</v>
      </c>
      <c r="D1641" s="14" t="str">
        <f>TRIM(IF(ISNUMBER(FIND("PNSME",Base_report!D1627,1)),SUBSTITUTE(Base_report!D1627,"PNSME",""),IF(ISNUMBER(FIND("PHG",Base_report!D1627,1)),SUBSTITUTE(Base_report!D1627,"PHG",""),IF(ISNUMBER(FIND("PCS",Base_report!D1627,1)),SUBSTITUTE(Base_report!D1627,"PCS",""),IF(ISNUMBER(FIND("CMU",Base_report!D1627,1)),SUBSTITUTE(Base_report!D1627,"CMU",""),Base_report!D1627)))))</f>
        <v>CENTRE ANTITUBERCULEUX ADJAME</v>
      </c>
      <c r="E1641" s="14" t="str">
        <f>SUBSTITUTE(Base_report!E1627,"-","/")</f>
        <v>PNLT/MULTI RESISTANTE MEDICAMENTS ET INTRANTS</v>
      </c>
      <c r="F1641" s="14" t="s">
        <v>788</v>
      </c>
      <c r="G1641" s="16">
        <f>DATE(YEAR(SUBSTITUTE(LEFT(Base_report!F1627,10),"-","/")),MONTH(SUBSTITUTE(LEFT(Base_report!F1627,10),"-","/")),DAY(SUBSTITUTE(LEFT(Base_report!F1627,10),"-","/")))</f>
        <v>45299</v>
      </c>
      <c r="H1641" s="16">
        <f>DATE(YEAR(SUBSTITUTE(LEFT(Base_report!G1627,10),"-","/")),MONTH(SUBSTITUTE(LEFT(Base_report!G1627,10),"-","/")),DAY(SUBSTITUTE(LEFT(Base_report!G1627,10),"-","/")))</f>
        <v>45299</v>
      </c>
      <c r="I1641" s="17" t="str">
        <f t="shared" si="1"/>
        <v>OUI</v>
      </c>
      <c r="J1641" s="18">
        <f>IF(L1641="DS",DATE(RIGHT(B1641,4),VLOOKUP(LEFT(B1641,LEN(B1641)-5),Feuil1!$E$3:$F$19,2,FALSE)+1,10),DATE(RIGHT(B1641,4),VLOOKUP(LEFT(B1641,LEN(B1641)-5),Feuil1!$E$3:$F$19,2,FALSE)+1,7))</f>
        <v>45298</v>
      </c>
      <c r="K1641" s="19">
        <f t="shared" si="2"/>
        <v>0</v>
      </c>
      <c r="L1641" s="6" t="str">
        <f t="shared" si="3"/>
        <v>FS</v>
      </c>
    </row>
    <row r="1642" ht="14.25" customHeight="1">
      <c r="A1642" s="14" t="str">
        <f>Base_report!A1628</f>
        <v>HAMBOL</v>
      </c>
      <c r="B1642" s="14" t="str">
        <f>Base_report!B1628</f>
        <v>OCTOBRE DECEMBRE 2023</v>
      </c>
      <c r="C1642" s="15" t="str">
        <f>Base_report!C1628</f>
        <v>C3003</v>
      </c>
      <c r="D1642" s="14" t="str">
        <f>TRIM(IF(ISNUMBER(FIND("PNSME",Base_report!D1628,1)),SUBSTITUTE(Base_report!D1628,"PNSME",""),IF(ISNUMBER(FIND("PHG",Base_report!D1628,1)),SUBSTITUTE(Base_report!D1628,"PHG",""),IF(ISNUMBER(FIND("PCS",Base_report!D1628,1)),SUBSTITUTE(Base_report!D1628,"PCS",""),IF(ISNUMBER(FIND("CMU",Base_report!D1628,1)),SUBSTITUTE(Base_report!D1628,"CMU",""),Base_report!D1628)))))</f>
        <v>DISTRICT SANITAIRE DABAKALA</v>
      </c>
      <c r="E1642" s="14" t="str">
        <f>SUBSTITUTE(Base_report!E1628,"-","/")</f>
        <v>PNLT/SENSIBLE MEDICAMENTS ET INTRANTS</v>
      </c>
      <c r="F1642" s="14" t="s">
        <v>788</v>
      </c>
      <c r="G1642" s="16">
        <f>DATE(YEAR(SUBSTITUTE(LEFT(Base_report!F1628,10),"-","/")),MONTH(SUBSTITUTE(LEFT(Base_report!F1628,10),"-","/")),DAY(SUBSTITUTE(LEFT(Base_report!F1628,10),"-","/")))</f>
        <v>45299</v>
      </c>
      <c r="H1642" s="16">
        <f>DATE(YEAR(SUBSTITUTE(LEFT(Base_report!G1628,10),"-","/")),MONTH(SUBSTITUTE(LEFT(Base_report!G1628,10),"-","/")),DAY(SUBSTITUTE(LEFT(Base_report!G1628,10),"-","/")))</f>
        <v>45300</v>
      </c>
      <c r="I1642" s="17" t="str">
        <f t="shared" si="1"/>
        <v>OUI</v>
      </c>
      <c r="J1642" s="18">
        <f>IF(L1642="DS",DATE(RIGHT(B1642,4),VLOOKUP(LEFT(B1642,LEN(B1642)-5),Feuil1!$E$3:$F$19,2,FALSE)+1,10),DATE(RIGHT(B1642,4),VLOOKUP(LEFT(B1642,LEN(B1642)-5),Feuil1!$E$3:$F$19,2,FALSE)+1,7))</f>
        <v>45301</v>
      </c>
      <c r="K1642" s="19">
        <f t="shared" si="2"/>
        <v>1</v>
      </c>
      <c r="L1642" s="6" t="str">
        <f t="shared" si="3"/>
        <v>DS</v>
      </c>
    </row>
    <row r="1643" ht="14.25" customHeight="1">
      <c r="A1643" s="14" t="str">
        <f>Base_report!A1629</f>
        <v>AGNEBY-TIASSA</v>
      </c>
      <c r="B1643" s="14" t="str">
        <f>Base_report!B1629</f>
        <v>OCTOBRE DECEMBRE 2023</v>
      </c>
      <c r="C1643" s="15" t="str">
        <f>Base_report!C1629</f>
        <v>C1009</v>
      </c>
      <c r="D1643" s="14" t="str">
        <f>TRIM(IF(ISNUMBER(FIND("PNSME",Base_report!D1629,1)),SUBSTITUTE(Base_report!D1629,"PNSME",""),IF(ISNUMBER(FIND("PHG",Base_report!D1629,1)),SUBSTITUTE(Base_report!D1629,"PHG",""),IF(ISNUMBER(FIND("PCS",Base_report!D1629,1)),SUBSTITUTE(Base_report!D1629,"PCS",""),IF(ISNUMBER(FIND("CMU",Base_report!D1629,1)),SUBSTITUTE(Base_report!D1629,"CMU",""),Base_report!D1629)))))</f>
        <v>CSU N'DOUCI</v>
      </c>
      <c r="E1643" s="14" t="str">
        <f>SUBSTITUTE(Base_report!E1629,"-","/")</f>
        <v>PNLT/SENSIBLE MEDICAMENTS ET INTRANTS</v>
      </c>
      <c r="F1643" s="14" t="s">
        <v>788</v>
      </c>
      <c r="G1643" s="16">
        <f>DATE(YEAR(SUBSTITUTE(LEFT(Base_report!F1629,10),"-","/")),MONTH(SUBSTITUTE(LEFT(Base_report!F1629,10),"-","/")),DAY(SUBSTITUTE(LEFT(Base_report!F1629,10),"-","/")))</f>
        <v>45296</v>
      </c>
      <c r="H1643" s="16">
        <f>DATE(YEAR(SUBSTITUTE(LEFT(Base_report!G1629,10),"-","/")),MONTH(SUBSTITUTE(LEFT(Base_report!G1629,10),"-","/")),DAY(SUBSTITUTE(LEFT(Base_report!G1629,10),"-","/")))</f>
        <v>45297</v>
      </c>
      <c r="I1643" s="17" t="str">
        <f t="shared" si="1"/>
        <v>OUI</v>
      </c>
      <c r="J1643" s="18">
        <f>IF(L1643="DS",DATE(RIGHT(B1643,4),VLOOKUP(LEFT(B1643,LEN(B1643)-5),Feuil1!$E$3:$F$19,2,FALSE)+1,10),DATE(RIGHT(B1643,4),VLOOKUP(LEFT(B1643,LEN(B1643)-5),Feuil1!$E$3:$F$19,2,FALSE)+1,7))</f>
        <v>45298</v>
      </c>
      <c r="K1643" s="19">
        <f t="shared" si="2"/>
        <v>1</v>
      </c>
      <c r="L1643" s="6" t="str">
        <f t="shared" si="3"/>
        <v>FS</v>
      </c>
    </row>
    <row r="1644" ht="14.25" customHeight="1">
      <c r="A1644" s="14" t="str">
        <f>Base_report!A1630</f>
        <v>PORO</v>
      </c>
      <c r="B1644" s="14" t="str">
        <f>Base_report!B1630</f>
        <v>OCTOBRE DECEMBRE 2023</v>
      </c>
      <c r="C1644" s="15" t="str">
        <f>Base_report!C1630</f>
        <v>C3021</v>
      </c>
      <c r="D1644" s="14" t="str">
        <f>TRIM(IF(ISNUMBER(FIND("PNSME",Base_report!D1630,1)),SUBSTITUTE(Base_report!D1630,"PNSME",""),IF(ISNUMBER(FIND("PHG",Base_report!D1630,1)),SUBSTITUTE(Base_report!D1630,"PHG",""),IF(ISNUMBER(FIND("PCS",Base_report!D1630,1)),SUBSTITUTE(Base_report!D1630,"PCS",""),IF(ISNUMBER(FIND("CMU",Base_report!D1630,1)),SUBSTITUTE(Base_report!D1630,"CMU",""),Base_report!D1630)))))</f>
        <v>HOPITAL GENERAL SINEMATIALI</v>
      </c>
      <c r="E1644" s="14" t="str">
        <f>SUBSTITUTE(Base_report!E1630,"-","/")</f>
        <v>PNLT/SENSIBLE MEDICAMENTS ET INTRANTS</v>
      </c>
      <c r="F1644" s="14" t="s">
        <v>788</v>
      </c>
      <c r="G1644" s="16">
        <f>DATE(YEAR(SUBSTITUTE(LEFT(Base_report!F1630,10),"-","/")),MONTH(SUBSTITUTE(LEFT(Base_report!F1630,10),"-","/")),DAY(SUBSTITUTE(LEFT(Base_report!F1630,10),"-","/")))</f>
        <v>45296</v>
      </c>
      <c r="H1644" s="16">
        <f>DATE(YEAR(SUBSTITUTE(LEFT(Base_report!G1630,10),"-","/")),MONTH(SUBSTITUTE(LEFT(Base_report!G1630,10),"-","/")),DAY(SUBSTITUTE(LEFT(Base_report!G1630,10),"-","/")))</f>
        <v>45298</v>
      </c>
      <c r="I1644" s="17" t="str">
        <f t="shared" si="1"/>
        <v>OUI</v>
      </c>
      <c r="J1644" s="18">
        <f>IF(L1644="DS",DATE(RIGHT(B1644,4),VLOOKUP(LEFT(B1644,LEN(B1644)-5),Feuil1!$E$3:$F$19,2,FALSE)+1,10),DATE(RIGHT(B1644,4),VLOOKUP(LEFT(B1644,LEN(B1644)-5),Feuil1!$E$3:$F$19,2,FALSE)+1,7))</f>
        <v>45298</v>
      </c>
      <c r="K1644" s="19">
        <f t="shared" si="2"/>
        <v>1</v>
      </c>
      <c r="L1644" s="6" t="str">
        <f t="shared" si="3"/>
        <v>FS</v>
      </c>
    </row>
    <row r="1645" ht="14.25" customHeight="1">
      <c r="A1645" s="14" t="str">
        <f>Base_report!A1631</f>
        <v>GBEKE</v>
      </c>
      <c r="B1645" s="14" t="str">
        <f>Base_report!B1631</f>
        <v>OCTOBRE DECEMBRE 2023</v>
      </c>
      <c r="C1645" s="15" t="str">
        <f>Base_report!C1631</f>
        <v>C2022</v>
      </c>
      <c r="D1645" s="14" t="str">
        <f>TRIM(IF(ISNUMBER(FIND("PNSME",Base_report!D1631,1)),SUBSTITUTE(Base_report!D1631,"PNSME",""),IF(ISNUMBER(FIND("PHG",Base_report!D1631,1)),SUBSTITUTE(Base_report!D1631,"PHG",""),IF(ISNUMBER(FIND("PCS",Base_report!D1631,1)),SUBSTITUTE(Base_report!D1631,"PCS",""),IF(ISNUMBER(FIND("CMU",Base_report!D1631,1)),SUBSTITUTE(Base_report!D1631,"CMU",""),Base_report!D1631)))))</f>
        <v>DISTRICT SANITAIRE BOUAKE EST</v>
      </c>
      <c r="E1645" s="14" t="str">
        <f>SUBSTITUTE(Base_report!E1631,"-","/")</f>
        <v>PNLT/SENSIBLE MEDICAMENTS ET INTRANTS</v>
      </c>
      <c r="F1645" s="14" t="s">
        <v>788</v>
      </c>
      <c r="G1645" s="16">
        <f>DATE(YEAR(SUBSTITUTE(LEFT(Base_report!F1631,10),"-","/")),MONTH(SUBSTITUTE(LEFT(Base_report!F1631,10),"-","/")),DAY(SUBSTITUTE(LEFT(Base_report!F1631,10),"-","/")))</f>
        <v>45300</v>
      </c>
      <c r="H1645" s="16">
        <f>DATE(YEAR(SUBSTITUTE(LEFT(Base_report!G1631,10),"-","/")),MONTH(SUBSTITUTE(LEFT(Base_report!G1631,10),"-","/")),DAY(SUBSTITUTE(LEFT(Base_report!G1631,10),"-","/")))</f>
        <v>45301</v>
      </c>
      <c r="I1645" s="17" t="str">
        <f t="shared" si="1"/>
        <v>OUI</v>
      </c>
      <c r="J1645" s="18">
        <f>IF(L1645="DS",DATE(RIGHT(B1645,4),VLOOKUP(LEFT(B1645,LEN(B1645)-5),Feuil1!$E$3:$F$19,2,FALSE)+1,10),DATE(RIGHT(B1645,4),VLOOKUP(LEFT(B1645,LEN(B1645)-5),Feuil1!$E$3:$F$19,2,FALSE)+1,7))</f>
        <v>45301</v>
      </c>
      <c r="K1645" s="19">
        <f t="shared" si="2"/>
        <v>1</v>
      </c>
      <c r="L1645" s="6" t="str">
        <f t="shared" si="3"/>
        <v>DS</v>
      </c>
    </row>
    <row r="1646" ht="14.25" customHeight="1">
      <c r="A1646" s="14" t="str">
        <f>Base_report!A1632</f>
        <v>BELIER</v>
      </c>
      <c r="B1646" s="14" t="str">
        <f>Base_report!B1632</f>
        <v>OCTOBRE DECEMBRE 2023</v>
      </c>
      <c r="C1646" s="15" t="str">
        <f>Base_report!C1632</f>
        <v>C2045</v>
      </c>
      <c r="D1646" s="14" t="str">
        <f>TRIM(IF(ISNUMBER(FIND("PNSME",Base_report!D1632,1)),SUBSTITUTE(Base_report!D1632,"PNSME",""),IF(ISNUMBER(FIND("PHG",Base_report!D1632,1)),SUBSTITUTE(Base_report!D1632,"PHG",""),IF(ISNUMBER(FIND("PCS",Base_report!D1632,1)),SUBSTITUTE(Base_report!D1632,"PCS",""),IF(ISNUMBER(FIND("CMU",Base_report!D1632,1)),SUBSTITUTE(Base_report!D1632,"CMU",""),Base_report!D1632)))))</f>
        <v>DISTRICT SANITAIRE YAMOUSSOUKRO</v>
      </c>
      <c r="E1646" s="14" t="str">
        <f>SUBSTITUTE(Base_report!E1632,"-","/")</f>
        <v>PNLT/SENSIBLE MEDICAMENTS ET INTRANTS</v>
      </c>
      <c r="F1646" s="14" t="s">
        <v>788</v>
      </c>
      <c r="G1646" s="16">
        <f>DATE(YEAR(SUBSTITUTE(LEFT(Base_report!F1632,10),"-","/")),MONTH(SUBSTITUTE(LEFT(Base_report!F1632,10),"-","/")),DAY(SUBSTITUTE(LEFT(Base_report!F1632,10),"-","/")))</f>
        <v>45301</v>
      </c>
      <c r="H1646" s="16">
        <f>DATE(YEAR(SUBSTITUTE(LEFT(Base_report!G1632,10),"-","/")),MONTH(SUBSTITUTE(LEFT(Base_report!G1632,10),"-","/")),DAY(SUBSTITUTE(LEFT(Base_report!G1632,10),"-","/")))</f>
        <v>45301</v>
      </c>
      <c r="I1646" s="17" t="str">
        <f t="shared" si="1"/>
        <v>OUI</v>
      </c>
      <c r="J1646" s="18">
        <f>IF(L1646="DS",DATE(RIGHT(B1646,4),VLOOKUP(LEFT(B1646,LEN(B1646)-5),Feuil1!$E$3:$F$19,2,FALSE)+1,10),DATE(RIGHT(B1646,4),VLOOKUP(LEFT(B1646,LEN(B1646)-5),Feuil1!$E$3:$F$19,2,FALSE)+1,7))</f>
        <v>45301</v>
      </c>
      <c r="K1646" s="19">
        <f t="shared" si="2"/>
        <v>1</v>
      </c>
      <c r="L1646" s="6" t="str">
        <f t="shared" si="3"/>
        <v>DS</v>
      </c>
    </row>
    <row r="1647" ht="14.25" customHeight="1">
      <c r="A1647" s="14" t="str">
        <f>Base_report!A1633</f>
        <v>HAUT-SASSANDRA</v>
      </c>
      <c r="B1647" s="14" t="str">
        <f>Base_report!B1633</f>
        <v>OCTOBRE DECEMBRE 2023</v>
      </c>
      <c r="C1647" s="15" t="str">
        <f>Base_report!C1633</f>
        <v>C2044</v>
      </c>
      <c r="D1647" s="14" t="str">
        <f>TRIM(IF(ISNUMBER(FIND("PNSME",Base_report!D1633,1)),SUBSTITUTE(Base_report!D1633,"PNSME",""),IF(ISNUMBER(FIND("PHG",Base_report!D1633,1)),SUBSTITUTE(Base_report!D1633,"PHG",""),IF(ISNUMBER(FIND("PCS",Base_report!D1633,1)),SUBSTITUTE(Base_report!D1633,"PCS",""),IF(ISNUMBER(FIND("CMU",Base_report!D1633,1)),SUBSTITUTE(Base_report!D1633,"CMU",""),Base_report!D1633)))))</f>
        <v>DISTRICT SANITAIRE VAVOUA</v>
      </c>
      <c r="E1647" s="14" t="str">
        <f>SUBSTITUTE(Base_report!E1633,"-","/")</f>
        <v>PNLT/SENSIBLE MEDICAMENTS ET INTRANTS</v>
      </c>
      <c r="F1647" s="14" t="s">
        <v>788</v>
      </c>
      <c r="G1647" s="16">
        <f>DATE(YEAR(SUBSTITUTE(LEFT(Base_report!F1633,10),"-","/")),MONTH(SUBSTITUTE(LEFT(Base_report!F1633,10),"-","/")),DAY(SUBSTITUTE(LEFT(Base_report!F1633,10),"-","/")))</f>
        <v>45301</v>
      </c>
      <c r="H1647" s="16">
        <f>DATE(YEAR(SUBSTITUTE(LEFT(Base_report!G1633,10),"-","/")),MONTH(SUBSTITUTE(LEFT(Base_report!G1633,10),"-","/")),DAY(SUBSTITUTE(LEFT(Base_report!G1633,10),"-","/")))</f>
        <v>45301</v>
      </c>
      <c r="I1647" s="17" t="str">
        <f t="shared" si="1"/>
        <v>OUI</v>
      </c>
      <c r="J1647" s="18">
        <f>IF(L1647="DS",DATE(RIGHT(B1647,4),VLOOKUP(LEFT(B1647,LEN(B1647)-5),Feuil1!$E$3:$F$19,2,FALSE)+1,10),DATE(RIGHT(B1647,4),VLOOKUP(LEFT(B1647,LEN(B1647)-5),Feuil1!$E$3:$F$19,2,FALSE)+1,7))</f>
        <v>45301</v>
      </c>
      <c r="K1647" s="19">
        <f t="shared" si="2"/>
        <v>1</v>
      </c>
      <c r="L1647" s="6" t="str">
        <f t="shared" si="3"/>
        <v>DS</v>
      </c>
    </row>
    <row r="1648" ht="14.25" customHeight="1">
      <c r="A1648" s="14" t="str">
        <f>Base_report!A1634</f>
        <v>INDENIE-DJUABLIN</v>
      </c>
      <c r="B1648" s="14" t="str">
        <f>Base_report!B1634</f>
        <v>OCTOBRE DECEMBRE 2023</v>
      </c>
      <c r="C1648" s="15" t="str">
        <f>Base_report!C1634</f>
        <v>C4063</v>
      </c>
      <c r="D1648" s="14" t="str">
        <f>TRIM(IF(ISNUMBER(FIND("PNSME",Base_report!D1634,1)),SUBSTITUTE(Base_report!D1634,"PNSME",""),IF(ISNUMBER(FIND("PHG",Base_report!D1634,1)),SUBSTITUTE(Base_report!D1634,"PHG",""),IF(ISNUMBER(FIND("PCS",Base_report!D1634,1)),SUBSTITUTE(Base_report!D1634,"PCS",""),IF(ISNUMBER(FIND("CMU",Base_report!D1634,1)),SUBSTITUTE(Base_report!D1634,"CMU",""),Base_report!D1634)))))</f>
        <v>CENTRE ANTITUBERCULEUX ABENGOUROU</v>
      </c>
      <c r="E1648" s="14" t="str">
        <f>SUBSTITUTE(Base_report!E1634,"-","/")</f>
        <v>PNLT/MULTI RESISTANTE MEDICAMENTS ET INTRANTS</v>
      </c>
      <c r="F1648" s="14" t="s">
        <v>788</v>
      </c>
      <c r="G1648" s="16">
        <f>DATE(YEAR(SUBSTITUTE(LEFT(Base_report!F1634,10),"-","/")),MONTH(SUBSTITUTE(LEFT(Base_report!F1634,10),"-","/")),DAY(SUBSTITUTE(LEFT(Base_report!F1634,10),"-","/")))</f>
        <v>45301</v>
      </c>
      <c r="H1648" s="16">
        <f>DATE(YEAR(SUBSTITUTE(LEFT(Base_report!G1634,10),"-","/")),MONTH(SUBSTITUTE(LEFT(Base_report!G1634,10),"-","/")),DAY(SUBSTITUTE(LEFT(Base_report!G1634,10),"-","/")))</f>
        <v>45301</v>
      </c>
      <c r="I1648" s="17" t="str">
        <f t="shared" si="1"/>
        <v>OUI</v>
      </c>
      <c r="J1648" s="18">
        <f>IF(L1648="DS",DATE(RIGHT(B1648,4),VLOOKUP(LEFT(B1648,LEN(B1648)-5),Feuil1!$E$3:$F$19,2,FALSE)+1,10),DATE(RIGHT(B1648,4),VLOOKUP(LEFT(B1648,LEN(B1648)-5),Feuil1!$E$3:$F$19,2,FALSE)+1,7))</f>
        <v>45298</v>
      </c>
      <c r="K1648" s="19">
        <f t="shared" si="2"/>
        <v>0</v>
      </c>
      <c r="L1648" s="6" t="str">
        <f t="shared" si="3"/>
        <v>FS</v>
      </c>
    </row>
    <row r="1649" ht="14.25" customHeight="1">
      <c r="A1649" s="14" t="str">
        <f>Base_report!A1635</f>
        <v>TCHOLOGO</v>
      </c>
      <c r="B1649" s="14" t="str">
        <f>Base_report!B1635</f>
        <v>OCTOBRE DECEMBRE 2023</v>
      </c>
      <c r="C1649" s="15" t="str">
        <f>Base_report!C1635</f>
        <v>C3046</v>
      </c>
      <c r="D1649" s="14" t="str">
        <f>TRIM(IF(ISNUMBER(FIND("PNSME",Base_report!D1635,1)),SUBSTITUTE(Base_report!D1635,"PNSME",""),IF(ISNUMBER(FIND("PHG",Base_report!D1635,1)),SUBSTITUTE(Base_report!D1635,"PHG",""),IF(ISNUMBER(FIND("PCS",Base_report!D1635,1)),SUBSTITUTE(Base_report!D1635,"PCS",""),IF(ISNUMBER(FIND("CMU",Base_report!D1635,1)),SUBSTITUTE(Base_report!D1635,"CMU",""),Base_report!D1635)))))</f>
        <v>DISTRICT SANITAIRE OUANGOLO</v>
      </c>
      <c r="E1649" s="14" t="str">
        <f>SUBSTITUTE(Base_report!E1635,"-","/")</f>
        <v>PNLT/SENSIBLE MEDICAMENTS ET INTRANTS</v>
      </c>
      <c r="F1649" s="14" t="s">
        <v>788</v>
      </c>
      <c r="G1649" s="16">
        <f>DATE(YEAR(SUBSTITUTE(LEFT(Base_report!F1635,10),"-","/")),MONTH(SUBSTITUTE(LEFT(Base_report!F1635,10),"-","/")),DAY(SUBSTITUTE(LEFT(Base_report!F1635,10),"-","/")))</f>
        <v>45301</v>
      </c>
      <c r="H1649" s="16">
        <f>DATE(YEAR(SUBSTITUTE(LEFT(Base_report!G1635,10),"-","/")),MONTH(SUBSTITUTE(LEFT(Base_report!G1635,10),"-","/")),DAY(SUBSTITUTE(LEFT(Base_report!G1635,10),"-","/")))</f>
        <v>45301</v>
      </c>
      <c r="I1649" s="17" t="str">
        <f t="shared" si="1"/>
        <v>OUI</v>
      </c>
      <c r="J1649" s="18">
        <f>IF(L1649="DS",DATE(RIGHT(B1649,4),VLOOKUP(LEFT(B1649,LEN(B1649)-5),Feuil1!$E$3:$F$19,2,FALSE)+1,10),DATE(RIGHT(B1649,4),VLOOKUP(LEFT(B1649,LEN(B1649)-5),Feuil1!$E$3:$F$19,2,FALSE)+1,7))</f>
        <v>45301</v>
      </c>
      <c r="K1649" s="19">
        <f t="shared" si="2"/>
        <v>1</v>
      </c>
      <c r="L1649" s="6" t="str">
        <f t="shared" si="3"/>
        <v>DS</v>
      </c>
    </row>
    <row r="1650" ht="14.25" customHeight="1">
      <c r="A1650" s="14" t="str">
        <f>Base_report!A1636</f>
        <v>MORONOU</v>
      </c>
      <c r="B1650" s="14" t="str">
        <f>Base_report!B1636</f>
        <v>OCTOBRE DECEMBRE 2023</v>
      </c>
      <c r="C1650" s="15" t="str">
        <f>Base_report!C1636</f>
        <v>C4073</v>
      </c>
      <c r="D1650" s="14" t="str">
        <f>TRIM(IF(ISNUMBER(FIND("PNSME",Base_report!D1636,1)),SUBSTITUTE(Base_report!D1636,"PNSME",""),IF(ISNUMBER(FIND("PHG",Base_report!D1636,1)),SUBSTITUTE(Base_report!D1636,"PHG",""),IF(ISNUMBER(FIND("PCS",Base_report!D1636,1)),SUBSTITUTE(Base_report!D1636,"PCS",""),IF(ISNUMBER(FIND("CMU",Base_report!D1636,1)),SUBSTITUTE(Base_report!D1636,"CMU",""),Base_report!D1636)))))</f>
        <v>DISTRICT SANITAIRE ARRAH</v>
      </c>
      <c r="E1650" s="14" t="str">
        <f>SUBSTITUTE(Base_report!E1636,"-","/")</f>
        <v>PNLT/SENSIBLE MEDICAMENTS ET INTRANTS</v>
      </c>
      <c r="F1650" s="14" t="s">
        <v>788</v>
      </c>
      <c r="G1650" s="16">
        <f>DATE(YEAR(SUBSTITUTE(LEFT(Base_report!F1636,10),"-","/")),MONTH(SUBSTITUTE(LEFT(Base_report!F1636,10),"-","/")),DAY(SUBSTITUTE(LEFT(Base_report!F1636,10),"-","/")))</f>
        <v>45299</v>
      </c>
      <c r="H1650" s="16">
        <f>DATE(YEAR(SUBSTITUTE(LEFT(Base_report!G1636,10),"-","/")),MONTH(SUBSTITUTE(LEFT(Base_report!G1636,10),"-","/")),DAY(SUBSTITUTE(LEFT(Base_report!G1636,10),"-","/")))</f>
        <v>45300</v>
      </c>
      <c r="I1650" s="17" t="str">
        <f t="shared" si="1"/>
        <v>OUI</v>
      </c>
      <c r="J1650" s="18">
        <f>IF(L1650="DS",DATE(RIGHT(B1650,4),VLOOKUP(LEFT(B1650,LEN(B1650)-5),Feuil1!$E$3:$F$19,2,FALSE)+1,10),DATE(RIGHT(B1650,4),VLOOKUP(LEFT(B1650,LEN(B1650)-5),Feuil1!$E$3:$F$19,2,FALSE)+1,7))</f>
        <v>45301</v>
      </c>
      <c r="K1650" s="19">
        <f t="shared" si="2"/>
        <v>1</v>
      </c>
      <c r="L1650" s="6" t="str">
        <f t="shared" si="3"/>
        <v>DS</v>
      </c>
    </row>
    <row r="1651" ht="14.25" customHeight="1">
      <c r="A1651" s="14" t="str">
        <f>Base_report!A1637</f>
        <v>GBEKE</v>
      </c>
      <c r="B1651" s="14" t="str">
        <f>Base_report!B1637</f>
        <v>OCTOBRE DECEMBRE 2023</v>
      </c>
      <c r="C1651" s="15" t="str">
        <f>Base_report!C1637</f>
        <v>C2222</v>
      </c>
      <c r="D1651" s="14" t="str">
        <f>TRIM(IF(ISNUMBER(FIND("PNSME",Base_report!D1637,1)),SUBSTITUTE(Base_report!D1637,"PNSME",""),IF(ISNUMBER(FIND("PHG",Base_report!D1637,1)),SUBSTITUTE(Base_report!D1637,"PHG",""),IF(ISNUMBER(FIND("PCS",Base_report!D1637,1)),SUBSTITUTE(Base_report!D1637,"PCS",""),IF(ISNUMBER(FIND("CMU",Base_report!D1637,1)),SUBSTITUTE(Base_report!D1637,"CMU",""),Base_report!D1637)))))</f>
        <v>DISTRICT SANITAIRE BOTRO</v>
      </c>
      <c r="E1651" s="14" t="str">
        <f>SUBSTITUTE(Base_report!E1637,"-","/")</f>
        <v>PNLT/SENSIBLE MEDICAMENTS ET INTRANTS</v>
      </c>
      <c r="F1651" s="14" t="s">
        <v>788</v>
      </c>
      <c r="G1651" s="16">
        <f>DATE(YEAR(SUBSTITUTE(LEFT(Base_report!F1637,10),"-","/")),MONTH(SUBSTITUTE(LEFT(Base_report!F1637,10),"-","/")),DAY(SUBSTITUTE(LEFT(Base_report!F1637,10),"-","/")))</f>
        <v>45300</v>
      </c>
      <c r="H1651" s="16">
        <f>DATE(YEAR(SUBSTITUTE(LEFT(Base_report!G1637,10),"-","/")),MONTH(SUBSTITUTE(LEFT(Base_report!G1637,10),"-","/")),DAY(SUBSTITUTE(LEFT(Base_report!G1637,10),"-","/")))</f>
        <v>45301</v>
      </c>
      <c r="I1651" s="17" t="str">
        <f t="shared" si="1"/>
        <v>OUI</v>
      </c>
      <c r="J1651" s="18">
        <f>IF(L1651="DS",DATE(RIGHT(B1651,4),VLOOKUP(LEFT(B1651,LEN(B1651)-5),Feuil1!$E$3:$F$19,2,FALSE)+1,10),DATE(RIGHT(B1651,4),VLOOKUP(LEFT(B1651,LEN(B1651)-5),Feuil1!$E$3:$F$19,2,FALSE)+1,7))</f>
        <v>45301</v>
      </c>
      <c r="K1651" s="19">
        <f t="shared" si="2"/>
        <v>1</v>
      </c>
      <c r="L1651" s="6" t="str">
        <f t="shared" si="3"/>
        <v>DS</v>
      </c>
    </row>
    <row r="1652" ht="14.25" customHeight="1">
      <c r="A1652" s="14" t="str">
        <f>Base_report!A1638</f>
        <v>N'ZI</v>
      </c>
      <c r="B1652" s="14" t="str">
        <f>Base_report!B1638</f>
        <v>OCTOBRE DECEMBRE 2023</v>
      </c>
      <c r="C1652" s="15" t="str">
        <f>Base_report!C1638</f>
        <v>C2192</v>
      </c>
      <c r="D1652" s="14" t="str">
        <f>TRIM(IF(ISNUMBER(FIND("PNSME",Base_report!D1638,1)),SUBSTITUTE(Base_report!D1638,"PNSME",""),IF(ISNUMBER(FIND("PHG",Base_report!D1638,1)),SUBSTITUTE(Base_report!D1638,"PHG",""),IF(ISNUMBER(FIND("PCS",Base_report!D1638,1)),SUBSTITUTE(Base_report!D1638,"PCS",""),IF(ISNUMBER(FIND("CMU",Base_report!D1638,1)),SUBSTITUTE(Base_report!D1638,"CMU",""),Base_report!D1638)))))</f>
        <v>CENTRE ANTITUBERCULEUX DIMBOKRO</v>
      </c>
      <c r="E1652" s="14" t="str">
        <f>SUBSTITUTE(Base_report!E1638,"-","/")</f>
        <v>PNLT/SENSIBLE MEDICAMENTS ET INTRANTS</v>
      </c>
      <c r="F1652" s="14" t="s">
        <v>788</v>
      </c>
      <c r="G1652" s="16">
        <f>DATE(YEAR(SUBSTITUTE(LEFT(Base_report!F1638,10),"-","/")),MONTH(SUBSTITUTE(LEFT(Base_report!F1638,10),"-","/")),DAY(SUBSTITUTE(LEFT(Base_report!F1638,10),"-","/")))</f>
        <v>45296</v>
      </c>
      <c r="H1652" s="16">
        <f>DATE(YEAR(SUBSTITUTE(LEFT(Base_report!G1638,10),"-","/")),MONTH(SUBSTITUTE(LEFT(Base_report!G1638,10),"-","/")),DAY(SUBSTITUTE(LEFT(Base_report!G1638,10),"-","/")))</f>
        <v>45296</v>
      </c>
      <c r="I1652" s="17" t="str">
        <f t="shared" si="1"/>
        <v>OUI</v>
      </c>
      <c r="J1652" s="18">
        <f>IF(L1652="DS",DATE(RIGHT(B1652,4),VLOOKUP(LEFT(B1652,LEN(B1652)-5),Feuil1!$E$3:$F$19,2,FALSE)+1,10),DATE(RIGHT(B1652,4),VLOOKUP(LEFT(B1652,LEN(B1652)-5),Feuil1!$E$3:$F$19,2,FALSE)+1,7))</f>
        <v>45298</v>
      </c>
      <c r="K1652" s="19">
        <f t="shared" si="2"/>
        <v>1</v>
      </c>
      <c r="L1652" s="6" t="str">
        <f t="shared" si="3"/>
        <v>FS</v>
      </c>
    </row>
    <row r="1653" ht="14.25" customHeight="1">
      <c r="A1653" s="14" t="str">
        <f>Base_report!A1639</f>
        <v>BELIER</v>
      </c>
      <c r="B1653" s="14" t="str">
        <f>Base_report!B1639</f>
        <v>OCTOBRE DECEMBRE 2023</v>
      </c>
      <c r="C1653" s="15" t="str">
        <f>Base_report!C1639</f>
        <v>C2052</v>
      </c>
      <c r="D1653" s="14" t="str">
        <f>TRIM(IF(ISNUMBER(FIND("PNSME",Base_report!D1639,1)),SUBSTITUTE(Base_report!D1639,"PNSME",""),IF(ISNUMBER(FIND("PHG",Base_report!D1639,1)),SUBSTITUTE(Base_report!D1639,"PHG",""),IF(ISNUMBER(FIND("PCS",Base_report!D1639,1)),SUBSTITUTE(Base_report!D1639,"PCS",""),IF(ISNUMBER(FIND("CMU",Base_report!D1639,1)),SUBSTITUTE(Base_report!D1639,"CMU",""),Base_report!D1639)))))</f>
        <v>HOPITAL GENERAL DJEKANOU</v>
      </c>
      <c r="E1653" s="14" t="str">
        <f>SUBSTITUTE(Base_report!E1639,"-","/")</f>
        <v>PNLT/SENSIBLE MEDICAMENTS ET INTRANTS</v>
      </c>
      <c r="F1653" s="14" t="s">
        <v>788</v>
      </c>
      <c r="G1653" s="16">
        <f>DATE(YEAR(SUBSTITUTE(LEFT(Base_report!F1639,10),"-","/")),MONTH(SUBSTITUTE(LEFT(Base_report!F1639,10),"-","/")),DAY(SUBSTITUTE(LEFT(Base_report!F1639,10),"-","/")))</f>
        <v>45296</v>
      </c>
      <c r="H1653" s="16">
        <f>DATE(YEAR(SUBSTITUTE(LEFT(Base_report!G1639,10),"-","/")),MONTH(SUBSTITUTE(LEFT(Base_report!G1639,10),"-","/")),DAY(SUBSTITUTE(LEFT(Base_report!G1639,10),"-","/")))</f>
        <v>45296</v>
      </c>
      <c r="I1653" s="17" t="str">
        <f t="shared" si="1"/>
        <v>OUI</v>
      </c>
      <c r="J1653" s="18">
        <f>IF(L1653="DS",DATE(RIGHT(B1653,4),VLOOKUP(LEFT(B1653,LEN(B1653)-5),Feuil1!$E$3:$F$19,2,FALSE)+1,10),DATE(RIGHT(B1653,4),VLOOKUP(LEFT(B1653,LEN(B1653)-5),Feuil1!$E$3:$F$19,2,FALSE)+1,7))</f>
        <v>45298</v>
      </c>
      <c r="K1653" s="19">
        <f t="shared" si="2"/>
        <v>1</v>
      </c>
      <c r="L1653" s="6" t="str">
        <f t="shared" si="3"/>
        <v>FS</v>
      </c>
    </row>
    <row r="1654" ht="14.25" customHeight="1">
      <c r="A1654" s="14" t="str">
        <f>Base_report!A1640</f>
        <v>GRANDS PONTS</v>
      </c>
      <c r="B1654" s="14" t="str">
        <f>Base_report!B1640</f>
        <v>OCTOBRE DECEMBRE 2023</v>
      </c>
      <c r="C1654" s="15" t="str">
        <f>Base_report!C1640</f>
        <v>C1047</v>
      </c>
      <c r="D1654" s="14" t="str">
        <f>TRIM(IF(ISNUMBER(FIND("PNSME",Base_report!D1640,1)),SUBSTITUTE(Base_report!D1640,"PNSME",""),IF(ISNUMBER(FIND("PHG",Base_report!D1640,1)),SUBSTITUTE(Base_report!D1640,"PHG",""),IF(ISNUMBER(FIND("PCS",Base_report!D1640,1)),SUBSTITUTE(Base_report!D1640,"PCS",""),IF(ISNUMBER(FIND("CMU",Base_report!D1640,1)),SUBSTITUTE(Base_report!D1640,"CMU",""),Base_report!D1640)))))</f>
        <v>DISTRICT SANITAIRE DABOU</v>
      </c>
      <c r="E1654" s="14" t="str">
        <f>SUBSTITUTE(Base_report!E1640,"-","/")</f>
        <v>PNLT/SENSIBLE MEDICAMENTS ET INTRANTS</v>
      </c>
      <c r="F1654" s="14" t="s">
        <v>788</v>
      </c>
      <c r="G1654" s="16">
        <f>DATE(YEAR(SUBSTITUTE(LEFT(Base_report!F1640,10),"-","/")),MONTH(SUBSTITUTE(LEFT(Base_report!F1640,10),"-","/")),DAY(SUBSTITUTE(LEFT(Base_report!F1640,10),"-","/")))</f>
        <v>45300</v>
      </c>
      <c r="H1654" s="16">
        <f>DATE(YEAR(SUBSTITUTE(LEFT(Base_report!G1640,10),"-","/")),MONTH(SUBSTITUTE(LEFT(Base_report!G1640,10),"-","/")),DAY(SUBSTITUTE(LEFT(Base_report!G1640,10),"-","/")))</f>
        <v>45301</v>
      </c>
      <c r="I1654" s="17" t="str">
        <f t="shared" si="1"/>
        <v>OUI</v>
      </c>
      <c r="J1654" s="18">
        <f>IF(L1654="DS",DATE(RIGHT(B1654,4),VLOOKUP(LEFT(B1654,LEN(B1654)-5),Feuil1!$E$3:$F$19,2,FALSE)+1,10),DATE(RIGHT(B1654,4),VLOOKUP(LEFT(B1654,LEN(B1654)-5),Feuil1!$E$3:$F$19,2,FALSE)+1,7))</f>
        <v>45301</v>
      </c>
      <c r="K1654" s="19">
        <f t="shared" si="2"/>
        <v>1</v>
      </c>
      <c r="L1654" s="6" t="str">
        <f t="shared" si="3"/>
        <v>DS</v>
      </c>
    </row>
    <row r="1655" ht="14.25" customHeight="1">
      <c r="A1655" s="14" t="str">
        <f>Base_report!A1641</f>
        <v>BAFING</v>
      </c>
      <c r="B1655" s="14" t="str">
        <f>Base_report!B1641</f>
        <v>OCTOBRE DECEMBRE 2023</v>
      </c>
      <c r="C1655" s="15" t="str">
        <f>Base_report!C1641</f>
        <v>C5078</v>
      </c>
      <c r="D1655" s="14" t="str">
        <f>TRIM(IF(ISNUMBER(FIND("PNSME",Base_report!D1641,1)),SUBSTITUTE(Base_report!D1641,"PNSME",""),IF(ISNUMBER(FIND("PHG",Base_report!D1641,1)),SUBSTITUTE(Base_report!D1641,"PHG",""),IF(ISNUMBER(FIND("PCS",Base_report!D1641,1)),SUBSTITUTE(Base_report!D1641,"PCS",""),IF(ISNUMBER(FIND("CMU",Base_report!D1641,1)),SUBSTITUTE(Base_report!D1641,"CMU",""),Base_report!D1641)))))</f>
        <v>HOPITAL GENERAL OUANINOU</v>
      </c>
      <c r="E1655" s="14" t="str">
        <f>SUBSTITUTE(Base_report!E1641,"-","/")</f>
        <v>PNLT/SENSIBLE MEDICAMENTS ET INTRANTS</v>
      </c>
      <c r="F1655" s="14" t="s">
        <v>788</v>
      </c>
      <c r="G1655" s="16">
        <f>DATE(YEAR(SUBSTITUTE(LEFT(Base_report!F1641,10),"-","/")),MONTH(SUBSTITUTE(LEFT(Base_report!F1641,10),"-","/")),DAY(SUBSTITUTE(LEFT(Base_report!F1641,10),"-","/")))</f>
        <v>45294</v>
      </c>
      <c r="H1655" s="16">
        <f>DATE(YEAR(SUBSTITUTE(LEFT(Base_report!G1641,10),"-","/")),MONTH(SUBSTITUTE(LEFT(Base_report!G1641,10),"-","/")),DAY(SUBSTITUTE(LEFT(Base_report!G1641,10),"-","/")))</f>
        <v>45294</v>
      </c>
      <c r="I1655" s="17" t="str">
        <f t="shared" si="1"/>
        <v>OUI</v>
      </c>
      <c r="J1655" s="18">
        <f>IF(L1655="DS",DATE(RIGHT(B1655,4),VLOOKUP(LEFT(B1655,LEN(B1655)-5),Feuil1!$E$3:$F$19,2,FALSE)+1,10),DATE(RIGHT(B1655,4),VLOOKUP(LEFT(B1655,LEN(B1655)-5),Feuil1!$E$3:$F$19,2,FALSE)+1,7))</f>
        <v>45298</v>
      </c>
      <c r="K1655" s="19">
        <f t="shared" si="2"/>
        <v>1</v>
      </c>
      <c r="L1655" s="6" t="str">
        <f t="shared" si="3"/>
        <v>FS</v>
      </c>
    </row>
    <row r="1656" ht="14.25" customHeight="1">
      <c r="A1656" s="14" t="str">
        <f>Base_report!A1642</f>
        <v>ME</v>
      </c>
      <c r="B1656" s="14" t="str">
        <f>Base_report!B1642</f>
        <v>OCTOBRE DECEMBRE 2023</v>
      </c>
      <c r="C1656" s="15" t="str">
        <f>Base_report!C1642</f>
        <v>C4061</v>
      </c>
      <c r="D1656" s="14" t="str">
        <f>TRIM(IF(ISNUMBER(FIND("PNSME",Base_report!D1642,1)),SUBSTITUTE(Base_report!D1642,"PNSME",""),IF(ISNUMBER(FIND("PHG",Base_report!D1642,1)),SUBSTITUTE(Base_report!D1642,"PHG",""),IF(ISNUMBER(FIND("PCS",Base_report!D1642,1)),SUBSTITUTE(Base_report!D1642,"PCS",""),IF(ISNUMBER(FIND("CMU",Base_report!D1642,1)),SUBSTITUTE(Base_report!D1642,"CMU",""),Base_report!D1642)))))</f>
        <v>HOPITAL GENERAL YAKASSE ATTOBROU</v>
      </c>
      <c r="E1656" s="14" t="str">
        <f>SUBSTITUTE(Base_report!E1642,"-","/")</f>
        <v>PNLT/SENSIBLE MEDICAMENTS ET INTRANTS</v>
      </c>
      <c r="F1656" s="14" t="s">
        <v>788</v>
      </c>
      <c r="G1656" s="16">
        <f>DATE(YEAR(SUBSTITUTE(LEFT(Base_report!F1642,10),"-","/")),MONTH(SUBSTITUTE(LEFT(Base_report!F1642,10),"-","/")),DAY(SUBSTITUTE(LEFT(Base_report!F1642,10),"-","/")))</f>
        <v>45296</v>
      </c>
      <c r="H1656" s="16">
        <f>DATE(YEAR(SUBSTITUTE(LEFT(Base_report!G1642,10),"-","/")),MONTH(SUBSTITUTE(LEFT(Base_report!G1642,10),"-","/")),DAY(SUBSTITUTE(LEFT(Base_report!G1642,10),"-","/")))</f>
        <v>45296</v>
      </c>
      <c r="I1656" s="17" t="str">
        <f t="shared" si="1"/>
        <v>OUI</v>
      </c>
      <c r="J1656" s="18">
        <f>IF(L1656="DS",DATE(RIGHT(B1656,4),VLOOKUP(LEFT(B1656,LEN(B1656)-5),Feuil1!$E$3:$F$19,2,FALSE)+1,10),DATE(RIGHT(B1656,4),VLOOKUP(LEFT(B1656,LEN(B1656)-5),Feuil1!$E$3:$F$19,2,FALSE)+1,7))</f>
        <v>45298</v>
      </c>
      <c r="K1656" s="19">
        <f t="shared" si="2"/>
        <v>1</v>
      </c>
      <c r="L1656" s="6" t="str">
        <f t="shared" si="3"/>
        <v>FS</v>
      </c>
    </row>
    <row r="1657" ht="14.25" customHeight="1">
      <c r="A1657" s="14" t="str">
        <f>Base_report!A1643</f>
        <v>SAN PEDRO</v>
      </c>
      <c r="B1657" s="14" t="str">
        <f>Base_report!B1643</f>
        <v>OCTOBRE DECEMBRE 2023</v>
      </c>
      <c r="C1657" s="15" t="str">
        <f>Base_report!C1643</f>
        <v>C2171</v>
      </c>
      <c r="D1657" s="14" t="str">
        <f>TRIM(IF(ISNUMBER(FIND("PNSME",Base_report!D1643,1)),SUBSTITUTE(Base_report!D1643,"PNSME",""),IF(ISNUMBER(FIND("PHG",Base_report!D1643,1)),SUBSTITUTE(Base_report!D1643,"PHG",""),IF(ISNUMBER(FIND("PCS",Base_report!D1643,1)),SUBSTITUTE(Base_report!D1643,"PCS",""),IF(ISNUMBER(FIND("CMU",Base_report!D1643,1)),SUBSTITUTE(Base_report!D1643,"CMU",""),Base_report!D1643)))))</f>
        <v>CENTRE ANTI-TUBERCULEUX SAN-PEDRO</v>
      </c>
      <c r="E1657" s="14" t="str">
        <f>SUBSTITUTE(Base_report!E1643,"-","/")</f>
        <v>PNLT/SENSIBLE MEDICAMENTS ET INTRANTS</v>
      </c>
      <c r="F1657" s="14" t="s">
        <v>788</v>
      </c>
      <c r="G1657" s="16">
        <f>DATE(YEAR(SUBSTITUTE(LEFT(Base_report!F1643,10),"-","/")),MONTH(SUBSTITUTE(LEFT(Base_report!F1643,10),"-","/")),DAY(SUBSTITUTE(LEFT(Base_report!F1643,10),"-","/")))</f>
        <v>45296</v>
      </c>
      <c r="H1657" s="16">
        <f>DATE(YEAR(SUBSTITUTE(LEFT(Base_report!G1643,10),"-","/")),MONTH(SUBSTITUTE(LEFT(Base_report!G1643,10),"-","/")),DAY(SUBSTITUTE(LEFT(Base_report!G1643,10),"-","/")))</f>
        <v>45296</v>
      </c>
      <c r="I1657" s="17" t="str">
        <f t="shared" si="1"/>
        <v>OUI</v>
      </c>
      <c r="J1657" s="18">
        <f>IF(L1657="DS",DATE(RIGHT(B1657,4),VLOOKUP(LEFT(B1657,LEN(B1657)-5),Feuil1!$E$3:$F$19,2,FALSE)+1,10),DATE(RIGHT(B1657,4),VLOOKUP(LEFT(B1657,LEN(B1657)-5),Feuil1!$E$3:$F$19,2,FALSE)+1,7))</f>
        <v>45298</v>
      </c>
      <c r="K1657" s="19">
        <f t="shared" si="2"/>
        <v>1</v>
      </c>
      <c r="L1657" s="6" t="str">
        <f t="shared" si="3"/>
        <v>FS</v>
      </c>
    </row>
    <row r="1658" ht="14.25" customHeight="1">
      <c r="A1658" s="14" t="str">
        <f>Base_report!A1644</f>
        <v>IFFOU</v>
      </c>
      <c r="B1658" s="14" t="str">
        <f>Base_report!B1644</f>
        <v>OCTOBRE DECEMBRE 2023</v>
      </c>
      <c r="C1658" s="15" t="str">
        <f>Base_report!C1644</f>
        <v>C4011</v>
      </c>
      <c r="D1658" s="14" t="str">
        <f>TRIM(IF(ISNUMBER(FIND("PNSME",Base_report!D1644,1)),SUBSTITUTE(Base_report!D1644,"PNSME",""),IF(ISNUMBER(FIND("PHG",Base_report!D1644,1)),SUBSTITUTE(Base_report!D1644,"PHG",""),IF(ISNUMBER(FIND("PCS",Base_report!D1644,1)),SUBSTITUTE(Base_report!D1644,"PCS",""),IF(ISNUMBER(FIND("CMU",Base_report!D1644,1)),SUBSTITUTE(Base_report!D1644,"CMU",""),Base_report!D1644)))))</f>
        <v>DISTRICT SANITAIRE DAOUKRO</v>
      </c>
      <c r="E1658" s="14" t="str">
        <f>SUBSTITUTE(Base_report!E1644,"-","/")</f>
        <v>PNLT/SENSIBLE MEDICAMENTS ET INTRANTS</v>
      </c>
      <c r="F1658" s="14" t="s">
        <v>788</v>
      </c>
      <c r="G1658" s="16">
        <f>DATE(YEAR(SUBSTITUTE(LEFT(Base_report!F1644,10),"-","/")),MONTH(SUBSTITUTE(LEFT(Base_report!F1644,10),"-","/")),DAY(SUBSTITUTE(LEFT(Base_report!F1644,10),"-","/")))</f>
        <v>45300</v>
      </c>
      <c r="H1658" s="16">
        <f>DATE(YEAR(SUBSTITUTE(LEFT(Base_report!G1644,10),"-","/")),MONTH(SUBSTITUTE(LEFT(Base_report!G1644,10),"-","/")),DAY(SUBSTITUTE(LEFT(Base_report!G1644,10),"-","/")))</f>
        <v>45300</v>
      </c>
      <c r="I1658" s="17" t="str">
        <f t="shared" si="1"/>
        <v>OUI</v>
      </c>
      <c r="J1658" s="18">
        <f>IF(L1658="DS",DATE(RIGHT(B1658,4),VLOOKUP(LEFT(B1658,LEN(B1658)-5),Feuil1!$E$3:$F$19,2,FALSE)+1,10),DATE(RIGHT(B1658,4),VLOOKUP(LEFT(B1658,LEN(B1658)-5),Feuil1!$E$3:$F$19,2,FALSE)+1,7))</f>
        <v>45301</v>
      </c>
      <c r="K1658" s="19">
        <f t="shared" si="2"/>
        <v>1</v>
      </c>
      <c r="L1658" s="6" t="str">
        <f t="shared" si="3"/>
        <v>DS</v>
      </c>
    </row>
    <row r="1659" ht="14.25" customHeight="1">
      <c r="A1659" s="14" t="str">
        <f>Base_report!A1645</f>
        <v>TONKPI</v>
      </c>
      <c r="B1659" s="14" t="str">
        <f>Base_report!B1645</f>
        <v>OCTOBRE DECEMBRE 2023</v>
      </c>
      <c r="C1659" s="15" t="str">
        <f>Base_report!C1645</f>
        <v>C5009</v>
      </c>
      <c r="D1659" s="14" t="str">
        <f>TRIM(IF(ISNUMBER(FIND("PNSME",Base_report!D1645,1)),SUBSTITUTE(Base_report!D1645,"PNSME",""),IF(ISNUMBER(FIND("PHG",Base_report!D1645,1)),SUBSTITUTE(Base_report!D1645,"PHG",""),IF(ISNUMBER(FIND("PCS",Base_report!D1645,1)),SUBSTITUTE(Base_report!D1645,"PCS",""),IF(ISNUMBER(FIND("CMU",Base_report!D1645,1)),SUBSTITUTE(Base_report!D1645,"CMU",""),Base_report!D1645)))))</f>
        <v>DISTRICT SANITAIRE DANANE</v>
      </c>
      <c r="E1659" s="14" t="str">
        <f>SUBSTITUTE(Base_report!E1645,"-","/")</f>
        <v>PNLT/SENSIBLE MEDICAMENTS ET INTRANTS</v>
      </c>
      <c r="F1659" s="14" t="s">
        <v>788</v>
      </c>
      <c r="G1659" s="16">
        <f>DATE(YEAR(SUBSTITUTE(LEFT(Base_report!F1645,10),"-","/")),MONTH(SUBSTITUTE(LEFT(Base_report!F1645,10),"-","/")),DAY(SUBSTITUTE(LEFT(Base_report!F1645,10),"-","/")))</f>
        <v>45301</v>
      </c>
      <c r="H1659" s="16">
        <f>DATE(YEAR(SUBSTITUTE(LEFT(Base_report!G1645,10),"-","/")),MONTH(SUBSTITUTE(LEFT(Base_report!G1645,10),"-","/")),DAY(SUBSTITUTE(LEFT(Base_report!G1645,10),"-","/")))</f>
        <v>45301</v>
      </c>
      <c r="I1659" s="17" t="str">
        <f t="shared" si="1"/>
        <v>OUI</v>
      </c>
      <c r="J1659" s="18">
        <f>IF(L1659="DS",DATE(RIGHT(B1659,4),VLOOKUP(LEFT(B1659,LEN(B1659)-5),Feuil1!$E$3:$F$19,2,FALSE)+1,10),DATE(RIGHT(B1659,4),VLOOKUP(LEFT(B1659,LEN(B1659)-5),Feuil1!$E$3:$F$19,2,FALSE)+1,7))</f>
        <v>45301</v>
      </c>
      <c r="K1659" s="19">
        <f t="shared" si="2"/>
        <v>1</v>
      </c>
      <c r="L1659" s="6" t="str">
        <f t="shared" si="3"/>
        <v>DS</v>
      </c>
    </row>
    <row r="1660" ht="14.25" customHeight="1">
      <c r="A1660" s="14" t="str">
        <f>Base_report!A1646</f>
        <v>GBOKLE</v>
      </c>
      <c r="B1660" s="14" t="str">
        <f>Base_report!B1646</f>
        <v>OCTOBRE DECEMBRE 2023</v>
      </c>
      <c r="C1660" s="15" t="str">
        <f>Base_report!C1646</f>
        <v>C1945</v>
      </c>
      <c r="D1660" s="14" t="str">
        <f>TRIM(IF(ISNUMBER(FIND("PNSME",Base_report!D1646,1)),SUBSTITUTE(Base_report!D1646,"PNSME",""),IF(ISNUMBER(FIND("PHG",Base_report!D1646,1)),SUBSTITUTE(Base_report!D1646,"PHG",""),IF(ISNUMBER(FIND("PCS",Base_report!D1646,1)),SUBSTITUTE(Base_report!D1646,"PCS",""),IF(ISNUMBER(FIND("CMU",Base_report!D1646,1)),SUBSTITUTE(Base_report!D1646,"CMU",""),Base_report!D1646)))))</f>
        <v>CENTRE ANTITUBERCULEUX SASSANDRA</v>
      </c>
      <c r="E1660" s="14" t="str">
        <f>SUBSTITUTE(Base_report!E1646,"-","/")</f>
        <v>PNLT/MULTI RESISTANTE MEDICAMENTS ET INTRANTS</v>
      </c>
      <c r="F1660" s="14" t="s">
        <v>788</v>
      </c>
      <c r="G1660" s="16">
        <f>DATE(YEAR(SUBSTITUTE(LEFT(Base_report!F1646,10),"-","/")),MONTH(SUBSTITUTE(LEFT(Base_report!F1646,10),"-","/")),DAY(SUBSTITUTE(LEFT(Base_report!F1646,10),"-","/")))</f>
        <v>45296</v>
      </c>
      <c r="H1660" s="16">
        <f>DATE(YEAR(SUBSTITUTE(LEFT(Base_report!G1646,10),"-","/")),MONTH(SUBSTITUTE(LEFT(Base_report!G1646,10),"-","/")),DAY(SUBSTITUTE(LEFT(Base_report!G1646,10),"-","/")))</f>
        <v>45297</v>
      </c>
      <c r="I1660" s="17" t="str">
        <f t="shared" si="1"/>
        <v>OUI</v>
      </c>
      <c r="J1660" s="18">
        <f>IF(L1660="DS",DATE(RIGHT(B1660,4),VLOOKUP(LEFT(B1660,LEN(B1660)-5),Feuil1!$E$3:$F$19,2,FALSE)+1,10),DATE(RIGHT(B1660,4),VLOOKUP(LEFT(B1660,LEN(B1660)-5),Feuil1!$E$3:$F$19,2,FALSE)+1,7))</f>
        <v>45298</v>
      </c>
      <c r="K1660" s="19">
        <f t="shared" si="2"/>
        <v>1</v>
      </c>
      <c r="L1660" s="6" t="str">
        <f t="shared" si="3"/>
        <v>FS</v>
      </c>
    </row>
    <row r="1661" ht="14.25" customHeight="1">
      <c r="A1661" s="14" t="str">
        <f>Base_report!A1647</f>
        <v>SUD-COMOE</v>
      </c>
      <c r="B1661" s="14" t="str">
        <f>Base_report!B1647</f>
        <v>OCTOBRE DECEMBRE 2023</v>
      </c>
      <c r="C1661" s="15" t="str">
        <f>Base_report!C1647</f>
        <v>C1764</v>
      </c>
      <c r="D1661" s="14" t="str">
        <f>TRIM(IF(ISNUMBER(FIND("PNSME",Base_report!D1647,1)),SUBSTITUTE(Base_report!D1647,"PNSME",""),IF(ISNUMBER(FIND("PHG",Base_report!D1647,1)),SUBSTITUTE(Base_report!D1647,"PHG",""),IF(ISNUMBER(FIND("PCS",Base_report!D1647,1)),SUBSTITUTE(Base_report!D1647,"PCS",""),IF(ISNUMBER(FIND("CMU",Base_report!D1647,1)),SUBSTITUTE(Base_report!D1647,"CMU",""),Base_report!D1647)))))</f>
        <v>DISTRICT SANITAIRE TIAPOUM</v>
      </c>
      <c r="E1661" s="14" t="str">
        <f>SUBSTITUTE(Base_report!E1647,"-","/")</f>
        <v>PNLT/SENSIBLE MEDICAMENTS ET INTRANTS</v>
      </c>
      <c r="F1661" s="14" t="s">
        <v>788</v>
      </c>
      <c r="G1661" s="16">
        <f>DATE(YEAR(SUBSTITUTE(LEFT(Base_report!F1647,10),"-","/")),MONTH(SUBSTITUTE(LEFT(Base_report!F1647,10),"-","/")),DAY(SUBSTITUTE(LEFT(Base_report!F1647,10),"-","/")))</f>
        <v>45300</v>
      </c>
      <c r="H1661" s="16">
        <f>DATE(YEAR(SUBSTITUTE(LEFT(Base_report!G1647,10),"-","/")),MONTH(SUBSTITUTE(LEFT(Base_report!G1647,10),"-","/")),DAY(SUBSTITUTE(LEFT(Base_report!G1647,10),"-","/")))</f>
        <v>45301</v>
      </c>
      <c r="I1661" s="17" t="str">
        <f t="shared" si="1"/>
        <v>OUI</v>
      </c>
      <c r="J1661" s="18">
        <f>IF(L1661="DS",DATE(RIGHT(B1661,4),VLOOKUP(LEFT(B1661,LEN(B1661)-5),Feuil1!$E$3:$F$19,2,FALSE)+1,10),DATE(RIGHT(B1661,4),VLOOKUP(LEFT(B1661,LEN(B1661)-5),Feuil1!$E$3:$F$19,2,FALSE)+1,7))</f>
        <v>45301</v>
      </c>
      <c r="K1661" s="19">
        <f t="shared" si="2"/>
        <v>1</v>
      </c>
      <c r="L1661" s="6" t="str">
        <f t="shared" si="3"/>
        <v>DS</v>
      </c>
    </row>
    <row r="1662" ht="14.25" customHeight="1">
      <c r="A1662" s="14" t="str">
        <f>Base_report!A1648</f>
        <v>ME</v>
      </c>
      <c r="B1662" s="14" t="str">
        <f>Base_report!B1648</f>
        <v>OCTOBRE DECEMBRE 2023</v>
      </c>
      <c r="C1662" s="15" t="str">
        <f>Base_report!C1648</f>
        <v>C1083</v>
      </c>
      <c r="D1662" s="14" t="str">
        <f>TRIM(IF(ISNUMBER(FIND("PNSME",Base_report!D1648,1)),SUBSTITUTE(Base_report!D1648,"PNSME",""),IF(ISNUMBER(FIND("PHG",Base_report!D1648,1)),SUBSTITUTE(Base_report!D1648,"PHG",""),IF(ISNUMBER(FIND("PCS",Base_report!D1648,1)),SUBSTITUTE(Base_report!D1648,"PCS",""),IF(ISNUMBER(FIND("CMU",Base_report!D1648,1)),SUBSTITUTE(Base_report!D1648,"CMU",""),Base_report!D1648)))))</f>
        <v>HOPITAL GENERAL ALEPE</v>
      </c>
      <c r="E1662" s="14" t="str">
        <f>SUBSTITUTE(Base_report!E1648,"-","/")</f>
        <v>PNLT/SENSIBLE MEDICAMENTS ET INTRANTS</v>
      </c>
      <c r="F1662" s="14" t="s">
        <v>788</v>
      </c>
      <c r="G1662" s="16">
        <f>DATE(YEAR(SUBSTITUTE(LEFT(Base_report!F1648,10),"-","/")),MONTH(SUBSTITUTE(LEFT(Base_report!F1648,10),"-","/")),DAY(SUBSTITUTE(LEFT(Base_report!F1648,10),"-","/")))</f>
        <v>45296</v>
      </c>
      <c r="H1662" s="16">
        <f>DATE(YEAR(SUBSTITUTE(LEFT(Base_report!G1648,10),"-","/")),MONTH(SUBSTITUTE(LEFT(Base_report!G1648,10),"-","/")),DAY(SUBSTITUTE(LEFT(Base_report!G1648,10),"-","/")))</f>
        <v>45296</v>
      </c>
      <c r="I1662" s="17" t="str">
        <f t="shared" si="1"/>
        <v>OUI</v>
      </c>
      <c r="J1662" s="18">
        <f>IF(L1662="DS",DATE(RIGHT(B1662,4),VLOOKUP(LEFT(B1662,LEN(B1662)-5),Feuil1!$E$3:$F$19,2,FALSE)+1,10),DATE(RIGHT(B1662,4),VLOOKUP(LEFT(B1662,LEN(B1662)-5),Feuil1!$E$3:$F$19,2,FALSE)+1,7))</f>
        <v>45298</v>
      </c>
      <c r="K1662" s="19">
        <f t="shared" si="2"/>
        <v>1</v>
      </c>
      <c r="L1662" s="6" t="str">
        <f t="shared" si="3"/>
        <v>FS</v>
      </c>
    </row>
    <row r="1663" ht="14.25" customHeight="1">
      <c r="A1663" s="14" t="str">
        <f>Base_report!A1649</f>
        <v>GBEKE</v>
      </c>
      <c r="B1663" s="14" t="str">
        <f>Base_report!B1649</f>
        <v>OCTOBRE DECEMBRE 2023</v>
      </c>
      <c r="C1663" s="15" t="str">
        <f>Base_report!C1649</f>
        <v>C2024</v>
      </c>
      <c r="D1663" s="14" t="str">
        <f>TRIM(IF(ISNUMBER(FIND("PNSME",Base_report!D1649,1)),SUBSTITUTE(Base_report!D1649,"PNSME",""),IF(ISNUMBER(FIND("PHG",Base_report!D1649,1)),SUBSTITUTE(Base_report!D1649,"PHG",""),IF(ISNUMBER(FIND("PCS",Base_report!D1649,1)),SUBSTITUTE(Base_report!D1649,"PCS",""),IF(ISNUMBER(FIND("CMU",Base_report!D1649,1)),SUBSTITUTE(Base_report!D1649,"CMU",""),Base_report!D1649)))))</f>
        <v>DISTRICT SANITAIRE BOUAKE SUD</v>
      </c>
      <c r="E1663" s="14" t="str">
        <f>SUBSTITUTE(Base_report!E1649,"-","/")</f>
        <v>PNLT/SENSIBLE MEDICAMENTS ET INTRANTS</v>
      </c>
      <c r="F1663" s="14" t="s">
        <v>788</v>
      </c>
      <c r="G1663" s="16">
        <f>DATE(YEAR(SUBSTITUTE(LEFT(Base_report!F1649,10),"-","/")),MONTH(SUBSTITUTE(LEFT(Base_report!F1649,10),"-","/")),DAY(SUBSTITUTE(LEFT(Base_report!F1649,10),"-","/")))</f>
        <v>45301</v>
      </c>
      <c r="H1663" s="16">
        <f>DATE(YEAR(SUBSTITUTE(LEFT(Base_report!G1649,10),"-","/")),MONTH(SUBSTITUTE(LEFT(Base_report!G1649,10),"-","/")),DAY(SUBSTITUTE(LEFT(Base_report!G1649,10),"-","/")))</f>
        <v>45302</v>
      </c>
      <c r="I1663" s="17" t="str">
        <f t="shared" si="1"/>
        <v>OUI</v>
      </c>
      <c r="J1663" s="18">
        <f>IF(L1663="DS",DATE(RIGHT(B1663,4),VLOOKUP(LEFT(B1663,LEN(B1663)-5),Feuil1!$E$3:$F$19,2,FALSE)+1,10),DATE(RIGHT(B1663,4),VLOOKUP(LEFT(B1663,LEN(B1663)-5),Feuil1!$E$3:$F$19,2,FALSE)+1,7))</f>
        <v>45301</v>
      </c>
      <c r="K1663" s="19">
        <f t="shared" si="2"/>
        <v>0</v>
      </c>
      <c r="L1663" s="6" t="str">
        <f t="shared" si="3"/>
        <v>DS</v>
      </c>
    </row>
    <row r="1664" ht="14.25" customHeight="1">
      <c r="A1664" s="14" t="str">
        <f>Base_report!A1650</f>
        <v>GBEKE</v>
      </c>
      <c r="B1664" s="14" t="str">
        <f>Base_report!B1650</f>
        <v>OCTOBRE DECEMBRE 2023</v>
      </c>
      <c r="C1664" s="15" t="str">
        <f>Base_report!C1650</f>
        <v>C2034</v>
      </c>
      <c r="D1664" s="14" t="str">
        <f>TRIM(IF(ISNUMBER(FIND("PNSME",Base_report!D1650,1)),SUBSTITUTE(Base_report!D1650,"PNSME",""),IF(ISNUMBER(FIND("PHG",Base_report!D1650,1)),SUBSTITUTE(Base_report!D1650,"PHG",""),IF(ISNUMBER(FIND("PCS",Base_report!D1650,1)),SUBSTITUTE(Base_report!D1650,"PCS",""),IF(ISNUMBER(FIND("CMU",Base_report!D1650,1)),SUBSTITUTE(Base_report!D1650,"CMU",""),Base_report!D1650)))))</f>
        <v>DISTRICT SANITAIRE SAKASSOU</v>
      </c>
      <c r="E1664" s="14" t="str">
        <f>SUBSTITUTE(Base_report!E1650,"-","/")</f>
        <v>PNLT/SENSIBLE MEDICAMENTS ET INTRANTS</v>
      </c>
      <c r="F1664" s="14" t="s">
        <v>788</v>
      </c>
      <c r="G1664" s="16">
        <f>DATE(YEAR(SUBSTITUTE(LEFT(Base_report!F1650,10),"-","/")),MONTH(SUBSTITUTE(LEFT(Base_report!F1650,10),"-","/")),DAY(SUBSTITUTE(LEFT(Base_report!F1650,10),"-","/")))</f>
        <v>45299</v>
      </c>
      <c r="H1664" s="16">
        <f>DATE(YEAR(SUBSTITUTE(LEFT(Base_report!G1650,10),"-","/")),MONTH(SUBSTITUTE(LEFT(Base_report!G1650,10),"-","/")),DAY(SUBSTITUTE(LEFT(Base_report!G1650,10),"-","/")))</f>
        <v>45300</v>
      </c>
      <c r="I1664" s="17" t="str">
        <f t="shared" si="1"/>
        <v>OUI</v>
      </c>
      <c r="J1664" s="18">
        <f>IF(L1664="DS",DATE(RIGHT(B1664,4),VLOOKUP(LEFT(B1664,LEN(B1664)-5),Feuil1!$E$3:$F$19,2,FALSE)+1,10),DATE(RIGHT(B1664,4),VLOOKUP(LEFT(B1664,LEN(B1664)-5),Feuil1!$E$3:$F$19,2,FALSE)+1,7))</f>
        <v>45301</v>
      </c>
      <c r="K1664" s="19">
        <f t="shared" si="2"/>
        <v>1</v>
      </c>
      <c r="L1664" s="6" t="str">
        <f t="shared" si="3"/>
        <v>DS</v>
      </c>
    </row>
    <row r="1665" ht="14.25" customHeight="1">
      <c r="A1665" s="14" t="str">
        <f>Base_report!A1651</f>
        <v>GRANDS PONTS</v>
      </c>
      <c r="B1665" s="14" t="str">
        <f>Base_report!B1651</f>
        <v>OCTOBRE DECEMBRE 2023</v>
      </c>
      <c r="C1665" s="15" t="str">
        <f>Base_report!C1651</f>
        <v>C1944</v>
      </c>
      <c r="D1665" s="14" t="str">
        <f>TRIM(IF(ISNUMBER(FIND("PNSME",Base_report!D1651,1)),SUBSTITUTE(Base_report!D1651,"PNSME",""),IF(ISNUMBER(FIND("PHG",Base_report!D1651,1)),SUBSTITUTE(Base_report!D1651,"PHG",""),IF(ISNUMBER(FIND("PCS",Base_report!D1651,1)),SUBSTITUTE(Base_report!D1651,"PCS",""),IF(ISNUMBER(FIND("CMU",Base_report!D1651,1)),SUBSTITUTE(Base_report!D1651,"CMU",""),Base_report!D1651)))))</f>
        <v>CENTRE ANTITUBERCULEUX DABOU</v>
      </c>
      <c r="E1665" s="14" t="str">
        <f>SUBSTITUTE(Base_report!E1651,"-","/")</f>
        <v>PNLT/SENSIBLE MEDICAMENTS ET INTRANTS</v>
      </c>
      <c r="F1665" s="14" t="s">
        <v>788</v>
      </c>
      <c r="G1665" s="16">
        <f>DATE(YEAR(SUBSTITUTE(LEFT(Base_report!F1651,10),"-","/")),MONTH(SUBSTITUTE(LEFT(Base_report!F1651,10),"-","/")),DAY(SUBSTITUTE(LEFT(Base_report!F1651,10),"-","/")))</f>
        <v>45300</v>
      </c>
      <c r="H1665" s="16">
        <f>DATE(YEAR(SUBSTITUTE(LEFT(Base_report!G1651,10),"-","/")),MONTH(SUBSTITUTE(LEFT(Base_report!G1651,10),"-","/")),DAY(SUBSTITUTE(LEFT(Base_report!G1651,10),"-","/")))</f>
        <v>45300</v>
      </c>
      <c r="I1665" s="17" t="str">
        <f t="shared" si="1"/>
        <v>OUI</v>
      </c>
      <c r="J1665" s="18">
        <f>IF(L1665="DS",DATE(RIGHT(B1665,4),VLOOKUP(LEFT(B1665,LEN(B1665)-5),Feuil1!$E$3:$F$19,2,FALSE)+1,10),DATE(RIGHT(B1665,4),VLOOKUP(LEFT(B1665,LEN(B1665)-5),Feuil1!$E$3:$F$19,2,FALSE)+1,7))</f>
        <v>45298</v>
      </c>
      <c r="K1665" s="19">
        <f t="shared" si="2"/>
        <v>0</v>
      </c>
      <c r="L1665" s="6" t="str">
        <f t="shared" si="3"/>
        <v>FS</v>
      </c>
    </row>
    <row r="1666" ht="14.25" customHeight="1">
      <c r="A1666" s="14" t="str">
        <f>Base_report!A1652</f>
        <v>GOH</v>
      </c>
      <c r="B1666" s="14" t="str">
        <f>Base_report!B1652</f>
        <v>OCTOBRE DECEMBRE 2023</v>
      </c>
      <c r="C1666" s="15" t="str">
        <f>Base_report!C1652</f>
        <v>C2029</v>
      </c>
      <c r="D1666" s="14" t="str">
        <f>TRIM(IF(ISNUMBER(FIND("PNSME",Base_report!D1652,1)),SUBSTITUTE(Base_report!D1652,"PNSME",""),IF(ISNUMBER(FIND("PHG",Base_report!D1652,1)),SUBSTITUTE(Base_report!D1652,"PHG",""),IF(ISNUMBER(FIND("PCS",Base_report!D1652,1)),SUBSTITUTE(Base_report!D1652,"PCS",""),IF(ISNUMBER(FIND("CMU",Base_report!D1652,1)),SUBSTITUTE(Base_report!D1652,"CMU",""),Base_report!D1652)))))</f>
        <v>DISTRICT SANITAIRE GAGNOA</v>
      </c>
      <c r="E1666" s="14" t="str">
        <f>SUBSTITUTE(Base_report!E1652,"-","/")</f>
        <v>PNLT/SENSIBLE MEDICAMENTS ET INTRANTS</v>
      </c>
      <c r="F1666" s="14" t="s">
        <v>788</v>
      </c>
      <c r="G1666" s="16">
        <f>DATE(YEAR(SUBSTITUTE(LEFT(Base_report!F1652,10),"-","/")),MONTH(SUBSTITUTE(LEFT(Base_report!F1652,10),"-","/")),DAY(SUBSTITUTE(LEFT(Base_report!F1652,10),"-","/")))</f>
        <v>45300</v>
      </c>
      <c r="H1666" s="16">
        <f>DATE(YEAR(SUBSTITUTE(LEFT(Base_report!G1652,10),"-","/")),MONTH(SUBSTITUTE(LEFT(Base_report!G1652,10),"-","/")),DAY(SUBSTITUTE(LEFT(Base_report!G1652,10),"-","/")))</f>
        <v>45300</v>
      </c>
      <c r="I1666" s="17" t="str">
        <f t="shared" si="1"/>
        <v>OUI</v>
      </c>
      <c r="J1666" s="18">
        <f>IF(L1666="DS",DATE(RIGHT(B1666,4),VLOOKUP(LEFT(B1666,LEN(B1666)-5),Feuil1!$E$3:$F$19,2,FALSE)+1,10),DATE(RIGHT(B1666,4),VLOOKUP(LEFT(B1666,LEN(B1666)-5),Feuil1!$E$3:$F$19,2,FALSE)+1,7))</f>
        <v>45301</v>
      </c>
      <c r="K1666" s="19">
        <f t="shared" si="2"/>
        <v>1</v>
      </c>
      <c r="L1666" s="6" t="str">
        <f t="shared" si="3"/>
        <v>DS</v>
      </c>
    </row>
    <row r="1667" ht="14.25" customHeight="1">
      <c r="A1667" s="14" t="str">
        <f>Base_report!A1653</f>
        <v>ABIDJAN 2</v>
      </c>
      <c r="B1667" s="14" t="str">
        <f>Base_report!B1653</f>
        <v>OCTOBRE DECEMBRE 2023</v>
      </c>
      <c r="C1667" s="15" t="str">
        <f>Base_report!C1653</f>
        <v>C1054</v>
      </c>
      <c r="D1667" s="14" t="str">
        <f>TRIM(IF(ISNUMBER(FIND("PNSME",Base_report!D1653,1)),SUBSTITUTE(Base_report!D1653,"PNSME",""),IF(ISNUMBER(FIND("PHG",Base_report!D1653,1)),SUBSTITUTE(Base_report!D1653,"PHG",""),IF(ISNUMBER(FIND("PCS",Base_report!D1653,1)),SUBSTITUTE(Base_report!D1653,"PCS",""),IF(ISNUMBER(FIND("CMU",Base_report!D1653,1)),SUBSTITUTE(Base_report!D1653,"CMU",""),Base_report!D1653)))))</f>
        <v>FSU ATTECOUBE CENTRE</v>
      </c>
      <c r="E1667" s="14" t="str">
        <f>SUBSTITUTE(Base_report!E1653,"-","/")</f>
        <v>PNLT/SENSIBLE MEDICAMENTS ET INTRANTS</v>
      </c>
      <c r="F1667" s="14" t="s">
        <v>788</v>
      </c>
      <c r="G1667" s="16">
        <f>DATE(YEAR(SUBSTITUTE(LEFT(Base_report!F1653,10),"-","/")),MONTH(SUBSTITUTE(LEFT(Base_report!F1653,10),"-","/")),DAY(SUBSTITUTE(LEFT(Base_report!F1653,10),"-","/")))</f>
        <v>45294</v>
      </c>
      <c r="H1667" s="16">
        <f>DATE(YEAR(SUBSTITUTE(LEFT(Base_report!G1653,10),"-","/")),MONTH(SUBSTITUTE(LEFT(Base_report!G1653,10),"-","/")),DAY(SUBSTITUTE(LEFT(Base_report!G1653,10),"-","/")))</f>
        <v>45294</v>
      </c>
      <c r="I1667" s="17" t="str">
        <f t="shared" si="1"/>
        <v>OUI</v>
      </c>
      <c r="J1667" s="18">
        <f>IF(L1667="DS",DATE(RIGHT(B1667,4),VLOOKUP(LEFT(B1667,LEN(B1667)-5),Feuil1!$E$3:$F$19,2,FALSE)+1,10),DATE(RIGHT(B1667,4),VLOOKUP(LEFT(B1667,LEN(B1667)-5),Feuil1!$E$3:$F$19,2,FALSE)+1,7))</f>
        <v>45298</v>
      </c>
      <c r="K1667" s="19">
        <f t="shared" si="2"/>
        <v>1</v>
      </c>
      <c r="L1667" s="6" t="str">
        <f t="shared" si="3"/>
        <v>FS</v>
      </c>
    </row>
    <row r="1668" ht="14.25" customHeight="1">
      <c r="A1668" s="14" t="str">
        <f>Base_report!A1654</f>
        <v>AGNEBY-TIASSA</v>
      </c>
      <c r="B1668" s="14" t="str">
        <f>Base_report!B1654</f>
        <v>OCTOBRE DECEMBRE 2023</v>
      </c>
      <c r="C1668" s="15" t="str">
        <f>Base_report!C1654</f>
        <v>C1125</v>
      </c>
      <c r="D1668" s="14" t="str">
        <f>TRIM(IF(ISNUMBER(FIND("PNSME",Base_report!D1654,1)),SUBSTITUTE(Base_report!D1654,"PNSME",""),IF(ISNUMBER(FIND("PHG",Base_report!D1654,1)),SUBSTITUTE(Base_report!D1654,"PHG",""),IF(ISNUMBER(FIND("PCS",Base_report!D1654,1)),SUBSTITUTE(Base_report!D1654,"PCS",""),IF(ISNUMBER(FIND("CMU",Base_report!D1654,1)),SUBSTITUTE(Base_report!D1654,"CMU",""),Base_report!D1654)))))</f>
        <v>DISTRICT SANITAIRE TIASSALE</v>
      </c>
      <c r="E1668" s="14" t="str">
        <f>SUBSTITUTE(Base_report!E1654,"-","/")</f>
        <v>PNLT/SENSIBLE MEDICAMENTS ET INTRANTS</v>
      </c>
      <c r="F1668" s="14" t="s">
        <v>788</v>
      </c>
      <c r="G1668" s="16">
        <f>DATE(YEAR(SUBSTITUTE(LEFT(Base_report!F1654,10),"-","/")),MONTH(SUBSTITUTE(LEFT(Base_report!F1654,10),"-","/")),DAY(SUBSTITUTE(LEFT(Base_report!F1654,10),"-","/")))</f>
        <v>45300</v>
      </c>
      <c r="H1668" s="16">
        <f>DATE(YEAR(SUBSTITUTE(LEFT(Base_report!G1654,10),"-","/")),MONTH(SUBSTITUTE(LEFT(Base_report!G1654,10),"-","/")),DAY(SUBSTITUTE(LEFT(Base_report!G1654,10),"-","/")))</f>
        <v>45300</v>
      </c>
      <c r="I1668" s="17" t="str">
        <f t="shared" si="1"/>
        <v>OUI</v>
      </c>
      <c r="J1668" s="18">
        <f>IF(L1668="DS",DATE(RIGHT(B1668,4),VLOOKUP(LEFT(B1668,LEN(B1668)-5),Feuil1!$E$3:$F$19,2,FALSE)+1,10),DATE(RIGHT(B1668,4),VLOOKUP(LEFT(B1668,LEN(B1668)-5),Feuil1!$E$3:$F$19,2,FALSE)+1,7))</f>
        <v>45301</v>
      </c>
      <c r="K1668" s="19">
        <f t="shared" si="2"/>
        <v>1</v>
      </c>
      <c r="L1668" s="6" t="str">
        <f t="shared" si="3"/>
        <v>DS</v>
      </c>
    </row>
    <row r="1669" ht="14.25" customHeight="1">
      <c r="A1669" s="14" t="str">
        <f>Base_report!A1655</f>
        <v>HAMBOL</v>
      </c>
      <c r="B1669" s="14" t="str">
        <f>Base_report!B1655</f>
        <v>OCTOBRE DECEMBRE 2023</v>
      </c>
      <c r="C1669" s="15" t="str">
        <f>Base_report!C1655</f>
        <v>C3019</v>
      </c>
      <c r="D1669" s="14" t="str">
        <f>TRIM(IF(ISNUMBER(FIND("PNSME",Base_report!D1655,1)),SUBSTITUTE(Base_report!D1655,"PNSME",""),IF(ISNUMBER(FIND("PHG",Base_report!D1655,1)),SUBSTITUTE(Base_report!D1655,"PHG",""),IF(ISNUMBER(FIND("PCS",Base_report!D1655,1)),SUBSTITUTE(Base_report!D1655,"PCS",""),IF(ISNUMBER(FIND("CMU",Base_report!D1655,1)),SUBSTITUTE(Base_report!D1655,"CMU",""),Base_report!D1655)))))</f>
        <v>HOPITAL GENERAL NIAKARA</v>
      </c>
      <c r="E1669" s="14" t="str">
        <f>SUBSTITUTE(Base_report!E1655,"-","/")</f>
        <v>PNLT/SENSIBLE MEDICAMENTS ET INTRANTS</v>
      </c>
      <c r="F1669" s="14" t="s">
        <v>788</v>
      </c>
      <c r="G1669" s="16">
        <f>DATE(YEAR(SUBSTITUTE(LEFT(Base_report!F1655,10),"-","/")),MONTH(SUBSTITUTE(LEFT(Base_report!F1655,10),"-","/")),DAY(SUBSTITUTE(LEFT(Base_report!F1655,10),"-","/")))</f>
        <v>45297</v>
      </c>
      <c r="H1669" s="16">
        <f>DATE(YEAR(SUBSTITUTE(LEFT(Base_report!G1655,10),"-","/")),MONTH(SUBSTITUTE(LEFT(Base_report!G1655,10),"-","/")),DAY(SUBSTITUTE(LEFT(Base_report!G1655,10),"-","/")))</f>
        <v>45297</v>
      </c>
      <c r="I1669" s="17" t="str">
        <f t="shared" si="1"/>
        <v>OUI</v>
      </c>
      <c r="J1669" s="18">
        <f>IF(L1669="DS",DATE(RIGHT(B1669,4),VLOOKUP(LEFT(B1669,LEN(B1669)-5),Feuil1!$E$3:$F$19,2,FALSE)+1,10),DATE(RIGHT(B1669,4),VLOOKUP(LEFT(B1669,LEN(B1669)-5),Feuil1!$E$3:$F$19,2,FALSE)+1,7))</f>
        <v>45298</v>
      </c>
      <c r="K1669" s="19">
        <f t="shared" si="2"/>
        <v>1</v>
      </c>
      <c r="L1669" s="6" t="str">
        <f t="shared" si="3"/>
        <v>FS</v>
      </c>
    </row>
    <row r="1670" ht="14.25" customHeight="1">
      <c r="A1670" s="14" t="str">
        <f>Base_report!A1656</f>
        <v>SUD-COMOE</v>
      </c>
      <c r="B1670" s="14" t="str">
        <f>Base_report!B1656</f>
        <v>OCTOBRE DECEMBRE 2023</v>
      </c>
      <c r="C1670" s="15" t="str">
        <f>Base_report!C1656</f>
        <v>C1090</v>
      </c>
      <c r="D1670" s="14" t="str">
        <f>TRIM(IF(ISNUMBER(FIND("PNSME",Base_report!D1656,1)),SUBSTITUTE(Base_report!D1656,"PNSME",""),IF(ISNUMBER(FIND("PHG",Base_report!D1656,1)),SUBSTITUTE(Base_report!D1656,"PHG",""),IF(ISNUMBER(FIND("PCS",Base_report!D1656,1)),SUBSTITUTE(Base_report!D1656,"PCS",""),IF(ISNUMBER(FIND("CMU",Base_report!D1656,1)),SUBSTITUTE(Base_report!D1656,"CMU",""),Base_report!D1656)))))</f>
        <v>HOPITAL GENERAL GRAND-BASSAM</v>
      </c>
      <c r="E1670" s="14" t="str">
        <f>SUBSTITUTE(Base_report!E1656,"-","/")</f>
        <v>PNLT/SENSIBLE MEDICAMENTS ET INTRANTS</v>
      </c>
      <c r="F1670" s="14" t="s">
        <v>788</v>
      </c>
      <c r="G1670" s="16">
        <f>DATE(YEAR(SUBSTITUTE(LEFT(Base_report!F1656,10),"-","/")),MONTH(SUBSTITUTE(LEFT(Base_report!F1656,10),"-","/")),DAY(SUBSTITUTE(LEFT(Base_report!F1656,10),"-","/")))</f>
        <v>45296</v>
      </c>
      <c r="H1670" s="16">
        <f>DATE(YEAR(SUBSTITUTE(LEFT(Base_report!G1656,10),"-","/")),MONTH(SUBSTITUTE(LEFT(Base_report!G1656,10),"-","/")),DAY(SUBSTITUTE(LEFT(Base_report!G1656,10),"-","/")))</f>
        <v>45296</v>
      </c>
      <c r="I1670" s="17" t="str">
        <f t="shared" si="1"/>
        <v>OUI</v>
      </c>
      <c r="J1670" s="18">
        <f>IF(L1670="DS",DATE(RIGHT(B1670,4),VLOOKUP(LEFT(B1670,LEN(B1670)-5),Feuil1!$E$3:$F$19,2,FALSE)+1,10),DATE(RIGHT(B1670,4),VLOOKUP(LEFT(B1670,LEN(B1670)-5),Feuil1!$E$3:$F$19,2,FALSE)+1,7))</f>
        <v>45298</v>
      </c>
      <c r="K1670" s="19">
        <f t="shared" si="2"/>
        <v>1</v>
      </c>
      <c r="L1670" s="6" t="str">
        <f t="shared" si="3"/>
        <v>FS</v>
      </c>
    </row>
    <row r="1671" ht="14.25" customHeight="1">
      <c r="A1671" s="14" t="str">
        <f>Base_report!A1657</f>
        <v>IFFOU</v>
      </c>
      <c r="B1671" s="14" t="str">
        <f>Base_report!B1657</f>
        <v>OCTOBRE DECEMBRE 2023</v>
      </c>
      <c r="C1671" s="15" t="str">
        <f>Base_report!C1657</f>
        <v>C4093</v>
      </c>
      <c r="D1671" s="14" t="str">
        <f>TRIM(IF(ISNUMBER(FIND("PNSME",Base_report!D1657,1)),SUBSTITUTE(Base_report!D1657,"PNSME",""),IF(ISNUMBER(FIND("PHG",Base_report!D1657,1)),SUBSTITUTE(Base_report!D1657,"PHG",""),IF(ISNUMBER(FIND("PCS",Base_report!D1657,1)),SUBSTITUTE(Base_report!D1657,"PCS",""),IF(ISNUMBER(FIND("CMU",Base_report!D1657,1)),SUBSTITUTE(Base_report!D1657,"CMU",""),Base_report!D1657)))))</f>
        <v>CENTRE ANTITUBERCULEUX DAOUKRO</v>
      </c>
      <c r="E1671" s="14" t="str">
        <f>SUBSTITUTE(Base_report!E1657,"-","/")</f>
        <v>PNLT/PRODUITS DE LABORATOIRE</v>
      </c>
      <c r="F1671" s="14" t="s">
        <v>788</v>
      </c>
      <c r="G1671" s="16">
        <f>DATE(YEAR(SUBSTITUTE(LEFT(Base_report!F1657,10),"-","/")),MONTH(SUBSTITUTE(LEFT(Base_report!F1657,10),"-","/")),DAY(SUBSTITUTE(LEFT(Base_report!F1657,10),"-","/")))</f>
        <v>45296</v>
      </c>
      <c r="H1671" s="16">
        <f>DATE(YEAR(SUBSTITUTE(LEFT(Base_report!G1657,10),"-","/")),MONTH(SUBSTITUTE(LEFT(Base_report!G1657,10),"-","/")),DAY(SUBSTITUTE(LEFT(Base_report!G1657,10),"-","/")))</f>
        <v>45297</v>
      </c>
      <c r="I1671" s="17" t="str">
        <f t="shared" si="1"/>
        <v>OUI</v>
      </c>
      <c r="J1671" s="18">
        <f>IF(L1671="DS",DATE(RIGHT(B1671,4),VLOOKUP(LEFT(B1671,LEN(B1671)-5),Feuil1!$E$3:$F$19,2,FALSE)+1,10),DATE(RIGHT(B1671,4),VLOOKUP(LEFT(B1671,LEN(B1671)-5),Feuil1!$E$3:$F$19,2,FALSE)+1,7))</f>
        <v>45298</v>
      </c>
      <c r="K1671" s="19">
        <f t="shared" si="2"/>
        <v>1</v>
      </c>
      <c r="L1671" s="6" t="str">
        <f t="shared" si="3"/>
        <v>FS</v>
      </c>
    </row>
    <row r="1672" ht="14.25" customHeight="1">
      <c r="A1672" s="14" t="str">
        <f>Base_report!A1658</f>
        <v>MORONOU</v>
      </c>
      <c r="B1672" s="14" t="str">
        <f>Base_report!B1658</f>
        <v>OCTOBRE DECEMBRE 2023</v>
      </c>
      <c r="C1672" s="15" t="str">
        <f>Base_report!C1658</f>
        <v>C4092</v>
      </c>
      <c r="D1672" s="14" t="str">
        <f>TRIM(IF(ISNUMBER(FIND("PNSME",Base_report!D1658,1)),SUBSTITUTE(Base_report!D1658,"PNSME",""),IF(ISNUMBER(FIND("PHG",Base_report!D1658,1)),SUBSTITUTE(Base_report!D1658,"PHG",""),IF(ISNUMBER(FIND("PCS",Base_report!D1658,1)),SUBSTITUTE(Base_report!D1658,"PCS",""),IF(ISNUMBER(FIND("CMU",Base_report!D1658,1)),SUBSTITUTE(Base_report!D1658,"CMU",""),Base_report!D1658)))))</f>
        <v>CENTRE ANTITUBERCULEUX BONGOUANOU</v>
      </c>
      <c r="E1672" s="14" t="str">
        <f>SUBSTITUTE(Base_report!E1658,"-","/")</f>
        <v>PNLT/SENSIBLE MEDICAMENTS ET INTRANTS</v>
      </c>
      <c r="F1672" s="14" t="s">
        <v>788</v>
      </c>
      <c r="G1672" s="16">
        <f>DATE(YEAR(SUBSTITUTE(LEFT(Base_report!F1658,10),"-","/")),MONTH(SUBSTITUTE(LEFT(Base_report!F1658,10),"-","/")),DAY(SUBSTITUTE(LEFT(Base_report!F1658,10),"-","/")))</f>
        <v>45299</v>
      </c>
      <c r="H1672" s="16">
        <f>DATE(YEAR(SUBSTITUTE(LEFT(Base_report!G1658,10),"-","/")),MONTH(SUBSTITUTE(LEFT(Base_report!G1658,10),"-","/")),DAY(SUBSTITUTE(LEFT(Base_report!G1658,10),"-","/")))</f>
        <v>45299</v>
      </c>
      <c r="I1672" s="17" t="str">
        <f t="shared" si="1"/>
        <v>OUI</v>
      </c>
      <c r="J1672" s="18">
        <f>IF(L1672="DS",DATE(RIGHT(B1672,4),VLOOKUP(LEFT(B1672,LEN(B1672)-5),Feuil1!$E$3:$F$19,2,FALSE)+1,10),DATE(RIGHT(B1672,4),VLOOKUP(LEFT(B1672,LEN(B1672)-5),Feuil1!$E$3:$F$19,2,FALSE)+1,7))</f>
        <v>45298</v>
      </c>
      <c r="K1672" s="19">
        <f t="shared" si="2"/>
        <v>0</v>
      </c>
      <c r="L1672" s="6" t="str">
        <f t="shared" si="3"/>
        <v>FS</v>
      </c>
    </row>
    <row r="1673" ht="14.25" customHeight="1">
      <c r="A1673" s="14" t="str">
        <f>Base_report!A1659</f>
        <v>BOUNKANI</v>
      </c>
      <c r="B1673" s="14" t="str">
        <f>Base_report!B1659</f>
        <v>OCTOBRE DECEMBRE 2023</v>
      </c>
      <c r="C1673" s="15" t="str">
        <f>Base_report!C1659</f>
        <v>C4094</v>
      </c>
      <c r="D1673" s="14" t="str">
        <f>TRIM(IF(ISNUMBER(FIND("PNSME",Base_report!D1659,1)),SUBSTITUTE(Base_report!D1659,"PNSME",""),IF(ISNUMBER(FIND("PHG",Base_report!D1659,1)),SUBSTITUTE(Base_report!D1659,"PHG",""),IF(ISNUMBER(FIND("PCS",Base_report!D1659,1)),SUBSTITUTE(Base_report!D1659,"PCS",""),IF(ISNUMBER(FIND("CMU",Base_report!D1659,1)),SUBSTITUTE(Base_report!D1659,"CMU",""),Base_report!D1659)))))</f>
        <v>CENTRE ANTITUBERCULEUX BOUNA</v>
      </c>
      <c r="E1673" s="14" t="str">
        <f>SUBSTITUTE(Base_report!E1659,"-","/")</f>
        <v>PNLT/MULTI RESISTANTE MEDICAMENTS ET INTRANTS</v>
      </c>
      <c r="F1673" s="14" t="s">
        <v>788</v>
      </c>
      <c r="G1673" s="16">
        <f>DATE(YEAR(SUBSTITUTE(LEFT(Base_report!F1659,10),"-","/")),MONTH(SUBSTITUTE(LEFT(Base_report!F1659,10),"-","/")),DAY(SUBSTITUTE(LEFT(Base_report!F1659,10),"-","/")))</f>
        <v>45299</v>
      </c>
      <c r="H1673" s="16">
        <f>DATE(YEAR(SUBSTITUTE(LEFT(Base_report!G1659,10),"-","/")),MONTH(SUBSTITUTE(LEFT(Base_report!G1659,10),"-","/")),DAY(SUBSTITUTE(LEFT(Base_report!G1659,10),"-","/")))</f>
        <v>45301</v>
      </c>
      <c r="I1673" s="17" t="str">
        <f t="shared" si="1"/>
        <v>OUI</v>
      </c>
      <c r="J1673" s="18">
        <f>IF(L1673="DS",DATE(RIGHT(B1673,4),VLOOKUP(LEFT(B1673,LEN(B1673)-5),Feuil1!$E$3:$F$19,2,FALSE)+1,10),DATE(RIGHT(B1673,4),VLOOKUP(LEFT(B1673,LEN(B1673)-5),Feuil1!$E$3:$F$19,2,FALSE)+1,7))</f>
        <v>45298</v>
      </c>
      <c r="K1673" s="19">
        <f t="shared" si="2"/>
        <v>0</v>
      </c>
      <c r="L1673" s="6" t="str">
        <f t="shared" si="3"/>
        <v>FS</v>
      </c>
    </row>
    <row r="1674" ht="14.25" customHeight="1">
      <c r="A1674" s="14" t="str">
        <f>Base_report!A1660</f>
        <v>ABIDJAN 2</v>
      </c>
      <c r="B1674" s="14" t="str">
        <f>Base_report!B1660</f>
        <v>OCTOBRE DECEMBRE 2023</v>
      </c>
      <c r="C1674" s="15" t="str">
        <f>Base_report!C1660</f>
        <v>C1002</v>
      </c>
      <c r="D1674" s="14" t="str">
        <f>TRIM(IF(ISNUMBER(FIND("PNSME",Base_report!D1660,1)),SUBSTITUTE(Base_report!D1660,"PNSME",""),IF(ISNUMBER(FIND("PHG",Base_report!D1660,1)),SUBSTITUTE(Base_report!D1660,"PHG",""),IF(ISNUMBER(FIND("PCS",Base_report!D1660,1)),SUBSTITUTE(Base_report!D1660,"PCS",""),IF(ISNUMBER(FIND("CMU",Base_report!D1660,1)),SUBSTITUTE(Base_report!D1660,"CMU",""),Base_report!D1660)))))</f>
        <v>CENTRE ANTITUBERCULEUX TREICHVILLE</v>
      </c>
      <c r="E1674" s="14" t="str">
        <f>SUBSTITUTE(Base_report!E1660,"-","/")</f>
        <v>PNLT/SENSIBLE MEDICAMENTS ET INTRANTS</v>
      </c>
      <c r="F1674" s="14" t="s">
        <v>788</v>
      </c>
      <c r="G1674" s="16">
        <f>DATE(YEAR(SUBSTITUTE(LEFT(Base_report!F1660,10),"-","/")),MONTH(SUBSTITUTE(LEFT(Base_report!F1660,10),"-","/")),DAY(SUBSTITUTE(LEFT(Base_report!F1660,10),"-","/")))</f>
        <v>45300</v>
      </c>
      <c r="H1674" s="16">
        <f>DATE(YEAR(SUBSTITUTE(LEFT(Base_report!G1660,10),"-","/")),MONTH(SUBSTITUTE(LEFT(Base_report!G1660,10),"-","/")),DAY(SUBSTITUTE(LEFT(Base_report!G1660,10),"-","/")))</f>
        <v>45300</v>
      </c>
      <c r="I1674" s="17" t="str">
        <f t="shared" si="1"/>
        <v>OUI</v>
      </c>
      <c r="J1674" s="18">
        <f>IF(L1674="DS",DATE(RIGHT(B1674,4),VLOOKUP(LEFT(B1674,LEN(B1674)-5),Feuil1!$E$3:$F$19,2,FALSE)+1,10),DATE(RIGHT(B1674,4),VLOOKUP(LEFT(B1674,LEN(B1674)-5),Feuil1!$E$3:$F$19,2,FALSE)+1,7))</f>
        <v>45298</v>
      </c>
      <c r="K1674" s="19">
        <f t="shared" si="2"/>
        <v>0</v>
      </c>
      <c r="L1674" s="6" t="str">
        <f t="shared" si="3"/>
        <v>FS</v>
      </c>
    </row>
    <row r="1675" ht="14.25" customHeight="1">
      <c r="A1675" s="14" t="str">
        <f>Base_report!A1661</f>
        <v>ABIDJAN 1</v>
      </c>
      <c r="B1675" s="14" t="str">
        <f>Base_report!B1661</f>
        <v>OCTOBRE DECEMBRE 2023</v>
      </c>
      <c r="C1675" s="15" t="str">
        <f>Base_report!C1661</f>
        <v>C1023</v>
      </c>
      <c r="D1675" s="14" t="str">
        <f>TRIM(IF(ISNUMBER(FIND("PNSME",Base_report!D1661,1)),SUBSTITUTE(Base_report!D1661,"PNSME",""),IF(ISNUMBER(FIND("PHG",Base_report!D1661,1)),SUBSTITUTE(Base_report!D1661,"PHG",""),IF(ISNUMBER(FIND("PCS",Base_report!D1661,1)),SUBSTITUTE(Base_report!D1661,"PCS",""),IF(ISNUMBER(FIND("CMU",Base_report!D1661,1)),SUBSTITUTE(Base_report!D1661,"CMU",""),Base_report!D1661)))))</f>
        <v>CENTRE MEDICO-SOCIAL EL RAPHA</v>
      </c>
      <c r="E1675" s="14" t="str">
        <f>SUBSTITUTE(Base_report!E1661,"-","/")</f>
        <v>PNLT/SENSIBLE MEDICAMENTS ET INTRANTS</v>
      </c>
      <c r="F1675" s="14" t="s">
        <v>788</v>
      </c>
      <c r="G1675" s="16">
        <f>DATE(YEAR(SUBSTITUTE(LEFT(Base_report!F1661,10),"-","/")),MONTH(SUBSTITUTE(LEFT(Base_report!F1661,10),"-","/")),DAY(SUBSTITUTE(LEFT(Base_report!F1661,10),"-","/")))</f>
        <v>45294</v>
      </c>
      <c r="H1675" s="16">
        <f>DATE(YEAR(SUBSTITUTE(LEFT(Base_report!G1661,10),"-","/")),MONTH(SUBSTITUTE(LEFT(Base_report!G1661,10),"-","/")),DAY(SUBSTITUTE(LEFT(Base_report!G1661,10),"-","/")))</f>
        <v>45294</v>
      </c>
      <c r="I1675" s="17" t="str">
        <f t="shared" si="1"/>
        <v>OUI</v>
      </c>
      <c r="J1675" s="18">
        <f>IF(L1675="DS",DATE(RIGHT(B1675,4),VLOOKUP(LEFT(B1675,LEN(B1675)-5),Feuil1!$E$3:$F$19,2,FALSE)+1,10),DATE(RIGHT(B1675,4),VLOOKUP(LEFT(B1675,LEN(B1675)-5),Feuil1!$E$3:$F$19,2,FALSE)+1,7))</f>
        <v>45298</v>
      </c>
      <c r="K1675" s="19">
        <f t="shared" si="2"/>
        <v>1</v>
      </c>
      <c r="L1675" s="6" t="str">
        <f t="shared" si="3"/>
        <v>FS</v>
      </c>
    </row>
    <row r="1676" ht="14.25" customHeight="1">
      <c r="A1676" s="14" t="str">
        <f>Base_report!A1662</f>
        <v>GONTOUGO</v>
      </c>
      <c r="B1676" s="14" t="str">
        <f>Base_report!B1662</f>
        <v>OCTOBRE DECEMBRE 2023</v>
      </c>
      <c r="C1676" s="15" t="str">
        <f>Base_report!C1662</f>
        <v>C4062</v>
      </c>
      <c r="D1676" s="14" t="str">
        <f>TRIM(IF(ISNUMBER(FIND("PNSME",Base_report!D1662,1)),SUBSTITUTE(Base_report!D1662,"PNSME",""),IF(ISNUMBER(FIND("PHG",Base_report!D1662,1)),SUBSTITUTE(Base_report!D1662,"PHG",""),IF(ISNUMBER(FIND("PCS",Base_report!D1662,1)),SUBSTITUTE(Base_report!D1662,"PCS",""),IF(ISNUMBER(FIND("CMU",Base_report!D1662,1)),SUBSTITUTE(Base_report!D1662,"CMU",""),Base_report!D1662)))))</f>
        <v>CENTRE ANTI-TUBERCULEUX BONDOUKOU</v>
      </c>
      <c r="E1676" s="14" t="str">
        <f>SUBSTITUTE(Base_report!E1662,"-","/")</f>
        <v>PNLT/PRODUITS DE LABORATOIRE</v>
      </c>
      <c r="F1676" s="14" t="s">
        <v>788</v>
      </c>
      <c r="G1676" s="16">
        <f>DATE(YEAR(SUBSTITUTE(LEFT(Base_report!F1662,10),"-","/")),MONTH(SUBSTITUTE(LEFT(Base_report!F1662,10),"-","/")),DAY(SUBSTITUTE(LEFT(Base_report!F1662,10),"-","/")))</f>
        <v>45298</v>
      </c>
      <c r="H1676" s="16">
        <f>DATE(YEAR(SUBSTITUTE(LEFT(Base_report!G1662,10),"-","/")),MONTH(SUBSTITUTE(LEFT(Base_report!G1662,10),"-","/")),DAY(SUBSTITUTE(LEFT(Base_report!G1662,10),"-","/")))</f>
        <v>45298</v>
      </c>
      <c r="I1676" s="17" t="str">
        <f t="shared" si="1"/>
        <v>OUI</v>
      </c>
      <c r="J1676" s="18">
        <f>IF(L1676="DS",DATE(RIGHT(B1676,4),VLOOKUP(LEFT(B1676,LEN(B1676)-5),Feuil1!$E$3:$F$19,2,FALSE)+1,10),DATE(RIGHT(B1676,4),VLOOKUP(LEFT(B1676,LEN(B1676)-5),Feuil1!$E$3:$F$19,2,FALSE)+1,7))</f>
        <v>45298</v>
      </c>
      <c r="K1676" s="19">
        <f t="shared" si="2"/>
        <v>1</v>
      </c>
      <c r="L1676" s="6" t="str">
        <f t="shared" si="3"/>
        <v>FS</v>
      </c>
    </row>
    <row r="1677" ht="14.25" customHeight="1">
      <c r="A1677" s="14" t="str">
        <f>Base_report!A1663</f>
        <v>HAMBOL</v>
      </c>
      <c r="B1677" s="14" t="str">
        <f>Base_report!B1663</f>
        <v>OCTOBRE DECEMBRE 2023</v>
      </c>
      <c r="C1677" s="15" t="str">
        <f>Base_report!C1663</f>
        <v>C3022</v>
      </c>
      <c r="D1677" s="14" t="str">
        <f>TRIM(IF(ISNUMBER(FIND("PNSME",Base_report!D1663,1)),SUBSTITUTE(Base_report!D1663,"PNSME",""),IF(ISNUMBER(FIND("PHG",Base_report!D1663,1)),SUBSTITUTE(Base_report!D1663,"PHG",""),IF(ISNUMBER(FIND("PCS",Base_report!D1663,1)),SUBSTITUTE(Base_report!D1663,"PCS",""),IF(ISNUMBER(FIND("CMU",Base_report!D1663,1)),SUBSTITUTE(Base_report!D1663,"CMU",""),Base_report!D1663)))))</f>
        <v>HOPITAL GENERAL TAFIRE</v>
      </c>
      <c r="E1677" s="14" t="str">
        <f>SUBSTITUTE(Base_report!E1663,"-","/")</f>
        <v>PNLT/SENSIBLE MEDICAMENTS ET INTRANTS</v>
      </c>
      <c r="F1677" s="14" t="s">
        <v>788</v>
      </c>
      <c r="G1677" s="16">
        <f>DATE(YEAR(SUBSTITUTE(LEFT(Base_report!F1663,10),"-","/")),MONTH(SUBSTITUTE(LEFT(Base_report!F1663,10),"-","/")),DAY(SUBSTITUTE(LEFT(Base_report!F1663,10),"-","/")))</f>
        <v>45298</v>
      </c>
      <c r="H1677" s="16">
        <f>DATE(YEAR(SUBSTITUTE(LEFT(Base_report!G1663,10),"-","/")),MONTH(SUBSTITUTE(LEFT(Base_report!G1663,10),"-","/")),DAY(SUBSTITUTE(LEFT(Base_report!G1663,10),"-","/")))</f>
        <v>45298</v>
      </c>
      <c r="I1677" s="17" t="str">
        <f t="shared" si="1"/>
        <v>OUI</v>
      </c>
      <c r="J1677" s="18">
        <f>IF(L1677="DS",DATE(RIGHT(B1677,4),VLOOKUP(LEFT(B1677,LEN(B1677)-5),Feuil1!$E$3:$F$19,2,FALSE)+1,10),DATE(RIGHT(B1677,4),VLOOKUP(LEFT(B1677,LEN(B1677)-5),Feuil1!$E$3:$F$19,2,FALSE)+1,7))</f>
        <v>45298</v>
      </c>
      <c r="K1677" s="19">
        <f t="shared" si="2"/>
        <v>1</v>
      </c>
      <c r="L1677" s="6" t="str">
        <f t="shared" si="3"/>
        <v>FS</v>
      </c>
    </row>
    <row r="1678" ht="14.25" customHeight="1">
      <c r="A1678" s="14" t="str">
        <f>Base_report!A1664</f>
        <v>HAUT-SASSANDRA</v>
      </c>
      <c r="B1678" s="14" t="str">
        <f>Base_report!B1664</f>
        <v>OCTOBRE DECEMBRE 2023</v>
      </c>
      <c r="C1678" s="15" t="str">
        <f>Base_report!C1664</f>
        <v>C5060</v>
      </c>
      <c r="D1678" s="14" t="str">
        <f>TRIM(IF(ISNUMBER(FIND("PNSME",Base_report!D1664,1)),SUBSTITUTE(Base_report!D1664,"PNSME",""),IF(ISNUMBER(FIND("PHG",Base_report!D1664,1)),SUBSTITUTE(Base_report!D1664,"PHG",""),IF(ISNUMBER(FIND("PCS",Base_report!D1664,1)),SUBSTITUTE(Base_report!D1664,"PCS",""),IF(ISNUMBER(FIND("CMU",Base_report!D1664,1)),SUBSTITUTE(Base_report!D1664,"CMU",""),Base_report!D1664)))))</f>
        <v>HOPITAL GENERAL ZOUKOUGBEU</v>
      </c>
      <c r="E1678" s="14" t="str">
        <f>SUBSTITUTE(Base_report!E1664,"-","/")</f>
        <v>PNLT/SENSIBLE MEDICAMENTS ET INTRANTS</v>
      </c>
      <c r="F1678" s="14" t="s">
        <v>788</v>
      </c>
      <c r="G1678" s="16">
        <f>DATE(YEAR(SUBSTITUTE(LEFT(Base_report!F1664,10),"-","/")),MONTH(SUBSTITUTE(LEFT(Base_report!F1664,10),"-","/")),DAY(SUBSTITUTE(LEFT(Base_report!F1664,10),"-","/")))</f>
        <v>45296</v>
      </c>
      <c r="H1678" s="16">
        <f>DATE(YEAR(SUBSTITUTE(LEFT(Base_report!G1664,10),"-","/")),MONTH(SUBSTITUTE(LEFT(Base_report!G1664,10),"-","/")),DAY(SUBSTITUTE(LEFT(Base_report!G1664,10),"-","/")))</f>
        <v>45296</v>
      </c>
      <c r="I1678" s="17" t="str">
        <f t="shared" si="1"/>
        <v>OUI</v>
      </c>
      <c r="J1678" s="18">
        <f>IF(L1678="DS",DATE(RIGHT(B1678,4),VLOOKUP(LEFT(B1678,LEN(B1678)-5),Feuil1!$E$3:$F$19,2,FALSE)+1,10),DATE(RIGHT(B1678,4),VLOOKUP(LEFT(B1678,LEN(B1678)-5),Feuil1!$E$3:$F$19,2,FALSE)+1,7))</f>
        <v>45298</v>
      </c>
      <c r="K1678" s="19">
        <f t="shared" si="2"/>
        <v>1</v>
      </c>
      <c r="L1678" s="6" t="str">
        <f t="shared" si="3"/>
        <v>FS</v>
      </c>
    </row>
    <row r="1679" ht="14.25" customHeight="1">
      <c r="A1679" s="14" t="str">
        <f>Base_report!A1665</f>
        <v>HAMBOL</v>
      </c>
      <c r="B1679" s="14" t="str">
        <f>Base_report!B1665</f>
        <v>OCTOBRE DECEMBRE 2023</v>
      </c>
      <c r="C1679" s="15" t="str">
        <f>Base_report!C1665</f>
        <v>C3045</v>
      </c>
      <c r="D1679" s="14" t="str">
        <f>TRIM(IF(ISNUMBER(FIND("PNSME",Base_report!D1665,1)),SUBSTITUTE(Base_report!D1665,"PNSME",""),IF(ISNUMBER(FIND("PHG",Base_report!D1665,1)),SUBSTITUTE(Base_report!D1665,"PHG",""),IF(ISNUMBER(FIND("PCS",Base_report!D1665,1)),SUBSTITUTE(Base_report!D1665,"PCS",""),IF(ISNUMBER(FIND("CMU",Base_report!D1665,1)),SUBSTITUTE(Base_report!D1665,"CMU",""),Base_report!D1665)))))</f>
        <v>DISTRICT SANITAIRE NIAKARA</v>
      </c>
      <c r="E1679" s="14" t="str">
        <f>SUBSTITUTE(Base_report!E1665,"-","/")</f>
        <v>PNLT/SENSIBLE MEDICAMENTS ET INTRANTS</v>
      </c>
      <c r="F1679" s="14" t="s">
        <v>788</v>
      </c>
      <c r="G1679" s="16">
        <f>DATE(YEAR(SUBSTITUTE(LEFT(Base_report!F1665,10),"-","/")),MONTH(SUBSTITUTE(LEFT(Base_report!F1665,10),"-","/")),DAY(SUBSTITUTE(LEFT(Base_report!F1665,10),"-","/")))</f>
        <v>45301</v>
      </c>
      <c r="H1679" s="16">
        <f>DATE(YEAR(SUBSTITUTE(LEFT(Base_report!G1665,10),"-","/")),MONTH(SUBSTITUTE(LEFT(Base_report!G1665,10),"-","/")),DAY(SUBSTITUTE(LEFT(Base_report!G1665,10),"-","/")))</f>
        <v>45301</v>
      </c>
      <c r="I1679" s="17" t="str">
        <f t="shared" si="1"/>
        <v>OUI</v>
      </c>
      <c r="J1679" s="18">
        <f>IF(L1679="DS",DATE(RIGHT(B1679,4),VLOOKUP(LEFT(B1679,LEN(B1679)-5),Feuil1!$E$3:$F$19,2,FALSE)+1,10),DATE(RIGHT(B1679,4),VLOOKUP(LEFT(B1679,LEN(B1679)-5),Feuil1!$E$3:$F$19,2,FALSE)+1,7))</f>
        <v>45301</v>
      </c>
      <c r="K1679" s="19">
        <f t="shared" si="2"/>
        <v>1</v>
      </c>
      <c r="L1679" s="6" t="str">
        <f t="shared" si="3"/>
        <v>DS</v>
      </c>
    </row>
    <row r="1680" ht="14.25" customHeight="1">
      <c r="A1680" s="14" t="str">
        <f>Base_report!A1666</f>
        <v>MARAHOUE</v>
      </c>
      <c r="B1680" s="14" t="str">
        <f>Base_report!B1666</f>
        <v>OCTOBRE DECEMBRE 2023</v>
      </c>
      <c r="C1680" s="15" t="str">
        <f>Base_report!C1666</f>
        <v>C2063</v>
      </c>
      <c r="D1680" s="14" t="str">
        <f>TRIM(IF(ISNUMBER(FIND("PNSME",Base_report!D1666,1)),SUBSTITUTE(Base_report!D1666,"PNSME",""),IF(ISNUMBER(FIND("PHG",Base_report!D1666,1)),SUBSTITUTE(Base_report!D1666,"PHG",""),IF(ISNUMBER(FIND("PCS",Base_report!D1666,1)),SUBSTITUTE(Base_report!D1666,"PCS",""),IF(ISNUMBER(FIND("CMU",Base_report!D1666,1)),SUBSTITUTE(Base_report!D1666,"CMU",""),Base_report!D1666)))))</f>
        <v>HOPITAL GENERAL SINFRA</v>
      </c>
      <c r="E1680" s="14" t="str">
        <f>SUBSTITUTE(Base_report!E1666,"-","/")</f>
        <v>PNLT/SENSIBLE MEDICAMENTS ET INTRANTS</v>
      </c>
      <c r="F1680" s="14" t="s">
        <v>788</v>
      </c>
      <c r="G1680" s="16">
        <f>DATE(YEAR(SUBSTITUTE(LEFT(Base_report!F1666,10),"-","/")),MONTH(SUBSTITUTE(LEFT(Base_report!F1666,10),"-","/")),DAY(SUBSTITUTE(LEFT(Base_report!F1666,10),"-","/")))</f>
        <v>45296</v>
      </c>
      <c r="H1680" s="16">
        <f>DATE(YEAR(SUBSTITUTE(LEFT(Base_report!G1666,10),"-","/")),MONTH(SUBSTITUTE(LEFT(Base_report!G1666,10),"-","/")),DAY(SUBSTITUTE(LEFT(Base_report!G1666,10),"-","/")))</f>
        <v>45296</v>
      </c>
      <c r="I1680" s="17" t="str">
        <f t="shared" si="1"/>
        <v>OUI</v>
      </c>
      <c r="J1680" s="18">
        <f>IF(L1680="DS",DATE(RIGHT(B1680,4),VLOOKUP(LEFT(B1680,LEN(B1680)-5),Feuil1!$E$3:$F$19,2,FALSE)+1,10),DATE(RIGHT(B1680,4),VLOOKUP(LEFT(B1680,LEN(B1680)-5),Feuil1!$E$3:$F$19,2,FALSE)+1,7))</f>
        <v>45298</v>
      </c>
      <c r="K1680" s="19">
        <f t="shared" si="2"/>
        <v>1</v>
      </c>
      <c r="L1680" s="6" t="str">
        <f t="shared" si="3"/>
        <v>FS</v>
      </c>
    </row>
    <row r="1681" ht="14.25" customHeight="1">
      <c r="A1681" s="14" t="str">
        <f>Base_report!A1667</f>
        <v>LOH-DJIBOUA</v>
      </c>
      <c r="B1681" s="14" t="str">
        <f>Base_report!B1667</f>
        <v>OCTOBRE DECEMBRE 2023</v>
      </c>
      <c r="C1681" s="15" t="str">
        <f>Base_report!C1667</f>
        <v>C21880</v>
      </c>
      <c r="D1681" s="14" t="str">
        <f>TRIM(IF(ISNUMBER(FIND("PNSME",Base_report!D1667,1)),SUBSTITUTE(Base_report!D1667,"PNSME",""),IF(ISNUMBER(FIND("PHG",Base_report!D1667,1)),SUBSTITUTE(Base_report!D1667,"PHG",""),IF(ISNUMBER(FIND("PCS",Base_report!D1667,1)),SUBSTITUTE(Base_report!D1667,"PCS",""),IF(ISNUMBER(FIND("CMU",Base_report!D1667,1)),SUBSTITUTE(Base_report!D1667,"CMU",""),Base_report!D1667)))))</f>
        <v>DISTRICT SANITAIRE DE GUITRY</v>
      </c>
      <c r="E1681" s="14" t="str">
        <f>SUBSTITUTE(Base_report!E1667,"-","/")</f>
        <v>PNLT/SENSIBLE MEDICAMENTS ET INTRANTS</v>
      </c>
      <c r="F1681" s="14" t="s">
        <v>788</v>
      </c>
      <c r="G1681" s="16">
        <f>DATE(YEAR(SUBSTITUTE(LEFT(Base_report!F1667,10),"-","/")),MONTH(SUBSTITUTE(LEFT(Base_report!F1667,10),"-","/")),DAY(SUBSTITUTE(LEFT(Base_report!F1667,10),"-","/")))</f>
        <v>45299</v>
      </c>
      <c r="H1681" s="16">
        <f>DATE(YEAR(SUBSTITUTE(LEFT(Base_report!G1667,10),"-","/")),MONTH(SUBSTITUTE(LEFT(Base_report!G1667,10),"-","/")),DAY(SUBSTITUTE(LEFT(Base_report!G1667,10),"-","/")))</f>
        <v>45299</v>
      </c>
      <c r="I1681" s="17" t="str">
        <f t="shared" si="1"/>
        <v>OUI</v>
      </c>
      <c r="J1681" s="18">
        <f>IF(L1681="DS",DATE(RIGHT(B1681,4),VLOOKUP(LEFT(B1681,LEN(B1681)-5),Feuil1!$E$3:$F$19,2,FALSE)+1,10),DATE(RIGHT(B1681,4),VLOOKUP(LEFT(B1681,LEN(B1681)-5),Feuil1!$E$3:$F$19,2,FALSE)+1,7))</f>
        <v>45301</v>
      </c>
      <c r="K1681" s="19">
        <f t="shared" si="2"/>
        <v>1</v>
      </c>
      <c r="L1681" s="6" t="str">
        <f t="shared" si="3"/>
        <v>DS</v>
      </c>
    </row>
    <row r="1682" ht="14.25" customHeight="1">
      <c r="A1682" s="14" t="str">
        <f>Base_report!A1668</f>
        <v>NAWA</v>
      </c>
      <c r="B1682" s="14" t="str">
        <f>Base_report!B1668</f>
        <v>OCTOBRE DECEMBRE 2023</v>
      </c>
      <c r="C1682" s="15" t="str">
        <f>Base_report!C1668</f>
        <v>C2050</v>
      </c>
      <c r="D1682" s="14" t="str">
        <f>TRIM(IF(ISNUMBER(FIND("PNSME",Base_report!D1668,1)),SUBSTITUTE(Base_report!D1668,"PNSME",""),IF(ISNUMBER(FIND("PHG",Base_report!D1668,1)),SUBSTITUTE(Base_report!D1668,"PHG",""),IF(ISNUMBER(FIND("PCS",Base_report!D1668,1)),SUBSTITUTE(Base_report!D1668,"PCS",""),IF(ISNUMBER(FIND("CMU",Base_report!D1668,1)),SUBSTITUTE(Base_report!D1668,"CMU",""),Base_report!D1668)))))</f>
        <v>HOPITAL GENERAL BUYO</v>
      </c>
      <c r="E1682" s="14" t="str">
        <f>SUBSTITUTE(Base_report!E1668,"-","/")</f>
        <v>PNLT/SENSIBLE MEDICAMENTS ET INTRANTS</v>
      </c>
      <c r="F1682" s="14" t="s">
        <v>788</v>
      </c>
      <c r="G1682" s="16">
        <f>DATE(YEAR(SUBSTITUTE(LEFT(Base_report!F1668,10),"-","/")),MONTH(SUBSTITUTE(LEFT(Base_report!F1668,10),"-","/")),DAY(SUBSTITUTE(LEFT(Base_report!F1668,10),"-","/")))</f>
        <v>45298</v>
      </c>
      <c r="H1682" s="16">
        <f>DATE(YEAR(SUBSTITUTE(LEFT(Base_report!G1668,10),"-","/")),MONTH(SUBSTITUTE(LEFT(Base_report!G1668,10),"-","/")),DAY(SUBSTITUTE(LEFT(Base_report!G1668,10),"-","/")))</f>
        <v>45298</v>
      </c>
      <c r="I1682" s="17" t="str">
        <f t="shared" si="1"/>
        <v>OUI</v>
      </c>
      <c r="J1682" s="18">
        <f>IF(L1682="DS",DATE(RIGHT(B1682,4),VLOOKUP(LEFT(B1682,LEN(B1682)-5),Feuil1!$E$3:$F$19,2,FALSE)+1,10),DATE(RIGHT(B1682,4),VLOOKUP(LEFT(B1682,LEN(B1682)-5),Feuil1!$E$3:$F$19,2,FALSE)+1,7))</f>
        <v>45298</v>
      </c>
      <c r="K1682" s="19">
        <f t="shared" si="2"/>
        <v>1</v>
      </c>
      <c r="L1682" s="6" t="str">
        <f t="shared" si="3"/>
        <v>FS</v>
      </c>
    </row>
    <row r="1683" ht="14.25" customHeight="1">
      <c r="A1683" s="14" t="str">
        <f>Base_report!A1669</f>
        <v>PORO</v>
      </c>
      <c r="B1683" s="14" t="str">
        <f>Base_report!B1669</f>
        <v>OCTOBRE DECEMBRE 2023</v>
      </c>
      <c r="C1683" s="15" t="str">
        <f>Base_report!C1669</f>
        <v>C2175</v>
      </c>
      <c r="D1683" s="14" t="str">
        <f>TRIM(IF(ISNUMBER(FIND("PNSME",Base_report!D1669,1)),SUBSTITUTE(Base_report!D1669,"PNSME",""),IF(ISNUMBER(FIND("PHG",Base_report!D1669,1)),SUBSTITUTE(Base_report!D1669,"PHG",""),IF(ISNUMBER(FIND("PCS",Base_report!D1669,1)),SUBSTITUTE(Base_report!D1669,"PCS",""),IF(ISNUMBER(FIND("CMU",Base_report!D1669,1)),SUBSTITUTE(Base_report!D1669,"CMU",""),Base_report!D1669)))))</f>
        <v>CENTRE ANTITUBERCULEUX KORHOGO</v>
      </c>
      <c r="E1683" s="14" t="str">
        <f>SUBSTITUTE(Base_report!E1669,"-","/")</f>
        <v>PNLT/MULTI RESISTANTE MEDICAMENTS ET INTRANTS</v>
      </c>
      <c r="F1683" s="14" t="s">
        <v>788</v>
      </c>
      <c r="G1683" s="16">
        <f>DATE(YEAR(SUBSTITUTE(LEFT(Base_report!F1669,10),"-","/")),MONTH(SUBSTITUTE(LEFT(Base_report!F1669,10),"-","/")),DAY(SUBSTITUTE(LEFT(Base_report!F1669,10),"-","/")))</f>
        <v>45299</v>
      </c>
      <c r="H1683" s="16">
        <f>DATE(YEAR(SUBSTITUTE(LEFT(Base_report!G1669,10),"-","/")),MONTH(SUBSTITUTE(LEFT(Base_report!G1669,10),"-","/")),DAY(SUBSTITUTE(LEFT(Base_report!G1669,10),"-","/")))</f>
        <v>45299</v>
      </c>
      <c r="I1683" s="17" t="str">
        <f t="shared" si="1"/>
        <v>OUI</v>
      </c>
      <c r="J1683" s="18">
        <f>IF(L1683="DS",DATE(RIGHT(B1683,4),VLOOKUP(LEFT(B1683,LEN(B1683)-5),Feuil1!$E$3:$F$19,2,FALSE)+1,10),DATE(RIGHT(B1683,4),VLOOKUP(LEFT(B1683,LEN(B1683)-5),Feuil1!$E$3:$F$19,2,FALSE)+1,7))</f>
        <v>45298</v>
      </c>
      <c r="K1683" s="19">
        <f t="shared" si="2"/>
        <v>0</v>
      </c>
      <c r="L1683" s="6" t="str">
        <f t="shared" si="3"/>
        <v>FS</v>
      </c>
    </row>
    <row r="1684" ht="14.25" customHeight="1">
      <c r="A1684" s="14" t="str">
        <f>Base_report!A1670</f>
        <v>BOUNKANI</v>
      </c>
      <c r="B1684" s="14" t="str">
        <f>Base_report!B1670</f>
        <v>OCTOBRE DECEMBRE 2023</v>
      </c>
      <c r="C1684" s="15" t="str">
        <f>Base_report!C1670</f>
        <v>C4088</v>
      </c>
      <c r="D1684" s="14" t="str">
        <f>TRIM(IF(ISNUMBER(FIND("PNSME",Base_report!D1670,1)),SUBSTITUTE(Base_report!D1670,"PNSME",""),IF(ISNUMBER(FIND("PHG",Base_report!D1670,1)),SUBSTITUTE(Base_report!D1670,"PHG",""),IF(ISNUMBER(FIND("PCS",Base_report!D1670,1)),SUBSTITUTE(Base_report!D1670,"PCS",""),IF(ISNUMBER(FIND("CMU",Base_report!D1670,1)),SUBSTITUTE(Base_report!D1670,"CMU",""),Base_report!D1670)))))</f>
        <v>HOPITAL GENERAL TEHINI</v>
      </c>
      <c r="E1684" s="14" t="str">
        <f>SUBSTITUTE(Base_report!E1670,"-","/")</f>
        <v>PNLT/SENSIBLE MEDICAMENTS ET INTRANTS</v>
      </c>
      <c r="F1684" s="14" t="s">
        <v>788</v>
      </c>
      <c r="G1684" s="16">
        <f>DATE(YEAR(SUBSTITUTE(LEFT(Base_report!F1670,10),"-","/")),MONTH(SUBSTITUTE(LEFT(Base_report!F1670,10),"-","/")),DAY(SUBSTITUTE(LEFT(Base_report!F1670,10),"-","/")))</f>
        <v>45298</v>
      </c>
      <c r="H1684" s="16">
        <f>DATE(YEAR(SUBSTITUTE(LEFT(Base_report!G1670,10),"-","/")),MONTH(SUBSTITUTE(LEFT(Base_report!G1670,10),"-","/")),DAY(SUBSTITUTE(LEFT(Base_report!G1670,10),"-","/")))</f>
        <v>45298</v>
      </c>
      <c r="I1684" s="17" t="str">
        <f t="shared" si="1"/>
        <v>OUI</v>
      </c>
      <c r="J1684" s="18">
        <f>IF(L1684="DS",DATE(RIGHT(B1684,4),VLOOKUP(LEFT(B1684,LEN(B1684)-5),Feuil1!$E$3:$F$19,2,FALSE)+1,10),DATE(RIGHT(B1684,4),VLOOKUP(LEFT(B1684,LEN(B1684)-5),Feuil1!$E$3:$F$19,2,FALSE)+1,7))</f>
        <v>45298</v>
      </c>
      <c r="K1684" s="19">
        <f t="shared" si="2"/>
        <v>1</v>
      </c>
      <c r="L1684" s="6" t="str">
        <f t="shared" si="3"/>
        <v>FS</v>
      </c>
    </row>
    <row r="1685" ht="14.25" customHeight="1">
      <c r="A1685" s="14" t="str">
        <f>Base_report!A1671</f>
        <v>CAVALLY</v>
      </c>
      <c r="B1685" s="14" t="str">
        <f>Base_report!B1671</f>
        <v>OCTOBRE DECEMBRE 2023</v>
      </c>
      <c r="C1685" s="15" t="str">
        <f>Base_report!C1671</f>
        <v>C5068</v>
      </c>
      <c r="D1685" s="14" t="str">
        <f>TRIM(IF(ISNUMBER(FIND("PNSME",Base_report!D1671,1)),SUBSTITUTE(Base_report!D1671,"PNSME",""),IF(ISNUMBER(FIND("PHG",Base_report!D1671,1)),SUBSTITUTE(Base_report!D1671,"PHG",""),IF(ISNUMBER(FIND("PCS",Base_report!D1671,1)),SUBSTITUTE(Base_report!D1671,"PCS",""),IF(ISNUMBER(FIND("CMU",Base_report!D1671,1)),SUBSTITUTE(Base_report!D1671,"CMU",""),Base_report!D1671)))))</f>
        <v>CENTRE ANTITUBERCULEUX GUIGLO</v>
      </c>
      <c r="E1685" s="14" t="str">
        <f>SUBSTITUTE(Base_report!E1671,"-","/")</f>
        <v>PNLT/PRODUITS DE LABORATOIRE</v>
      </c>
      <c r="F1685" s="14" t="s">
        <v>788</v>
      </c>
      <c r="G1685" s="16">
        <f>DATE(YEAR(SUBSTITUTE(LEFT(Base_report!F1671,10),"-","/")),MONTH(SUBSTITUTE(LEFT(Base_report!F1671,10),"-","/")),DAY(SUBSTITUTE(LEFT(Base_report!F1671,10),"-","/")))</f>
        <v>45298</v>
      </c>
      <c r="H1685" s="16">
        <f>DATE(YEAR(SUBSTITUTE(LEFT(Base_report!G1671,10),"-","/")),MONTH(SUBSTITUTE(LEFT(Base_report!G1671,10),"-","/")),DAY(SUBSTITUTE(LEFT(Base_report!G1671,10),"-","/")))</f>
        <v>45298</v>
      </c>
      <c r="I1685" s="17" t="str">
        <f t="shared" si="1"/>
        <v>OUI</v>
      </c>
      <c r="J1685" s="18">
        <f>IF(L1685="DS",DATE(RIGHT(B1685,4),VLOOKUP(LEFT(B1685,LEN(B1685)-5),Feuil1!$E$3:$F$19,2,FALSE)+1,10),DATE(RIGHT(B1685,4),VLOOKUP(LEFT(B1685,LEN(B1685)-5),Feuil1!$E$3:$F$19,2,FALSE)+1,7))</f>
        <v>45298</v>
      </c>
      <c r="K1685" s="19">
        <f t="shared" si="2"/>
        <v>1</v>
      </c>
      <c r="L1685" s="6" t="str">
        <f t="shared" si="3"/>
        <v>FS</v>
      </c>
    </row>
    <row r="1686" ht="14.25" customHeight="1">
      <c r="A1686" s="14" t="str">
        <f>Base_report!A1672</f>
        <v>PORO</v>
      </c>
      <c r="B1686" s="14" t="str">
        <f>Base_report!B1672</f>
        <v>OCTOBRE DECEMBRE 2023</v>
      </c>
      <c r="C1686" s="15" t="str">
        <f>Base_report!C1672</f>
        <v>C2175</v>
      </c>
      <c r="D1686" s="14" t="str">
        <f>TRIM(IF(ISNUMBER(FIND("PNSME",Base_report!D1672,1)),SUBSTITUTE(Base_report!D1672,"PNSME",""),IF(ISNUMBER(FIND("PHG",Base_report!D1672,1)),SUBSTITUTE(Base_report!D1672,"PHG",""),IF(ISNUMBER(FIND("PCS",Base_report!D1672,1)),SUBSTITUTE(Base_report!D1672,"PCS",""),IF(ISNUMBER(FIND("CMU",Base_report!D1672,1)),SUBSTITUTE(Base_report!D1672,"CMU",""),Base_report!D1672)))))</f>
        <v>CENTRE ANTITUBERCULEUX KORHOGO</v>
      </c>
      <c r="E1686" s="14" t="str">
        <f>SUBSTITUTE(Base_report!E1672,"-","/")</f>
        <v>PNLT/SENSIBLE MEDICAMENTS ET INTRANTS</v>
      </c>
      <c r="F1686" s="14" t="s">
        <v>788</v>
      </c>
      <c r="G1686" s="16">
        <f>DATE(YEAR(SUBSTITUTE(LEFT(Base_report!F1672,10),"-","/")),MONTH(SUBSTITUTE(LEFT(Base_report!F1672,10),"-","/")),DAY(SUBSTITUTE(LEFT(Base_report!F1672,10),"-","/")))</f>
        <v>45299</v>
      </c>
      <c r="H1686" s="16">
        <f>DATE(YEAR(SUBSTITUTE(LEFT(Base_report!G1672,10),"-","/")),MONTH(SUBSTITUTE(LEFT(Base_report!G1672,10),"-","/")),DAY(SUBSTITUTE(LEFT(Base_report!G1672,10),"-","/")))</f>
        <v>45299</v>
      </c>
      <c r="I1686" s="17" t="str">
        <f t="shared" si="1"/>
        <v>OUI</v>
      </c>
      <c r="J1686" s="18">
        <f>IF(L1686="DS",DATE(RIGHT(B1686,4),VLOOKUP(LEFT(B1686,LEN(B1686)-5),Feuil1!$E$3:$F$19,2,FALSE)+1,10),DATE(RIGHT(B1686,4),VLOOKUP(LEFT(B1686,LEN(B1686)-5),Feuil1!$E$3:$F$19,2,FALSE)+1,7))</f>
        <v>45298</v>
      </c>
      <c r="K1686" s="19">
        <f t="shared" si="2"/>
        <v>0</v>
      </c>
      <c r="L1686" s="6" t="str">
        <f t="shared" si="3"/>
        <v>FS</v>
      </c>
    </row>
    <row r="1687" ht="14.25" customHeight="1">
      <c r="A1687" s="14" t="str">
        <f>Base_report!A1673</f>
        <v>BERE</v>
      </c>
      <c r="B1687" s="14" t="str">
        <f>Base_report!B1673</f>
        <v>OCTOBRE DECEMBRE 2023</v>
      </c>
      <c r="C1687" s="15" t="str">
        <f>Base_report!C1673</f>
        <v>C3064</v>
      </c>
      <c r="D1687" s="14" t="str">
        <f>TRIM(IF(ISNUMBER(FIND("PNSME",Base_report!D1673,1)),SUBSTITUTE(Base_report!D1673,"PNSME",""),IF(ISNUMBER(FIND("PHG",Base_report!D1673,1)),SUBSTITUTE(Base_report!D1673,"PHG",""),IF(ISNUMBER(FIND("PCS",Base_report!D1673,1)),SUBSTITUTE(Base_report!D1673,"PCS",""),IF(ISNUMBER(FIND("CMU",Base_report!D1673,1)),SUBSTITUTE(Base_report!D1673,"CMU",""),Base_report!D1673)))))</f>
        <v>CENTRE ANTITUBERCULEUX MANKONO</v>
      </c>
      <c r="E1687" s="14" t="str">
        <f>SUBSTITUTE(Base_report!E1673,"-","/")</f>
        <v>PNLT/SENSIBLE MEDICAMENTS ET INTRANTS</v>
      </c>
      <c r="F1687" s="14" t="s">
        <v>788</v>
      </c>
      <c r="G1687" s="16">
        <f>DATE(YEAR(SUBSTITUTE(LEFT(Base_report!F1673,10),"-","/")),MONTH(SUBSTITUTE(LEFT(Base_report!F1673,10),"-","/")),DAY(SUBSTITUTE(LEFT(Base_report!F1673,10),"-","/")))</f>
        <v>45300</v>
      </c>
      <c r="H1687" s="16">
        <f>DATE(YEAR(SUBSTITUTE(LEFT(Base_report!G1673,10),"-","/")),MONTH(SUBSTITUTE(LEFT(Base_report!G1673,10),"-","/")),DAY(SUBSTITUTE(LEFT(Base_report!G1673,10),"-","/")))</f>
        <v>45300</v>
      </c>
      <c r="I1687" s="17" t="str">
        <f t="shared" si="1"/>
        <v>OUI</v>
      </c>
      <c r="J1687" s="18">
        <f>IF(L1687="DS",DATE(RIGHT(B1687,4),VLOOKUP(LEFT(B1687,LEN(B1687)-5),Feuil1!$E$3:$F$19,2,FALSE)+1,10),DATE(RIGHT(B1687,4),VLOOKUP(LEFT(B1687,LEN(B1687)-5),Feuil1!$E$3:$F$19,2,FALSE)+1,7))</f>
        <v>45298</v>
      </c>
      <c r="K1687" s="19">
        <f t="shared" si="2"/>
        <v>0</v>
      </c>
      <c r="L1687" s="6" t="str">
        <f t="shared" si="3"/>
        <v>FS</v>
      </c>
    </row>
    <row r="1688" ht="14.25" customHeight="1">
      <c r="A1688" s="14" t="str">
        <f>Base_report!A1674</f>
        <v>ABIDJAN 1</v>
      </c>
      <c r="B1688" s="14" t="str">
        <f>Base_report!B1674</f>
        <v>OCTOBRE DECEMBRE 2023</v>
      </c>
      <c r="C1688" s="15" t="str">
        <f>Base_report!C1674</f>
        <v>C1423</v>
      </c>
      <c r="D1688" s="14" t="str">
        <f>TRIM(IF(ISNUMBER(FIND("PNSME",Base_report!D1674,1)),SUBSTITUTE(Base_report!D1674,"PNSME",""),IF(ISNUMBER(FIND("PHG",Base_report!D1674,1)),SUBSTITUTE(Base_report!D1674,"PHG",""),IF(ISNUMBER(FIND("PCS",Base_report!D1674,1)),SUBSTITUTE(Base_report!D1674,"PCS",""),IF(ISNUMBER(FIND("CMU",Base_report!D1674,1)),SUBSTITUTE(Base_report!D1674,"CMU",""),Base_report!D1674)))))</f>
        <v>CENTRE MEDICO-SOCIAL SAINT COEUR ABOBOTE</v>
      </c>
      <c r="E1688" s="14" t="str">
        <f>SUBSTITUTE(Base_report!E1674,"-","/")</f>
        <v>PNLT/SENSIBLE MEDICAMENTS ET INTRANTS</v>
      </c>
      <c r="F1688" s="14" t="s">
        <v>788</v>
      </c>
      <c r="G1688" s="16">
        <f>DATE(YEAR(SUBSTITUTE(LEFT(Base_report!F1674,10),"-","/")),MONTH(SUBSTITUTE(LEFT(Base_report!F1674,10),"-","/")),DAY(SUBSTITUTE(LEFT(Base_report!F1674,10),"-","/")))</f>
        <v>45295</v>
      </c>
      <c r="H1688" s="16">
        <f>DATE(YEAR(SUBSTITUTE(LEFT(Base_report!G1674,10),"-","/")),MONTH(SUBSTITUTE(LEFT(Base_report!G1674,10),"-","/")),DAY(SUBSTITUTE(LEFT(Base_report!G1674,10),"-","/")))</f>
        <v>45296</v>
      </c>
      <c r="I1688" s="17" t="str">
        <f t="shared" si="1"/>
        <v>OUI</v>
      </c>
      <c r="J1688" s="18">
        <f>IF(L1688="DS",DATE(RIGHT(B1688,4),VLOOKUP(LEFT(B1688,LEN(B1688)-5),Feuil1!$E$3:$F$19,2,FALSE)+1,10),DATE(RIGHT(B1688,4),VLOOKUP(LEFT(B1688,LEN(B1688)-5),Feuil1!$E$3:$F$19,2,FALSE)+1,7))</f>
        <v>45298</v>
      </c>
      <c r="K1688" s="19">
        <f t="shared" si="2"/>
        <v>1</v>
      </c>
      <c r="L1688" s="6" t="str">
        <f t="shared" si="3"/>
        <v>FS</v>
      </c>
    </row>
    <row r="1689" ht="14.25" customHeight="1">
      <c r="A1689" s="14" t="str">
        <f>Base_report!A1675</f>
        <v>ABIDJAN 1</v>
      </c>
      <c r="B1689" s="14" t="str">
        <f>Base_report!B1675</f>
        <v>OCTOBRE DECEMBRE 2023</v>
      </c>
      <c r="C1689" s="15" t="str">
        <f>Base_report!C1675</f>
        <v>C1415</v>
      </c>
      <c r="D1689" s="14" t="str">
        <f>TRIM(IF(ISNUMBER(FIND("PNSME",Base_report!D1675,1)),SUBSTITUTE(Base_report!D1675,"PNSME",""),IF(ISNUMBER(FIND("PHG",Base_report!D1675,1)),SUBSTITUTE(Base_report!D1675,"PHG",""),IF(ISNUMBER(FIND("PCS",Base_report!D1675,1)),SUBSTITUTE(Base_report!D1675,"PCS",""),IF(ISNUMBER(FIND("CMU",Base_report!D1675,1)),SUBSTITUTE(Base_report!D1675,"CMU",""),Base_report!D1675)))))</f>
        <v>DISTRICT SANITAIRE YOPOUGON EST</v>
      </c>
      <c r="E1689" s="14" t="str">
        <f>SUBSTITUTE(Base_report!E1675,"-","/")</f>
        <v>PNLT/SENSIBLE MEDICAMENTS ET INTRANTS</v>
      </c>
      <c r="F1689" s="14" t="s">
        <v>788</v>
      </c>
      <c r="G1689" s="16">
        <f>DATE(YEAR(SUBSTITUTE(LEFT(Base_report!F1675,10),"-","/")),MONTH(SUBSTITUTE(LEFT(Base_report!F1675,10),"-","/")),DAY(SUBSTITUTE(LEFT(Base_report!F1675,10),"-","/")))</f>
        <v>45300</v>
      </c>
      <c r="H1689" s="16">
        <f>DATE(YEAR(SUBSTITUTE(LEFT(Base_report!G1675,10),"-","/")),MONTH(SUBSTITUTE(LEFT(Base_report!G1675,10),"-","/")),DAY(SUBSTITUTE(LEFT(Base_report!G1675,10),"-","/")))</f>
        <v>45300</v>
      </c>
      <c r="I1689" s="17" t="str">
        <f t="shared" si="1"/>
        <v>OUI</v>
      </c>
      <c r="J1689" s="18">
        <f>IF(L1689="DS",DATE(RIGHT(B1689,4),VLOOKUP(LEFT(B1689,LEN(B1689)-5),Feuil1!$E$3:$F$19,2,FALSE)+1,10),DATE(RIGHT(B1689,4),VLOOKUP(LEFT(B1689,LEN(B1689)-5),Feuil1!$E$3:$F$19,2,FALSE)+1,7))</f>
        <v>45301</v>
      </c>
      <c r="K1689" s="19">
        <f t="shared" si="2"/>
        <v>1</v>
      </c>
      <c r="L1689" s="6" t="str">
        <f t="shared" si="3"/>
        <v>DS</v>
      </c>
    </row>
    <row r="1690" ht="14.25" customHeight="1">
      <c r="A1690" s="14" t="str">
        <f>Base_report!A1676</f>
        <v>GUEMON</v>
      </c>
      <c r="B1690" s="14" t="str">
        <f>Base_report!B1676</f>
        <v>OCTOBRE DECEMBRE 2023</v>
      </c>
      <c r="C1690" s="15" t="str">
        <f>Base_report!C1676</f>
        <v>C5095</v>
      </c>
      <c r="D1690" s="14" t="str">
        <f>TRIM(IF(ISNUMBER(FIND("PNSME",Base_report!D1676,1)),SUBSTITUTE(Base_report!D1676,"PNSME",""),IF(ISNUMBER(FIND("PHG",Base_report!D1676,1)),SUBSTITUTE(Base_report!D1676,"PHG",""),IF(ISNUMBER(FIND("PCS",Base_report!D1676,1)),SUBSTITUTE(Base_report!D1676,"PCS",""),IF(ISNUMBER(FIND("CMU",Base_report!D1676,1)),SUBSTITUTE(Base_report!D1676,"CMU",""),Base_report!D1676)))))</f>
        <v>CENTRE ANTITUBERCULEUX DUEKOUE</v>
      </c>
      <c r="E1690" s="14" t="str">
        <f>SUBSTITUTE(Base_report!E1676,"-","/")</f>
        <v>PNLT/SENSIBLE MEDICAMENTS ET INTRANTS</v>
      </c>
      <c r="F1690" s="14" t="s">
        <v>788</v>
      </c>
      <c r="G1690" s="16">
        <f>DATE(YEAR(SUBSTITUTE(LEFT(Base_report!F1676,10),"-","/")),MONTH(SUBSTITUTE(LEFT(Base_report!F1676,10),"-","/")),DAY(SUBSTITUTE(LEFT(Base_report!F1676,10),"-","/")))</f>
        <v>45298</v>
      </c>
      <c r="H1690" s="16">
        <f>DATE(YEAR(SUBSTITUTE(LEFT(Base_report!G1676,10),"-","/")),MONTH(SUBSTITUTE(LEFT(Base_report!G1676,10),"-","/")),DAY(SUBSTITUTE(LEFT(Base_report!G1676,10),"-","/")))</f>
        <v>45298</v>
      </c>
      <c r="I1690" s="17" t="str">
        <f t="shared" si="1"/>
        <v>OUI</v>
      </c>
      <c r="J1690" s="18">
        <f>IF(L1690="DS",DATE(RIGHT(B1690,4),VLOOKUP(LEFT(B1690,LEN(B1690)-5),Feuil1!$E$3:$F$19,2,FALSE)+1,10),DATE(RIGHT(B1690,4),VLOOKUP(LEFT(B1690,LEN(B1690)-5),Feuil1!$E$3:$F$19,2,FALSE)+1,7))</f>
        <v>45298</v>
      </c>
      <c r="K1690" s="19">
        <f t="shared" si="2"/>
        <v>1</v>
      </c>
      <c r="L1690" s="6" t="str">
        <f t="shared" si="3"/>
        <v>FS</v>
      </c>
    </row>
    <row r="1691" ht="14.25" customHeight="1">
      <c r="A1691" s="14" t="str">
        <f>Base_report!A1677</f>
        <v>GONTOUGO</v>
      </c>
      <c r="B1691" s="14" t="str">
        <f>Base_report!B1677</f>
        <v>OCTOBRE DECEMBRE 2023</v>
      </c>
      <c r="C1691" s="15" t="str">
        <f>Base_report!C1677</f>
        <v>C4070</v>
      </c>
      <c r="D1691" s="14" t="str">
        <f>TRIM(IF(ISNUMBER(FIND("PNSME",Base_report!D1677,1)),SUBSTITUTE(Base_report!D1677,"PNSME",""),IF(ISNUMBER(FIND("PHG",Base_report!D1677,1)),SUBSTITUTE(Base_report!D1677,"PHG",""),IF(ISNUMBER(FIND("PCS",Base_report!D1677,1)),SUBSTITUTE(Base_report!D1677,"PCS",""),IF(ISNUMBER(FIND("CMU",Base_report!D1677,1)),SUBSTITUTE(Base_report!D1677,"CMU",""),Base_report!D1677)))))</f>
        <v>DISTRICT SANITAIRE KOUN FAO</v>
      </c>
      <c r="E1691" s="14" t="str">
        <f>SUBSTITUTE(Base_report!E1677,"-","/")</f>
        <v>PNLT/PRODUITS DE LABORATOIRE</v>
      </c>
      <c r="F1691" s="14" t="s">
        <v>788</v>
      </c>
      <c r="G1691" s="16">
        <f>DATE(YEAR(SUBSTITUTE(LEFT(Base_report!F1677,10),"-","/")),MONTH(SUBSTITUTE(LEFT(Base_report!F1677,10),"-","/")),DAY(SUBSTITUTE(LEFT(Base_report!F1677,10),"-","/")))</f>
        <v>45301</v>
      </c>
      <c r="H1691" s="16">
        <f>DATE(YEAR(SUBSTITUTE(LEFT(Base_report!G1677,10),"-","/")),MONTH(SUBSTITUTE(LEFT(Base_report!G1677,10),"-","/")),DAY(SUBSTITUTE(LEFT(Base_report!G1677,10),"-","/")))</f>
        <v>45301</v>
      </c>
      <c r="I1691" s="17" t="str">
        <f t="shared" si="1"/>
        <v>OUI</v>
      </c>
      <c r="J1691" s="18">
        <f>IF(L1691="DS",DATE(RIGHT(B1691,4),VLOOKUP(LEFT(B1691,LEN(B1691)-5),Feuil1!$E$3:$F$19,2,FALSE)+1,10),DATE(RIGHT(B1691,4),VLOOKUP(LEFT(B1691,LEN(B1691)-5),Feuil1!$E$3:$F$19,2,FALSE)+1,7))</f>
        <v>45301</v>
      </c>
      <c r="K1691" s="19">
        <f t="shared" si="2"/>
        <v>1</v>
      </c>
      <c r="L1691" s="6" t="str">
        <f t="shared" si="3"/>
        <v>DS</v>
      </c>
    </row>
    <row r="1692" ht="14.25" customHeight="1">
      <c r="A1692" s="14" t="str">
        <f>Base_report!A1678</f>
        <v>AGNEBY-TIASSA</v>
      </c>
      <c r="B1692" s="14" t="str">
        <f>Base_report!B1678</f>
        <v>OCTOBRE DECEMBRE 2023</v>
      </c>
      <c r="C1692" s="15" t="str">
        <f>Base_report!C1678</f>
        <v>C2141</v>
      </c>
      <c r="D1692" s="14" t="str">
        <f>TRIM(IF(ISNUMBER(FIND("PNSME",Base_report!D1678,1)),SUBSTITUTE(Base_report!D1678,"PNSME",""),IF(ISNUMBER(FIND("PHG",Base_report!D1678,1)),SUBSTITUTE(Base_report!D1678,"PHG",""),IF(ISNUMBER(FIND("PCS",Base_report!D1678,1)),SUBSTITUTE(Base_report!D1678,"PCS",""),IF(ISNUMBER(FIND("CMU",Base_report!D1678,1)),SUBSTITUTE(Base_report!D1678,"CMU",""),Base_report!D1678)))))</f>
        <v>DISTRICT SANITAIRE SIKENSI</v>
      </c>
      <c r="E1692" s="14" t="str">
        <f>SUBSTITUTE(Base_report!E1678,"-","/")</f>
        <v>PNLT/SENSIBLE MEDICAMENTS ET INTRANTS</v>
      </c>
      <c r="F1692" s="14" t="s">
        <v>788</v>
      </c>
      <c r="G1692" s="16">
        <f>DATE(YEAR(SUBSTITUTE(LEFT(Base_report!F1678,10),"-","/")),MONTH(SUBSTITUTE(LEFT(Base_report!F1678,10),"-","/")),DAY(SUBSTITUTE(LEFT(Base_report!F1678,10),"-","/")))</f>
        <v>45300</v>
      </c>
      <c r="H1692" s="16">
        <f>DATE(YEAR(SUBSTITUTE(LEFT(Base_report!G1678,10),"-","/")),MONTH(SUBSTITUTE(LEFT(Base_report!G1678,10),"-","/")),DAY(SUBSTITUTE(LEFT(Base_report!G1678,10),"-","/")))</f>
        <v>45301</v>
      </c>
      <c r="I1692" s="17" t="str">
        <f t="shared" si="1"/>
        <v>OUI</v>
      </c>
      <c r="J1692" s="18">
        <f>IF(L1692="DS",DATE(RIGHT(B1692,4),VLOOKUP(LEFT(B1692,LEN(B1692)-5),Feuil1!$E$3:$F$19,2,FALSE)+1,10),DATE(RIGHT(B1692,4),VLOOKUP(LEFT(B1692,LEN(B1692)-5),Feuil1!$E$3:$F$19,2,FALSE)+1,7))</f>
        <v>45301</v>
      </c>
      <c r="K1692" s="19">
        <f t="shared" si="2"/>
        <v>1</v>
      </c>
      <c r="L1692" s="6" t="str">
        <f t="shared" si="3"/>
        <v>DS</v>
      </c>
    </row>
    <row r="1693" ht="14.25" customHeight="1">
      <c r="A1693" s="14" t="str">
        <f>Base_report!A1679</f>
        <v>ABIDJAN 2</v>
      </c>
      <c r="B1693" s="14" t="str">
        <f>Base_report!B1679</f>
        <v>OCTOBRE DECEMBRE 2023</v>
      </c>
      <c r="C1693" s="15" t="str">
        <f>Base_report!C1679</f>
        <v>C1058</v>
      </c>
      <c r="D1693" s="14" t="str">
        <f>TRIM(IF(ISNUMBER(FIND("PNSME",Base_report!D1679,1)),SUBSTITUTE(Base_report!D1679,"PNSME",""),IF(ISNUMBER(FIND("PHG",Base_report!D1679,1)),SUBSTITUTE(Base_report!D1679,"PHG",""),IF(ISNUMBER(FIND("PCS",Base_report!D1679,1)),SUBSTITUTE(Base_report!D1679,"PCS",""),IF(ISNUMBER(FIND("CMU",Base_report!D1679,1)),SUBSTITUTE(Base_report!D1679,"CMU",""),Base_report!D1679)))))</f>
        <v>HOPITAL GENERAL KOUMASSI</v>
      </c>
      <c r="E1693" s="14" t="str">
        <f>SUBSTITUTE(Base_report!E1679,"-","/")</f>
        <v>PNLT/SENSIBLE MEDICAMENTS ET INTRANTS</v>
      </c>
      <c r="F1693" s="14" t="s">
        <v>788</v>
      </c>
      <c r="G1693" s="16">
        <f>DATE(YEAR(SUBSTITUTE(LEFT(Base_report!F1679,10),"-","/")),MONTH(SUBSTITUTE(LEFT(Base_report!F1679,10),"-","/")),DAY(SUBSTITUTE(LEFT(Base_report!F1679,10),"-","/")))</f>
        <v>45295</v>
      </c>
      <c r="H1693" s="16">
        <f>DATE(YEAR(SUBSTITUTE(LEFT(Base_report!G1679,10),"-","/")),MONTH(SUBSTITUTE(LEFT(Base_report!G1679,10),"-","/")),DAY(SUBSTITUTE(LEFT(Base_report!G1679,10),"-","/")))</f>
        <v>45296</v>
      </c>
      <c r="I1693" s="17" t="str">
        <f t="shared" si="1"/>
        <v>OUI</v>
      </c>
      <c r="J1693" s="18">
        <f>IF(L1693="DS",DATE(RIGHT(B1693,4),VLOOKUP(LEFT(B1693,LEN(B1693)-5),Feuil1!$E$3:$F$19,2,FALSE)+1,10),DATE(RIGHT(B1693,4),VLOOKUP(LEFT(B1693,LEN(B1693)-5),Feuil1!$E$3:$F$19,2,FALSE)+1,7))</f>
        <v>45298</v>
      </c>
      <c r="K1693" s="19">
        <f t="shared" si="2"/>
        <v>1</v>
      </c>
      <c r="L1693" s="6" t="str">
        <f t="shared" si="3"/>
        <v>FS</v>
      </c>
    </row>
    <row r="1694" ht="14.25" customHeight="1">
      <c r="A1694" s="14" t="str">
        <f>Base_report!A1680</f>
        <v>WORODOUGOU</v>
      </c>
      <c r="B1694" s="14" t="str">
        <f>Base_report!B1680</f>
        <v>OCTOBRE DECEMBRE 2023</v>
      </c>
      <c r="C1694" s="15" t="str">
        <f>Base_report!C1680</f>
        <v>C2193</v>
      </c>
      <c r="D1694" s="14" t="str">
        <f>TRIM(IF(ISNUMBER(FIND("PNSME",Base_report!D1680,1)),SUBSTITUTE(Base_report!D1680,"PNSME",""),IF(ISNUMBER(FIND("PHG",Base_report!D1680,1)),SUBSTITUTE(Base_report!D1680,"PHG",""),IF(ISNUMBER(FIND("PCS",Base_report!D1680,1)),SUBSTITUTE(Base_report!D1680,"PCS",""),IF(ISNUMBER(FIND("CMU",Base_report!D1680,1)),SUBSTITUTE(Base_report!D1680,"CMU",""),Base_report!D1680)))))</f>
        <v>CENTRE ANTITUBERCULEUX SEGUELA</v>
      </c>
      <c r="E1694" s="14" t="str">
        <f>SUBSTITUTE(Base_report!E1680,"-","/")</f>
        <v>PNLT/MULTI RESISTANTE MEDICAMENTS ET INTRANTS</v>
      </c>
      <c r="F1694" s="14" t="s">
        <v>788</v>
      </c>
      <c r="G1694" s="16">
        <f>DATE(YEAR(SUBSTITUTE(LEFT(Base_report!F1680,10),"-","/")),MONTH(SUBSTITUTE(LEFT(Base_report!F1680,10),"-","/")),DAY(SUBSTITUTE(LEFT(Base_report!F1680,10),"-","/")))</f>
        <v>45298</v>
      </c>
      <c r="H1694" s="16">
        <f>DATE(YEAR(SUBSTITUTE(LEFT(Base_report!G1680,10),"-","/")),MONTH(SUBSTITUTE(LEFT(Base_report!G1680,10),"-","/")),DAY(SUBSTITUTE(LEFT(Base_report!G1680,10),"-","/")))</f>
        <v>45298</v>
      </c>
      <c r="I1694" s="17" t="str">
        <f t="shared" si="1"/>
        <v>OUI</v>
      </c>
      <c r="J1694" s="18">
        <f>IF(L1694="DS",DATE(RIGHT(B1694,4),VLOOKUP(LEFT(B1694,LEN(B1694)-5),Feuil1!$E$3:$F$19,2,FALSE)+1,10),DATE(RIGHT(B1694,4),VLOOKUP(LEFT(B1694,LEN(B1694)-5),Feuil1!$E$3:$F$19,2,FALSE)+1,7))</f>
        <v>45298</v>
      </c>
      <c r="K1694" s="19">
        <f t="shared" si="2"/>
        <v>1</v>
      </c>
      <c r="L1694" s="6" t="str">
        <f t="shared" si="3"/>
        <v>FS</v>
      </c>
    </row>
    <row r="1695" ht="14.25" customHeight="1">
      <c r="A1695" s="14" t="str">
        <f>Base_report!A1681</f>
        <v>LOH-DJIBOUA</v>
      </c>
      <c r="B1695" s="14" t="str">
        <f>Base_report!B1681</f>
        <v>OCTOBRE DECEMBRE 2023</v>
      </c>
      <c r="C1695" s="15" t="str">
        <f>Base_report!C1681</f>
        <v>C2059</v>
      </c>
      <c r="D1695" s="14" t="str">
        <f>TRIM(IF(ISNUMBER(FIND("PNSME",Base_report!D1681,1)),SUBSTITUTE(Base_report!D1681,"PNSME",""),IF(ISNUMBER(FIND("PHG",Base_report!D1681,1)),SUBSTITUTE(Base_report!D1681,"PHG",""),IF(ISNUMBER(FIND("PCS",Base_report!D1681,1)),SUBSTITUTE(Base_report!D1681,"PCS",""),IF(ISNUMBER(FIND("CMU",Base_report!D1681,1)),SUBSTITUTE(Base_report!D1681,"CMU",""),Base_report!D1681)))))</f>
        <v>HOPITAL GENERAL LAKOTA</v>
      </c>
      <c r="E1695" s="14" t="str">
        <f>SUBSTITUTE(Base_report!E1681,"-","/")</f>
        <v>PNLT/SENSIBLE MEDICAMENTS ET INTRANTS</v>
      </c>
      <c r="F1695" s="14" t="s">
        <v>788</v>
      </c>
      <c r="G1695" s="16">
        <f>DATE(YEAR(SUBSTITUTE(LEFT(Base_report!F1681,10),"-","/")),MONTH(SUBSTITUTE(LEFT(Base_report!F1681,10),"-","/")),DAY(SUBSTITUTE(LEFT(Base_report!F1681,10),"-","/")))</f>
        <v>45295</v>
      </c>
      <c r="H1695" s="16">
        <f>DATE(YEAR(SUBSTITUTE(LEFT(Base_report!G1681,10),"-","/")),MONTH(SUBSTITUTE(LEFT(Base_report!G1681,10),"-","/")),DAY(SUBSTITUTE(LEFT(Base_report!G1681,10),"-","/")))</f>
        <v>45295</v>
      </c>
      <c r="I1695" s="17" t="str">
        <f t="shared" si="1"/>
        <v>OUI</v>
      </c>
      <c r="J1695" s="18">
        <f>IF(L1695="DS",DATE(RIGHT(B1695,4),VLOOKUP(LEFT(B1695,LEN(B1695)-5),Feuil1!$E$3:$F$19,2,FALSE)+1,10),DATE(RIGHT(B1695,4),VLOOKUP(LEFT(B1695,LEN(B1695)-5),Feuil1!$E$3:$F$19,2,FALSE)+1,7))</f>
        <v>45298</v>
      </c>
      <c r="K1695" s="19">
        <f t="shared" si="2"/>
        <v>1</v>
      </c>
      <c r="L1695" s="6" t="str">
        <f t="shared" si="3"/>
        <v>FS</v>
      </c>
    </row>
    <row r="1696" ht="14.25" customHeight="1">
      <c r="A1696" s="14" t="str">
        <f>Base_report!A1682</f>
        <v>GUEMON</v>
      </c>
      <c r="B1696" s="14" t="str">
        <f>Base_report!B1682</f>
        <v>OCTOBRE DECEMBRE 2023</v>
      </c>
      <c r="C1696" s="15" t="str">
        <f>Base_report!C1682</f>
        <v>C5035</v>
      </c>
      <c r="D1696" s="14" t="str">
        <f>TRIM(IF(ISNUMBER(FIND("PNSME",Base_report!D1682,1)),SUBSTITUTE(Base_report!D1682,"PNSME",""),IF(ISNUMBER(FIND("PHG",Base_report!D1682,1)),SUBSTITUTE(Base_report!D1682,"PHG",""),IF(ISNUMBER(FIND("PCS",Base_report!D1682,1)),SUBSTITUTE(Base_report!D1682,"PCS",""),IF(ISNUMBER(FIND("CMU",Base_report!D1682,1)),SUBSTITUTE(Base_report!D1682,"CMU",""),Base_report!D1682)))))</f>
        <v>DISTRICT SANITAIRE KOUIBLY</v>
      </c>
      <c r="E1696" s="14" t="str">
        <f>SUBSTITUTE(Base_report!E1682,"-","/")</f>
        <v>PNLT/SENSIBLE MEDICAMENTS ET INTRANTS</v>
      </c>
      <c r="F1696" s="14" t="s">
        <v>788</v>
      </c>
      <c r="G1696" s="16">
        <f>DATE(YEAR(SUBSTITUTE(LEFT(Base_report!F1682,10),"-","/")),MONTH(SUBSTITUTE(LEFT(Base_report!F1682,10),"-","/")),DAY(SUBSTITUTE(LEFT(Base_report!F1682,10),"-","/")))</f>
        <v>45301</v>
      </c>
      <c r="H1696" s="16">
        <f>DATE(YEAR(SUBSTITUTE(LEFT(Base_report!G1682,10),"-","/")),MONTH(SUBSTITUTE(LEFT(Base_report!G1682,10),"-","/")),DAY(SUBSTITUTE(LEFT(Base_report!G1682,10),"-","/")))</f>
        <v>45301</v>
      </c>
      <c r="I1696" s="17" t="str">
        <f t="shared" si="1"/>
        <v>OUI</v>
      </c>
      <c r="J1696" s="18">
        <f>IF(L1696="DS",DATE(RIGHT(B1696,4),VLOOKUP(LEFT(B1696,LEN(B1696)-5),Feuil1!$E$3:$F$19,2,FALSE)+1,10),DATE(RIGHT(B1696,4),VLOOKUP(LEFT(B1696,LEN(B1696)-5),Feuil1!$E$3:$F$19,2,FALSE)+1,7))</f>
        <v>45301</v>
      </c>
      <c r="K1696" s="19">
        <f t="shared" si="2"/>
        <v>1</v>
      </c>
      <c r="L1696" s="6" t="str">
        <f t="shared" si="3"/>
        <v>DS</v>
      </c>
    </row>
    <row r="1697" ht="14.25" customHeight="1">
      <c r="A1697" s="14" t="str">
        <f>Base_report!A1683</f>
        <v>ABIDJAN 2</v>
      </c>
      <c r="B1697" s="14" t="str">
        <f>Base_report!B1683</f>
        <v>OCTOBRE DECEMBRE 2023</v>
      </c>
      <c r="C1697" s="15" t="str">
        <f>Base_report!C1683</f>
        <v>C1094</v>
      </c>
      <c r="D1697" s="14" t="str">
        <f>TRIM(IF(ISNUMBER(FIND("PNSME",Base_report!D1683,1)),SUBSTITUTE(Base_report!D1683,"PNSME",""),IF(ISNUMBER(FIND("PHG",Base_report!D1683,1)),SUBSTITUTE(Base_report!D1683,"PHG",""),IF(ISNUMBER(FIND("PCS",Base_report!D1683,1)),SUBSTITUTE(Base_report!D1683,"PCS",""),IF(ISNUMBER(FIND("CMU",Base_report!D1683,1)),SUBSTITUTE(Base_report!D1683,"CMU",""),Base_report!D1683)))))</f>
        <v>HOPITAL GENERAL PORT-BOUET</v>
      </c>
      <c r="E1697" s="14" t="str">
        <f>SUBSTITUTE(Base_report!E1683,"-","/")</f>
        <v>PNLT/SENSIBLE MEDICAMENTS ET INTRANTS</v>
      </c>
      <c r="F1697" s="14" t="s">
        <v>788</v>
      </c>
      <c r="G1697" s="16">
        <f>DATE(YEAR(SUBSTITUTE(LEFT(Base_report!F1683,10),"-","/")),MONTH(SUBSTITUTE(LEFT(Base_report!F1683,10),"-","/")),DAY(SUBSTITUTE(LEFT(Base_report!F1683,10),"-","/")))</f>
        <v>45295</v>
      </c>
      <c r="H1697" s="16">
        <f>DATE(YEAR(SUBSTITUTE(LEFT(Base_report!G1683,10),"-","/")),MONTH(SUBSTITUTE(LEFT(Base_report!G1683,10),"-","/")),DAY(SUBSTITUTE(LEFT(Base_report!G1683,10),"-","/")))</f>
        <v>45295</v>
      </c>
      <c r="I1697" s="17" t="str">
        <f t="shared" si="1"/>
        <v>OUI</v>
      </c>
      <c r="J1697" s="18">
        <f>IF(L1697="DS",DATE(RIGHT(B1697,4),VLOOKUP(LEFT(B1697,LEN(B1697)-5),Feuil1!$E$3:$F$19,2,FALSE)+1,10),DATE(RIGHT(B1697,4),VLOOKUP(LEFT(B1697,LEN(B1697)-5),Feuil1!$E$3:$F$19,2,FALSE)+1,7))</f>
        <v>45298</v>
      </c>
      <c r="K1697" s="19">
        <f t="shared" si="2"/>
        <v>1</v>
      </c>
      <c r="L1697" s="6" t="str">
        <f t="shared" si="3"/>
        <v>FS</v>
      </c>
    </row>
    <row r="1698" ht="14.25" customHeight="1">
      <c r="A1698" s="14" t="str">
        <f>Base_report!A1684</f>
        <v>BELIER</v>
      </c>
      <c r="B1698" s="14" t="str">
        <f>Base_report!B1684</f>
        <v>OCTOBRE DECEMBRE 2023</v>
      </c>
      <c r="C1698" s="15" t="str">
        <f>Base_report!C1684</f>
        <v>C2173</v>
      </c>
      <c r="D1698" s="14" t="str">
        <f>TRIM(IF(ISNUMBER(FIND("PNSME",Base_report!D1684,1)),SUBSTITUTE(Base_report!D1684,"PNSME",""),IF(ISNUMBER(FIND("PHG",Base_report!D1684,1)),SUBSTITUTE(Base_report!D1684,"PHG",""),IF(ISNUMBER(FIND("PCS",Base_report!D1684,1)),SUBSTITUTE(Base_report!D1684,"PCS",""),IF(ISNUMBER(FIND("CMU",Base_report!D1684,1)),SUBSTITUTE(Base_report!D1684,"CMU",""),Base_report!D1684)))))</f>
        <v>PROJET CENTRE ANTITUBERCULEUX YAMOUSSOUKRO</v>
      </c>
      <c r="E1698" s="14" t="str">
        <f>SUBSTITUTE(Base_report!E1684,"-","/")</f>
        <v>PNLT/SENSIBLE MEDICAMENTS ET INTRANTS</v>
      </c>
      <c r="F1698" s="14" t="s">
        <v>788</v>
      </c>
      <c r="G1698" s="16">
        <f>DATE(YEAR(SUBSTITUTE(LEFT(Base_report!F1684,10),"-","/")),MONTH(SUBSTITUTE(LEFT(Base_report!F1684,10),"-","/")),DAY(SUBSTITUTE(LEFT(Base_report!F1684,10),"-","/")))</f>
        <v>45298</v>
      </c>
      <c r="H1698" s="16">
        <f>DATE(YEAR(SUBSTITUTE(LEFT(Base_report!G1684,10),"-","/")),MONTH(SUBSTITUTE(LEFT(Base_report!G1684,10),"-","/")),DAY(SUBSTITUTE(LEFT(Base_report!G1684,10),"-","/")))</f>
        <v>45298</v>
      </c>
      <c r="I1698" s="17" t="str">
        <f t="shared" si="1"/>
        <v>OUI</v>
      </c>
      <c r="J1698" s="18">
        <f>IF(L1698="DS",DATE(RIGHT(B1698,4),VLOOKUP(LEFT(B1698,LEN(B1698)-5),Feuil1!$E$3:$F$19,2,FALSE)+1,10),DATE(RIGHT(B1698,4),VLOOKUP(LEFT(B1698,LEN(B1698)-5),Feuil1!$E$3:$F$19,2,FALSE)+1,7))</f>
        <v>45298</v>
      </c>
      <c r="K1698" s="19">
        <f t="shared" si="2"/>
        <v>1</v>
      </c>
      <c r="L1698" s="6" t="str">
        <f t="shared" si="3"/>
        <v>FS</v>
      </c>
    </row>
    <row r="1699" ht="14.25" customHeight="1">
      <c r="A1699" s="14" t="str">
        <f>Base_report!A1685</f>
        <v>INDENIE-DJUABLIN</v>
      </c>
      <c r="B1699" s="14" t="str">
        <f>Base_report!B1685</f>
        <v>OCTOBRE DECEMBRE 2023</v>
      </c>
      <c r="C1699" s="15" t="str">
        <f>Base_report!C1685</f>
        <v>C4063</v>
      </c>
      <c r="D1699" s="14" t="str">
        <f>TRIM(IF(ISNUMBER(FIND("PNSME",Base_report!D1685,1)),SUBSTITUTE(Base_report!D1685,"PNSME",""),IF(ISNUMBER(FIND("PHG",Base_report!D1685,1)),SUBSTITUTE(Base_report!D1685,"PHG",""),IF(ISNUMBER(FIND("PCS",Base_report!D1685,1)),SUBSTITUTE(Base_report!D1685,"PCS",""),IF(ISNUMBER(FIND("CMU",Base_report!D1685,1)),SUBSTITUTE(Base_report!D1685,"CMU",""),Base_report!D1685)))))</f>
        <v>CENTRE ANTITUBERCULEUX ABENGOUROU</v>
      </c>
      <c r="E1699" s="14" t="str">
        <f>SUBSTITUTE(Base_report!E1685,"-","/")</f>
        <v>PNLT/PRODUITS DE LABORATOIRE</v>
      </c>
      <c r="F1699" s="14" t="s">
        <v>788</v>
      </c>
      <c r="G1699" s="16">
        <f>DATE(YEAR(SUBSTITUTE(LEFT(Base_report!F1685,10),"-","/")),MONTH(SUBSTITUTE(LEFT(Base_report!F1685,10),"-","/")),DAY(SUBSTITUTE(LEFT(Base_report!F1685,10),"-","/")))</f>
        <v>45297</v>
      </c>
      <c r="H1699" s="16">
        <f>DATE(YEAR(SUBSTITUTE(LEFT(Base_report!G1685,10),"-","/")),MONTH(SUBSTITUTE(LEFT(Base_report!G1685,10),"-","/")),DAY(SUBSTITUTE(LEFT(Base_report!G1685,10),"-","/")))</f>
        <v>45298</v>
      </c>
      <c r="I1699" s="17" t="str">
        <f t="shared" si="1"/>
        <v>OUI</v>
      </c>
      <c r="J1699" s="18">
        <f>IF(L1699="DS",DATE(RIGHT(B1699,4),VLOOKUP(LEFT(B1699,LEN(B1699)-5),Feuil1!$E$3:$F$19,2,FALSE)+1,10),DATE(RIGHT(B1699,4),VLOOKUP(LEFT(B1699,LEN(B1699)-5),Feuil1!$E$3:$F$19,2,FALSE)+1,7))</f>
        <v>45298</v>
      </c>
      <c r="K1699" s="19">
        <f t="shared" si="2"/>
        <v>1</v>
      </c>
      <c r="L1699" s="6" t="str">
        <f t="shared" si="3"/>
        <v>FS</v>
      </c>
    </row>
    <row r="1700" ht="14.25" customHeight="1">
      <c r="A1700" s="14" t="str">
        <f>Base_report!A1686</f>
        <v>IFFOU</v>
      </c>
      <c r="B1700" s="14" t="str">
        <f>Base_report!B1686</f>
        <v>OCTOBRE DECEMBRE 2023</v>
      </c>
      <c r="C1700" s="15" t="str">
        <f>Base_report!C1686</f>
        <v>C4093</v>
      </c>
      <c r="D1700" s="14" t="str">
        <f>TRIM(IF(ISNUMBER(FIND("PNSME",Base_report!D1686,1)),SUBSTITUTE(Base_report!D1686,"PNSME",""),IF(ISNUMBER(FIND("PHG",Base_report!D1686,1)),SUBSTITUTE(Base_report!D1686,"PHG",""),IF(ISNUMBER(FIND("PCS",Base_report!D1686,1)),SUBSTITUTE(Base_report!D1686,"PCS",""),IF(ISNUMBER(FIND("CMU",Base_report!D1686,1)),SUBSTITUTE(Base_report!D1686,"CMU",""),Base_report!D1686)))))</f>
        <v>CENTRE ANTITUBERCULEUX DAOUKRO</v>
      </c>
      <c r="E1700" s="14" t="str">
        <f>SUBSTITUTE(Base_report!E1686,"-","/")</f>
        <v>PNLT/SENSIBLE MEDICAMENTS ET INTRANTS</v>
      </c>
      <c r="F1700" s="14" t="s">
        <v>788</v>
      </c>
      <c r="G1700" s="16">
        <f>DATE(YEAR(SUBSTITUTE(LEFT(Base_report!F1686,10),"-","/")),MONTH(SUBSTITUTE(LEFT(Base_report!F1686,10),"-","/")),DAY(SUBSTITUTE(LEFT(Base_report!F1686,10),"-","/")))</f>
        <v>45298</v>
      </c>
      <c r="H1700" s="16">
        <f>DATE(YEAR(SUBSTITUTE(LEFT(Base_report!G1686,10),"-","/")),MONTH(SUBSTITUTE(LEFT(Base_report!G1686,10),"-","/")),DAY(SUBSTITUTE(LEFT(Base_report!G1686,10),"-","/")))</f>
        <v>45298</v>
      </c>
      <c r="I1700" s="17" t="str">
        <f t="shared" si="1"/>
        <v>OUI</v>
      </c>
      <c r="J1700" s="18">
        <f>IF(L1700="DS",DATE(RIGHT(B1700,4),VLOOKUP(LEFT(B1700,LEN(B1700)-5),Feuil1!$E$3:$F$19,2,FALSE)+1,10),DATE(RIGHT(B1700,4),VLOOKUP(LEFT(B1700,LEN(B1700)-5),Feuil1!$E$3:$F$19,2,FALSE)+1,7))</f>
        <v>45298</v>
      </c>
      <c r="K1700" s="19">
        <f t="shared" si="2"/>
        <v>1</v>
      </c>
      <c r="L1700" s="6" t="str">
        <f t="shared" si="3"/>
        <v>FS</v>
      </c>
    </row>
    <row r="1701" ht="14.25" customHeight="1">
      <c r="A1701" s="14" t="str">
        <f>Base_report!A1687</f>
        <v>SUD-COMOE</v>
      </c>
      <c r="B1701" s="14" t="str">
        <f>Base_report!B1687</f>
        <v>OCTOBRE DECEMBRE 2023</v>
      </c>
      <c r="C1701" s="15" t="str">
        <f>Base_report!C1687</f>
        <v>C1750</v>
      </c>
      <c r="D1701" s="14" t="str">
        <f>TRIM(IF(ISNUMBER(FIND("PNSME",Base_report!D1687,1)),SUBSTITUTE(Base_report!D1687,"PNSME",""),IF(ISNUMBER(FIND("PHG",Base_report!D1687,1)),SUBSTITUTE(Base_report!D1687,"PHG",""),IF(ISNUMBER(FIND("PCS",Base_report!D1687,1)),SUBSTITUTE(Base_report!D1687,"PCS",""),IF(ISNUMBER(FIND("CMU",Base_report!D1687,1)),SUBSTITUTE(Base_report!D1687,"CMU",""),Base_report!D1687)))))</f>
        <v>CENTRE ANTITUBERCULEUX ABOISSO</v>
      </c>
      <c r="E1701" s="14" t="str">
        <f>SUBSTITUTE(Base_report!E1687,"-","/")</f>
        <v>PNLT/SENSIBLE MEDICAMENTS ET INTRANTS</v>
      </c>
      <c r="F1701" s="14" t="s">
        <v>788</v>
      </c>
      <c r="G1701" s="16">
        <f>DATE(YEAR(SUBSTITUTE(LEFT(Base_report!F1687,10),"-","/")),MONTH(SUBSTITUTE(LEFT(Base_report!F1687,10),"-","/")),DAY(SUBSTITUTE(LEFT(Base_report!F1687,10),"-","/")))</f>
        <v>45299</v>
      </c>
      <c r="H1701" s="16">
        <f>DATE(YEAR(SUBSTITUTE(LEFT(Base_report!G1687,10),"-","/")),MONTH(SUBSTITUTE(LEFT(Base_report!G1687,10),"-","/")),DAY(SUBSTITUTE(LEFT(Base_report!G1687,10),"-","/")))</f>
        <v>45299</v>
      </c>
      <c r="I1701" s="17" t="str">
        <f t="shared" si="1"/>
        <v>OUI</v>
      </c>
      <c r="J1701" s="18">
        <f>IF(L1701="DS",DATE(RIGHT(B1701,4),VLOOKUP(LEFT(B1701,LEN(B1701)-5),Feuil1!$E$3:$F$19,2,FALSE)+1,10),DATE(RIGHT(B1701,4),VLOOKUP(LEFT(B1701,LEN(B1701)-5),Feuil1!$E$3:$F$19,2,FALSE)+1,7))</f>
        <v>45298</v>
      </c>
      <c r="K1701" s="19">
        <f t="shared" si="2"/>
        <v>0</v>
      </c>
      <c r="L1701" s="6" t="str">
        <f t="shared" si="3"/>
        <v>FS</v>
      </c>
    </row>
    <row r="1702" ht="14.25" customHeight="1">
      <c r="A1702" s="14" t="str">
        <f>Base_report!A1688</f>
        <v>CAVALLY</v>
      </c>
      <c r="B1702" s="14" t="str">
        <f>Base_report!B1688</f>
        <v>OCTOBRE DECEMBRE 2023</v>
      </c>
      <c r="C1702" s="15" t="str">
        <f>Base_report!C1688</f>
        <v>C5068</v>
      </c>
      <c r="D1702" s="14" t="str">
        <f>TRIM(IF(ISNUMBER(FIND("PNSME",Base_report!D1688,1)),SUBSTITUTE(Base_report!D1688,"PNSME",""),IF(ISNUMBER(FIND("PHG",Base_report!D1688,1)),SUBSTITUTE(Base_report!D1688,"PHG",""),IF(ISNUMBER(FIND("PCS",Base_report!D1688,1)),SUBSTITUTE(Base_report!D1688,"PCS",""),IF(ISNUMBER(FIND("CMU",Base_report!D1688,1)),SUBSTITUTE(Base_report!D1688,"CMU",""),Base_report!D1688)))))</f>
        <v>CENTRE ANTITUBERCULEUX GUIGLO</v>
      </c>
      <c r="E1702" s="14" t="str">
        <f>SUBSTITUTE(Base_report!E1688,"-","/")</f>
        <v>PNLT/SENSIBLE MEDICAMENTS ET INTRANTS</v>
      </c>
      <c r="F1702" s="14" t="s">
        <v>788</v>
      </c>
      <c r="G1702" s="16">
        <f>DATE(YEAR(SUBSTITUTE(LEFT(Base_report!F1688,10),"-","/")),MONTH(SUBSTITUTE(LEFT(Base_report!F1688,10),"-","/")),DAY(SUBSTITUTE(LEFT(Base_report!F1688,10),"-","/")))</f>
        <v>45299</v>
      </c>
      <c r="H1702" s="16">
        <f>DATE(YEAR(SUBSTITUTE(LEFT(Base_report!G1688,10),"-","/")),MONTH(SUBSTITUTE(LEFT(Base_report!G1688,10),"-","/")),DAY(SUBSTITUTE(LEFT(Base_report!G1688,10),"-","/")))</f>
        <v>45299</v>
      </c>
      <c r="I1702" s="17" t="str">
        <f t="shared" si="1"/>
        <v>OUI</v>
      </c>
      <c r="J1702" s="18">
        <f>IF(L1702="DS",DATE(RIGHT(B1702,4),VLOOKUP(LEFT(B1702,LEN(B1702)-5),Feuil1!$E$3:$F$19,2,FALSE)+1,10),DATE(RIGHT(B1702,4),VLOOKUP(LEFT(B1702,LEN(B1702)-5),Feuil1!$E$3:$F$19,2,FALSE)+1,7))</f>
        <v>45298</v>
      </c>
      <c r="K1702" s="19">
        <f t="shared" si="2"/>
        <v>0</v>
      </c>
      <c r="L1702" s="6" t="str">
        <f t="shared" si="3"/>
        <v>FS</v>
      </c>
    </row>
    <row r="1703" ht="14.25" customHeight="1">
      <c r="A1703" s="14" t="str">
        <f>Base_report!A1689</f>
        <v>GRANDS PONTS</v>
      </c>
      <c r="B1703" s="14" t="str">
        <f>Base_report!B1689</f>
        <v>OCTOBRE DECEMBRE 2023</v>
      </c>
      <c r="C1703" s="15" t="str">
        <f>Base_report!C1689</f>
        <v>C1092</v>
      </c>
      <c r="D1703" s="14" t="str">
        <f>TRIM(IF(ISNUMBER(FIND("PNSME",Base_report!D1689,1)),SUBSTITUTE(Base_report!D1689,"PNSME",""),IF(ISNUMBER(FIND("PHG",Base_report!D1689,1)),SUBSTITUTE(Base_report!D1689,"PHG",""),IF(ISNUMBER(FIND("PCS",Base_report!D1689,1)),SUBSTITUTE(Base_report!D1689,"PCS",""),IF(ISNUMBER(FIND("CMU",Base_report!D1689,1)),SUBSTITUTE(Base_report!D1689,"CMU",""),Base_report!D1689)))))</f>
        <v>HOPITAL GENERAL JACQUEVILLE</v>
      </c>
      <c r="E1703" s="14" t="str">
        <f>SUBSTITUTE(Base_report!E1689,"-","/")</f>
        <v>PNLT/SENSIBLE MEDICAMENTS ET INTRANTS</v>
      </c>
      <c r="F1703" s="14" t="s">
        <v>788</v>
      </c>
      <c r="G1703" s="16">
        <f>DATE(YEAR(SUBSTITUTE(LEFT(Base_report!F1689,10),"-","/")),MONTH(SUBSTITUTE(LEFT(Base_report!F1689,10),"-","/")),DAY(SUBSTITUTE(LEFT(Base_report!F1689,10),"-","/")))</f>
        <v>45294</v>
      </c>
      <c r="H1703" s="16">
        <f>DATE(YEAR(SUBSTITUTE(LEFT(Base_report!G1689,10),"-","/")),MONTH(SUBSTITUTE(LEFT(Base_report!G1689,10),"-","/")),DAY(SUBSTITUTE(LEFT(Base_report!G1689,10),"-","/")))</f>
        <v>45296</v>
      </c>
      <c r="I1703" s="17" t="str">
        <f t="shared" si="1"/>
        <v>OUI</v>
      </c>
      <c r="J1703" s="18">
        <f>IF(L1703="DS",DATE(RIGHT(B1703,4),VLOOKUP(LEFT(B1703,LEN(B1703)-5),Feuil1!$E$3:$F$19,2,FALSE)+1,10),DATE(RIGHT(B1703,4),VLOOKUP(LEFT(B1703,LEN(B1703)-5),Feuil1!$E$3:$F$19,2,FALSE)+1,7))</f>
        <v>45298</v>
      </c>
      <c r="K1703" s="19">
        <f t="shared" si="2"/>
        <v>1</v>
      </c>
      <c r="L1703" s="6" t="str">
        <f t="shared" si="3"/>
        <v>FS</v>
      </c>
    </row>
    <row r="1704" ht="14.25" customHeight="1">
      <c r="A1704" s="14" t="str">
        <f>Base_report!A1690</f>
        <v>SUD-COMOE</v>
      </c>
      <c r="B1704" s="14" t="str">
        <f>Base_report!B1690</f>
        <v>OCTOBRE DECEMBRE 2023</v>
      </c>
      <c r="C1704" s="15" t="str">
        <f>Base_report!C1690</f>
        <v>C1044</v>
      </c>
      <c r="D1704" s="14" t="str">
        <f>TRIM(IF(ISNUMBER(FIND("PNSME",Base_report!D1690,1)),SUBSTITUTE(Base_report!D1690,"PNSME",""),IF(ISNUMBER(FIND("PHG",Base_report!D1690,1)),SUBSTITUTE(Base_report!D1690,"PHG",""),IF(ISNUMBER(FIND("PCS",Base_report!D1690,1)),SUBSTITUTE(Base_report!D1690,"PCS",""),IF(ISNUMBER(FIND("CMU",Base_report!D1690,1)),SUBSTITUTE(Base_report!D1690,"CMU",""),Base_report!D1690)))))</f>
        <v>DISTRICT SANITAIRE ADIAKE</v>
      </c>
      <c r="E1704" s="14" t="str">
        <f>SUBSTITUTE(Base_report!E1690,"-","/")</f>
        <v>PNLT/SENSIBLE MEDICAMENTS ET INTRANTS</v>
      </c>
      <c r="F1704" s="14" t="s">
        <v>788</v>
      </c>
      <c r="G1704" s="16">
        <f>DATE(YEAR(SUBSTITUTE(LEFT(Base_report!F1690,10),"-","/")),MONTH(SUBSTITUTE(LEFT(Base_report!F1690,10),"-","/")),DAY(SUBSTITUTE(LEFT(Base_report!F1690,10),"-","/")))</f>
        <v>45300</v>
      </c>
      <c r="H1704" s="16">
        <f>DATE(YEAR(SUBSTITUTE(LEFT(Base_report!G1690,10),"-","/")),MONTH(SUBSTITUTE(LEFT(Base_report!G1690,10),"-","/")),DAY(SUBSTITUTE(LEFT(Base_report!G1690,10),"-","/")))</f>
        <v>45300</v>
      </c>
      <c r="I1704" s="17" t="str">
        <f t="shared" si="1"/>
        <v>OUI</v>
      </c>
      <c r="J1704" s="18">
        <f>IF(L1704="DS",DATE(RIGHT(B1704,4),VLOOKUP(LEFT(B1704,LEN(B1704)-5),Feuil1!$E$3:$F$19,2,FALSE)+1,10),DATE(RIGHT(B1704,4),VLOOKUP(LEFT(B1704,LEN(B1704)-5),Feuil1!$E$3:$F$19,2,FALSE)+1,7))</f>
        <v>45301</v>
      </c>
      <c r="K1704" s="19">
        <f t="shared" si="2"/>
        <v>1</v>
      </c>
      <c r="L1704" s="6" t="str">
        <f t="shared" si="3"/>
        <v>DS</v>
      </c>
    </row>
    <row r="1705" ht="14.25" customHeight="1">
      <c r="A1705" s="14" t="str">
        <f>Base_report!A1691</f>
        <v>GONTOUGO</v>
      </c>
      <c r="B1705" s="14" t="str">
        <f>Base_report!B1691</f>
        <v>OCTOBRE DECEMBRE 2023</v>
      </c>
      <c r="C1705" s="15" t="str">
        <f>Base_report!C1691</f>
        <v>C4070</v>
      </c>
      <c r="D1705" s="14" t="str">
        <f>TRIM(IF(ISNUMBER(FIND("PNSME",Base_report!D1691,1)),SUBSTITUTE(Base_report!D1691,"PNSME",""),IF(ISNUMBER(FIND("PHG",Base_report!D1691,1)),SUBSTITUTE(Base_report!D1691,"PHG",""),IF(ISNUMBER(FIND("PCS",Base_report!D1691,1)),SUBSTITUTE(Base_report!D1691,"PCS",""),IF(ISNUMBER(FIND("CMU",Base_report!D1691,1)),SUBSTITUTE(Base_report!D1691,"CMU",""),Base_report!D1691)))))</f>
        <v>DISTRICT SANITAIRE KOUN FAO</v>
      </c>
      <c r="E1705" s="14" t="str">
        <f>SUBSTITUTE(Base_report!E1691,"-","/")</f>
        <v>PNLT/SENSIBLE MEDICAMENTS ET INTRANTS</v>
      </c>
      <c r="F1705" s="14" t="s">
        <v>788</v>
      </c>
      <c r="G1705" s="16">
        <f>DATE(YEAR(SUBSTITUTE(LEFT(Base_report!F1691,10),"-","/")),MONTH(SUBSTITUTE(LEFT(Base_report!F1691,10),"-","/")),DAY(SUBSTITUTE(LEFT(Base_report!F1691,10),"-","/")))</f>
        <v>45301</v>
      </c>
      <c r="H1705" s="16">
        <f>DATE(YEAR(SUBSTITUTE(LEFT(Base_report!G1691,10),"-","/")),MONTH(SUBSTITUTE(LEFT(Base_report!G1691,10),"-","/")),DAY(SUBSTITUTE(LEFT(Base_report!G1691,10),"-","/")))</f>
        <v>45301</v>
      </c>
      <c r="I1705" s="17" t="str">
        <f t="shared" si="1"/>
        <v>OUI</v>
      </c>
      <c r="J1705" s="18">
        <f>IF(L1705="DS",DATE(RIGHT(B1705,4),VLOOKUP(LEFT(B1705,LEN(B1705)-5),Feuil1!$E$3:$F$19,2,FALSE)+1,10),DATE(RIGHT(B1705,4),VLOOKUP(LEFT(B1705,LEN(B1705)-5),Feuil1!$E$3:$F$19,2,FALSE)+1,7))</f>
        <v>45301</v>
      </c>
      <c r="K1705" s="19">
        <f t="shared" si="2"/>
        <v>1</v>
      </c>
      <c r="L1705" s="6" t="str">
        <f t="shared" si="3"/>
        <v>DS</v>
      </c>
    </row>
    <row r="1706" ht="14.25" customHeight="1">
      <c r="A1706" s="14" t="str">
        <f>Base_report!A1692</f>
        <v>WORODOUGOU</v>
      </c>
      <c r="B1706" s="14" t="str">
        <f>Base_report!B1692</f>
        <v>OCTOBRE DECEMBRE 2023</v>
      </c>
      <c r="C1706" s="15" t="str">
        <f>Base_report!C1692</f>
        <v>C2036</v>
      </c>
      <c r="D1706" s="14" t="str">
        <f>TRIM(IF(ISNUMBER(FIND("PNSME",Base_report!D1692,1)),SUBSTITUTE(Base_report!D1692,"PNSME",""),IF(ISNUMBER(FIND("PHG",Base_report!D1692,1)),SUBSTITUTE(Base_report!D1692,"PHG",""),IF(ISNUMBER(FIND("PCS",Base_report!D1692,1)),SUBSTITUTE(Base_report!D1692,"PCS",""),IF(ISNUMBER(FIND("CMU",Base_report!D1692,1)),SUBSTITUTE(Base_report!D1692,"CMU",""),Base_report!D1692)))))</f>
        <v>DISTRICT SANITAIRE SEGUELA</v>
      </c>
      <c r="E1706" s="14" t="str">
        <f>SUBSTITUTE(Base_report!E1692,"-","/")</f>
        <v>PNLT/SENSIBLE MEDICAMENTS ET INTRANTS</v>
      </c>
      <c r="F1706" s="14" t="s">
        <v>788</v>
      </c>
      <c r="G1706" s="16">
        <f>DATE(YEAR(SUBSTITUTE(LEFT(Base_report!F1692,10),"-","/")),MONTH(SUBSTITUTE(LEFT(Base_report!F1692,10),"-","/")),DAY(SUBSTITUTE(LEFT(Base_report!F1692,10),"-","/")))</f>
        <v>45300</v>
      </c>
      <c r="H1706" s="16">
        <f>DATE(YEAR(SUBSTITUTE(LEFT(Base_report!G1692,10),"-","/")),MONTH(SUBSTITUTE(LEFT(Base_report!G1692,10),"-","/")),DAY(SUBSTITUTE(LEFT(Base_report!G1692,10),"-","/")))</f>
        <v>45301</v>
      </c>
      <c r="I1706" s="17" t="str">
        <f t="shared" si="1"/>
        <v>OUI</v>
      </c>
      <c r="J1706" s="18">
        <f>IF(L1706="DS",DATE(RIGHT(B1706,4),VLOOKUP(LEFT(B1706,LEN(B1706)-5),Feuil1!$E$3:$F$19,2,FALSE)+1,10),DATE(RIGHT(B1706,4),VLOOKUP(LEFT(B1706,LEN(B1706)-5),Feuil1!$E$3:$F$19,2,FALSE)+1,7))</f>
        <v>45301</v>
      </c>
      <c r="K1706" s="19">
        <f t="shared" si="2"/>
        <v>1</v>
      </c>
      <c r="L1706" s="6" t="str">
        <f t="shared" si="3"/>
        <v>DS</v>
      </c>
    </row>
    <row r="1707" ht="14.25" customHeight="1">
      <c r="A1707" s="14" t="str">
        <f>Base_report!A1693</f>
        <v>SUD-COMOE</v>
      </c>
      <c r="B1707" s="14" t="str">
        <f>Base_report!B1693</f>
        <v>OCTOBRE DECEMBRE 2023</v>
      </c>
      <c r="C1707" s="15" t="str">
        <f>Base_report!C1693</f>
        <v>C1679</v>
      </c>
      <c r="D1707" s="14" t="str">
        <f>TRIM(IF(ISNUMBER(FIND("PNSME",Base_report!D1693,1)),SUBSTITUTE(Base_report!D1693,"PNSME",""),IF(ISNUMBER(FIND("PHG",Base_report!D1693,1)),SUBSTITUTE(Base_report!D1693,"PHG",""),IF(ISNUMBER(FIND("PCS",Base_report!D1693,1)),SUBSTITUTE(Base_report!D1693,"PCS",""),IF(ISNUMBER(FIND("CMU",Base_report!D1693,1)),SUBSTITUTE(Base_report!D1693,"CMU",""),Base_report!D1693)))))</f>
        <v>HOPITAL GENERAL TIAPOUM</v>
      </c>
      <c r="E1707" s="14" t="str">
        <f>SUBSTITUTE(Base_report!E1693,"-","/")</f>
        <v>PNLT/SENSIBLE MEDICAMENTS ET INTRANTS</v>
      </c>
      <c r="F1707" s="14" t="s">
        <v>788</v>
      </c>
      <c r="G1707" s="16">
        <f>DATE(YEAR(SUBSTITUTE(LEFT(Base_report!F1693,10),"-","/")),MONTH(SUBSTITUTE(LEFT(Base_report!F1693,10),"-","/")),DAY(SUBSTITUTE(LEFT(Base_report!F1693,10),"-","/")))</f>
        <v>45298</v>
      </c>
      <c r="H1707" s="16">
        <f>DATE(YEAR(SUBSTITUTE(LEFT(Base_report!G1693,10),"-","/")),MONTH(SUBSTITUTE(LEFT(Base_report!G1693,10),"-","/")),DAY(SUBSTITUTE(LEFT(Base_report!G1693,10),"-","/")))</f>
        <v>45298</v>
      </c>
      <c r="I1707" s="17" t="str">
        <f t="shared" si="1"/>
        <v>OUI</v>
      </c>
      <c r="J1707" s="18">
        <f>IF(L1707="DS",DATE(RIGHT(B1707,4),VLOOKUP(LEFT(B1707,LEN(B1707)-5),Feuil1!$E$3:$F$19,2,FALSE)+1,10),DATE(RIGHT(B1707,4),VLOOKUP(LEFT(B1707,LEN(B1707)-5),Feuil1!$E$3:$F$19,2,FALSE)+1,7))</f>
        <v>45298</v>
      </c>
      <c r="K1707" s="19">
        <f t="shared" si="2"/>
        <v>1</v>
      </c>
      <c r="L1707" s="6" t="str">
        <f t="shared" si="3"/>
        <v>FS</v>
      </c>
    </row>
    <row r="1708" ht="14.25" customHeight="1">
      <c r="A1708" s="14" t="str">
        <f>Base_report!A1694</f>
        <v>BERE</v>
      </c>
      <c r="B1708" s="14" t="str">
        <f>Base_report!B1694</f>
        <v>OCTOBRE DECEMBRE 2023</v>
      </c>
      <c r="C1708" s="15" t="str">
        <f>Base_report!C1694</f>
        <v>C5084</v>
      </c>
      <c r="D1708" s="14" t="str">
        <f>TRIM(IF(ISNUMBER(FIND("PNSME",Base_report!D1694,1)),SUBSTITUTE(Base_report!D1694,"PNSME",""),IF(ISNUMBER(FIND("PHG",Base_report!D1694,1)),SUBSTITUTE(Base_report!D1694,"PHG",""),IF(ISNUMBER(FIND("PCS",Base_report!D1694,1)),SUBSTITUTE(Base_report!D1694,"PCS",""),IF(ISNUMBER(FIND("CMU",Base_report!D1694,1)),SUBSTITUTE(Base_report!D1694,"CMU",""),Base_report!D1694)))))</f>
        <v>HOPITAL GENERAL KOUNAHIRI</v>
      </c>
      <c r="E1708" s="14" t="str">
        <f>SUBSTITUTE(Base_report!E1694,"-","/")</f>
        <v>PNLT/PRODUITS DE LABORATOIRE</v>
      </c>
      <c r="F1708" s="14" t="s">
        <v>788</v>
      </c>
      <c r="G1708" s="16">
        <f>DATE(YEAR(SUBSTITUTE(LEFT(Base_report!F1694,10),"-","/")),MONTH(SUBSTITUTE(LEFT(Base_report!F1694,10),"-","/")),DAY(SUBSTITUTE(LEFT(Base_report!F1694,10),"-","/")))</f>
        <v>45296</v>
      </c>
      <c r="H1708" s="16">
        <f>DATE(YEAR(SUBSTITUTE(LEFT(Base_report!G1694,10),"-","/")),MONTH(SUBSTITUTE(LEFT(Base_report!G1694,10),"-","/")),DAY(SUBSTITUTE(LEFT(Base_report!G1694,10),"-","/")))</f>
        <v>45296</v>
      </c>
      <c r="I1708" s="17" t="str">
        <f t="shared" si="1"/>
        <v>OUI</v>
      </c>
      <c r="J1708" s="18">
        <f>IF(L1708="DS",DATE(RIGHT(B1708,4),VLOOKUP(LEFT(B1708,LEN(B1708)-5),Feuil1!$E$3:$F$19,2,FALSE)+1,10),DATE(RIGHT(B1708,4),VLOOKUP(LEFT(B1708,LEN(B1708)-5),Feuil1!$E$3:$F$19,2,FALSE)+1,7))</f>
        <v>45298</v>
      </c>
      <c r="K1708" s="19">
        <f t="shared" si="2"/>
        <v>1</v>
      </c>
      <c r="L1708" s="6" t="str">
        <f t="shared" si="3"/>
        <v>FS</v>
      </c>
    </row>
    <row r="1709" ht="14.25" customHeight="1">
      <c r="A1709" s="14" t="str">
        <f>Base_report!A1695</f>
        <v>SUD-COMOE</v>
      </c>
      <c r="B1709" s="14" t="str">
        <f>Base_report!B1695</f>
        <v>OCTOBRE DECEMBRE 2023</v>
      </c>
      <c r="C1709" s="15" t="str">
        <f>Base_report!C1695</f>
        <v>C1087</v>
      </c>
      <c r="D1709" s="14" t="str">
        <f>TRIM(IF(ISNUMBER(FIND("PNSME",Base_report!D1695,1)),SUBSTITUTE(Base_report!D1695,"PNSME",""),IF(ISNUMBER(FIND("PHG",Base_report!D1695,1)),SUBSTITUTE(Base_report!D1695,"PHG",""),IF(ISNUMBER(FIND("PCS",Base_report!D1695,1)),SUBSTITUTE(Base_report!D1695,"PCS",""),IF(ISNUMBER(FIND("CMU",Base_report!D1695,1)),SUBSTITUTE(Base_report!D1695,"CMU",""),Base_report!D1695)))))</f>
        <v>HOPITAL GENERAL BONOUA</v>
      </c>
      <c r="E1709" s="14" t="str">
        <f>SUBSTITUTE(Base_report!E1695,"-","/")</f>
        <v>PNLT/SENSIBLE MEDICAMENTS ET INTRANTS</v>
      </c>
      <c r="F1709" s="14" t="s">
        <v>788</v>
      </c>
      <c r="G1709" s="16">
        <f>DATE(YEAR(SUBSTITUTE(LEFT(Base_report!F1695,10),"-","/")),MONTH(SUBSTITUTE(LEFT(Base_report!F1695,10),"-","/")),DAY(SUBSTITUTE(LEFT(Base_report!F1695,10),"-","/")))</f>
        <v>45299</v>
      </c>
      <c r="H1709" s="16">
        <f>DATE(YEAR(SUBSTITUTE(LEFT(Base_report!G1695,10),"-","/")),MONTH(SUBSTITUTE(LEFT(Base_report!G1695,10),"-","/")),DAY(SUBSTITUTE(LEFT(Base_report!G1695,10),"-","/")))</f>
        <v>45300</v>
      </c>
      <c r="I1709" s="17" t="str">
        <f t="shared" si="1"/>
        <v>OUI</v>
      </c>
      <c r="J1709" s="18">
        <f>IF(L1709="DS",DATE(RIGHT(B1709,4),VLOOKUP(LEFT(B1709,LEN(B1709)-5),Feuil1!$E$3:$F$19,2,FALSE)+1,10),DATE(RIGHT(B1709,4),VLOOKUP(LEFT(B1709,LEN(B1709)-5),Feuil1!$E$3:$F$19,2,FALSE)+1,7))</f>
        <v>45298</v>
      </c>
      <c r="K1709" s="19">
        <f t="shared" si="2"/>
        <v>0</v>
      </c>
      <c r="L1709" s="6" t="str">
        <f t="shared" si="3"/>
        <v>FS</v>
      </c>
    </row>
    <row r="1710" ht="14.25" customHeight="1">
      <c r="A1710" s="14" t="str">
        <f>Base_report!A1696</f>
        <v>IFFOU</v>
      </c>
      <c r="B1710" s="14" t="str">
        <f>Base_report!B1696</f>
        <v>OCTOBRE DECEMBRE 2023</v>
      </c>
      <c r="C1710" s="15" t="str">
        <f>Base_report!C1696</f>
        <v>C4012</v>
      </c>
      <c r="D1710" s="14" t="str">
        <f>TRIM(IF(ISNUMBER(FIND("PNSME",Base_report!D1696,1)),SUBSTITUTE(Base_report!D1696,"PNSME",""),IF(ISNUMBER(FIND("PHG",Base_report!D1696,1)),SUBSTITUTE(Base_report!D1696,"PHG",""),IF(ISNUMBER(FIND("PCS",Base_report!D1696,1)),SUBSTITUTE(Base_report!D1696,"PCS",""),IF(ISNUMBER(FIND("CMU",Base_report!D1696,1)),SUBSTITUTE(Base_report!D1696,"CMU",""),Base_report!D1696)))))</f>
        <v>DISTRICT SANITAIRE MBAHIAKRO</v>
      </c>
      <c r="E1710" s="14" t="str">
        <f>SUBSTITUTE(Base_report!E1696,"-","/")</f>
        <v>PNLT/SENSIBLE MEDICAMENTS ET INTRANTS</v>
      </c>
      <c r="F1710" s="14" t="s">
        <v>788</v>
      </c>
      <c r="G1710" s="16">
        <f>DATE(YEAR(SUBSTITUTE(LEFT(Base_report!F1696,10),"-","/")),MONTH(SUBSTITUTE(LEFT(Base_report!F1696,10),"-","/")),DAY(SUBSTITUTE(LEFT(Base_report!F1696,10),"-","/")))</f>
        <v>45298</v>
      </c>
      <c r="H1710" s="16">
        <f>DATE(YEAR(SUBSTITUTE(LEFT(Base_report!G1696,10),"-","/")),MONTH(SUBSTITUTE(LEFT(Base_report!G1696,10),"-","/")),DAY(SUBSTITUTE(LEFT(Base_report!G1696,10),"-","/")))</f>
        <v>45299</v>
      </c>
      <c r="I1710" s="17" t="str">
        <f t="shared" si="1"/>
        <v>OUI</v>
      </c>
      <c r="J1710" s="18">
        <f>IF(L1710="DS",DATE(RIGHT(B1710,4),VLOOKUP(LEFT(B1710,LEN(B1710)-5),Feuil1!$E$3:$F$19,2,FALSE)+1,10),DATE(RIGHT(B1710,4),VLOOKUP(LEFT(B1710,LEN(B1710)-5),Feuil1!$E$3:$F$19,2,FALSE)+1,7))</f>
        <v>45301</v>
      </c>
      <c r="K1710" s="19">
        <f t="shared" si="2"/>
        <v>1</v>
      </c>
      <c r="L1710" s="6" t="str">
        <f t="shared" si="3"/>
        <v>DS</v>
      </c>
    </row>
    <row r="1711" ht="14.25" customHeight="1">
      <c r="A1711" s="14" t="str">
        <f>Base_report!A1697</f>
        <v>INDENIE-DJUABLIN</v>
      </c>
      <c r="B1711" s="14" t="str">
        <f>Base_report!B1697</f>
        <v>OCTOBRE DECEMBRE 2023</v>
      </c>
      <c r="C1711" s="15" t="str">
        <f>Base_report!C1697</f>
        <v>C4004</v>
      </c>
      <c r="D1711" s="14" t="str">
        <f>TRIM(IF(ISNUMBER(FIND("PNSME",Base_report!D1697,1)),SUBSTITUTE(Base_report!D1697,"PNSME",""),IF(ISNUMBER(FIND("PHG",Base_report!D1697,1)),SUBSTITUTE(Base_report!D1697,"PHG",""),IF(ISNUMBER(FIND("PCS",Base_report!D1697,1)),SUBSTITUTE(Base_report!D1697,"PCS",""),IF(ISNUMBER(FIND("CMU",Base_report!D1697,1)),SUBSTITUTE(Base_report!D1697,"CMU",""),Base_report!D1697)))))</f>
        <v>DISTRICT SANITAIRE ABENGOUROU</v>
      </c>
      <c r="E1711" s="14" t="str">
        <f>SUBSTITUTE(Base_report!E1697,"-","/")</f>
        <v>PNLT/SENSIBLE MEDICAMENTS ET INTRANTS</v>
      </c>
      <c r="F1711" s="14" t="s">
        <v>788</v>
      </c>
      <c r="G1711" s="16">
        <f>DATE(YEAR(SUBSTITUTE(LEFT(Base_report!F1697,10),"-","/")),MONTH(SUBSTITUTE(LEFT(Base_report!F1697,10),"-","/")),DAY(SUBSTITUTE(LEFT(Base_report!F1697,10),"-","/")))</f>
        <v>45300</v>
      </c>
      <c r="H1711" s="16">
        <f>DATE(YEAR(SUBSTITUTE(LEFT(Base_report!G1697,10),"-","/")),MONTH(SUBSTITUTE(LEFT(Base_report!G1697,10),"-","/")),DAY(SUBSTITUTE(LEFT(Base_report!G1697,10),"-","/")))</f>
        <v>45301</v>
      </c>
      <c r="I1711" s="17" t="str">
        <f t="shared" si="1"/>
        <v>OUI</v>
      </c>
      <c r="J1711" s="18">
        <f>IF(L1711="DS",DATE(RIGHT(B1711,4),VLOOKUP(LEFT(B1711,LEN(B1711)-5),Feuil1!$E$3:$F$19,2,FALSE)+1,10),DATE(RIGHT(B1711,4),VLOOKUP(LEFT(B1711,LEN(B1711)-5),Feuil1!$E$3:$F$19,2,FALSE)+1,7))</f>
        <v>45301</v>
      </c>
      <c r="K1711" s="19">
        <f t="shared" si="2"/>
        <v>1</v>
      </c>
      <c r="L1711" s="6" t="str">
        <f t="shared" si="3"/>
        <v>DS</v>
      </c>
    </row>
    <row r="1712" ht="14.25" customHeight="1">
      <c r="A1712" s="14" t="str">
        <f>Base_report!A1698</f>
        <v>IFFOU</v>
      </c>
      <c r="B1712" s="14" t="str">
        <f>Base_report!B1698</f>
        <v>OCTOBRE DECEMBRE 2023</v>
      </c>
      <c r="C1712" s="15" t="str">
        <f>Base_report!C1698</f>
        <v>C4093</v>
      </c>
      <c r="D1712" s="14" t="str">
        <f>TRIM(IF(ISNUMBER(FIND("PNSME",Base_report!D1698,1)),SUBSTITUTE(Base_report!D1698,"PNSME",""),IF(ISNUMBER(FIND("PHG",Base_report!D1698,1)),SUBSTITUTE(Base_report!D1698,"PHG",""),IF(ISNUMBER(FIND("PCS",Base_report!D1698,1)),SUBSTITUTE(Base_report!D1698,"PCS",""),IF(ISNUMBER(FIND("CMU",Base_report!D1698,1)),SUBSTITUTE(Base_report!D1698,"CMU",""),Base_report!D1698)))))</f>
        <v>CENTRE ANTITUBERCULEUX DAOUKRO</v>
      </c>
      <c r="E1712" s="14" t="str">
        <f>SUBSTITUTE(Base_report!E1698,"-","/")</f>
        <v>PNLT/MULTI RESISTANTE MEDICAMENTS ET INTRANTS</v>
      </c>
      <c r="F1712" s="14" t="s">
        <v>788</v>
      </c>
      <c r="G1712" s="16">
        <f>DATE(YEAR(SUBSTITUTE(LEFT(Base_report!F1698,10),"-","/")),MONTH(SUBSTITUTE(LEFT(Base_report!F1698,10),"-","/")),DAY(SUBSTITUTE(LEFT(Base_report!F1698,10),"-","/")))</f>
        <v>45296</v>
      </c>
      <c r="H1712" s="16">
        <f>DATE(YEAR(SUBSTITUTE(LEFT(Base_report!G1698,10),"-","/")),MONTH(SUBSTITUTE(LEFT(Base_report!G1698,10),"-","/")),DAY(SUBSTITUTE(LEFT(Base_report!G1698,10),"-","/")))</f>
        <v>45297</v>
      </c>
      <c r="I1712" s="17" t="str">
        <f t="shared" si="1"/>
        <v>OUI</v>
      </c>
      <c r="J1712" s="18">
        <f>IF(L1712="DS",DATE(RIGHT(B1712,4),VLOOKUP(LEFT(B1712,LEN(B1712)-5),Feuil1!$E$3:$F$19,2,FALSE)+1,10),DATE(RIGHT(B1712,4),VLOOKUP(LEFT(B1712,LEN(B1712)-5),Feuil1!$E$3:$F$19,2,FALSE)+1,7))</f>
        <v>45298</v>
      </c>
      <c r="K1712" s="19">
        <f t="shared" si="2"/>
        <v>1</v>
      </c>
      <c r="L1712" s="6" t="str">
        <f t="shared" si="3"/>
        <v>FS</v>
      </c>
    </row>
    <row r="1713" ht="14.25" customHeight="1">
      <c r="A1713" s="14" t="str">
        <f>Base_report!A1699</f>
        <v>GUEMON</v>
      </c>
      <c r="B1713" s="14" t="str">
        <f>Base_report!B1699</f>
        <v>OCTOBRE DECEMBRE 2023</v>
      </c>
      <c r="C1713" s="15" t="str">
        <f>Base_report!C1699</f>
        <v>C5095</v>
      </c>
      <c r="D1713" s="14" t="str">
        <f>TRIM(IF(ISNUMBER(FIND("PNSME",Base_report!D1699,1)),SUBSTITUTE(Base_report!D1699,"PNSME",""),IF(ISNUMBER(FIND("PHG",Base_report!D1699,1)),SUBSTITUTE(Base_report!D1699,"PHG",""),IF(ISNUMBER(FIND("PCS",Base_report!D1699,1)),SUBSTITUTE(Base_report!D1699,"PCS",""),IF(ISNUMBER(FIND("CMU",Base_report!D1699,1)),SUBSTITUTE(Base_report!D1699,"CMU",""),Base_report!D1699)))))</f>
        <v>CENTRE ANTITUBERCULEUX DUEKOUE</v>
      </c>
      <c r="E1713" s="14" t="str">
        <f>SUBSTITUTE(Base_report!E1699,"-","/")</f>
        <v>PNLT/MULTI RESISTANTE MEDICAMENTS ET INTRANTS</v>
      </c>
      <c r="F1713" s="14" t="s">
        <v>788</v>
      </c>
      <c r="G1713" s="16">
        <f>DATE(YEAR(SUBSTITUTE(LEFT(Base_report!F1699,10),"-","/")),MONTH(SUBSTITUTE(LEFT(Base_report!F1699,10),"-","/")),DAY(SUBSTITUTE(LEFT(Base_report!F1699,10),"-","/")))</f>
        <v>45298</v>
      </c>
      <c r="H1713" s="16">
        <f>DATE(YEAR(SUBSTITUTE(LEFT(Base_report!G1699,10),"-","/")),MONTH(SUBSTITUTE(LEFT(Base_report!G1699,10),"-","/")),DAY(SUBSTITUTE(LEFT(Base_report!G1699,10),"-","/")))</f>
        <v>45298</v>
      </c>
      <c r="I1713" s="17" t="str">
        <f t="shared" si="1"/>
        <v>OUI</v>
      </c>
      <c r="J1713" s="18">
        <f>IF(L1713="DS",DATE(RIGHT(B1713,4),VLOOKUP(LEFT(B1713,LEN(B1713)-5),Feuil1!$E$3:$F$19,2,FALSE)+1,10),DATE(RIGHT(B1713,4),VLOOKUP(LEFT(B1713,LEN(B1713)-5),Feuil1!$E$3:$F$19,2,FALSE)+1,7))</f>
        <v>45298</v>
      </c>
      <c r="K1713" s="19">
        <f t="shared" si="2"/>
        <v>1</v>
      </c>
      <c r="L1713" s="6" t="str">
        <f t="shared" si="3"/>
        <v>FS</v>
      </c>
    </row>
    <row r="1714" ht="14.25" customHeight="1">
      <c r="A1714" s="14" t="str">
        <f>Base_report!A1700</f>
        <v>HAUT-SASSANDRA</v>
      </c>
      <c r="B1714" s="14" t="str">
        <f>Base_report!B1700</f>
        <v>OCTOBRE DECEMBRE 2023</v>
      </c>
      <c r="C1714" s="15" t="str">
        <f>Base_report!C1700</f>
        <v>C2172</v>
      </c>
      <c r="D1714" s="14" t="str">
        <f>TRIM(IF(ISNUMBER(FIND("PNSME",Base_report!D1700,1)),SUBSTITUTE(Base_report!D1700,"PNSME",""),IF(ISNUMBER(FIND("PHG",Base_report!D1700,1)),SUBSTITUTE(Base_report!D1700,"PHG",""),IF(ISNUMBER(FIND("PCS",Base_report!D1700,1)),SUBSTITUTE(Base_report!D1700,"PCS",""),IF(ISNUMBER(FIND("CMU",Base_report!D1700,1)),SUBSTITUTE(Base_report!D1700,"CMU",""),Base_report!D1700)))))</f>
        <v>CENTRE ANTITUBERCULEUX DALOA</v>
      </c>
      <c r="E1714" s="14" t="str">
        <f>SUBSTITUTE(Base_report!E1700,"-","/")</f>
        <v>PNLT/PRODUITS DE LABORATOIRE</v>
      </c>
      <c r="F1714" s="14" t="s">
        <v>788</v>
      </c>
      <c r="G1714" s="16">
        <f>DATE(YEAR(SUBSTITUTE(LEFT(Base_report!F1700,10),"-","/")),MONTH(SUBSTITUTE(LEFT(Base_report!F1700,10),"-","/")),DAY(SUBSTITUTE(LEFT(Base_report!F1700,10),"-","/")))</f>
        <v>45297</v>
      </c>
      <c r="H1714" s="16">
        <f>DATE(YEAR(SUBSTITUTE(LEFT(Base_report!G1700,10),"-","/")),MONTH(SUBSTITUTE(LEFT(Base_report!G1700,10),"-","/")),DAY(SUBSTITUTE(LEFT(Base_report!G1700,10),"-","/")))</f>
        <v>45297</v>
      </c>
      <c r="I1714" s="17" t="str">
        <f t="shared" si="1"/>
        <v>OUI</v>
      </c>
      <c r="J1714" s="18">
        <f>IF(L1714="DS",DATE(RIGHT(B1714,4),VLOOKUP(LEFT(B1714,LEN(B1714)-5),Feuil1!$E$3:$F$19,2,FALSE)+1,10),DATE(RIGHT(B1714,4),VLOOKUP(LEFT(B1714,LEN(B1714)-5),Feuil1!$E$3:$F$19,2,FALSE)+1,7))</f>
        <v>45298</v>
      </c>
      <c r="K1714" s="19">
        <f t="shared" si="2"/>
        <v>1</v>
      </c>
      <c r="L1714" s="6" t="str">
        <f t="shared" si="3"/>
        <v>FS</v>
      </c>
    </row>
    <row r="1715" ht="14.25" customHeight="1">
      <c r="A1715" s="14" t="str">
        <f>Base_report!A1701</f>
        <v>BERE</v>
      </c>
      <c r="B1715" s="14" t="str">
        <f>Base_report!B1701</f>
        <v>OCTOBRE DECEMBRE 2023</v>
      </c>
      <c r="C1715" s="15" t="str">
        <f>Base_report!C1701</f>
        <v>C3064</v>
      </c>
      <c r="D1715" s="14" t="str">
        <f>TRIM(IF(ISNUMBER(FIND("PNSME",Base_report!D1701,1)),SUBSTITUTE(Base_report!D1701,"PNSME",""),IF(ISNUMBER(FIND("PHG",Base_report!D1701,1)),SUBSTITUTE(Base_report!D1701,"PHG",""),IF(ISNUMBER(FIND("PCS",Base_report!D1701,1)),SUBSTITUTE(Base_report!D1701,"PCS",""),IF(ISNUMBER(FIND("CMU",Base_report!D1701,1)),SUBSTITUTE(Base_report!D1701,"CMU",""),Base_report!D1701)))))</f>
        <v>CENTRE ANTITUBERCULEUX MANKONO</v>
      </c>
      <c r="E1715" s="14" t="str">
        <f>SUBSTITUTE(Base_report!E1701,"-","/")</f>
        <v>PNLT/MULTI RESISTANTE MEDICAMENTS ET INTRANTS</v>
      </c>
      <c r="F1715" s="14" t="s">
        <v>788</v>
      </c>
      <c r="G1715" s="16">
        <f>DATE(YEAR(SUBSTITUTE(LEFT(Base_report!F1701,10),"-","/")),MONTH(SUBSTITUTE(LEFT(Base_report!F1701,10),"-","/")),DAY(SUBSTITUTE(LEFT(Base_report!F1701,10),"-","/")))</f>
        <v>45300</v>
      </c>
      <c r="H1715" s="16">
        <f>DATE(YEAR(SUBSTITUTE(LEFT(Base_report!G1701,10),"-","/")),MONTH(SUBSTITUTE(LEFT(Base_report!G1701,10),"-","/")),DAY(SUBSTITUTE(LEFT(Base_report!G1701,10),"-","/")))</f>
        <v>45300</v>
      </c>
      <c r="I1715" s="17" t="str">
        <f t="shared" si="1"/>
        <v>OUI</v>
      </c>
      <c r="J1715" s="18">
        <f>IF(L1715="DS",DATE(RIGHT(B1715,4),VLOOKUP(LEFT(B1715,LEN(B1715)-5),Feuil1!$E$3:$F$19,2,FALSE)+1,10),DATE(RIGHT(B1715,4),VLOOKUP(LEFT(B1715,LEN(B1715)-5),Feuil1!$E$3:$F$19,2,FALSE)+1,7))</f>
        <v>45298</v>
      </c>
      <c r="K1715" s="19">
        <f t="shared" si="2"/>
        <v>0</v>
      </c>
      <c r="L1715" s="6" t="str">
        <f t="shared" si="3"/>
        <v>FS</v>
      </c>
    </row>
    <row r="1716" ht="14.25" customHeight="1">
      <c r="A1716" s="14" t="str">
        <f>Base_report!A1702</f>
        <v>ABIDJAN 2</v>
      </c>
      <c r="B1716" s="14" t="str">
        <f>Base_report!B1702</f>
        <v>OCTOBRE DECEMBRE 2023</v>
      </c>
      <c r="C1716" s="15" t="str">
        <f>Base_report!C1702</f>
        <v>C1060</v>
      </c>
      <c r="D1716" s="14" t="str">
        <f>TRIM(IF(ISNUMBER(FIND("PNSME",Base_report!D1702,1)),SUBSTITUTE(Base_report!D1702,"PNSME",""),IF(ISNUMBER(FIND("PHG",Base_report!D1702,1)),SUBSTITUTE(Base_report!D1702,"PHG",""),IF(ISNUMBER(FIND("PCS",Base_report!D1702,1)),SUBSTITUTE(Base_report!D1702,"PCS",""),IF(ISNUMBER(FIND("CMU",Base_report!D1702,1)),SUBSTITUTE(Base_report!D1702,"CMU",""),Base_report!D1702)))))</f>
        <v>HOPITAL GENERAL MARCORY</v>
      </c>
      <c r="E1716" s="14" t="str">
        <f>SUBSTITUTE(Base_report!E1702,"-","/")</f>
        <v>PNLT/SENSIBLE MEDICAMENTS ET INTRANTS</v>
      </c>
      <c r="F1716" s="14" t="s">
        <v>788</v>
      </c>
      <c r="G1716" s="16">
        <f>DATE(YEAR(SUBSTITUTE(LEFT(Base_report!F1702,10),"-","/")),MONTH(SUBSTITUTE(LEFT(Base_report!F1702,10),"-","/")),DAY(SUBSTITUTE(LEFT(Base_report!F1702,10),"-","/")))</f>
        <v>45295</v>
      </c>
      <c r="H1716" s="16">
        <f>DATE(YEAR(SUBSTITUTE(LEFT(Base_report!G1702,10),"-","/")),MONTH(SUBSTITUTE(LEFT(Base_report!G1702,10),"-","/")),DAY(SUBSTITUTE(LEFT(Base_report!G1702,10),"-","/")))</f>
        <v>45295</v>
      </c>
      <c r="I1716" s="17" t="str">
        <f t="shared" si="1"/>
        <v>OUI</v>
      </c>
      <c r="J1716" s="18">
        <f>IF(L1716="DS",DATE(RIGHT(B1716,4),VLOOKUP(LEFT(B1716,LEN(B1716)-5),Feuil1!$E$3:$F$19,2,FALSE)+1,10),DATE(RIGHT(B1716,4),VLOOKUP(LEFT(B1716,LEN(B1716)-5),Feuil1!$E$3:$F$19,2,FALSE)+1,7))</f>
        <v>45298</v>
      </c>
      <c r="K1716" s="19">
        <f t="shared" si="2"/>
        <v>1</v>
      </c>
      <c r="L1716" s="6" t="str">
        <f t="shared" si="3"/>
        <v>FS</v>
      </c>
    </row>
    <row r="1717" ht="14.25" customHeight="1">
      <c r="A1717" s="14" t="str">
        <f>Base_report!A1703</f>
        <v>BELIER</v>
      </c>
      <c r="B1717" s="14" t="str">
        <f>Base_report!B1703</f>
        <v>OCTOBRE DECEMBRE 2023</v>
      </c>
      <c r="C1717" s="15" t="str">
        <f>Base_report!C1703</f>
        <v>C2057</v>
      </c>
      <c r="D1717" s="14" t="str">
        <f>TRIM(IF(ISNUMBER(FIND("PNSME",Base_report!D1703,1)),SUBSTITUTE(Base_report!D1703,"PNSME",""),IF(ISNUMBER(FIND("PHG",Base_report!D1703,1)),SUBSTITUTE(Base_report!D1703,"PHG",""),IF(ISNUMBER(FIND("PCS",Base_report!D1703,1)),SUBSTITUTE(Base_report!D1703,"PCS",""),IF(ISNUMBER(FIND("CMU",Base_report!D1703,1)),SUBSTITUTE(Base_report!D1703,"CMU",""),Base_report!D1703)))))</f>
        <v>HOPITAL GENERAL KOCOUMBO</v>
      </c>
      <c r="E1717" s="14" t="str">
        <f>SUBSTITUTE(Base_report!E1703,"-","/")</f>
        <v>PNLT/SENSIBLE MEDICAMENTS ET INTRANTS</v>
      </c>
      <c r="F1717" s="14" t="s">
        <v>788</v>
      </c>
      <c r="G1717" s="16">
        <f>DATE(YEAR(SUBSTITUTE(LEFT(Base_report!F1703,10),"-","/")),MONTH(SUBSTITUTE(LEFT(Base_report!F1703,10),"-","/")),DAY(SUBSTITUTE(LEFT(Base_report!F1703,10),"-","/")))</f>
        <v>45294</v>
      </c>
      <c r="H1717" s="16">
        <f>DATE(YEAR(SUBSTITUTE(LEFT(Base_report!G1703,10),"-","/")),MONTH(SUBSTITUTE(LEFT(Base_report!G1703,10),"-","/")),DAY(SUBSTITUTE(LEFT(Base_report!G1703,10),"-","/")))</f>
        <v>45295</v>
      </c>
      <c r="I1717" s="17" t="str">
        <f t="shared" si="1"/>
        <v>OUI</v>
      </c>
      <c r="J1717" s="18">
        <f>IF(L1717="DS",DATE(RIGHT(B1717,4),VLOOKUP(LEFT(B1717,LEN(B1717)-5),Feuil1!$E$3:$F$19,2,FALSE)+1,10),DATE(RIGHT(B1717,4),VLOOKUP(LEFT(B1717,LEN(B1717)-5),Feuil1!$E$3:$F$19,2,FALSE)+1,7))</f>
        <v>45298</v>
      </c>
      <c r="K1717" s="19">
        <f t="shared" si="2"/>
        <v>1</v>
      </c>
      <c r="L1717" s="6" t="str">
        <f t="shared" si="3"/>
        <v>FS</v>
      </c>
    </row>
    <row r="1718" ht="14.25" customHeight="1">
      <c r="A1718" s="14" t="str">
        <f>Base_report!A1704</f>
        <v>SUD-COMOE</v>
      </c>
      <c r="B1718" s="14" t="str">
        <f>Base_report!B1704</f>
        <v>OCTOBRE DECEMBRE 2023</v>
      </c>
      <c r="C1718" s="15" t="str">
        <f>Base_report!C1704</f>
        <v>C1082</v>
      </c>
      <c r="D1718" s="14" t="str">
        <f>TRIM(IF(ISNUMBER(FIND("PNSME",Base_report!D1704,1)),SUBSTITUTE(Base_report!D1704,"PNSME",""),IF(ISNUMBER(FIND("PHG",Base_report!D1704,1)),SUBSTITUTE(Base_report!D1704,"PHG",""),IF(ISNUMBER(FIND("PCS",Base_report!D1704,1)),SUBSTITUTE(Base_report!D1704,"PCS",""),IF(ISNUMBER(FIND("CMU",Base_report!D1704,1)),SUBSTITUTE(Base_report!D1704,"CMU",""),Base_report!D1704)))))</f>
        <v>HOPITAL GENERAL ADIAKE</v>
      </c>
      <c r="E1718" s="14" t="str">
        <f>SUBSTITUTE(Base_report!E1704,"-","/")</f>
        <v>PNLT/SENSIBLE MEDICAMENTS ET INTRANTS</v>
      </c>
      <c r="F1718" s="14" t="s">
        <v>788</v>
      </c>
      <c r="G1718" s="16">
        <f>DATE(YEAR(SUBSTITUTE(LEFT(Base_report!F1704,10),"-","/")),MONTH(SUBSTITUTE(LEFT(Base_report!F1704,10),"-","/")),DAY(SUBSTITUTE(LEFT(Base_report!F1704,10),"-","/")))</f>
        <v>45296</v>
      </c>
      <c r="H1718" s="16">
        <f>DATE(YEAR(SUBSTITUTE(LEFT(Base_report!G1704,10),"-","/")),MONTH(SUBSTITUTE(LEFT(Base_report!G1704,10),"-","/")),DAY(SUBSTITUTE(LEFT(Base_report!G1704,10),"-","/")))</f>
        <v>45297</v>
      </c>
      <c r="I1718" s="17" t="str">
        <f t="shared" si="1"/>
        <v>OUI</v>
      </c>
      <c r="J1718" s="18">
        <f>IF(L1718="DS",DATE(RIGHT(B1718,4),VLOOKUP(LEFT(B1718,LEN(B1718)-5),Feuil1!$E$3:$F$19,2,FALSE)+1,10),DATE(RIGHT(B1718,4),VLOOKUP(LEFT(B1718,LEN(B1718)-5),Feuil1!$E$3:$F$19,2,FALSE)+1,7))</f>
        <v>45298</v>
      </c>
      <c r="K1718" s="19">
        <f t="shared" si="2"/>
        <v>1</v>
      </c>
      <c r="L1718" s="6" t="str">
        <f t="shared" si="3"/>
        <v>FS</v>
      </c>
    </row>
    <row r="1719" ht="14.25" customHeight="1">
      <c r="A1719" s="14" t="str">
        <f>Base_report!A1705</f>
        <v>AGNEBY-TIASSA</v>
      </c>
      <c r="B1719" s="14" t="str">
        <f>Base_report!B1705</f>
        <v>OCTOBRE DECEMBRE 2023</v>
      </c>
      <c r="C1719" s="15" t="str">
        <f>Base_report!C1705</f>
        <v>C1751</v>
      </c>
      <c r="D1719" s="14" t="str">
        <f>TRIM(IF(ISNUMBER(FIND("PNSME",Base_report!D1705,1)),SUBSTITUTE(Base_report!D1705,"PNSME",""),IF(ISNUMBER(FIND("PHG",Base_report!D1705,1)),SUBSTITUTE(Base_report!D1705,"PHG",""),IF(ISNUMBER(FIND("PCS",Base_report!D1705,1)),SUBSTITUTE(Base_report!D1705,"PCS",""),IF(ISNUMBER(FIND("CMU",Base_report!D1705,1)),SUBSTITUTE(Base_report!D1705,"CMU",""),Base_report!D1705)))))</f>
        <v>CENTRE ANTITUBERCULEUX AGBOVILLE</v>
      </c>
      <c r="E1719" s="14" t="str">
        <f>SUBSTITUTE(Base_report!E1705,"-","/")</f>
        <v>PNLT/PRODUITS DE LABORATOIRE</v>
      </c>
      <c r="F1719" s="14" t="s">
        <v>788</v>
      </c>
      <c r="G1719" s="16">
        <f>DATE(YEAR(SUBSTITUTE(LEFT(Base_report!F1705,10),"-","/")),MONTH(SUBSTITUTE(LEFT(Base_report!F1705,10),"-","/")),DAY(SUBSTITUTE(LEFT(Base_report!F1705,10),"-","/")))</f>
        <v>45296</v>
      </c>
      <c r="H1719" s="16">
        <f>DATE(YEAR(SUBSTITUTE(LEFT(Base_report!G1705,10),"-","/")),MONTH(SUBSTITUTE(LEFT(Base_report!G1705,10),"-","/")),DAY(SUBSTITUTE(LEFT(Base_report!G1705,10),"-","/")))</f>
        <v>45296</v>
      </c>
      <c r="I1719" s="17" t="str">
        <f t="shared" si="1"/>
        <v>OUI</v>
      </c>
      <c r="J1719" s="18">
        <f>IF(L1719="DS",DATE(RIGHT(B1719,4),VLOOKUP(LEFT(B1719,LEN(B1719)-5),Feuil1!$E$3:$F$19,2,FALSE)+1,10),DATE(RIGHT(B1719,4),VLOOKUP(LEFT(B1719,LEN(B1719)-5),Feuil1!$E$3:$F$19,2,FALSE)+1,7))</f>
        <v>45298</v>
      </c>
      <c r="K1719" s="19">
        <f t="shared" si="2"/>
        <v>1</v>
      </c>
      <c r="L1719" s="6" t="str">
        <f t="shared" si="3"/>
        <v>FS</v>
      </c>
    </row>
    <row r="1720" ht="14.25" customHeight="1">
      <c r="A1720" s="14" t="str">
        <f>Base_report!A1706</f>
        <v>MARAHOUE</v>
      </c>
      <c r="B1720" s="14" t="str">
        <f>Base_report!B1706</f>
        <v>OCTOBRE DECEMBRE 2023</v>
      </c>
      <c r="C1720" s="15" t="str">
        <f>Base_report!C1706</f>
        <v>C2020</v>
      </c>
      <c r="D1720" s="14" t="str">
        <f>TRIM(IF(ISNUMBER(FIND("PNSME",Base_report!D1706,1)),SUBSTITUTE(Base_report!D1706,"PNSME",""),IF(ISNUMBER(FIND("PHG",Base_report!D1706,1)),SUBSTITUTE(Base_report!D1706,"PHG",""),IF(ISNUMBER(FIND("PCS",Base_report!D1706,1)),SUBSTITUTE(Base_report!D1706,"PCS",""),IF(ISNUMBER(FIND("CMU",Base_report!D1706,1)),SUBSTITUTE(Base_report!D1706,"CMU",""),Base_report!D1706)))))</f>
        <v>DISTRICT SANITAIRE BOUAFLE</v>
      </c>
      <c r="E1720" s="14" t="str">
        <f>SUBSTITUTE(Base_report!E1706,"-","/")</f>
        <v>PNLT/SENSIBLE MEDICAMENTS ET INTRANTS</v>
      </c>
      <c r="F1720" s="14" t="s">
        <v>788</v>
      </c>
      <c r="G1720" s="16">
        <f>DATE(YEAR(SUBSTITUTE(LEFT(Base_report!F1706,10),"-","/")),MONTH(SUBSTITUTE(LEFT(Base_report!F1706,10),"-","/")),DAY(SUBSTITUTE(LEFT(Base_report!F1706,10),"-","/")))</f>
        <v>45300</v>
      </c>
      <c r="H1720" s="16">
        <f>DATE(YEAR(SUBSTITUTE(LEFT(Base_report!G1706,10),"-","/")),MONTH(SUBSTITUTE(LEFT(Base_report!G1706,10),"-","/")),DAY(SUBSTITUTE(LEFT(Base_report!G1706,10),"-","/")))</f>
        <v>45301</v>
      </c>
      <c r="I1720" s="17" t="str">
        <f t="shared" si="1"/>
        <v>OUI</v>
      </c>
      <c r="J1720" s="18">
        <f>IF(L1720="DS",DATE(RIGHT(B1720,4),VLOOKUP(LEFT(B1720,LEN(B1720)-5),Feuil1!$E$3:$F$19,2,FALSE)+1,10),DATE(RIGHT(B1720,4),VLOOKUP(LEFT(B1720,LEN(B1720)-5),Feuil1!$E$3:$F$19,2,FALSE)+1,7))</f>
        <v>45301</v>
      </c>
      <c r="K1720" s="19">
        <f t="shared" si="2"/>
        <v>1</v>
      </c>
      <c r="L1720" s="6" t="str">
        <f t="shared" si="3"/>
        <v>DS</v>
      </c>
    </row>
    <row r="1721" ht="14.25" customHeight="1">
      <c r="A1721" s="14" t="str">
        <f>Base_report!A1707</f>
        <v>ABIDJAN 2</v>
      </c>
      <c r="B1721" s="14" t="str">
        <f>Base_report!B1707</f>
        <v>OCTOBRE DECEMBRE 2023</v>
      </c>
      <c r="C1721" s="15" t="str">
        <f>Base_report!C1707</f>
        <v>C1062</v>
      </c>
      <c r="D1721" s="14" t="str">
        <f>TRIM(IF(ISNUMBER(FIND("PNSME",Base_report!D1707,1)),SUBSTITUTE(Base_report!D1707,"PNSME",""),IF(ISNUMBER(FIND("PHG",Base_report!D1707,1)),SUBSTITUTE(Base_report!D1707,"PHG",""),IF(ISNUMBER(FIND("PCS",Base_report!D1707,1)),SUBSTITUTE(Base_report!D1707,"PCS",""),IF(ISNUMBER(FIND("CMU",Base_report!D1707,1)),SUBSTITUTE(Base_report!D1707,"CMU",""),Base_report!D1707)))))</f>
        <v>FSU WILLIAMSVILLE</v>
      </c>
      <c r="E1721" s="14" t="str">
        <f>SUBSTITUTE(Base_report!E1707,"-","/")</f>
        <v>PNLT/SENSIBLE MEDICAMENTS ET INTRANTS</v>
      </c>
      <c r="F1721" s="14" t="s">
        <v>788</v>
      </c>
      <c r="G1721" s="16">
        <f>DATE(YEAR(SUBSTITUTE(LEFT(Base_report!F1707,10),"-","/")),MONTH(SUBSTITUTE(LEFT(Base_report!F1707,10),"-","/")),DAY(SUBSTITUTE(LEFT(Base_report!F1707,10),"-","/")))</f>
        <v>45297</v>
      </c>
      <c r="H1721" s="16">
        <f>DATE(YEAR(SUBSTITUTE(LEFT(Base_report!G1707,10),"-","/")),MONTH(SUBSTITUTE(LEFT(Base_report!G1707,10),"-","/")),DAY(SUBSTITUTE(LEFT(Base_report!G1707,10),"-","/")))</f>
        <v>45297</v>
      </c>
      <c r="I1721" s="17" t="str">
        <f t="shared" si="1"/>
        <v>OUI</v>
      </c>
      <c r="J1721" s="18">
        <f>IF(L1721="DS",DATE(RIGHT(B1721,4),VLOOKUP(LEFT(B1721,LEN(B1721)-5),Feuil1!$E$3:$F$19,2,FALSE)+1,10),DATE(RIGHT(B1721,4),VLOOKUP(LEFT(B1721,LEN(B1721)-5),Feuil1!$E$3:$F$19,2,FALSE)+1,7))</f>
        <v>45298</v>
      </c>
      <c r="K1721" s="19">
        <f t="shared" si="2"/>
        <v>1</v>
      </c>
      <c r="L1721" s="6" t="str">
        <f t="shared" si="3"/>
        <v>FS</v>
      </c>
    </row>
    <row r="1722" ht="14.25" customHeight="1">
      <c r="A1722" s="14" t="str">
        <f>Base_report!A1708</f>
        <v>INDENIE-DJUABLIN</v>
      </c>
      <c r="B1722" s="14" t="str">
        <f>Base_report!B1708</f>
        <v>OCTOBRE DECEMBRE 2023</v>
      </c>
      <c r="C1722" s="15" t="str">
        <f>Base_report!C1708</f>
        <v>C4023</v>
      </c>
      <c r="D1722" s="14" t="str">
        <f>TRIM(IF(ISNUMBER(FIND("PNSME",Base_report!D1708,1)),SUBSTITUTE(Base_report!D1708,"PNSME",""),IF(ISNUMBER(FIND("PHG",Base_report!D1708,1)),SUBSTITUTE(Base_report!D1708,"PHG",""),IF(ISNUMBER(FIND("PCS",Base_report!D1708,1)),SUBSTITUTE(Base_report!D1708,"PCS",""),IF(ISNUMBER(FIND("CMU",Base_report!D1708,1)),SUBSTITUTE(Base_report!D1708,"CMU",""),Base_report!D1708)))))</f>
        <v>CSU NIABLE</v>
      </c>
      <c r="E1722" s="14" t="str">
        <f>SUBSTITUTE(Base_report!E1708,"-","/")</f>
        <v>PNLT/SENSIBLE MEDICAMENTS ET INTRANTS</v>
      </c>
      <c r="F1722" s="14" t="s">
        <v>788</v>
      </c>
      <c r="G1722" s="16">
        <f>DATE(YEAR(SUBSTITUTE(LEFT(Base_report!F1708,10),"-","/")),MONTH(SUBSTITUTE(LEFT(Base_report!F1708,10),"-","/")),DAY(SUBSTITUTE(LEFT(Base_report!F1708,10),"-","/")))</f>
        <v>45295</v>
      </c>
      <c r="H1722" s="16">
        <f>DATE(YEAR(SUBSTITUTE(LEFT(Base_report!G1708,10),"-","/")),MONTH(SUBSTITUTE(LEFT(Base_report!G1708,10),"-","/")),DAY(SUBSTITUTE(LEFT(Base_report!G1708,10),"-","/")))</f>
        <v>45295</v>
      </c>
      <c r="I1722" s="17" t="str">
        <f t="shared" si="1"/>
        <v>OUI</v>
      </c>
      <c r="J1722" s="18">
        <f>IF(L1722="DS",DATE(RIGHT(B1722,4),VLOOKUP(LEFT(B1722,LEN(B1722)-5),Feuil1!$E$3:$F$19,2,FALSE)+1,10),DATE(RIGHT(B1722,4),VLOOKUP(LEFT(B1722,LEN(B1722)-5),Feuil1!$E$3:$F$19,2,FALSE)+1,7))</f>
        <v>45298</v>
      </c>
      <c r="K1722" s="19">
        <f t="shared" si="2"/>
        <v>1</v>
      </c>
      <c r="L1722" s="6" t="str">
        <f t="shared" si="3"/>
        <v>FS</v>
      </c>
    </row>
    <row r="1723" ht="14.25" customHeight="1">
      <c r="A1723" s="14" t="str">
        <f>Base_report!A1709</f>
        <v>SUD-COMOE</v>
      </c>
      <c r="B1723" s="14" t="str">
        <f>Base_report!B1709</f>
        <v>OCTOBRE DECEMBRE 2023</v>
      </c>
      <c r="C1723" s="15" t="str">
        <f>Base_report!C1709</f>
        <v>C1008</v>
      </c>
      <c r="D1723" s="14" t="str">
        <f>TRIM(IF(ISNUMBER(FIND("PNSME",Base_report!D1709,1)),SUBSTITUTE(Base_report!D1709,"PNSME",""),IF(ISNUMBER(FIND("PHG",Base_report!D1709,1)),SUBSTITUTE(Base_report!D1709,"PHG",""),IF(ISNUMBER(FIND("PCS",Base_report!D1709,1)),SUBSTITUTE(Base_report!D1709,"PCS",""),IF(ISNUMBER(FIND("CMU",Base_report!D1709,1)),SUBSTITUTE(Base_report!D1709,"CMU",""),Base_report!D1709)))))</f>
        <v>HOPITAL GENERAL MAFERE</v>
      </c>
      <c r="E1723" s="14" t="str">
        <f>SUBSTITUTE(Base_report!E1709,"-","/")</f>
        <v>PNLT/SENSIBLE MEDICAMENTS ET INTRANTS</v>
      </c>
      <c r="F1723" s="14" t="s">
        <v>788</v>
      </c>
      <c r="G1723" s="16">
        <f>DATE(YEAR(SUBSTITUTE(LEFT(Base_report!F1709,10),"-","/")),MONTH(SUBSTITUTE(LEFT(Base_report!F1709,10),"-","/")),DAY(SUBSTITUTE(LEFT(Base_report!F1709,10),"-","/")))</f>
        <v>45297</v>
      </c>
      <c r="H1723" s="16">
        <f>DATE(YEAR(SUBSTITUTE(LEFT(Base_report!G1709,10),"-","/")),MONTH(SUBSTITUTE(LEFT(Base_report!G1709,10),"-","/")),DAY(SUBSTITUTE(LEFT(Base_report!G1709,10),"-","/")))</f>
        <v>45297</v>
      </c>
      <c r="I1723" s="17" t="str">
        <f t="shared" si="1"/>
        <v>OUI</v>
      </c>
      <c r="J1723" s="18">
        <f>IF(L1723="DS",DATE(RIGHT(B1723,4),VLOOKUP(LEFT(B1723,LEN(B1723)-5),Feuil1!$E$3:$F$19,2,FALSE)+1,10),DATE(RIGHT(B1723,4),VLOOKUP(LEFT(B1723,LEN(B1723)-5),Feuil1!$E$3:$F$19,2,FALSE)+1,7))</f>
        <v>45298</v>
      </c>
      <c r="K1723" s="19">
        <f t="shared" si="2"/>
        <v>1</v>
      </c>
      <c r="L1723" s="6" t="str">
        <f t="shared" si="3"/>
        <v>FS</v>
      </c>
    </row>
    <row r="1724" ht="14.25" customHeight="1">
      <c r="A1724" s="14" t="str">
        <f>Base_report!A1710</f>
        <v>TCHOLOGO</v>
      </c>
      <c r="B1724" s="14" t="str">
        <f>Base_report!B1710</f>
        <v>OCTOBRE DECEMBRE 2023</v>
      </c>
      <c r="C1724" s="15" t="str">
        <f>Base_report!C1710</f>
        <v>C3063</v>
      </c>
      <c r="D1724" s="14" t="str">
        <f>TRIM(IF(ISNUMBER(FIND("PNSME",Base_report!D1710,1)),SUBSTITUTE(Base_report!D1710,"PNSME",""),IF(ISNUMBER(FIND("PHG",Base_report!D1710,1)),SUBSTITUTE(Base_report!D1710,"PHG",""),IF(ISNUMBER(FIND("PCS",Base_report!D1710,1)),SUBSTITUTE(Base_report!D1710,"PCS",""),IF(ISNUMBER(FIND("CMU",Base_report!D1710,1)),SUBSTITUTE(Base_report!D1710,"CMU",""),Base_report!D1710)))))</f>
        <v>CENTRE ANTITUBERCULEUX FERKESSEDOUGOU</v>
      </c>
      <c r="E1724" s="14" t="str">
        <f>SUBSTITUTE(Base_report!E1710,"-","/")</f>
        <v>PNLT/PRODUITS DE LABORATOIRE</v>
      </c>
      <c r="F1724" s="14" t="s">
        <v>788</v>
      </c>
      <c r="G1724" s="16">
        <f>DATE(YEAR(SUBSTITUTE(LEFT(Base_report!F1710,10),"-","/")),MONTH(SUBSTITUTE(LEFT(Base_report!F1710,10),"-","/")),DAY(SUBSTITUTE(LEFT(Base_report!F1710,10),"-","/")))</f>
        <v>45302</v>
      </c>
      <c r="H1724" s="16">
        <f>DATE(YEAR(SUBSTITUTE(LEFT(Base_report!G1710,10),"-","/")),MONTH(SUBSTITUTE(LEFT(Base_report!G1710,10),"-","/")),DAY(SUBSTITUTE(LEFT(Base_report!G1710,10),"-","/")))</f>
        <v>45302</v>
      </c>
      <c r="I1724" s="17" t="str">
        <f t="shared" si="1"/>
        <v>OUI</v>
      </c>
      <c r="J1724" s="18">
        <f>IF(L1724="DS",DATE(RIGHT(B1724,4),VLOOKUP(LEFT(B1724,LEN(B1724)-5),Feuil1!$E$3:$F$19,2,FALSE)+1,10),DATE(RIGHT(B1724,4),VLOOKUP(LEFT(B1724,LEN(B1724)-5),Feuil1!$E$3:$F$19,2,FALSE)+1,7))</f>
        <v>45298</v>
      </c>
      <c r="K1724" s="19">
        <f t="shared" si="2"/>
        <v>0</v>
      </c>
      <c r="L1724" s="6" t="str">
        <f t="shared" si="3"/>
        <v>FS</v>
      </c>
    </row>
    <row r="1725" ht="14.25" customHeight="1">
      <c r="A1725" s="14" t="str">
        <f>Base_report!A1711</f>
        <v>GBOKLE</v>
      </c>
      <c r="B1725" s="14" t="str">
        <f>Base_report!B1711</f>
        <v>OCTOBRE DECEMBRE 2023</v>
      </c>
      <c r="C1725" s="15" t="str">
        <f>Base_report!C1711</f>
        <v>C1096</v>
      </c>
      <c r="D1725" s="14" t="str">
        <f>TRIM(IF(ISNUMBER(FIND("PNSME",Base_report!D1711,1)),SUBSTITUTE(Base_report!D1711,"PNSME",""),IF(ISNUMBER(FIND("PHG",Base_report!D1711,1)),SUBSTITUTE(Base_report!D1711,"PHG",""),IF(ISNUMBER(FIND("PCS",Base_report!D1711,1)),SUBSTITUTE(Base_report!D1711,"PCS",""),IF(ISNUMBER(FIND("CMU",Base_report!D1711,1)),SUBSTITUTE(Base_report!D1711,"CMU",""),Base_report!D1711)))))</f>
        <v>DISTRICT SANITAIRE SASSANDRA</v>
      </c>
      <c r="E1725" s="14" t="str">
        <f>SUBSTITUTE(Base_report!E1711,"-","/")</f>
        <v>PNLT/SENSIBLE MEDICAMENTS ET INTRANTS</v>
      </c>
      <c r="F1725" s="14" t="s">
        <v>788</v>
      </c>
      <c r="G1725" s="16">
        <f>DATE(YEAR(SUBSTITUTE(LEFT(Base_report!F1711,10),"-","/")),MONTH(SUBSTITUTE(LEFT(Base_report!F1711,10),"-","/")),DAY(SUBSTITUTE(LEFT(Base_report!F1711,10),"-","/")))</f>
        <v>45302</v>
      </c>
      <c r="H1725" s="16">
        <f>DATE(YEAR(SUBSTITUTE(LEFT(Base_report!G1711,10),"-","/")),MONTH(SUBSTITUTE(LEFT(Base_report!G1711,10),"-","/")),DAY(SUBSTITUTE(LEFT(Base_report!G1711,10),"-","/")))</f>
        <v>45302</v>
      </c>
      <c r="I1725" s="17" t="str">
        <f t="shared" si="1"/>
        <v>OUI</v>
      </c>
      <c r="J1725" s="18">
        <f>IF(L1725="DS",DATE(RIGHT(B1725,4),VLOOKUP(LEFT(B1725,LEN(B1725)-5),Feuil1!$E$3:$F$19,2,FALSE)+1,10),DATE(RIGHT(B1725,4),VLOOKUP(LEFT(B1725,LEN(B1725)-5),Feuil1!$E$3:$F$19,2,FALSE)+1,7))</f>
        <v>45301</v>
      </c>
      <c r="K1725" s="19">
        <f t="shared" si="2"/>
        <v>0</v>
      </c>
      <c r="L1725" s="6" t="str">
        <f t="shared" si="3"/>
        <v>DS</v>
      </c>
    </row>
    <row r="1726" ht="14.25" customHeight="1">
      <c r="A1726" s="14" t="str">
        <f>Base_report!A1712</f>
        <v>TONKPI</v>
      </c>
      <c r="B1726" s="14" t="str">
        <f>Base_report!B1712</f>
        <v>OCTOBRE DECEMBRE 2023</v>
      </c>
      <c r="C1726" s="15" t="str">
        <f>Base_report!C1712</f>
        <v>C5016</v>
      </c>
      <c r="D1726" s="14" t="str">
        <f>TRIM(IF(ISNUMBER(FIND("PNSME",Base_report!D1712,1)),SUBSTITUTE(Base_report!D1712,"PNSME",""),IF(ISNUMBER(FIND("PHG",Base_report!D1712,1)),SUBSTITUTE(Base_report!D1712,"PHG",""),IF(ISNUMBER(FIND("PCS",Base_report!D1712,1)),SUBSTITUTE(Base_report!D1712,"PCS",""),IF(ISNUMBER(FIND("CMU",Base_report!D1712,1)),SUBSTITUTE(Base_report!D1712,"CMU",""),Base_report!D1712)))))</f>
        <v>HOPITAL GENERAL BIANKOUMA</v>
      </c>
      <c r="E1726" s="14" t="str">
        <f>SUBSTITUTE(Base_report!E1712,"-","/")</f>
        <v>PNLT/SENSIBLE MEDICAMENTS ET INTRANTS</v>
      </c>
      <c r="F1726" s="14" t="s">
        <v>788</v>
      </c>
      <c r="G1726" s="16">
        <f>DATE(YEAR(SUBSTITUTE(LEFT(Base_report!F1712,10),"-","/")),MONTH(SUBSTITUTE(LEFT(Base_report!F1712,10),"-","/")),DAY(SUBSTITUTE(LEFT(Base_report!F1712,10),"-","/")))</f>
        <v>45298</v>
      </c>
      <c r="H1726" s="16">
        <f>DATE(YEAR(SUBSTITUTE(LEFT(Base_report!G1712,10),"-","/")),MONTH(SUBSTITUTE(LEFT(Base_report!G1712,10),"-","/")),DAY(SUBSTITUTE(LEFT(Base_report!G1712,10),"-","/")))</f>
        <v>45298</v>
      </c>
      <c r="I1726" s="17" t="str">
        <f t="shared" si="1"/>
        <v>OUI</v>
      </c>
      <c r="J1726" s="18">
        <f>IF(L1726="DS",DATE(RIGHT(B1726,4),VLOOKUP(LEFT(B1726,LEN(B1726)-5),Feuil1!$E$3:$F$19,2,FALSE)+1,10),DATE(RIGHT(B1726,4),VLOOKUP(LEFT(B1726,LEN(B1726)-5),Feuil1!$E$3:$F$19,2,FALSE)+1,7))</f>
        <v>45298</v>
      </c>
      <c r="K1726" s="19">
        <f t="shared" si="2"/>
        <v>1</v>
      </c>
      <c r="L1726" s="6" t="str">
        <f t="shared" si="3"/>
        <v>FS</v>
      </c>
    </row>
    <row r="1727" ht="14.25" customHeight="1">
      <c r="A1727" s="14" t="str">
        <f>Base_report!A1713</f>
        <v>WORODOUGOU</v>
      </c>
      <c r="B1727" s="14" t="str">
        <f>Base_report!B1713</f>
        <v>OCTOBRE DECEMBRE 2023</v>
      </c>
      <c r="C1727" s="15" t="str">
        <f>Base_report!C1713</f>
        <v>C2041</v>
      </c>
      <c r="D1727" s="14" t="str">
        <f>TRIM(IF(ISNUMBER(FIND("PNSME",Base_report!D1713,1)),SUBSTITUTE(Base_report!D1713,"PNSME",""),IF(ISNUMBER(FIND("PHG",Base_report!D1713,1)),SUBSTITUTE(Base_report!D1713,"PHG",""),IF(ISNUMBER(FIND("PCS",Base_report!D1713,1)),SUBSTITUTE(Base_report!D1713,"PCS",""),IF(ISNUMBER(FIND("CMU",Base_report!D1713,1)),SUBSTITUTE(Base_report!D1713,"CMU",""),Base_report!D1713)))))</f>
        <v>HOPITAL GENERAL KANI</v>
      </c>
      <c r="E1727" s="14" t="str">
        <f>SUBSTITUTE(Base_report!E1713,"-","/")</f>
        <v>PNLT/SENSIBLE MEDICAMENTS ET INTRANTS</v>
      </c>
      <c r="F1727" s="14" t="s">
        <v>788</v>
      </c>
      <c r="G1727" s="16">
        <f>DATE(YEAR(SUBSTITUTE(LEFT(Base_report!F1713,10),"-","/")),MONTH(SUBSTITUTE(LEFT(Base_report!F1713,10),"-","/")),DAY(SUBSTITUTE(LEFT(Base_report!F1713,10),"-","/")))</f>
        <v>45296</v>
      </c>
      <c r="H1727" s="16">
        <f>DATE(YEAR(SUBSTITUTE(LEFT(Base_report!G1713,10),"-","/")),MONTH(SUBSTITUTE(LEFT(Base_report!G1713,10),"-","/")),DAY(SUBSTITUTE(LEFT(Base_report!G1713,10),"-","/")))</f>
        <v>45299</v>
      </c>
      <c r="I1727" s="17" t="str">
        <f t="shared" si="1"/>
        <v>OUI</v>
      </c>
      <c r="J1727" s="18">
        <f>IF(L1727="DS",DATE(RIGHT(B1727,4),VLOOKUP(LEFT(B1727,LEN(B1727)-5),Feuil1!$E$3:$F$19,2,FALSE)+1,10),DATE(RIGHT(B1727,4),VLOOKUP(LEFT(B1727,LEN(B1727)-5),Feuil1!$E$3:$F$19,2,FALSE)+1,7))</f>
        <v>45298</v>
      </c>
      <c r="K1727" s="19">
        <f t="shared" si="2"/>
        <v>0</v>
      </c>
      <c r="L1727" s="6" t="str">
        <f t="shared" si="3"/>
        <v>FS</v>
      </c>
    </row>
    <row r="1728" ht="14.25" customHeight="1">
      <c r="A1728" s="14" t="str">
        <f>Base_report!A1714</f>
        <v>GBOKLE</v>
      </c>
      <c r="B1728" s="14" t="str">
        <f>Base_report!B1714</f>
        <v>OCTOBRE DECEMBRE 2023</v>
      </c>
      <c r="C1728" s="15" t="str">
        <f>Base_report!C1714</f>
        <v>C1097</v>
      </c>
      <c r="D1728" s="14" t="str">
        <f>TRIM(IF(ISNUMBER(FIND("PNSME",Base_report!D1714,1)),SUBSTITUTE(Base_report!D1714,"PNSME",""),IF(ISNUMBER(FIND("PHG",Base_report!D1714,1)),SUBSTITUTE(Base_report!D1714,"PHG",""),IF(ISNUMBER(FIND("PCS",Base_report!D1714,1)),SUBSTITUTE(Base_report!D1714,"PCS",""),IF(ISNUMBER(FIND("CMU",Base_report!D1714,1)),SUBSTITUTE(Base_report!D1714,"CMU",""),Base_report!D1714)))))</f>
        <v>DISTRICT SANITAIRE FRESCO</v>
      </c>
      <c r="E1728" s="14" t="str">
        <f>SUBSTITUTE(Base_report!E1714,"-","/")</f>
        <v>PNLT/SENSIBLE MEDICAMENTS ET INTRANTS</v>
      </c>
      <c r="F1728" s="14" t="s">
        <v>788</v>
      </c>
      <c r="G1728" s="16">
        <f>DATE(YEAR(SUBSTITUTE(LEFT(Base_report!F1714,10),"-","/")),MONTH(SUBSTITUTE(LEFT(Base_report!F1714,10),"-","/")),DAY(SUBSTITUTE(LEFT(Base_report!F1714,10),"-","/")))</f>
        <v>45300</v>
      </c>
      <c r="H1728" s="16">
        <f>DATE(YEAR(SUBSTITUTE(LEFT(Base_report!G1714,10),"-","/")),MONTH(SUBSTITUTE(LEFT(Base_report!G1714,10),"-","/")),DAY(SUBSTITUTE(LEFT(Base_report!G1714,10),"-","/")))</f>
        <v>45301</v>
      </c>
      <c r="I1728" s="17" t="str">
        <f t="shared" si="1"/>
        <v>OUI</v>
      </c>
      <c r="J1728" s="18">
        <f>IF(L1728="DS",DATE(RIGHT(B1728,4),VLOOKUP(LEFT(B1728,LEN(B1728)-5),Feuil1!$E$3:$F$19,2,FALSE)+1,10),DATE(RIGHT(B1728,4),VLOOKUP(LEFT(B1728,LEN(B1728)-5),Feuil1!$E$3:$F$19,2,FALSE)+1,7))</f>
        <v>45301</v>
      </c>
      <c r="K1728" s="19">
        <f t="shared" si="2"/>
        <v>1</v>
      </c>
      <c r="L1728" s="6" t="str">
        <f t="shared" si="3"/>
        <v>DS</v>
      </c>
    </row>
    <row r="1729" ht="14.25" customHeight="1">
      <c r="A1729" s="14" t="str">
        <f>Base_report!A1715</f>
        <v>NAWA</v>
      </c>
      <c r="B1729" s="14" t="str">
        <f>Base_report!B1715</f>
        <v>OCTOBRE DECEMBRE 2023</v>
      </c>
      <c r="C1729" s="15" t="str">
        <f>Base_report!C1715</f>
        <v>C2039</v>
      </c>
      <c r="D1729" s="14" t="str">
        <f>TRIM(IF(ISNUMBER(FIND("PNSME",Base_report!D1715,1)),SUBSTITUTE(Base_report!D1715,"PNSME",""),IF(ISNUMBER(FIND("PHG",Base_report!D1715,1)),SUBSTITUTE(Base_report!D1715,"PHG",""),IF(ISNUMBER(FIND("PCS",Base_report!D1715,1)),SUBSTITUTE(Base_report!D1715,"PCS",""),IF(ISNUMBER(FIND("CMU",Base_report!D1715,1)),SUBSTITUTE(Base_report!D1715,"CMU",""),Base_report!D1715)))))</f>
        <v>DISTRICT SANITAIRE SOUBRE</v>
      </c>
      <c r="E1729" s="14" t="str">
        <f>SUBSTITUTE(Base_report!E1715,"-","/")</f>
        <v>PNLT/SENSIBLE MEDICAMENTS ET INTRANTS</v>
      </c>
      <c r="F1729" s="14" t="s">
        <v>788</v>
      </c>
      <c r="G1729" s="16">
        <f>DATE(YEAR(SUBSTITUTE(LEFT(Base_report!F1715,10),"-","/")),MONTH(SUBSTITUTE(LEFT(Base_report!F1715,10),"-","/")),DAY(SUBSTITUTE(LEFT(Base_report!F1715,10),"-","/")))</f>
        <v>45301</v>
      </c>
      <c r="H1729" s="16">
        <f>DATE(YEAR(SUBSTITUTE(LEFT(Base_report!G1715,10),"-","/")),MONTH(SUBSTITUTE(LEFT(Base_report!G1715,10),"-","/")),DAY(SUBSTITUTE(LEFT(Base_report!G1715,10),"-","/")))</f>
        <v>45301</v>
      </c>
      <c r="I1729" s="17" t="str">
        <f t="shared" si="1"/>
        <v>OUI</v>
      </c>
      <c r="J1729" s="18">
        <f>IF(L1729="DS",DATE(RIGHT(B1729,4),VLOOKUP(LEFT(B1729,LEN(B1729)-5),Feuil1!$E$3:$F$19,2,FALSE)+1,10),DATE(RIGHT(B1729,4),VLOOKUP(LEFT(B1729,LEN(B1729)-5),Feuil1!$E$3:$F$19,2,FALSE)+1,7))</f>
        <v>45301</v>
      </c>
      <c r="K1729" s="19">
        <f t="shared" si="2"/>
        <v>1</v>
      </c>
      <c r="L1729" s="6" t="str">
        <f t="shared" si="3"/>
        <v>DS</v>
      </c>
    </row>
    <row r="1730" ht="14.25" customHeight="1">
      <c r="A1730" s="14" t="str">
        <f>Base_report!A1716</f>
        <v>KABADOUGOU</v>
      </c>
      <c r="B1730" s="14" t="str">
        <f>Base_report!B1716</f>
        <v>OCTOBRE DECEMBRE 2023</v>
      </c>
      <c r="C1730" s="15" t="str">
        <f>Base_report!C1716</f>
        <v>C5075</v>
      </c>
      <c r="D1730" s="14" t="str">
        <f>TRIM(IF(ISNUMBER(FIND("PNSME",Base_report!D1716,1)),SUBSTITUTE(Base_report!D1716,"PNSME",""),IF(ISNUMBER(FIND("PHG",Base_report!D1716,1)),SUBSTITUTE(Base_report!D1716,"PHG",""),IF(ISNUMBER(FIND("PCS",Base_report!D1716,1)),SUBSTITUTE(Base_report!D1716,"PCS",""),IF(ISNUMBER(FIND("CMU",Base_report!D1716,1)),SUBSTITUTE(Base_report!D1716,"CMU",""),Base_report!D1716)))))</f>
        <v>HOPITAL GENERAL SAMATIGUILA</v>
      </c>
      <c r="E1730" s="14" t="str">
        <f>SUBSTITUTE(Base_report!E1716,"-","/")</f>
        <v>PNLT/SENSIBLE MEDICAMENTS ET INTRANTS</v>
      </c>
      <c r="F1730" s="14" t="s">
        <v>788</v>
      </c>
      <c r="G1730" s="16">
        <f>DATE(YEAR(SUBSTITUTE(LEFT(Base_report!F1716,10),"-","/")),MONTH(SUBSTITUTE(LEFT(Base_report!F1716,10),"-","/")),DAY(SUBSTITUTE(LEFT(Base_report!F1716,10),"-","/")))</f>
        <v>45295</v>
      </c>
      <c r="H1730" s="16">
        <f>DATE(YEAR(SUBSTITUTE(LEFT(Base_report!G1716,10),"-","/")),MONTH(SUBSTITUTE(LEFT(Base_report!G1716,10),"-","/")),DAY(SUBSTITUTE(LEFT(Base_report!G1716,10),"-","/")))</f>
        <v>45295</v>
      </c>
      <c r="I1730" s="17" t="str">
        <f t="shared" si="1"/>
        <v>OUI</v>
      </c>
      <c r="J1730" s="18">
        <f>IF(L1730="DS",DATE(RIGHT(B1730,4),VLOOKUP(LEFT(B1730,LEN(B1730)-5),Feuil1!$E$3:$F$19,2,FALSE)+1,10),DATE(RIGHT(B1730,4),VLOOKUP(LEFT(B1730,LEN(B1730)-5),Feuil1!$E$3:$F$19,2,FALSE)+1,7))</f>
        <v>45298</v>
      </c>
      <c r="K1730" s="19">
        <f t="shared" si="2"/>
        <v>1</v>
      </c>
      <c r="L1730" s="6" t="str">
        <f t="shared" si="3"/>
        <v>FS</v>
      </c>
    </row>
    <row r="1731" ht="14.25" customHeight="1">
      <c r="A1731" s="14" t="str">
        <f>Base_report!A1717</f>
        <v>ABIDJAN 2</v>
      </c>
      <c r="B1731" s="14" t="str">
        <f>Base_report!B1717</f>
        <v>OCTOBRE DECEMBRE 2023</v>
      </c>
      <c r="C1731" s="15" t="str">
        <f>Base_report!C1717</f>
        <v>C1005</v>
      </c>
      <c r="D1731" s="14" t="str">
        <f>TRIM(IF(ISNUMBER(FIND("PNSME",Base_report!D1717,1)),SUBSTITUTE(Base_report!D1717,"PNSME",""),IF(ISNUMBER(FIND("PHG",Base_report!D1717,1)),SUBSTITUTE(Base_report!D1717,"PHG",""),IF(ISNUMBER(FIND("PCS",Base_report!D1717,1)),SUBSTITUTE(Base_report!D1717,"PCS",""),IF(ISNUMBER(FIND("CMU",Base_report!D1717,1)),SUBSTITUTE(Base_report!D1717,"CMU",""),Base_report!D1717)))))</f>
        <v>CHU COCODY</v>
      </c>
      <c r="E1731" s="14" t="str">
        <f>SUBSTITUTE(Base_report!E1717,"-","/")</f>
        <v>PNLT/SENSIBLE MEDICAMENTS ET INTRANTS</v>
      </c>
      <c r="F1731" s="14" t="s">
        <v>788</v>
      </c>
      <c r="G1731" s="16">
        <f>DATE(YEAR(SUBSTITUTE(LEFT(Base_report!F1717,10),"-","/")),MONTH(SUBSTITUTE(LEFT(Base_report!F1717,10),"-","/")),DAY(SUBSTITUTE(LEFT(Base_report!F1717,10),"-","/")))</f>
        <v>45299</v>
      </c>
      <c r="H1731" s="16">
        <f>DATE(YEAR(SUBSTITUTE(LEFT(Base_report!G1717,10),"-","/")),MONTH(SUBSTITUTE(LEFT(Base_report!G1717,10),"-","/")),DAY(SUBSTITUTE(LEFT(Base_report!G1717,10),"-","/")))</f>
        <v>45299</v>
      </c>
      <c r="I1731" s="17" t="str">
        <f t="shared" si="1"/>
        <v>OUI</v>
      </c>
      <c r="J1731" s="18">
        <f>IF(L1731="DS",DATE(RIGHT(B1731,4),VLOOKUP(LEFT(B1731,LEN(B1731)-5),Feuil1!$E$3:$F$19,2,FALSE)+1,10),DATE(RIGHT(B1731,4),VLOOKUP(LEFT(B1731,LEN(B1731)-5),Feuil1!$E$3:$F$19,2,FALSE)+1,7))</f>
        <v>45298</v>
      </c>
      <c r="K1731" s="19">
        <f t="shared" si="2"/>
        <v>0</v>
      </c>
      <c r="L1731" s="6" t="str">
        <f t="shared" si="3"/>
        <v>FS</v>
      </c>
    </row>
    <row r="1732" ht="14.25" customHeight="1">
      <c r="A1732" s="14" t="str">
        <f>Base_report!A1718</f>
        <v>GONTOUGO</v>
      </c>
      <c r="B1732" s="14" t="str">
        <f>Base_report!B1718</f>
        <v>OCTOBRE DECEMBRE 2023</v>
      </c>
      <c r="C1732" s="15" t="str">
        <f>Base_report!C1718</f>
        <v>C4062</v>
      </c>
      <c r="D1732" s="14" t="str">
        <f>TRIM(IF(ISNUMBER(FIND("PNSME",Base_report!D1718,1)),SUBSTITUTE(Base_report!D1718,"PNSME",""),IF(ISNUMBER(FIND("PHG",Base_report!D1718,1)),SUBSTITUTE(Base_report!D1718,"PHG",""),IF(ISNUMBER(FIND("PCS",Base_report!D1718,1)),SUBSTITUTE(Base_report!D1718,"PCS",""),IF(ISNUMBER(FIND("CMU",Base_report!D1718,1)),SUBSTITUTE(Base_report!D1718,"CMU",""),Base_report!D1718)))))</f>
        <v>CENTRE ANTI-TUBERCULEUX BONDOUKOU</v>
      </c>
      <c r="E1732" s="14" t="str">
        <f>SUBSTITUTE(Base_report!E1718,"-","/")</f>
        <v>PNLT/MULTI RESISTANTE MEDICAMENTS ET INTRANTS</v>
      </c>
      <c r="F1732" s="14" t="s">
        <v>788</v>
      </c>
      <c r="G1732" s="16">
        <f>DATE(YEAR(SUBSTITUTE(LEFT(Base_report!F1718,10),"-","/")),MONTH(SUBSTITUTE(LEFT(Base_report!F1718,10),"-","/")),DAY(SUBSTITUTE(LEFT(Base_report!F1718,10),"-","/")))</f>
        <v>45298</v>
      </c>
      <c r="H1732" s="16">
        <f>DATE(YEAR(SUBSTITUTE(LEFT(Base_report!G1718,10),"-","/")),MONTH(SUBSTITUTE(LEFT(Base_report!G1718,10),"-","/")),DAY(SUBSTITUTE(LEFT(Base_report!G1718,10),"-","/")))</f>
        <v>45298</v>
      </c>
      <c r="I1732" s="17" t="str">
        <f t="shared" si="1"/>
        <v>OUI</v>
      </c>
      <c r="J1732" s="18">
        <f>IF(L1732="DS",DATE(RIGHT(B1732,4),VLOOKUP(LEFT(B1732,LEN(B1732)-5),Feuil1!$E$3:$F$19,2,FALSE)+1,10),DATE(RIGHT(B1732,4),VLOOKUP(LEFT(B1732,LEN(B1732)-5),Feuil1!$E$3:$F$19,2,FALSE)+1,7))</f>
        <v>45298</v>
      </c>
      <c r="K1732" s="19">
        <f t="shared" si="2"/>
        <v>1</v>
      </c>
      <c r="L1732" s="6" t="str">
        <f t="shared" si="3"/>
        <v>FS</v>
      </c>
    </row>
    <row r="1733" ht="14.25" customHeight="1">
      <c r="A1733" s="14" t="str">
        <f>Base_report!A1719</f>
        <v>GONTOUGO</v>
      </c>
      <c r="B1733" s="14" t="str">
        <f>Base_report!B1719</f>
        <v>OCTOBRE DECEMBRE 2023</v>
      </c>
      <c r="C1733" s="15" t="str">
        <f>Base_report!C1719</f>
        <v>C4068</v>
      </c>
      <c r="D1733" s="14" t="str">
        <f>TRIM(IF(ISNUMBER(FIND("PNSME",Base_report!D1719,1)),SUBSTITUTE(Base_report!D1719,"PNSME",""),IF(ISNUMBER(FIND("PHG",Base_report!D1719,1)),SUBSTITUTE(Base_report!D1719,"PHG",""),IF(ISNUMBER(FIND("PCS",Base_report!D1719,1)),SUBSTITUTE(Base_report!D1719,"PCS",""),IF(ISNUMBER(FIND("CMU",Base_report!D1719,1)),SUBSTITUTE(Base_report!D1719,"CMU",""),Base_report!D1719)))))</f>
        <v>DISTRICT SANITAIRE SANDEGUE</v>
      </c>
      <c r="E1733" s="14" t="str">
        <f>SUBSTITUTE(Base_report!E1719,"-","/")</f>
        <v>PNLT/SENSIBLE MEDICAMENTS ET INTRANTS</v>
      </c>
      <c r="F1733" s="14" t="s">
        <v>788</v>
      </c>
      <c r="G1733" s="16">
        <f>DATE(YEAR(SUBSTITUTE(LEFT(Base_report!F1719,10),"-","/")),MONTH(SUBSTITUTE(LEFT(Base_report!F1719,10),"-","/")),DAY(SUBSTITUTE(LEFT(Base_report!F1719,10),"-","/")))</f>
        <v>45297</v>
      </c>
      <c r="H1733" s="16">
        <f>DATE(YEAR(SUBSTITUTE(LEFT(Base_report!G1719,10),"-","/")),MONTH(SUBSTITUTE(LEFT(Base_report!G1719,10),"-","/")),DAY(SUBSTITUTE(LEFT(Base_report!G1719,10),"-","/")))</f>
        <v>45298</v>
      </c>
      <c r="I1733" s="17" t="str">
        <f t="shared" si="1"/>
        <v>OUI</v>
      </c>
      <c r="J1733" s="18">
        <f>IF(L1733="DS",DATE(RIGHT(B1733,4),VLOOKUP(LEFT(B1733,LEN(B1733)-5),Feuil1!$E$3:$F$19,2,FALSE)+1,10),DATE(RIGHT(B1733,4),VLOOKUP(LEFT(B1733,LEN(B1733)-5),Feuil1!$E$3:$F$19,2,FALSE)+1,7))</f>
        <v>45301</v>
      </c>
      <c r="K1733" s="19">
        <f t="shared" si="2"/>
        <v>1</v>
      </c>
      <c r="L1733" s="6" t="str">
        <f t="shared" si="3"/>
        <v>DS</v>
      </c>
    </row>
    <row r="1734" ht="14.25" customHeight="1">
      <c r="A1734" s="14" t="str">
        <f>Base_report!A1720</f>
        <v>TONKPI</v>
      </c>
      <c r="B1734" s="14" t="str">
        <f>Base_report!B1720</f>
        <v>OCTOBRE DECEMBRE 2023</v>
      </c>
      <c r="C1734" s="15" t="str">
        <f>Base_report!C1720</f>
        <v>C5008</v>
      </c>
      <c r="D1734" s="14" t="str">
        <f>TRIM(IF(ISNUMBER(FIND("PNSME",Base_report!D1720,1)),SUBSTITUTE(Base_report!D1720,"PNSME",""),IF(ISNUMBER(FIND("PHG",Base_report!D1720,1)),SUBSTITUTE(Base_report!D1720,"PHG",""),IF(ISNUMBER(FIND("PCS",Base_report!D1720,1)),SUBSTITUTE(Base_report!D1720,"PCS",""),IF(ISNUMBER(FIND("CMU",Base_report!D1720,1)),SUBSTITUTE(Base_report!D1720,"CMU",""),Base_report!D1720)))))</f>
        <v>DISTRICT SANITAIRE BIANKOUMA</v>
      </c>
      <c r="E1734" s="14" t="str">
        <f>SUBSTITUTE(Base_report!E1720,"-","/")</f>
        <v>PNLT/SENSIBLE MEDICAMENTS ET INTRANTS</v>
      </c>
      <c r="F1734" s="14" t="s">
        <v>788</v>
      </c>
      <c r="G1734" s="16">
        <f>DATE(YEAR(SUBSTITUTE(LEFT(Base_report!F1720,10),"-","/")),MONTH(SUBSTITUTE(LEFT(Base_report!F1720,10),"-","/")),DAY(SUBSTITUTE(LEFT(Base_report!F1720,10),"-","/")))</f>
        <v>45299</v>
      </c>
      <c r="H1734" s="16">
        <f>DATE(YEAR(SUBSTITUTE(LEFT(Base_report!G1720,10),"-","/")),MONTH(SUBSTITUTE(LEFT(Base_report!G1720,10),"-","/")),DAY(SUBSTITUTE(LEFT(Base_report!G1720,10),"-","/")))</f>
        <v>45300</v>
      </c>
      <c r="I1734" s="17" t="str">
        <f t="shared" si="1"/>
        <v>OUI</v>
      </c>
      <c r="J1734" s="18">
        <f>IF(L1734="DS",DATE(RIGHT(B1734,4),VLOOKUP(LEFT(B1734,LEN(B1734)-5),Feuil1!$E$3:$F$19,2,FALSE)+1,10),DATE(RIGHT(B1734,4),VLOOKUP(LEFT(B1734,LEN(B1734)-5),Feuil1!$E$3:$F$19,2,FALSE)+1,7))</f>
        <v>45301</v>
      </c>
      <c r="K1734" s="19">
        <f t="shared" si="2"/>
        <v>1</v>
      </c>
      <c r="L1734" s="6" t="str">
        <f t="shared" si="3"/>
        <v>DS</v>
      </c>
    </row>
    <row r="1735" ht="14.25" customHeight="1">
      <c r="A1735" s="14" t="str">
        <f>Base_report!A1721</f>
        <v>GONTOUGO</v>
      </c>
      <c r="B1735" s="14" t="str">
        <f>Base_report!B1721</f>
        <v>OCTOBRE DECEMBRE 2023</v>
      </c>
      <c r="C1735" s="15" t="str">
        <f>Base_report!C1721</f>
        <v>C4062</v>
      </c>
      <c r="D1735" s="14" t="str">
        <f>TRIM(IF(ISNUMBER(FIND("PNSME",Base_report!D1721,1)),SUBSTITUTE(Base_report!D1721,"PNSME",""),IF(ISNUMBER(FIND("PHG",Base_report!D1721,1)),SUBSTITUTE(Base_report!D1721,"PHG",""),IF(ISNUMBER(FIND("PCS",Base_report!D1721,1)),SUBSTITUTE(Base_report!D1721,"PCS",""),IF(ISNUMBER(FIND("CMU",Base_report!D1721,1)),SUBSTITUTE(Base_report!D1721,"CMU",""),Base_report!D1721)))))</f>
        <v>CENTRE ANTI-TUBERCULEUX BONDOUKOU</v>
      </c>
      <c r="E1735" s="14" t="str">
        <f>SUBSTITUTE(Base_report!E1721,"-","/")</f>
        <v>PNLT/SENSIBLE MEDICAMENTS ET INTRANTS</v>
      </c>
      <c r="F1735" s="14" t="s">
        <v>788</v>
      </c>
      <c r="G1735" s="16">
        <f>DATE(YEAR(SUBSTITUTE(LEFT(Base_report!F1721,10),"-","/")),MONTH(SUBSTITUTE(LEFT(Base_report!F1721,10),"-","/")),DAY(SUBSTITUTE(LEFT(Base_report!F1721,10),"-","/")))</f>
        <v>45298</v>
      </c>
      <c r="H1735" s="16">
        <f>DATE(YEAR(SUBSTITUTE(LEFT(Base_report!G1721,10),"-","/")),MONTH(SUBSTITUTE(LEFT(Base_report!G1721,10),"-","/")),DAY(SUBSTITUTE(LEFT(Base_report!G1721,10),"-","/")))</f>
        <v>45298</v>
      </c>
      <c r="I1735" s="17" t="str">
        <f t="shared" si="1"/>
        <v>OUI</v>
      </c>
      <c r="J1735" s="18">
        <f>IF(L1735="DS",DATE(RIGHT(B1735,4),VLOOKUP(LEFT(B1735,LEN(B1735)-5),Feuil1!$E$3:$F$19,2,FALSE)+1,10),DATE(RIGHT(B1735,4),VLOOKUP(LEFT(B1735,LEN(B1735)-5),Feuil1!$E$3:$F$19,2,FALSE)+1,7))</f>
        <v>45298</v>
      </c>
      <c r="K1735" s="19">
        <f t="shared" si="2"/>
        <v>1</v>
      </c>
      <c r="L1735" s="6" t="str">
        <f t="shared" si="3"/>
        <v>FS</v>
      </c>
    </row>
    <row r="1736" ht="14.25" customHeight="1">
      <c r="A1736" s="14" t="str">
        <f>Base_report!A1722</f>
        <v>MARAHOUE</v>
      </c>
      <c r="B1736" s="14" t="str">
        <f>Base_report!B1722</f>
        <v>OCTOBRE DECEMBRE 2023</v>
      </c>
      <c r="C1736" s="15" t="str">
        <f>Base_report!C1722</f>
        <v>C2046</v>
      </c>
      <c r="D1736" s="14" t="str">
        <f>TRIM(IF(ISNUMBER(FIND("PNSME",Base_report!D1722,1)),SUBSTITUTE(Base_report!D1722,"PNSME",""),IF(ISNUMBER(FIND("PHG",Base_report!D1722,1)),SUBSTITUTE(Base_report!D1722,"PHG",""),IF(ISNUMBER(FIND("PCS",Base_report!D1722,1)),SUBSTITUTE(Base_report!D1722,"PCS",""),IF(ISNUMBER(FIND("CMU",Base_report!D1722,1)),SUBSTITUTE(Base_report!D1722,"CMU",""),Base_report!D1722)))))</f>
        <v>DISTRICT SANITAIRE ZUENOULA</v>
      </c>
      <c r="E1736" s="14" t="str">
        <f>SUBSTITUTE(Base_report!E1722,"-","/")</f>
        <v>PNLT/SENSIBLE MEDICAMENTS ET INTRANTS</v>
      </c>
      <c r="F1736" s="14" t="s">
        <v>788</v>
      </c>
      <c r="G1736" s="16">
        <f>DATE(YEAR(SUBSTITUTE(LEFT(Base_report!F1722,10),"-","/")),MONTH(SUBSTITUTE(LEFT(Base_report!F1722,10),"-","/")),DAY(SUBSTITUTE(LEFT(Base_report!F1722,10),"-","/")))</f>
        <v>45300</v>
      </c>
      <c r="H1736" s="16">
        <f>DATE(YEAR(SUBSTITUTE(LEFT(Base_report!G1722,10),"-","/")),MONTH(SUBSTITUTE(LEFT(Base_report!G1722,10),"-","/")),DAY(SUBSTITUTE(LEFT(Base_report!G1722,10),"-","/")))</f>
        <v>45301</v>
      </c>
      <c r="I1736" s="17" t="str">
        <f t="shared" si="1"/>
        <v>OUI</v>
      </c>
      <c r="J1736" s="18">
        <f>IF(L1736="DS",DATE(RIGHT(B1736,4),VLOOKUP(LEFT(B1736,LEN(B1736)-5),Feuil1!$E$3:$F$19,2,FALSE)+1,10),DATE(RIGHT(B1736,4),VLOOKUP(LEFT(B1736,LEN(B1736)-5),Feuil1!$E$3:$F$19,2,FALSE)+1,7))</f>
        <v>45301</v>
      </c>
      <c r="K1736" s="19">
        <f t="shared" si="2"/>
        <v>1</v>
      </c>
      <c r="L1736" s="6" t="str">
        <f t="shared" si="3"/>
        <v>DS</v>
      </c>
    </row>
    <row r="1737" ht="14.25" customHeight="1">
      <c r="A1737" s="14" t="str">
        <f>Base_report!A1723</f>
        <v>ABIDJAN 2</v>
      </c>
      <c r="B1737" s="14" t="str">
        <f>Base_report!B1723</f>
        <v>OCTOBRE DECEMBRE 2023</v>
      </c>
      <c r="C1737" s="15" t="str">
        <f>Base_report!C1723</f>
        <v>C1006</v>
      </c>
      <c r="D1737" s="14" t="str">
        <f>TRIM(IF(ISNUMBER(FIND("PNSME",Base_report!D1723,1)),SUBSTITUTE(Base_report!D1723,"PNSME",""),IF(ISNUMBER(FIND("PHG",Base_report!D1723,1)),SUBSTITUTE(Base_report!D1723,"PHG",""),IF(ISNUMBER(FIND("PCS",Base_report!D1723,1)),SUBSTITUTE(Base_report!D1723,"PCS",""),IF(ISNUMBER(FIND("CMU",Base_report!D1723,1)),SUBSTITUTE(Base_report!D1723,"CMU",""),Base_report!D1723)))))</f>
        <v>CHU TREICHVILLE</v>
      </c>
      <c r="E1737" s="14" t="str">
        <f>SUBSTITUTE(Base_report!E1723,"-","/")</f>
        <v>PNLT/MULTI RESISTANTE MEDICAMENTS ET INTRANTS</v>
      </c>
      <c r="F1737" s="14" t="s">
        <v>788</v>
      </c>
      <c r="G1737" s="16">
        <f>DATE(YEAR(SUBSTITUTE(LEFT(Base_report!F1723,10),"-","/")),MONTH(SUBSTITUTE(LEFT(Base_report!F1723,10),"-","/")),DAY(SUBSTITUTE(LEFT(Base_report!F1723,10),"-","/")))</f>
        <v>45299</v>
      </c>
      <c r="H1737" s="16">
        <f>DATE(YEAR(SUBSTITUTE(LEFT(Base_report!G1723,10),"-","/")),MONTH(SUBSTITUTE(LEFT(Base_report!G1723,10),"-","/")),DAY(SUBSTITUTE(LEFT(Base_report!G1723,10),"-","/")))</f>
        <v>45299</v>
      </c>
      <c r="I1737" s="17" t="str">
        <f t="shared" si="1"/>
        <v>OUI</v>
      </c>
      <c r="J1737" s="18">
        <f>IF(L1737="DS",DATE(RIGHT(B1737,4),VLOOKUP(LEFT(B1737,LEN(B1737)-5),Feuil1!$E$3:$F$19,2,FALSE)+1,10),DATE(RIGHT(B1737,4),VLOOKUP(LEFT(B1737,LEN(B1737)-5),Feuil1!$E$3:$F$19,2,FALSE)+1,7))</f>
        <v>45298</v>
      </c>
      <c r="K1737" s="19">
        <f t="shared" si="2"/>
        <v>0</v>
      </c>
      <c r="L1737" s="6" t="str">
        <f t="shared" si="3"/>
        <v>FS</v>
      </c>
    </row>
    <row r="1738" ht="14.25" customHeight="1">
      <c r="A1738" s="14" t="str">
        <f>Base_report!A1724</f>
        <v>MARAHOUE</v>
      </c>
      <c r="B1738" s="14" t="str">
        <f>Base_report!B1724</f>
        <v>OCTOBRE DECEMBRE 2023</v>
      </c>
      <c r="C1738" s="15" t="str">
        <f>Base_report!C1724</f>
        <v>C2071</v>
      </c>
      <c r="D1738" s="14" t="str">
        <f>TRIM(IF(ISNUMBER(FIND("PNSME",Base_report!D1724,1)),SUBSTITUTE(Base_report!D1724,"PNSME",""),IF(ISNUMBER(FIND("PHG",Base_report!D1724,1)),SUBSTITUTE(Base_report!D1724,"PHG",""),IF(ISNUMBER(FIND("PCS",Base_report!D1724,1)),SUBSTITUTE(Base_report!D1724,"PCS",""),IF(ISNUMBER(FIND("CMU",Base_report!D1724,1)),SUBSTITUTE(Base_report!D1724,"CMU",""),Base_report!D1724)))))</f>
        <v>HOPITAL GENERAL ZUENOULA</v>
      </c>
      <c r="E1738" s="14" t="str">
        <f>SUBSTITUTE(Base_report!E1724,"-","/")</f>
        <v>PNLT/SENSIBLE MEDICAMENTS ET INTRANTS</v>
      </c>
      <c r="F1738" s="14" t="s">
        <v>788</v>
      </c>
      <c r="G1738" s="16">
        <f>DATE(YEAR(SUBSTITUTE(LEFT(Base_report!F1724,10),"-","/")),MONTH(SUBSTITUTE(LEFT(Base_report!F1724,10),"-","/")),DAY(SUBSTITUTE(LEFT(Base_report!F1724,10),"-","/")))</f>
        <v>45298</v>
      </c>
      <c r="H1738" s="16">
        <f>DATE(YEAR(SUBSTITUTE(LEFT(Base_report!G1724,10),"-","/")),MONTH(SUBSTITUTE(LEFT(Base_report!G1724,10),"-","/")),DAY(SUBSTITUTE(LEFT(Base_report!G1724,10),"-","/")))</f>
        <v>45298</v>
      </c>
      <c r="I1738" s="17" t="str">
        <f t="shared" si="1"/>
        <v>OUI</v>
      </c>
      <c r="J1738" s="18">
        <f>IF(L1738="DS",DATE(RIGHT(B1738,4),VLOOKUP(LEFT(B1738,LEN(B1738)-5),Feuil1!$E$3:$F$19,2,FALSE)+1,10),DATE(RIGHT(B1738,4),VLOOKUP(LEFT(B1738,LEN(B1738)-5),Feuil1!$E$3:$F$19,2,FALSE)+1,7))</f>
        <v>45298</v>
      </c>
      <c r="K1738" s="19">
        <f t="shared" si="2"/>
        <v>1</v>
      </c>
      <c r="L1738" s="6" t="str">
        <f t="shared" si="3"/>
        <v>FS</v>
      </c>
    </row>
    <row r="1739" ht="14.25" customHeight="1">
      <c r="A1739" s="14" t="str">
        <f>Base_report!A1725</f>
        <v>MORONOU</v>
      </c>
      <c r="B1739" s="14" t="str">
        <f>Base_report!B1725</f>
        <v>OCTOBRE DECEMBRE 2023</v>
      </c>
      <c r="C1739" s="15" t="str">
        <f>Base_report!C1725</f>
        <v>C4054</v>
      </c>
      <c r="D1739" s="14" t="str">
        <f>TRIM(IF(ISNUMBER(FIND("PNSME",Base_report!D1725,1)),SUBSTITUTE(Base_report!D1725,"PNSME",""),IF(ISNUMBER(FIND("PHG",Base_report!D1725,1)),SUBSTITUTE(Base_report!D1725,"PHG",""),IF(ISNUMBER(FIND("PCS",Base_report!D1725,1)),SUBSTITUTE(Base_report!D1725,"PCS",""),IF(ISNUMBER(FIND("CMU",Base_report!D1725,1)),SUBSTITUTE(Base_report!D1725,"CMU",""),Base_report!D1725)))))</f>
        <v>HOPITAL GENERAL M'BATTO</v>
      </c>
      <c r="E1739" s="14" t="str">
        <f>SUBSTITUTE(Base_report!E1725,"-","/")</f>
        <v>PNLT/SENSIBLE MEDICAMENTS ET INTRANTS</v>
      </c>
      <c r="F1739" s="14" t="s">
        <v>788</v>
      </c>
      <c r="G1739" s="16">
        <f>DATE(YEAR(SUBSTITUTE(LEFT(Base_report!F1725,10),"-","/")),MONTH(SUBSTITUTE(LEFT(Base_report!F1725,10),"-","/")),DAY(SUBSTITUTE(LEFT(Base_report!F1725,10),"-","/")))</f>
        <v>45294</v>
      </c>
      <c r="H1739" s="16">
        <f>DATE(YEAR(SUBSTITUTE(LEFT(Base_report!G1725,10),"-","/")),MONTH(SUBSTITUTE(LEFT(Base_report!G1725,10),"-","/")),DAY(SUBSTITUTE(LEFT(Base_report!G1725,10),"-","/")))</f>
        <v>45295</v>
      </c>
      <c r="I1739" s="17" t="str">
        <f t="shared" si="1"/>
        <v>OUI</v>
      </c>
      <c r="J1739" s="18">
        <f>IF(L1739="DS",DATE(RIGHT(B1739,4),VLOOKUP(LEFT(B1739,LEN(B1739)-5),Feuil1!$E$3:$F$19,2,FALSE)+1,10),DATE(RIGHT(B1739,4),VLOOKUP(LEFT(B1739,LEN(B1739)-5),Feuil1!$E$3:$F$19,2,FALSE)+1,7))</f>
        <v>45298</v>
      </c>
      <c r="K1739" s="19">
        <f t="shared" si="2"/>
        <v>1</v>
      </c>
      <c r="L1739" s="6" t="str">
        <f t="shared" si="3"/>
        <v>FS</v>
      </c>
    </row>
    <row r="1740" ht="14.25" customHeight="1">
      <c r="A1740" s="14" t="str">
        <f>Base_report!A1726</f>
        <v>BOUNKANI</v>
      </c>
      <c r="B1740" s="14" t="str">
        <f>Base_report!B1726</f>
        <v>OCTOBRE DECEMBRE 2023</v>
      </c>
      <c r="C1740" s="15" t="str">
        <f>Base_report!C1726</f>
        <v>C4069</v>
      </c>
      <c r="D1740" s="14" t="str">
        <f>TRIM(IF(ISNUMBER(FIND("PNSME",Base_report!D1726,1)),SUBSTITUTE(Base_report!D1726,"PNSME",""),IF(ISNUMBER(FIND("PHG",Base_report!D1726,1)),SUBSTITUTE(Base_report!D1726,"PHG",""),IF(ISNUMBER(FIND("PCS",Base_report!D1726,1)),SUBSTITUTE(Base_report!D1726,"PCS",""),IF(ISNUMBER(FIND("CMU",Base_report!D1726,1)),SUBSTITUTE(Base_report!D1726,"CMU",""),Base_report!D1726)))))</f>
        <v>DISTRICT SANITAIRE TRANSUA</v>
      </c>
      <c r="E1740" s="14" t="str">
        <f>SUBSTITUTE(Base_report!E1726,"-","/")</f>
        <v>PNLT/SENSIBLE MEDICAMENTS ET INTRANTS</v>
      </c>
      <c r="F1740" s="14" t="s">
        <v>788</v>
      </c>
      <c r="G1740" s="16">
        <f>DATE(YEAR(SUBSTITUTE(LEFT(Base_report!F1726,10),"-","/")),MONTH(SUBSTITUTE(LEFT(Base_report!F1726,10),"-","/")),DAY(SUBSTITUTE(LEFT(Base_report!F1726,10),"-","/")))</f>
        <v>45301</v>
      </c>
      <c r="H1740" s="16">
        <f>DATE(YEAR(SUBSTITUTE(LEFT(Base_report!G1726,10),"-","/")),MONTH(SUBSTITUTE(LEFT(Base_report!G1726,10),"-","/")),DAY(SUBSTITUTE(LEFT(Base_report!G1726,10),"-","/")))</f>
        <v>45301</v>
      </c>
      <c r="I1740" s="17" t="str">
        <f t="shared" si="1"/>
        <v>OUI</v>
      </c>
      <c r="J1740" s="18">
        <f>IF(L1740="DS",DATE(RIGHT(B1740,4),VLOOKUP(LEFT(B1740,LEN(B1740)-5),Feuil1!$E$3:$F$19,2,FALSE)+1,10),DATE(RIGHT(B1740,4),VLOOKUP(LEFT(B1740,LEN(B1740)-5),Feuil1!$E$3:$F$19,2,FALSE)+1,7))</f>
        <v>45301</v>
      </c>
      <c r="K1740" s="19">
        <f t="shared" si="2"/>
        <v>1</v>
      </c>
      <c r="L1740" s="6" t="str">
        <f t="shared" si="3"/>
        <v>DS</v>
      </c>
    </row>
    <row r="1741" ht="14.25" customHeight="1">
      <c r="A1741" s="14" t="str">
        <f>Base_report!A1727</f>
        <v>ABIDJAN 2</v>
      </c>
      <c r="B1741" s="14" t="str">
        <f>Base_report!B1727</f>
        <v>OCTOBRE DECEMBRE 2023</v>
      </c>
      <c r="C1741" s="15" t="str">
        <f>Base_report!C1727</f>
        <v>C1749</v>
      </c>
      <c r="D1741" s="14" t="str">
        <f>TRIM(IF(ISNUMBER(FIND("PNSME",Base_report!D1727,1)),SUBSTITUTE(Base_report!D1727,"PNSME",""),IF(ISNUMBER(FIND("PHG",Base_report!D1727,1)),SUBSTITUTE(Base_report!D1727,"PHG",""),IF(ISNUMBER(FIND("PCS",Base_report!D1727,1)),SUBSTITUTE(Base_report!D1727,"PCS",""),IF(ISNUMBER(FIND("CMU",Base_report!D1727,1)),SUBSTITUTE(Base_report!D1727,"CMU",""),Base_report!D1727)))))</f>
        <v>CENTRE ANTITUBERCULEUX BINGERVILLE</v>
      </c>
      <c r="E1741" s="14" t="str">
        <f>SUBSTITUTE(Base_report!E1727,"-","/")</f>
        <v>PNLT/PRODUITS DE LABORATOIRE</v>
      </c>
      <c r="F1741" s="14" t="s">
        <v>788</v>
      </c>
      <c r="G1741" s="16">
        <f>DATE(YEAR(SUBSTITUTE(LEFT(Base_report!F1727,10),"-","/")),MONTH(SUBSTITUTE(LEFT(Base_report!F1727,10),"-","/")),DAY(SUBSTITUTE(LEFT(Base_report!F1727,10),"-","/")))</f>
        <v>45293</v>
      </c>
      <c r="H1741" s="16">
        <f>DATE(YEAR(SUBSTITUTE(LEFT(Base_report!G1727,10),"-","/")),MONTH(SUBSTITUTE(LEFT(Base_report!G1727,10),"-","/")),DAY(SUBSTITUTE(LEFT(Base_report!G1727,10),"-","/")))</f>
        <v>45294</v>
      </c>
      <c r="I1741" s="17" t="str">
        <f t="shared" si="1"/>
        <v>OUI</v>
      </c>
      <c r="J1741" s="18">
        <f>IF(L1741="DS",DATE(RIGHT(B1741,4),VLOOKUP(LEFT(B1741,LEN(B1741)-5),Feuil1!$E$3:$F$19,2,FALSE)+1,10),DATE(RIGHT(B1741,4),VLOOKUP(LEFT(B1741,LEN(B1741)-5),Feuil1!$E$3:$F$19,2,FALSE)+1,7))</f>
        <v>45298</v>
      </c>
      <c r="K1741" s="19">
        <f t="shared" si="2"/>
        <v>1</v>
      </c>
      <c r="L1741" s="6" t="str">
        <f t="shared" si="3"/>
        <v>FS</v>
      </c>
    </row>
    <row r="1742" ht="14.25" customHeight="1">
      <c r="A1742" s="14" t="str">
        <f>Base_report!A1728</f>
        <v>AGNEBY-TIASSA</v>
      </c>
      <c r="B1742" s="14" t="str">
        <f>Base_report!B1728</f>
        <v>OCTOBRE DECEMBRE 2023</v>
      </c>
      <c r="C1742" s="15" t="str">
        <f>Base_report!C1728</f>
        <v>C2065</v>
      </c>
      <c r="D1742" s="14" t="str">
        <f>TRIM(IF(ISNUMBER(FIND("PNSME",Base_report!D1728,1)),SUBSTITUTE(Base_report!D1728,"PNSME",""),IF(ISNUMBER(FIND("PHG",Base_report!D1728,1)),SUBSTITUTE(Base_report!D1728,"PHG",""),IF(ISNUMBER(FIND("PCS",Base_report!D1728,1)),SUBSTITUTE(Base_report!D1728,"PCS",""),IF(ISNUMBER(FIND("CMU",Base_report!D1728,1)),SUBSTITUTE(Base_report!D1728,"CMU",""),Base_report!D1728)))))</f>
        <v>HOPITAL GENERAL TAABO</v>
      </c>
      <c r="E1742" s="14" t="str">
        <f>SUBSTITUTE(Base_report!E1728,"-","/")</f>
        <v>PNLT/SENSIBLE MEDICAMENTS ET INTRANTS</v>
      </c>
      <c r="F1742" s="14" t="s">
        <v>788</v>
      </c>
      <c r="G1742" s="16">
        <f>DATE(YEAR(SUBSTITUTE(LEFT(Base_report!F1728,10),"-","/")),MONTH(SUBSTITUTE(LEFT(Base_report!F1728,10),"-","/")),DAY(SUBSTITUTE(LEFT(Base_report!F1728,10),"-","/")))</f>
        <v>45296</v>
      </c>
      <c r="H1742" s="16">
        <f>DATE(YEAR(SUBSTITUTE(LEFT(Base_report!G1728,10),"-","/")),MONTH(SUBSTITUTE(LEFT(Base_report!G1728,10),"-","/")),DAY(SUBSTITUTE(LEFT(Base_report!G1728,10),"-","/")))</f>
        <v>45300</v>
      </c>
      <c r="I1742" s="17" t="str">
        <f t="shared" si="1"/>
        <v>OUI</v>
      </c>
      <c r="J1742" s="18">
        <f>IF(L1742="DS",DATE(RIGHT(B1742,4),VLOOKUP(LEFT(B1742,LEN(B1742)-5),Feuil1!$E$3:$F$19,2,FALSE)+1,10),DATE(RIGHT(B1742,4),VLOOKUP(LEFT(B1742,LEN(B1742)-5),Feuil1!$E$3:$F$19,2,FALSE)+1,7))</f>
        <v>45298</v>
      </c>
      <c r="K1742" s="19">
        <f t="shared" si="2"/>
        <v>0</v>
      </c>
      <c r="L1742" s="6" t="str">
        <f t="shared" si="3"/>
        <v>FS</v>
      </c>
    </row>
    <row r="1743" ht="14.25" customHeight="1">
      <c r="A1743" s="14" t="str">
        <f>Base_report!A1729</f>
        <v>ABIDJAN 2</v>
      </c>
      <c r="B1743" s="14" t="str">
        <f>Base_report!B1729</f>
        <v>OCTOBRE DECEMBRE 2023</v>
      </c>
      <c r="C1743" s="15" t="str">
        <f>Base_report!C1729</f>
        <v>C1006</v>
      </c>
      <c r="D1743" s="14" t="str">
        <f>TRIM(IF(ISNUMBER(FIND("PNSME",Base_report!D1729,1)),SUBSTITUTE(Base_report!D1729,"PNSME",""),IF(ISNUMBER(FIND("PHG",Base_report!D1729,1)),SUBSTITUTE(Base_report!D1729,"PHG",""),IF(ISNUMBER(FIND("PCS",Base_report!D1729,1)),SUBSTITUTE(Base_report!D1729,"PCS",""),IF(ISNUMBER(FIND("CMU",Base_report!D1729,1)),SUBSTITUTE(Base_report!D1729,"CMU",""),Base_report!D1729)))))</f>
        <v>CHU TREICHVILLE</v>
      </c>
      <c r="E1743" s="14" t="str">
        <f>SUBSTITUTE(Base_report!E1729,"-","/")</f>
        <v>PNLT/SENSIBLE MEDICAMENTS ET INTRANTS</v>
      </c>
      <c r="F1743" s="14" t="s">
        <v>788</v>
      </c>
      <c r="G1743" s="16">
        <f>DATE(YEAR(SUBSTITUTE(LEFT(Base_report!F1729,10),"-","/")),MONTH(SUBSTITUTE(LEFT(Base_report!F1729,10),"-","/")),DAY(SUBSTITUTE(LEFT(Base_report!F1729,10),"-","/")))</f>
        <v>45300</v>
      </c>
      <c r="H1743" s="16">
        <f>DATE(YEAR(SUBSTITUTE(LEFT(Base_report!G1729,10),"-","/")),MONTH(SUBSTITUTE(LEFT(Base_report!G1729,10),"-","/")),DAY(SUBSTITUTE(LEFT(Base_report!G1729,10),"-","/")))</f>
        <v>45301</v>
      </c>
      <c r="I1743" s="17" t="str">
        <f t="shared" si="1"/>
        <v>OUI</v>
      </c>
      <c r="J1743" s="18">
        <f>IF(L1743="DS",DATE(RIGHT(B1743,4),VLOOKUP(LEFT(B1743,LEN(B1743)-5),Feuil1!$E$3:$F$19,2,FALSE)+1,10),DATE(RIGHT(B1743,4),VLOOKUP(LEFT(B1743,LEN(B1743)-5),Feuil1!$E$3:$F$19,2,FALSE)+1,7))</f>
        <v>45298</v>
      </c>
      <c r="K1743" s="19">
        <f t="shared" si="2"/>
        <v>0</v>
      </c>
      <c r="L1743" s="6" t="str">
        <f t="shared" si="3"/>
        <v>FS</v>
      </c>
    </row>
    <row r="1744" ht="14.25" customHeight="1">
      <c r="A1744" s="14" t="str">
        <f>Base_report!A1730</f>
        <v>ABIDJAN 1</v>
      </c>
      <c r="B1744" s="14" t="str">
        <f>Base_report!B1730</f>
        <v>OCTOBRE DECEMBRE 2023</v>
      </c>
      <c r="C1744" s="15" t="str">
        <f>Base_report!C1730</f>
        <v>C1020</v>
      </c>
      <c r="D1744" s="14" t="str">
        <f>TRIM(IF(ISNUMBER(FIND("PNSME",Base_report!D1730,1)),SUBSTITUTE(Base_report!D1730,"PNSME",""),IF(ISNUMBER(FIND("PHG",Base_report!D1730,1)),SUBSTITUTE(Base_report!D1730,"PHG",""),IF(ISNUMBER(FIND("PCS",Base_report!D1730,1)),SUBSTITUTE(Base_report!D1730,"PCS",""),IF(ISNUMBER(FIND("CMU",Base_report!D1730,1)),SUBSTITUTE(Base_report!D1730,"CMU",""),Base_report!D1730)))))</f>
        <v>CSU COM AZITO</v>
      </c>
      <c r="E1744" s="14" t="str">
        <f>SUBSTITUTE(Base_report!E1730,"-","/")</f>
        <v>PNLT/SENSIBLE MEDICAMENTS ET INTRANTS</v>
      </c>
      <c r="F1744" s="14" t="s">
        <v>788</v>
      </c>
      <c r="G1744" s="16">
        <f>DATE(YEAR(SUBSTITUTE(LEFT(Base_report!F1730,10),"-","/")),MONTH(SUBSTITUTE(LEFT(Base_report!F1730,10),"-","/")),DAY(SUBSTITUTE(LEFT(Base_report!F1730,10),"-","/")))</f>
        <v>45295</v>
      </c>
      <c r="H1744" s="16">
        <f>DATE(YEAR(SUBSTITUTE(LEFT(Base_report!G1730,10),"-","/")),MONTH(SUBSTITUTE(LEFT(Base_report!G1730,10),"-","/")),DAY(SUBSTITUTE(LEFT(Base_report!G1730,10),"-","/")))</f>
        <v>45295</v>
      </c>
      <c r="I1744" s="17" t="str">
        <f t="shared" si="1"/>
        <v>OUI</v>
      </c>
      <c r="J1744" s="18">
        <f>IF(L1744="DS",DATE(RIGHT(B1744,4),VLOOKUP(LEFT(B1744,LEN(B1744)-5),Feuil1!$E$3:$F$19,2,FALSE)+1,10),DATE(RIGHT(B1744,4),VLOOKUP(LEFT(B1744,LEN(B1744)-5),Feuil1!$E$3:$F$19,2,FALSE)+1,7))</f>
        <v>45298</v>
      </c>
      <c r="K1744" s="19">
        <f t="shared" si="2"/>
        <v>1</v>
      </c>
      <c r="L1744" s="6" t="str">
        <f t="shared" si="3"/>
        <v>FS</v>
      </c>
    </row>
    <row r="1745" ht="14.25" customHeight="1">
      <c r="A1745" s="14" t="str">
        <f>Base_report!A1731</f>
        <v>WORODOUGOU</v>
      </c>
      <c r="B1745" s="14" t="str">
        <f>Base_report!B1731</f>
        <v>OCTOBRE DECEMBRE 2023</v>
      </c>
      <c r="C1745" s="15" t="str">
        <f>Base_report!C1731</f>
        <v>C5072</v>
      </c>
      <c r="D1745" s="14" t="str">
        <f>TRIM(IF(ISNUMBER(FIND("PNSME",Base_report!D1731,1)),SUBSTITUTE(Base_report!D1731,"PNSME",""),IF(ISNUMBER(FIND("PHG",Base_report!D1731,1)),SUBSTITUTE(Base_report!D1731,"PHG",""),IF(ISNUMBER(FIND("PCS",Base_report!D1731,1)),SUBSTITUTE(Base_report!D1731,"PCS",""),IF(ISNUMBER(FIND("CMU",Base_report!D1731,1)),SUBSTITUTE(Base_report!D1731,"CMU",""),Base_report!D1731)))))</f>
        <v>DISTRICT SANITAIRE KANI</v>
      </c>
      <c r="E1745" s="14" t="str">
        <f>SUBSTITUTE(Base_report!E1731,"-","/")</f>
        <v>PNLT/SENSIBLE MEDICAMENTS ET INTRANTS</v>
      </c>
      <c r="F1745" s="14" t="s">
        <v>788</v>
      </c>
      <c r="G1745" s="16">
        <f>DATE(YEAR(SUBSTITUTE(LEFT(Base_report!F1731,10),"-","/")),MONTH(SUBSTITUTE(LEFT(Base_report!F1731,10),"-","/")),DAY(SUBSTITUTE(LEFT(Base_report!F1731,10),"-","/")))</f>
        <v>45301</v>
      </c>
      <c r="H1745" s="16">
        <f>DATE(YEAR(SUBSTITUTE(LEFT(Base_report!G1731,10),"-","/")),MONTH(SUBSTITUTE(LEFT(Base_report!G1731,10),"-","/")),DAY(SUBSTITUTE(LEFT(Base_report!G1731,10),"-","/")))</f>
        <v>45301</v>
      </c>
      <c r="I1745" s="17" t="str">
        <f t="shared" si="1"/>
        <v>OUI</v>
      </c>
      <c r="J1745" s="18">
        <f>IF(L1745="DS",DATE(RIGHT(B1745,4),VLOOKUP(LEFT(B1745,LEN(B1745)-5),Feuil1!$E$3:$F$19,2,FALSE)+1,10),DATE(RIGHT(B1745,4),VLOOKUP(LEFT(B1745,LEN(B1745)-5),Feuil1!$E$3:$F$19,2,FALSE)+1,7))</f>
        <v>45301</v>
      </c>
      <c r="K1745" s="19">
        <f t="shared" si="2"/>
        <v>1</v>
      </c>
      <c r="L1745" s="6" t="str">
        <f t="shared" si="3"/>
        <v>DS</v>
      </c>
    </row>
    <row r="1746" ht="14.25" customHeight="1">
      <c r="A1746" s="14" t="str">
        <f>Base_report!A1732</f>
        <v>GUEMON</v>
      </c>
      <c r="B1746" s="14" t="str">
        <f>Base_report!B1732</f>
        <v>OCTOBRE DECEMBRE 2023</v>
      </c>
      <c r="C1746" s="15" t="str">
        <f>Base_report!C1732</f>
        <v>C5020</v>
      </c>
      <c r="D1746" s="14" t="str">
        <f>TRIM(IF(ISNUMBER(FIND("PNSME",Base_report!D1732,1)),SUBSTITUTE(Base_report!D1732,"PNSME",""),IF(ISNUMBER(FIND("PHG",Base_report!D1732,1)),SUBSTITUTE(Base_report!D1732,"PHG",""),IF(ISNUMBER(FIND("PCS",Base_report!D1732,1)),SUBSTITUTE(Base_report!D1732,"PCS",""),IF(ISNUMBER(FIND("CMU",Base_report!D1732,1)),SUBSTITUTE(Base_report!D1732,"CMU",""),Base_report!D1732)))))</f>
        <v>HOPITAL GENERAL KOUIBLY</v>
      </c>
      <c r="E1746" s="14" t="str">
        <f>SUBSTITUTE(Base_report!E1732,"-","/")</f>
        <v>PNLT/SENSIBLE MEDICAMENTS ET INTRANTS</v>
      </c>
      <c r="F1746" s="14" t="s">
        <v>788</v>
      </c>
      <c r="G1746" s="16">
        <f>DATE(YEAR(SUBSTITUTE(LEFT(Base_report!F1732,10),"-","/")),MONTH(SUBSTITUTE(LEFT(Base_report!F1732,10),"-","/")),DAY(SUBSTITUTE(LEFT(Base_report!F1732,10),"-","/")))</f>
        <v>45293</v>
      </c>
      <c r="H1746" s="16">
        <f>DATE(YEAR(SUBSTITUTE(LEFT(Base_report!G1732,10),"-","/")),MONTH(SUBSTITUTE(LEFT(Base_report!G1732,10),"-","/")),DAY(SUBSTITUTE(LEFT(Base_report!G1732,10),"-","/")))</f>
        <v>45297</v>
      </c>
      <c r="I1746" s="17" t="str">
        <f t="shared" si="1"/>
        <v>OUI</v>
      </c>
      <c r="J1746" s="18">
        <f>IF(L1746="DS",DATE(RIGHT(B1746,4),VLOOKUP(LEFT(B1746,LEN(B1746)-5),Feuil1!$E$3:$F$19,2,FALSE)+1,10),DATE(RIGHT(B1746,4),VLOOKUP(LEFT(B1746,LEN(B1746)-5),Feuil1!$E$3:$F$19,2,FALSE)+1,7))</f>
        <v>45298</v>
      </c>
      <c r="K1746" s="19">
        <f t="shared" si="2"/>
        <v>1</v>
      </c>
      <c r="L1746" s="6" t="str">
        <f t="shared" si="3"/>
        <v>FS</v>
      </c>
    </row>
    <row r="1747" ht="14.25" customHeight="1">
      <c r="A1747" s="14" t="str">
        <f>Base_report!A1733</f>
        <v>KABADOUGOU</v>
      </c>
      <c r="B1747" s="14" t="str">
        <f>Base_report!B1733</f>
        <v>OCTOBRE DECEMBRE 2023</v>
      </c>
      <c r="C1747" s="15" t="str">
        <f>Base_report!C1733</f>
        <v>C5013</v>
      </c>
      <c r="D1747" s="14" t="str">
        <f>TRIM(IF(ISNUMBER(FIND("PNSME",Base_report!D1733,1)),SUBSTITUTE(Base_report!D1733,"PNSME",""),IF(ISNUMBER(FIND("PHG",Base_report!D1733,1)),SUBSTITUTE(Base_report!D1733,"PHG",""),IF(ISNUMBER(FIND("PCS",Base_report!D1733,1)),SUBSTITUTE(Base_report!D1733,"PCS",""),IF(ISNUMBER(FIND("CMU",Base_report!D1733,1)),SUBSTITUTE(Base_report!D1733,"CMU",""),Base_report!D1733)))))</f>
        <v>DISTRICT SANITAIRE ODIENNE</v>
      </c>
      <c r="E1747" s="14" t="str">
        <f>SUBSTITUTE(Base_report!E1733,"-","/")</f>
        <v>PNLT/SENSIBLE MEDICAMENTS ET INTRANTS</v>
      </c>
      <c r="F1747" s="14" t="s">
        <v>788</v>
      </c>
      <c r="G1747" s="16">
        <f>DATE(YEAR(SUBSTITUTE(LEFT(Base_report!F1733,10),"-","/")),MONTH(SUBSTITUTE(LEFT(Base_report!F1733,10),"-","/")),DAY(SUBSTITUTE(LEFT(Base_report!F1733,10),"-","/")))</f>
        <v>45298</v>
      </c>
      <c r="H1747" s="16">
        <f>DATE(YEAR(SUBSTITUTE(LEFT(Base_report!G1733,10),"-","/")),MONTH(SUBSTITUTE(LEFT(Base_report!G1733,10),"-","/")),DAY(SUBSTITUTE(LEFT(Base_report!G1733,10),"-","/")))</f>
        <v>45298</v>
      </c>
      <c r="I1747" s="17" t="str">
        <f t="shared" si="1"/>
        <v>OUI</v>
      </c>
      <c r="J1747" s="18">
        <f>IF(L1747="DS",DATE(RIGHT(B1747,4),VLOOKUP(LEFT(B1747,LEN(B1747)-5),Feuil1!$E$3:$F$19,2,FALSE)+1,10),DATE(RIGHT(B1747,4),VLOOKUP(LEFT(B1747,LEN(B1747)-5),Feuil1!$E$3:$F$19,2,FALSE)+1,7))</f>
        <v>45301</v>
      </c>
      <c r="K1747" s="19">
        <f t="shared" si="2"/>
        <v>1</v>
      </c>
      <c r="L1747" s="6" t="str">
        <f t="shared" si="3"/>
        <v>DS</v>
      </c>
    </row>
    <row r="1748" ht="14.25" customHeight="1">
      <c r="A1748" s="14" t="str">
        <f>Base_report!A1734</f>
        <v>ABIDJAN 2</v>
      </c>
      <c r="B1748" s="14" t="str">
        <f>Base_report!B1734</f>
        <v>OCTOBRE DECEMBRE 2023</v>
      </c>
      <c r="C1748" s="15" t="str">
        <f>Base_report!C1734</f>
        <v>C1001</v>
      </c>
      <c r="D1748" s="14" t="str">
        <f>TRIM(IF(ISNUMBER(FIND("PNSME",Base_report!D1734,1)),SUBSTITUTE(Base_report!D1734,"PNSME",""),IF(ISNUMBER(FIND("PHG",Base_report!D1734,1)),SUBSTITUTE(Base_report!D1734,"PHG",""),IF(ISNUMBER(FIND("PCS",Base_report!D1734,1)),SUBSTITUTE(Base_report!D1734,"PCS",""),IF(ISNUMBER(FIND("CMU",Base_report!D1734,1)),SUBSTITUTE(Base_report!D1734,"CMU",""),Base_report!D1734)))))</f>
        <v>CENTRE ANTITUBERCULEUX ADJAME</v>
      </c>
      <c r="E1748" s="14" t="str">
        <f>SUBSTITUTE(Base_report!E1734,"-","/")</f>
        <v>PNLT/PRODUITS DE LABORATOIRE</v>
      </c>
      <c r="F1748" s="14" t="s">
        <v>788</v>
      </c>
      <c r="G1748" s="16">
        <f>DATE(YEAR(SUBSTITUTE(LEFT(Base_report!F1734,10),"-","/")),MONTH(SUBSTITUTE(LEFT(Base_report!F1734,10),"-","/")),DAY(SUBSTITUTE(LEFT(Base_report!F1734,10),"-","/")))</f>
        <v>45299</v>
      </c>
      <c r="H1748" s="16">
        <f>DATE(YEAR(SUBSTITUTE(LEFT(Base_report!G1734,10),"-","/")),MONTH(SUBSTITUTE(LEFT(Base_report!G1734,10),"-","/")),DAY(SUBSTITUTE(LEFT(Base_report!G1734,10),"-","/")))</f>
        <v>45299</v>
      </c>
      <c r="I1748" s="17" t="str">
        <f t="shared" si="1"/>
        <v>OUI</v>
      </c>
      <c r="J1748" s="18">
        <f>IF(L1748="DS",DATE(RIGHT(B1748,4),VLOOKUP(LEFT(B1748,LEN(B1748)-5),Feuil1!$E$3:$F$19,2,FALSE)+1,10),DATE(RIGHT(B1748,4),VLOOKUP(LEFT(B1748,LEN(B1748)-5),Feuil1!$E$3:$F$19,2,FALSE)+1,7))</f>
        <v>45298</v>
      </c>
      <c r="K1748" s="19">
        <f t="shared" si="2"/>
        <v>0</v>
      </c>
      <c r="L1748" s="6" t="str">
        <f t="shared" si="3"/>
        <v>FS</v>
      </c>
    </row>
    <row r="1749" ht="14.25" customHeight="1">
      <c r="A1749" s="14" t="str">
        <f>Base_report!A1735</f>
        <v>N'ZI</v>
      </c>
      <c r="B1749" s="14" t="str">
        <f>Base_report!B1735</f>
        <v>OCTOBRE DECEMBRE 2023</v>
      </c>
      <c r="C1749" s="15" t="str">
        <f>Base_report!C1735</f>
        <v>C2192</v>
      </c>
      <c r="D1749" s="14" t="str">
        <f>TRIM(IF(ISNUMBER(FIND("PNSME",Base_report!D1735,1)),SUBSTITUTE(Base_report!D1735,"PNSME",""),IF(ISNUMBER(FIND("PHG",Base_report!D1735,1)),SUBSTITUTE(Base_report!D1735,"PHG",""),IF(ISNUMBER(FIND("PCS",Base_report!D1735,1)),SUBSTITUTE(Base_report!D1735,"PCS",""),IF(ISNUMBER(FIND("CMU",Base_report!D1735,1)),SUBSTITUTE(Base_report!D1735,"CMU",""),Base_report!D1735)))))</f>
        <v>CENTRE ANTITUBERCULEUX DIMBOKRO</v>
      </c>
      <c r="E1749" s="14" t="str">
        <f>SUBSTITUTE(Base_report!E1735,"-","/")</f>
        <v>PNLT/PRODUITS DE LABORATOIRE</v>
      </c>
      <c r="F1749" s="14" t="s">
        <v>788</v>
      </c>
      <c r="G1749" s="16">
        <f>DATE(YEAR(SUBSTITUTE(LEFT(Base_report!F1735,10),"-","/")),MONTH(SUBSTITUTE(LEFT(Base_report!F1735,10),"-","/")),DAY(SUBSTITUTE(LEFT(Base_report!F1735,10),"-","/")))</f>
        <v>45296</v>
      </c>
      <c r="H1749" s="16">
        <f>DATE(YEAR(SUBSTITUTE(LEFT(Base_report!G1735,10),"-","/")),MONTH(SUBSTITUTE(LEFT(Base_report!G1735,10),"-","/")),DAY(SUBSTITUTE(LEFT(Base_report!G1735,10),"-","/")))</f>
        <v>45296</v>
      </c>
      <c r="I1749" s="17" t="str">
        <f t="shared" si="1"/>
        <v>OUI</v>
      </c>
      <c r="J1749" s="18">
        <f>IF(L1749="DS",DATE(RIGHT(B1749,4),VLOOKUP(LEFT(B1749,LEN(B1749)-5),Feuil1!$E$3:$F$19,2,FALSE)+1,10),DATE(RIGHT(B1749,4),VLOOKUP(LEFT(B1749,LEN(B1749)-5),Feuil1!$E$3:$F$19,2,FALSE)+1,7))</f>
        <v>45298</v>
      </c>
      <c r="K1749" s="19">
        <f t="shared" si="2"/>
        <v>1</v>
      </c>
      <c r="L1749" s="6" t="str">
        <f t="shared" si="3"/>
        <v>FS</v>
      </c>
    </row>
    <row r="1750" ht="14.25" customHeight="1">
      <c r="A1750" s="14" t="str">
        <f>Base_report!A1736</f>
        <v>TCHOLOGO</v>
      </c>
      <c r="B1750" s="14" t="str">
        <f>Base_report!B1736</f>
        <v>OCTOBRE DECEMBRE 2023</v>
      </c>
      <c r="C1750" s="15" t="str">
        <f>Base_report!C1736</f>
        <v>C2225</v>
      </c>
      <c r="D1750" s="14" t="str">
        <f>TRIM(IF(ISNUMBER(FIND("PNSME",Base_report!D1736,1)),SUBSTITUTE(Base_report!D1736,"PNSME",""),IF(ISNUMBER(FIND("PHG",Base_report!D1736,1)),SUBSTITUTE(Base_report!D1736,"PHG",""),IF(ISNUMBER(FIND("PCS",Base_report!D1736,1)),SUBSTITUTE(Base_report!D1736,"PCS",""),IF(ISNUMBER(FIND("CMU",Base_report!D1736,1)),SUBSTITUTE(Base_report!D1736,"CMU",""),Base_report!D1736)))))</f>
        <v>HOPITAL GENERAL KONG</v>
      </c>
      <c r="E1750" s="14" t="str">
        <f>SUBSTITUTE(Base_report!E1736,"-","/")</f>
        <v>PNLT/SENSIBLE MEDICAMENTS ET INTRANTS</v>
      </c>
      <c r="F1750" s="14" t="s">
        <v>788</v>
      </c>
      <c r="G1750" s="16">
        <f>DATE(YEAR(SUBSTITUTE(LEFT(Base_report!F1736,10),"-","/")),MONTH(SUBSTITUTE(LEFT(Base_report!F1736,10),"-","/")),DAY(SUBSTITUTE(LEFT(Base_report!F1736,10),"-","/")))</f>
        <v>45296</v>
      </c>
      <c r="H1750" s="16">
        <f>DATE(YEAR(SUBSTITUTE(LEFT(Base_report!G1736,10),"-","/")),MONTH(SUBSTITUTE(LEFT(Base_report!G1736,10),"-","/")),DAY(SUBSTITUTE(LEFT(Base_report!G1736,10),"-","/")))</f>
        <v>45298</v>
      </c>
      <c r="I1750" s="17" t="str">
        <f t="shared" si="1"/>
        <v>OUI</v>
      </c>
      <c r="J1750" s="18">
        <f>IF(L1750="DS",DATE(RIGHT(B1750,4),VLOOKUP(LEFT(B1750,LEN(B1750)-5),Feuil1!$E$3:$F$19,2,FALSE)+1,10),DATE(RIGHT(B1750,4),VLOOKUP(LEFT(B1750,LEN(B1750)-5),Feuil1!$E$3:$F$19,2,FALSE)+1,7))</f>
        <v>45298</v>
      </c>
      <c r="K1750" s="19">
        <f t="shared" si="2"/>
        <v>1</v>
      </c>
      <c r="L1750" s="6" t="str">
        <f t="shared" si="3"/>
        <v>FS</v>
      </c>
    </row>
    <row r="1751" ht="14.25" customHeight="1">
      <c r="A1751" s="14" t="str">
        <f>Base_report!A1737</f>
        <v>BAGOUE</v>
      </c>
      <c r="B1751" s="14" t="str">
        <f>Base_report!B1737</f>
        <v>OCTOBRE DECEMBRE 2023</v>
      </c>
      <c r="C1751" s="15" t="str">
        <f>Base_report!C1737</f>
        <v>C3023</v>
      </c>
      <c r="D1751" s="14" t="str">
        <f>TRIM(IF(ISNUMBER(FIND("PNSME",Base_report!D1737,1)),SUBSTITUTE(Base_report!D1737,"PNSME",""),IF(ISNUMBER(FIND("PHG",Base_report!D1737,1)),SUBSTITUTE(Base_report!D1737,"PHG",""),IF(ISNUMBER(FIND("PCS",Base_report!D1737,1)),SUBSTITUTE(Base_report!D1737,"PCS",""),IF(ISNUMBER(FIND("CMU",Base_report!D1737,1)),SUBSTITUTE(Base_report!D1737,"CMU",""),Base_report!D1737)))))</f>
        <v>HOPITAL GENERAL TENGRELA</v>
      </c>
      <c r="E1751" s="14" t="str">
        <f>SUBSTITUTE(Base_report!E1737,"-","/")</f>
        <v>PNLT/SENSIBLE MEDICAMENTS ET INTRANTS</v>
      </c>
      <c r="F1751" s="14" t="s">
        <v>788</v>
      </c>
      <c r="G1751" s="16">
        <f>DATE(YEAR(SUBSTITUTE(LEFT(Base_report!F1737,10),"-","/")),MONTH(SUBSTITUTE(LEFT(Base_report!F1737,10),"-","/")),DAY(SUBSTITUTE(LEFT(Base_report!F1737,10),"-","/")))</f>
        <v>45298</v>
      </c>
      <c r="H1751" s="16">
        <f>DATE(YEAR(SUBSTITUTE(LEFT(Base_report!G1737,10),"-","/")),MONTH(SUBSTITUTE(LEFT(Base_report!G1737,10),"-","/")),DAY(SUBSTITUTE(LEFT(Base_report!G1737,10),"-","/")))</f>
        <v>45298</v>
      </c>
      <c r="I1751" s="17" t="str">
        <f t="shared" si="1"/>
        <v>OUI</v>
      </c>
      <c r="J1751" s="18">
        <f>IF(L1751="DS",DATE(RIGHT(B1751,4),VLOOKUP(LEFT(B1751,LEN(B1751)-5),Feuil1!$E$3:$F$19,2,FALSE)+1,10),DATE(RIGHT(B1751,4),VLOOKUP(LEFT(B1751,LEN(B1751)-5),Feuil1!$E$3:$F$19,2,FALSE)+1,7))</f>
        <v>45298</v>
      </c>
      <c r="K1751" s="19">
        <f t="shared" si="2"/>
        <v>1</v>
      </c>
      <c r="L1751" s="6" t="str">
        <f t="shared" si="3"/>
        <v>FS</v>
      </c>
    </row>
    <row r="1752" ht="14.25" customHeight="1">
      <c r="A1752" s="14" t="str">
        <f>Base_report!A1738</f>
        <v>AGNEBY-TIASSA</v>
      </c>
      <c r="B1752" s="14" t="str">
        <f>Base_report!B1738</f>
        <v>OCTOBRE DECEMBRE 2023</v>
      </c>
      <c r="C1752" s="15" t="str">
        <f>Base_report!C1738</f>
        <v>C1751</v>
      </c>
      <c r="D1752" s="14" t="str">
        <f>TRIM(IF(ISNUMBER(FIND("PNSME",Base_report!D1738,1)),SUBSTITUTE(Base_report!D1738,"PNSME",""),IF(ISNUMBER(FIND("PHG",Base_report!D1738,1)),SUBSTITUTE(Base_report!D1738,"PHG",""),IF(ISNUMBER(FIND("PCS",Base_report!D1738,1)),SUBSTITUTE(Base_report!D1738,"PCS",""),IF(ISNUMBER(FIND("CMU",Base_report!D1738,1)),SUBSTITUTE(Base_report!D1738,"CMU",""),Base_report!D1738)))))</f>
        <v>CENTRE ANTITUBERCULEUX AGBOVILLE</v>
      </c>
      <c r="E1752" s="14" t="str">
        <f>SUBSTITUTE(Base_report!E1738,"-","/")</f>
        <v>PNLT/SENSIBLE MEDICAMENTS ET INTRANTS</v>
      </c>
      <c r="F1752" s="14" t="s">
        <v>788</v>
      </c>
      <c r="G1752" s="16">
        <f>DATE(YEAR(SUBSTITUTE(LEFT(Base_report!F1738,10),"-","/")),MONTH(SUBSTITUTE(LEFT(Base_report!F1738,10),"-","/")),DAY(SUBSTITUTE(LEFT(Base_report!F1738,10),"-","/")))</f>
        <v>45296</v>
      </c>
      <c r="H1752" s="16">
        <f>DATE(YEAR(SUBSTITUTE(LEFT(Base_report!G1738,10),"-","/")),MONTH(SUBSTITUTE(LEFT(Base_report!G1738,10),"-","/")),DAY(SUBSTITUTE(LEFT(Base_report!G1738,10),"-","/")))</f>
        <v>45296</v>
      </c>
      <c r="I1752" s="17" t="str">
        <f t="shared" si="1"/>
        <v>OUI</v>
      </c>
      <c r="J1752" s="18">
        <f>IF(L1752="DS",DATE(RIGHT(B1752,4),VLOOKUP(LEFT(B1752,LEN(B1752)-5),Feuil1!$E$3:$F$19,2,FALSE)+1,10),DATE(RIGHT(B1752,4),VLOOKUP(LEFT(B1752,LEN(B1752)-5),Feuil1!$E$3:$F$19,2,FALSE)+1,7))</f>
        <v>45298</v>
      </c>
      <c r="K1752" s="19">
        <f t="shared" si="2"/>
        <v>1</v>
      </c>
      <c r="L1752" s="6" t="str">
        <f t="shared" si="3"/>
        <v>FS</v>
      </c>
    </row>
    <row r="1753" ht="14.25" customHeight="1">
      <c r="A1753" s="14" t="str">
        <f>Base_report!A1739</f>
        <v>ABIDJAN 2</v>
      </c>
      <c r="B1753" s="14" t="str">
        <f>Base_report!B1739</f>
        <v>OCTOBRE DECEMBRE 2023</v>
      </c>
      <c r="C1753" s="15" t="str">
        <f>Base_report!C1739</f>
        <v>C1002</v>
      </c>
      <c r="D1753" s="14" t="str">
        <f>TRIM(IF(ISNUMBER(FIND("PNSME",Base_report!D1739,1)),SUBSTITUTE(Base_report!D1739,"PNSME",""),IF(ISNUMBER(FIND("PHG",Base_report!D1739,1)),SUBSTITUTE(Base_report!D1739,"PHG",""),IF(ISNUMBER(FIND("PCS",Base_report!D1739,1)),SUBSTITUTE(Base_report!D1739,"PCS",""),IF(ISNUMBER(FIND("CMU",Base_report!D1739,1)),SUBSTITUTE(Base_report!D1739,"CMU",""),Base_report!D1739)))))</f>
        <v>CENTRE ANTITUBERCULEUX TREICHVILLE</v>
      </c>
      <c r="E1753" s="14" t="str">
        <f>SUBSTITUTE(Base_report!E1739,"-","/")</f>
        <v>PNLT/MULTI RESISTANTE MEDICAMENTS ET INTRANTS</v>
      </c>
      <c r="F1753" s="14" t="s">
        <v>788</v>
      </c>
      <c r="G1753" s="16">
        <f>DATE(YEAR(SUBSTITUTE(LEFT(Base_report!F1739,10),"-","/")),MONTH(SUBSTITUTE(LEFT(Base_report!F1739,10),"-","/")),DAY(SUBSTITUTE(LEFT(Base_report!F1739,10),"-","/")))</f>
        <v>45300</v>
      </c>
      <c r="H1753" s="16">
        <f>DATE(YEAR(SUBSTITUTE(LEFT(Base_report!G1739,10),"-","/")),MONTH(SUBSTITUTE(LEFT(Base_report!G1739,10),"-","/")),DAY(SUBSTITUTE(LEFT(Base_report!G1739,10),"-","/")))</f>
        <v>45300</v>
      </c>
      <c r="I1753" s="17" t="str">
        <f t="shared" si="1"/>
        <v>OUI</v>
      </c>
      <c r="J1753" s="18">
        <f>IF(L1753="DS",DATE(RIGHT(B1753,4),VLOOKUP(LEFT(B1753,LEN(B1753)-5),Feuil1!$E$3:$F$19,2,FALSE)+1,10),DATE(RIGHT(B1753,4),VLOOKUP(LEFT(B1753,LEN(B1753)-5),Feuil1!$E$3:$F$19,2,FALSE)+1,7))</f>
        <v>45298</v>
      </c>
      <c r="K1753" s="19">
        <f t="shared" si="2"/>
        <v>0</v>
      </c>
      <c r="L1753" s="6" t="str">
        <f t="shared" si="3"/>
        <v>FS</v>
      </c>
    </row>
    <row r="1754" ht="14.25" customHeight="1">
      <c r="A1754" s="14" t="str">
        <f>Base_report!A1740</f>
        <v>HAMBOL</v>
      </c>
      <c r="B1754" s="14" t="str">
        <f>Base_report!B1740</f>
        <v>OCTOBRE DECEMBRE 2023</v>
      </c>
      <c r="C1754" s="15" t="str">
        <f>Base_report!C1740</f>
        <v>C3049</v>
      </c>
      <c r="D1754" s="14" t="str">
        <f>TRIM(IF(ISNUMBER(FIND("PNSME",Base_report!D1740,1)),SUBSTITUTE(Base_report!D1740,"PNSME",""),IF(ISNUMBER(FIND("PHG",Base_report!D1740,1)),SUBSTITUTE(Base_report!D1740,"PHG",""),IF(ISNUMBER(FIND("PCS",Base_report!D1740,1)),SUBSTITUTE(Base_report!D1740,"PCS",""),IF(ISNUMBER(FIND("CMU",Base_report!D1740,1)),SUBSTITUTE(Base_report!D1740,"CMU",""),Base_report!D1740)))))</f>
        <v>CENTRE ANTITUBERCULEUX KATIOLA</v>
      </c>
      <c r="E1754" s="14" t="str">
        <f>SUBSTITUTE(Base_report!E1740,"-","/")</f>
        <v>PNLT/MULTI RESISTANTE MEDICAMENTS ET INTRANTS</v>
      </c>
      <c r="F1754" s="14" t="s">
        <v>788</v>
      </c>
      <c r="G1754" s="16">
        <f>DATE(YEAR(SUBSTITUTE(LEFT(Base_report!F1740,10),"-","/")),MONTH(SUBSTITUTE(LEFT(Base_report!F1740,10),"-","/")),DAY(SUBSTITUTE(LEFT(Base_report!F1740,10),"-","/")))</f>
        <v>45298</v>
      </c>
      <c r="H1754" s="16">
        <f>DATE(YEAR(SUBSTITUTE(LEFT(Base_report!G1740,10),"-","/")),MONTH(SUBSTITUTE(LEFT(Base_report!G1740,10),"-","/")),DAY(SUBSTITUTE(LEFT(Base_report!G1740,10),"-","/")))</f>
        <v>45298</v>
      </c>
      <c r="I1754" s="17" t="str">
        <f t="shared" si="1"/>
        <v>OUI</v>
      </c>
      <c r="J1754" s="18">
        <f>IF(L1754="DS",DATE(RIGHT(B1754,4),VLOOKUP(LEFT(B1754,LEN(B1754)-5),Feuil1!$E$3:$F$19,2,FALSE)+1,10),DATE(RIGHT(B1754,4),VLOOKUP(LEFT(B1754,LEN(B1754)-5),Feuil1!$E$3:$F$19,2,FALSE)+1,7))</f>
        <v>45298</v>
      </c>
      <c r="K1754" s="19">
        <f t="shared" si="2"/>
        <v>1</v>
      </c>
      <c r="L1754" s="6" t="str">
        <f t="shared" si="3"/>
        <v>FS</v>
      </c>
    </row>
    <row r="1755" ht="14.25" customHeight="1">
      <c r="A1755" s="14" t="str">
        <f>Base_report!A1741</f>
        <v>ABIDJAN 2</v>
      </c>
      <c r="B1755" s="14" t="str">
        <f>Base_report!B1741</f>
        <v>OCTOBRE DECEMBRE 2023</v>
      </c>
      <c r="C1755" s="15" t="str">
        <f>Base_report!C1741</f>
        <v>C1141</v>
      </c>
      <c r="D1755" s="14" t="str">
        <f>TRIM(IF(ISNUMBER(FIND("PNSME",Base_report!D1741,1)),SUBSTITUTE(Base_report!D1741,"PNSME",""),IF(ISNUMBER(FIND("PHG",Base_report!D1741,1)),SUBSTITUTE(Base_report!D1741,"PHG",""),IF(ISNUMBER(FIND("PCS",Base_report!D1741,1)),SUBSTITUTE(Base_report!D1741,"PCS",""),IF(ISNUMBER(FIND("CMU",Base_report!D1741,1)),SUBSTITUTE(Base_report!D1741,"CMU",""),Base_report!D1741)))))</f>
        <v>UNITE SOINS AMBULATOIRE</v>
      </c>
      <c r="E1755" s="14" t="str">
        <f>SUBSTITUTE(Base_report!E1741,"-","/")</f>
        <v>PNLT/SENSIBLE MEDICAMENTS ET INTRANTS</v>
      </c>
      <c r="F1755" s="14" t="s">
        <v>788</v>
      </c>
      <c r="G1755" s="16">
        <f>DATE(YEAR(SUBSTITUTE(LEFT(Base_report!F1741,10),"-","/")),MONTH(SUBSTITUTE(LEFT(Base_report!F1741,10),"-","/")),DAY(SUBSTITUTE(LEFT(Base_report!F1741,10),"-","/")))</f>
        <v>45296</v>
      </c>
      <c r="H1755" s="16">
        <f>DATE(YEAR(SUBSTITUTE(LEFT(Base_report!G1741,10),"-","/")),MONTH(SUBSTITUTE(LEFT(Base_report!G1741,10),"-","/")),DAY(SUBSTITUTE(LEFT(Base_report!G1741,10),"-","/")))</f>
        <v>45296</v>
      </c>
      <c r="I1755" s="17" t="str">
        <f t="shared" si="1"/>
        <v>OUI</v>
      </c>
      <c r="J1755" s="18">
        <f>IF(L1755="DS",DATE(RIGHT(B1755,4),VLOOKUP(LEFT(B1755,LEN(B1755)-5),Feuil1!$E$3:$F$19,2,FALSE)+1,10),DATE(RIGHT(B1755,4),VLOOKUP(LEFT(B1755,LEN(B1755)-5),Feuil1!$E$3:$F$19,2,FALSE)+1,7))</f>
        <v>45298</v>
      </c>
      <c r="K1755" s="19">
        <f t="shared" si="2"/>
        <v>1</v>
      </c>
      <c r="L1755" s="6" t="str">
        <f t="shared" si="3"/>
        <v>FS</v>
      </c>
    </row>
    <row r="1756" ht="14.25" customHeight="1">
      <c r="A1756" s="14" t="str">
        <f>Base_report!A1742</f>
        <v>ME</v>
      </c>
      <c r="B1756" s="14" t="str">
        <f>Base_report!B1742</f>
        <v>OCTOBRE DECEMBRE 2023</v>
      </c>
      <c r="C1756" s="15" t="str">
        <f>Base_report!C1742</f>
        <v>C4067</v>
      </c>
      <c r="D1756" s="14" t="str">
        <f>TRIM(IF(ISNUMBER(FIND("PNSME",Base_report!D1742,1)),SUBSTITUTE(Base_report!D1742,"PNSME",""),IF(ISNUMBER(FIND("PHG",Base_report!D1742,1)),SUBSTITUTE(Base_report!D1742,"PHG",""),IF(ISNUMBER(FIND("PCS",Base_report!D1742,1)),SUBSTITUTE(Base_report!D1742,"PCS",""),IF(ISNUMBER(FIND("CMU",Base_report!D1742,1)),SUBSTITUTE(Base_report!D1742,"CMU",""),Base_report!D1742)))))</f>
        <v>CENTRE ANTITUBERCULEUX ADZOPE</v>
      </c>
      <c r="E1756" s="14" t="str">
        <f>SUBSTITUTE(Base_report!E1742,"-","/")</f>
        <v>PNLT/MULTI RESISTANTE MEDICAMENTS ET INTRANTS</v>
      </c>
      <c r="F1756" s="14" t="s">
        <v>788</v>
      </c>
      <c r="G1756" s="16">
        <f>DATE(YEAR(SUBSTITUTE(LEFT(Base_report!F1742,10),"-","/")),MONTH(SUBSTITUTE(LEFT(Base_report!F1742,10),"-","/")),DAY(SUBSTITUTE(LEFT(Base_report!F1742,10),"-","/")))</f>
        <v>45295</v>
      </c>
      <c r="H1756" s="16">
        <f>DATE(YEAR(SUBSTITUTE(LEFT(Base_report!G1742,10),"-","/")),MONTH(SUBSTITUTE(LEFT(Base_report!G1742,10),"-","/")),DAY(SUBSTITUTE(LEFT(Base_report!G1742,10),"-","/")))</f>
        <v>45299</v>
      </c>
      <c r="I1756" s="17" t="str">
        <f t="shared" si="1"/>
        <v>OUI</v>
      </c>
      <c r="J1756" s="18">
        <f>IF(L1756="DS",DATE(RIGHT(B1756,4),VLOOKUP(LEFT(B1756,LEN(B1756)-5),Feuil1!$E$3:$F$19,2,FALSE)+1,10),DATE(RIGHT(B1756,4),VLOOKUP(LEFT(B1756,LEN(B1756)-5),Feuil1!$E$3:$F$19,2,FALSE)+1,7))</f>
        <v>45298</v>
      </c>
      <c r="K1756" s="19">
        <f t="shared" si="2"/>
        <v>0</v>
      </c>
      <c r="L1756" s="6" t="str">
        <f t="shared" si="3"/>
        <v>FS</v>
      </c>
    </row>
    <row r="1757" ht="14.25" customHeight="1">
      <c r="A1757" s="14" t="str">
        <f>Base_report!A1743</f>
        <v>INDENIE-DJUABLIN</v>
      </c>
      <c r="B1757" s="14" t="str">
        <f>Base_report!B1743</f>
        <v>OCTOBRE DECEMBRE 2023</v>
      </c>
      <c r="C1757" s="15" t="str">
        <f>Base_report!C1743</f>
        <v>C4063</v>
      </c>
      <c r="D1757" s="14" t="str">
        <f>TRIM(IF(ISNUMBER(FIND("PNSME",Base_report!D1743,1)),SUBSTITUTE(Base_report!D1743,"PNSME",""),IF(ISNUMBER(FIND("PHG",Base_report!D1743,1)),SUBSTITUTE(Base_report!D1743,"PHG",""),IF(ISNUMBER(FIND("PCS",Base_report!D1743,1)),SUBSTITUTE(Base_report!D1743,"PCS",""),IF(ISNUMBER(FIND("CMU",Base_report!D1743,1)),SUBSTITUTE(Base_report!D1743,"CMU",""),Base_report!D1743)))))</f>
        <v>CENTRE ANTITUBERCULEUX ABENGOUROU</v>
      </c>
      <c r="E1757" s="14" t="str">
        <f>SUBSTITUTE(Base_report!E1743,"-","/")</f>
        <v>PNLT/SENSIBLE MEDICAMENTS ET INTRANTS</v>
      </c>
      <c r="F1757" s="14" t="s">
        <v>788</v>
      </c>
      <c r="G1757" s="16">
        <f>DATE(YEAR(SUBSTITUTE(LEFT(Base_report!F1743,10),"-","/")),MONTH(SUBSTITUTE(LEFT(Base_report!F1743,10),"-","/")),DAY(SUBSTITUTE(LEFT(Base_report!F1743,10),"-","/")))</f>
        <v>45301</v>
      </c>
      <c r="H1757" s="16">
        <f>DATE(YEAR(SUBSTITUTE(LEFT(Base_report!G1743,10),"-","/")),MONTH(SUBSTITUTE(LEFT(Base_report!G1743,10),"-","/")),DAY(SUBSTITUTE(LEFT(Base_report!G1743,10),"-","/")))</f>
        <v>45301</v>
      </c>
      <c r="I1757" s="17" t="str">
        <f t="shared" si="1"/>
        <v>OUI</v>
      </c>
      <c r="J1757" s="18">
        <f>IF(L1757="DS",DATE(RIGHT(B1757,4),VLOOKUP(LEFT(B1757,LEN(B1757)-5),Feuil1!$E$3:$F$19,2,FALSE)+1,10),DATE(RIGHT(B1757,4),VLOOKUP(LEFT(B1757,LEN(B1757)-5),Feuil1!$E$3:$F$19,2,FALSE)+1,7))</f>
        <v>45298</v>
      </c>
      <c r="K1757" s="19">
        <f t="shared" si="2"/>
        <v>0</v>
      </c>
      <c r="L1757" s="6" t="str">
        <f t="shared" si="3"/>
        <v>FS</v>
      </c>
    </row>
    <row r="1758" ht="14.25" customHeight="1">
      <c r="A1758" s="14" t="str">
        <f>Base_report!A1744</f>
        <v>ME</v>
      </c>
      <c r="B1758" s="14" t="str">
        <f>Base_report!B1744</f>
        <v>OCTOBRE DECEMBRE 2023</v>
      </c>
      <c r="C1758" s="15" t="str">
        <f>Base_report!C1744</f>
        <v>C4067</v>
      </c>
      <c r="D1758" s="14" t="str">
        <f>TRIM(IF(ISNUMBER(FIND("PNSME",Base_report!D1744,1)),SUBSTITUTE(Base_report!D1744,"PNSME",""),IF(ISNUMBER(FIND("PHG",Base_report!D1744,1)),SUBSTITUTE(Base_report!D1744,"PHG",""),IF(ISNUMBER(FIND("PCS",Base_report!D1744,1)),SUBSTITUTE(Base_report!D1744,"PCS",""),IF(ISNUMBER(FIND("CMU",Base_report!D1744,1)),SUBSTITUTE(Base_report!D1744,"CMU",""),Base_report!D1744)))))</f>
        <v>CENTRE ANTITUBERCULEUX ADZOPE</v>
      </c>
      <c r="E1758" s="14" t="str">
        <f>SUBSTITUTE(Base_report!E1744,"-","/")</f>
        <v>PNLT/PRODUITS DE LABORATOIRE</v>
      </c>
      <c r="F1758" s="14" t="s">
        <v>788</v>
      </c>
      <c r="G1758" s="16">
        <f>DATE(YEAR(SUBSTITUTE(LEFT(Base_report!F1744,10),"-","/")),MONTH(SUBSTITUTE(LEFT(Base_report!F1744,10),"-","/")),DAY(SUBSTITUTE(LEFT(Base_report!F1744,10),"-","/")))</f>
        <v>45295</v>
      </c>
      <c r="H1758" s="16">
        <f>DATE(YEAR(SUBSTITUTE(LEFT(Base_report!G1744,10),"-","/")),MONTH(SUBSTITUTE(LEFT(Base_report!G1744,10),"-","/")),DAY(SUBSTITUTE(LEFT(Base_report!G1744,10),"-","/")))</f>
        <v>45299</v>
      </c>
      <c r="I1758" s="17" t="str">
        <f t="shared" si="1"/>
        <v>OUI</v>
      </c>
      <c r="J1758" s="18">
        <f>IF(L1758="DS",DATE(RIGHT(B1758,4),VLOOKUP(LEFT(B1758,LEN(B1758)-5),Feuil1!$E$3:$F$19,2,FALSE)+1,10),DATE(RIGHT(B1758,4),VLOOKUP(LEFT(B1758,LEN(B1758)-5),Feuil1!$E$3:$F$19,2,FALSE)+1,7))</f>
        <v>45298</v>
      </c>
      <c r="K1758" s="19">
        <f t="shared" si="2"/>
        <v>0</v>
      </c>
      <c r="L1758" s="6" t="str">
        <f t="shared" si="3"/>
        <v>FS</v>
      </c>
    </row>
    <row r="1759" ht="14.25" customHeight="1">
      <c r="A1759" s="14" t="str">
        <f>Base_report!A1745</f>
        <v>AGNEBY-TIASSA</v>
      </c>
      <c r="B1759" s="14" t="str">
        <f>Base_report!B1745</f>
        <v>OCTOBRE DECEMBRE 2023</v>
      </c>
      <c r="C1759" s="15" t="str">
        <f>Base_report!C1745</f>
        <v>C1751</v>
      </c>
      <c r="D1759" s="14" t="str">
        <f>TRIM(IF(ISNUMBER(FIND("PNSME",Base_report!D1745,1)),SUBSTITUTE(Base_report!D1745,"PNSME",""),IF(ISNUMBER(FIND("PHG",Base_report!D1745,1)),SUBSTITUTE(Base_report!D1745,"PHG",""),IF(ISNUMBER(FIND("PCS",Base_report!D1745,1)),SUBSTITUTE(Base_report!D1745,"PCS",""),IF(ISNUMBER(FIND("CMU",Base_report!D1745,1)),SUBSTITUTE(Base_report!D1745,"CMU",""),Base_report!D1745)))))</f>
        <v>CENTRE ANTITUBERCULEUX AGBOVILLE</v>
      </c>
      <c r="E1759" s="14" t="str">
        <f>SUBSTITUTE(Base_report!E1745,"-","/")</f>
        <v>PNLT/MULTI RESISTANTE MEDICAMENTS ET INTRANTS</v>
      </c>
      <c r="F1759" s="14" t="s">
        <v>788</v>
      </c>
      <c r="G1759" s="16">
        <f>DATE(YEAR(SUBSTITUTE(LEFT(Base_report!F1745,10),"-","/")),MONTH(SUBSTITUTE(LEFT(Base_report!F1745,10),"-","/")),DAY(SUBSTITUTE(LEFT(Base_report!F1745,10),"-","/")))</f>
        <v>45296</v>
      </c>
      <c r="H1759" s="16">
        <f>DATE(YEAR(SUBSTITUTE(LEFT(Base_report!G1745,10),"-","/")),MONTH(SUBSTITUTE(LEFT(Base_report!G1745,10),"-","/")),DAY(SUBSTITUTE(LEFT(Base_report!G1745,10),"-","/")))</f>
        <v>45296</v>
      </c>
      <c r="I1759" s="17" t="str">
        <f t="shared" si="1"/>
        <v>OUI</v>
      </c>
      <c r="J1759" s="18">
        <f>IF(L1759="DS",DATE(RIGHT(B1759,4),VLOOKUP(LEFT(B1759,LEN(B1759)-5),Feuil1!$E$3:$F$19,2,FALSE)+1,10),DATE(RIGHT(B1759,4),VLOOKUP(LEFT(B1759,LEN(B1759)-5),Feuil1!$E$3:$F$19,2,FALSE)+1,7))</f>
        <v>45298</v>
      </c>
      <c r="K1759" s="19">
        <f t="shared" si="2"/>
        <v>1</v>
      </c>
      <c r="L1759" s="6" t="str">
        <f t="shared" si="3"/>
        <v>FS</v>
      </c>
    </row>
    <row r="1760" ht="14.25" customHeight="1">
      <c r="A1760" s="14" t="str">
        <f>Base_report!A1746</f>
        <v>BELIER</v>
      </c>
      <c r="B1760" s="14" t="str">
        <f>Base_report!B1746</f>
        <v>OCTOBRE DECEMBRE 2023</v>
      </c>
      <c r="C1760" s="15" t="str">
        <f>Base_report!C1746</f>
        <v>C2173</v>
      </c>
      <c r="D1760" s="14" t="str">
        <f>TRIM(IF(ISNUMBER(FIND("PNSME",Base_report!D1746,1)),SUBSTITUTE(Base_report!D1746,"PNSME",""),IF(ISNUMBER(FIND("PHG",Base_report!D1746,1)),SUBSTITUTE(Base_report!D1746,"PHG",""),IF(ISNUMBER(FIND("PCS",Base_report!D1746,1)),SUBSTITUTE(Base_report!D1746,"PCS",""),IF(ISNUMBER(FIND("CMU",Base_report!D1746,1)),SUBSTITUTE(Base_report!D1746,"CMU",""),Base_report!D1746)))))</f>
        <v>PROJET CENTRE ANTITUBERCULEUX YAMOUSSOUKRO</v>
      </c>
      <c r="E1760" s="14" t="str">
        <f>SUBSTITUTE(Base_report!E1746,"-","/")</f>
        <v>PNLT/MULTI RESISTANTE MEDICAMENTS ET INTRANTS</v>
      </c>
      <c r="F1760" s="14" t="s">
        <v>788</v>
      </c>
      <c r="G1760" s="16">
        <f>DATE(YEAR(SUBSTITUTE(LEFT(Base_report!F1746,10),"-","/")),MONTH(SUBSTITUTE(LEFT(Base_report!F1746,10),"-","/")),DAY(SUBSTITUTE(LEFT(Base_report!F1746,10),"-","/")))</f>
        <v>45298</v>
      </c>
      <c r="H1760" s="16">
        <f>DATE(YEAR(SUBSTITUTE(LEFT(Base_report!G1746,10),"-","/")),MONTH(SUBSTITUTE(LEFT(Base_report!G1746,10),"-","/")),DAY(SUBSTITUTE(LEFT(Base_report!G1746,10),"-","/")))</f>
        <v>45298</v>
      </c>
      <c r="I1760" s="17" t="str">
        <f t="shared" si="1"/>
        <v>OUI</v>
      </c>
      <c r="J1760" s="18">
        <f>IF(L1760="DS",DATE(RIGHT(B1760,4),VLOOKUP(LEFT(B1760,LEN(B1760)-5),Feuil1!$E$3:$F$19,2,FALSE)+1,10),DATE(RIGHT(B1760,4),VLOOKUP(LEFT(B1760,LEN(B1760)-5),Feuil1!$E$3:$F$19,2,FALSE)+1,7))</f>
        <v>45298</v>
      </c>
      <c r="K1760" s="19">
        <f t="shared" si="2"/>
        <v>1</v>
      </c>
      <c r="L1760" s="6" t="str">
        <f t="shared" si="3"/>
        <v>FS</v>
      </c>
    </row>
    <row r="1761" ht="14.25" customHeight="1">
      <c r="A1761" s="14" t="str">
        <f>Base_report!A1747</f>
        <v>NAWA</v>
      </c>
      <c r="B1761" s="14" t="str">
        <f>Base_report!B1747</f>
        <v>OCTOBRE DECEMBRE 2023</v>
      </c>
      <c r="C1761" s="15" t="str">
        <f>Base_report!C1747</f>
        <v>C2213</v>
      </c>
      <c r="D1761" s="14" t="str">
        <f>TRIM(IF(ISNUMBER(FIND("PNSME",Base_report!D1747,1)),SUBSTITUTE(Base_report!D1747,"PNSME",""),IF(ISNUMBER(FIND("PHG",Base_report!D1747,1)),SUBSTITUTE(Base_report!D1747,"PHG",""),IF(ISNUMBER(FIND("PCS",Base_report!D1747,1)),SUBSTITUTE(Base_report!D1747,"PCS",""),IF(ISNUMBER(FIND("CMU",Base_report!D1747,1)),SUBSTITUTE(Base_report!D1747,"CMU",""),Base_report!D1747)))))</f>
        <v>DISTRICT SANITAIRE BUYO</v>
      </c>
      <c r="E1761" s="14" t="str">
        <f>SUBSTITUTE(Base_report!E1747,"-","/")</f>
        <v>PNLT/SENSIBLE MEDICAMENTS ET INTRANTS</v>
      </c>
      <c r="F1761" s="14" t="s">
        <v>788</v>
      </c>
      <c r="G1761" s="16">
        <f>DATE(YEAR(SUBSTITUTE(LEFT(Base_report!F1747,10),"-","/")),MONTH(SUBSTITUTE(LEFT(Base_report!F1747,10),"-","/")),DAY(SUBSTITUTE(LEFT(Base_report!F1747,10),"-","/")))</f>
        <v>45301</v>
      </c>
      <c r="H1761" s="16">
        <f>DATE(YEAR(SUBSTITUTE(LEFT(Base_report!G1747,10),"-","/")),MONTH(SUBSTITUTE(LEFT(Base_report!G1747,10),"-","/")),DAY(SUBSTITUTE(LEFT(Base_report!G1747,10),"-","/")))</f>
        <v>45301</v>
      </c>
      <c r="I1761" s="17" t="str">
        <f t="shared" si="1"/>
        <v>OUI</v>
      </c>
      <c r="J1761" s="18">
        <f>IF(L1761="DS",DATE(RIGHT(B1761,4),VLOOKUP(LEFT(B1761,LEN(B1761)-5),Feuil1!$E$3:$F$19,2,FALSE)+1,10),DATE(RIGHT(B1761,4),VLOOKUP(LEFT(B1761,LEN(B1761)-5),Feuil1!$E$3:$F$19,2,FALSE)+1,7))</f>
        <v>45301</v>
      </c>
      <c r="K1761" s="19">
        <f t="shared" si="2"/>
        <v>1</v>
      </c>
      <c r="L1761" s="6" t="str">
        <f t="shared" si="3"/>
        <v>DS</v>
      </c>
    </row>
    <row r="1762" ht="14.25" customHeight="1">
      <c r="A1762" s="14" t="str">
        <f>Base_report!A1748</f>
        <v>HAMBOL</v>
      </c>
      <c r="B1762" s="14" t="str">
        <f>Base_report!B1748</f>
        <v>OCTOBRE DECEMBRE 2023</v>
      </c>
      <c r="C1762" s="15" t="str">
        <f>Base_report!C1748</f>
        <v>C3049</v>
      </c>
      <c r="D1762" s="14" t="str">
        <f>TRIM(IF(ISNUMBER(FIND("PNSME",Base_report!D1748,1)),SUBSTITUTE(Base_report!D1748,"PNSME",""),IF(ISNUMBER(FIND("PHG",Base_report!D1748,1)),SUBSTITUTE(Base_report!D1748,"PHG",""),IF(ISNUMBER(FIND("PCS",Base_report!D1748,1)),SUBSTITUTE(Base_report!D1748,"PCS",""),IF(ISNUMBER(FIND("CMU",Base_report!D1748,1)),SUBSTITUTE(Base_report!D1748,"CMU",""),Base_report!D1748)))))</f>
        <v>CENTRE ANTITUBERCULEUX KATIOLA</v>
      </c>
      <c r="E1762" s="14" t="str">
        <f>SUBSTITUTE(Base_report!E1748,"-","/")</f>
        <v>PNLT/PRODUITS DE LABORATOIRE</v>
      </c>
      <c r="F1762" s="14" t="s">
        <v>788</v>
      </c>
      <c r="G1762" s="16">
        <f>DATE(YEAR(SUBSTITUTE(LEFT(Base_report!F1748,10),"-","/")),MONTH(SUBSTITUTE(LEFT(Base_report!F1748,10),"-","/")),DAY(SUBSTITUTE(LEFT(Base_report!F1748,10),"-","/")))</f>
        <v>45298</v>
      </c>
      <c r="H1762" s="16">
        <f>DATE(YEAR(SUBSTITUTE(LEFT(Base_report!G1748,10),"-","/")),MONTH(SUBSTITUTE(LEFT(Base_report!G1748,10),"-","/")),DAY(SUBSTITUTE(LEFT(Base_report!G1748,10),"-","/")))</f>
        <v>45298</v>
      </c>
      <c r="I1762" s="17" t="str">
        <f t="shared" si="1"/>
        <v>OUI</v>
      </c>
      <c r="J1762" s="18">
        <f>IF(L1762="DS",DATE(RIGHT(B1762,4),VLOOKUP(LEFT(B1762,LEN(B1762)-5),Feuil1!$E$3:$F$19,2,FALSE)+1,10),DATE(RIGHT(B1762,4),VLOOKUP(LEFT(B1762,LEN(B1762)-5),Feuil1!$E$3:$F$19,2,FALSE)+1,7))</f>
        <v>45298</v>
      </c>
      <c r="K1762" s="19">
        <f t="shared" si="2"/>
        <v>1</v>
      </c>
      <c r="L1762" s="6" t="str">
        <f t="shared" si="3"/>
        <v>FS</v>
      </c>
    </row>
    <row r="1763" ht="14.25" customHeight="1">
      <c r="A1763" s="14" t="str">
        <f>Base_report!A1749</f>
        <v>HAUT-SASSANDRA</v>
      </c>
      <c r="B1763" s="14" t="str">
        <f>Base_report!B1749</f>
        <v>OCTOBRE DECEMBRE 2023</v>
      </c>
      <c r="C1763" s="15" t="str">
        <f>Base_report!C1749</f>
        <v>C2056</v>
      </c>
      <c r="D1763" s="14" t="str">
        <f>TRIM(IF(ISNUMBER(FIND("PNSME",Base_report!D1749,1)),SUBSTITUTE(Base_report!D1749,"PNSME",""),IF(ISNUMBER(FIND("PHG",Base_report!D1749,1)),SUBSTITUTE(Base_report!D1749,"PHG",""),IF(ISNUMBER(FIND("PCS",Base_report!D1749,1)),SUBSTITUTE(Base_report!D1749,"PCS",""),IF(ISNUMBER(FIND("CMU",Base_report!D1749,1)),SUBSTITUTE(Base_report!D1749,"CMU",""),Base_report!D1749)))))</f>
        <v>HOPITAL GENERAL ISSIA</v>
      </c>
      <c r="E1763" s="14" t="str">
        <f>SUBSTITUTE(Base_report!E1749,"-","/")</f>
        <v>PNLT/SENSIBLE MEDICAMENTS ET INTRANTS</v>
      </c>
      <c r="F1763" s="14" t="s">
        <v>788</v>
      </c>
      <c r="G1763" s="16">
        <f>DATE(YEAR(SUBSTITUTE(LEFT(Base_report!F1749,10),"-","/")),MONTH(SUBSTITUTE(LEFT(Base_report!F1749,10),"-","/")),DAY(SUBSTITUTE(LEFT(Base_report!F1749,10),"-","/")))</f>
        <v>45296</v>
      </c>
      <c r="H1763" s="16">
        <f>DATE(YEAR(SUBSTITUTE(LEFT(Base_report!G1749,10),"-","/")),MONTH(SUBSTITUTE(LEFT(Base_report!G1749,10),"-","/")),DAY(SUBSTITUTE(LEFT(Base_report!G1749,10),"-","/")))</f>
        <v>45296</v>
      </c>
      <c r="I1763" s="17" t="str">
        <f t="shared" si="1"/>
        <v>OUI</v>
      </c>
      <c r="J1763" s="18">
        <f>IF(L1763="DS",DATE(RIGHT(B1763,4),VLOOKUP(LEFT(B1763,LEN(B1763)-5),Feuil1!$E$3:$F$19,2,FALSE)+1,10),DATE(RIGHT(B1763,4),VLOOKUP(LEFT(B1763,LEN(B1763)-5),Feuil1!$E$3:$F$19,2,FALSE)+1,7))</f>
        <v>45298</v>
      </c>
      <c r="K1763" s="19">
        <f t="shared" si="2"/>
        <v>1</v>
      </c>
      <c r="L1763" s="6" t="str">
        <f t="shared" si="3"/>
        <v>FS</v>
      </c>
    </row>
    <row r="1764" ht="14.25" customHeight="1">
      <c r="A1764" s="14" t="str">
        <f>Base_report!A1750</f>
        <v>HAMBOL</v>
      </c>
      <c r="B1764" s="14" t="str">
        <f>Base_report!B1750</f>
        <v>OCTOBRE DECEMBRE 2023</v>
      </c>
      <c r="C1764" s="15" t="str">
        <f>Base_report!C1750</f>
        <v>C3049</v>
      </c>
      <c r="D1764" s="14" t="str">
        <f>TRIM(IF(ISNUMBER(FIND("PNSME",Base_report!D1750,1)),SUBSTITUTE(Base_report!D1750,"PNSME",""),IF(ISNUMBER(FIND("PHG",Base_report!D1750,1)),SUBSTITUTE(Base_report!D1750,"PHG",""),IF(ISNUMBER(FIND("PCS",Base_report!D1750,1)),SUBSTITUTE(Base_report!D1750,"PCS",""),IF(ISNUMBER(FIND("CMU",Base_report!D1750,1)),SUBSTITUTE(Base_report!D1750,"CMU",""),Base_report!D1750)))))</f>
        <v>CENTRE ANTITUBERCULEUX KATIOLA</v>
      </c>
      <c r="E1764" s="14" t="str">
        <f>SUBSTITUTE(Base_report!E1750,"-","/")</f>
        <v>PNLT/SENSIBLE MEDICAMENTS ET INTRANTS</v>
      </c>
      <c r="F1764" s="14" t="s">
        <v>788</v>
      </c>
      <c r="G1764" s="16">
        <f>DATE(YEAR(SUBSTITUTE(LEFT(Base_report!F1750,10),"-","/")),MONTH(SUBSTITUTE(LEFT(Base_report!F1750,10),"-","/")),DAY(SUBSTITUTE(LEFT(Base_report!F1750,10),"-","/")))</f>
        <v>45298</v>
      </c>
      <c r="H1764" s="16">
        <f>DATE(YEAR(SUBSTITUTE(LEFT(Base_report!G1750,10),"-","/")),MONTH(SUBSTITUTE(LEFT(Base_report!G1750,10),"-","/")),DAY(SUBSTITUTE(LEFT(Base_report!G1750,10),"-","/")))</f>
        <v>45298</v>
      </c>
      <c r="I1764" s="17" t="str">
        <f t="shared" si="1"/>
        <v>OUI</v>
      </c>
      <c r="J1764" s="18">
        <f>IF(L1764="DS",DATE(RIGHT(B1764,4),VLOOKUP(LEFT(B1764,LEN(B1764)-5),Feuil1!$E$3:$F$19,2,FALSE)+1,10),DATE(RIGHT(B1764,4),VLOOKUP(LEFT(B1764,LEN(B1764)-5),Feuil1!$E$3:$F$19,2,FALSE)+1,7))</f>
        <v>45298</v>
      </c>
      <c r="K1764" s="19">
        <f t="shared" si="2"/>
        <v>1</v>
      </c>
      <c r="L1764" s="6" t="str">
        <f t="shared" si="3"/>
        <v>FS</v>
      </c>
    </row>
    <row r="1765" ht="14.25" customHeight="1">
      <c r="A1765" s="14" t="str">
        <f>Base_report!A1751</f>
        <v>ABIDJAN 1</v>
      </c>
      <c r="B1765" s="14" t="str">
        <f>Base_report!B1751</f>
        <v>OCTOBRE DECEMBRE 2023</v>
      </c>
      <c r="C1765" s="15" t="str">
        <f>Base_report!C1751</f>
        <v>C1680</v>
      </c>
      <c r="D1765" s="14" t="str">
        <f>TRIM(IF(ISNUMBER(FIND("PNSME",Base_report!D1751,1)),SUBSTITUTE(Base_report!D1751,"PNSME",""),IF(ISNUMBER(FIND("PHG",Base_report!D1751,1)),SUBSTITUTE(Base_report!D1751,"PHG",""),IF(ISNUMBER(FIND("PCS",Base_report!D1751,1)),SUBSTITUTE(Base_report!D1751,"PCS",""),IF(ISNUMBER(FIND("CMU",Base_report!D1751,1)),SUBSTITUTE(Base_report!D1751,"CMU",""),Base_report!D1751)))))</f>
        <v>CENTRE ANTITUBERCULEUX ABOBO</v>
      </c>
      <c r="E1765" s="14" t="str">
        <f>SUBSTITUTE(Base_report!E1751,"-","/")</f>
        <v>PNLT/SENSIBLE MEDICAMENTS ET INTRANTS</v>
      </c>
      <c r="F1765" s="14" t="s">
        <v>788</v>
      </c>
      <c r="G1765" s="16">
        <f>DATE(YEAR(SUBSTITUTE(LEFT(Base_report!F1751,10),"-","/")),MONTH(SUBSTITUTE(LEFT(Base_report!F1751,10),"-","/")),DAY(SUBSTITUTE(LEFT(Base_report!F1751,10),"-","/")))</f>
        <v>45296</v>
      </c>
      <c r="H1765" s="16">
        <f>DATE(YEAR(SUBSTITUTE(LEFT(Base_report!G1751,10),"-","/")),MONTH(SUBSTITUTE(LEFT(Base_report!G1751,10),"-","/")),DAY(SUBSTITUTE(LEFT(Base_report!G1751,10),"-","/")))</f>
        <v>45296</v>
      </c>
      <c r="I1765" s="17" t="str">
        <f t="shared" si="1"/>
        <v>OUI</v>
      </c>
      <c r="J1765" s="18">
        <f>IF(L1765="DS",DATE(RIGHT(B1765,4),VLOOKUP(LEFT(B1765,LEN(B1765)-5),Feuil1!$E$3:$F$19,2,FALSE)+1,10),DATE(RIGHT(B1765,4),VLOOKUP(LEFT(B1765,LEN(B1765)-5),Feuil1!$E$3:$F$19,2,FALSE)+1,7))</f>
        <v>45298</v>
      </c>
      <c r="K1765" s="19">
        <f t="shared" si="2"/>
        <v>1</v>
      </c>
      <c r="L1765" s="6" t="str">
        <f t="shared" si="3"/>
        <v>FS</v>
      </c>
    </row>
    <row r="1766" ht="14.25" customHeight="1">
      <c r="A1766" s="14" t="str">
        <f>Base_report!A1752</f>
        <v>MARAHOUE</v>
      </c>
      <c r="B1766" s="14" t="str">
        <f>Base_report!B1752</f>
        <v>OCTOBRE DECEMBRE 2023</v>
      </c>
      <c r="C1766" s="15" t="str">
        <f>Base_report!C1752</f>
        <v>C2191</v>
      </c>
      <c r="D1766" s="14" t="str">
        <f>TRIM(IF(ISNUMBER(FIND("PNSME",Base_report!D1752,1)),SUBSTITUTE(Base_report!D1752,"PNSME",""),IF(ISNUMBER(FIND("PHG",Base_report!D1752,1)),SUBSTITUTE(Base_report!D1752,"PHG",""),IF(ISNUMBER(FIND("PCS",Base_report!D1752,1)),SUBSTITUTE(Base_report!D1752,"PCS",""),IF(ISNUMBER(FIND("CMU",Base_report!D1752,1)),SUBSTITUTE(Base_report!D1752,"CMU",""),Base_report!D1752)))))</f>
        <v>CENTRE ANTITUBERCULEUX BOUAFLE</v>
      </c>
      <c r="E1766" s="14" t="str">
        <f>SUBSTITUTE(Base_report!E1752,"-","/")</f>
        <v>PNLT/SENSIBLE MEDICAMENTS ET INTRANTS</v>
      </c>
      <c r="F1766" s="14" t="s">
        <v>788</v>
      </c>
      <c r="G1766" s="16">
        <f>DATE(YEAR(SUBSTITUTE(LEFT(Base_report!F1752,10),"-","/")),MONTH(SUBSTITUTE(LEFT(Base_report!F1752,10),"-","/")),DAY(SUBSTITUTE(LEFT(Base_report!F1752,10),"-","/")))</f>
        <v>45298</v>
      </c>
      <c r="H1766" s="16">
        <f>DATE(YEAR(SUBSTITUTE(LEFT(Base_report!G1752,10),"-","/")),MONTH(SUBSTITUTE(LEFT(Base_report!G1752,10),"-","/")),DAY(SUBSTITUTE(LEFT(Base_report!G1752,10),"-","/")))</f>
        <v>45298</v>
      </c>
      <c r="I1766" s="17" t="str">
        <f t="shared" si="1"/>
        <v>OUI</v>
      </c>
      <c r="J1766" s="18">
        <f>IF(L1766="DS",DATE(RIGHT(B1766,4),VLOOKUP(LEFT(B1766,LEN(B1766)-5),Feuil1!$E$3:$F$19,2,FALSE)+1,10),DATE(RIGHT(B1766,4),VLOOKUP(LEFT(B1766,LEN(B1766)-5),Feuil1!$E$3:$F$19,2,FALSE)+1,7))</f>
        <v>45298</v>
      </c>
      <c r="K1766" s="19">
        <f t="shared" si="2"/>
        <v>1</v>
      </c>
      <c r="L1766" s="6" t="str">
        <f t="shared" si="3"/>
        <v>FS</v>
      </c>
    </row>
    <row r="1767" ht="14.25" customHeight="1">
      <c r="A1767" s="14" t="str">
        <f>Base_report!A1753</f>
        <v>BAFING</v>
      </c>
      <c r="B1767" s="14" t="str">
        <f>Base_report!B1753</f>
        <v>OCTOBRE DECEMBRE 2023</v>
      </c>
      <c r="C1767" s="15" t="str">
        <f>Base_report!C1753</f>
        <v>C5094</v>
      </c>
      <c r="D1767" s="14" t="str">
        <f>TRIM(IF(ISNUMBER(FIND("PNSME",Base_report!D1753,1)),SUBSTITUTE(Base_report!D1753,"PNSME",""),IF(ISNUMBER(FIND("PHG",Base_report!D1753,1)),SUBSTITUTE(Base_report!D1753,"PHG",""),IF(ISNUMBER(FIND("PCS",Base_report!D1753,1)),SUBSTITUTE(Base_report!D1753,"PCS",""),IF(ISNUMBER(FIND("CMU",Base_report!D1753,1)),SUBSTITUTE(Base_report!D1753,"CMU",""),Base_report!D1753)))))</f>
        <v>CENTRE ANTITUBERCULEUX TOUBA</v>
      </c>
      <c r="E1767" s="14" t="str">
        <f>SUBSTITUTE(Base_report!E1753,"-","/")</f>
        <v>PNLT/SENSIBLE MEDICAMENTS ET INTRANTS</v>
      </c>
      <c r="F1767" s="14" t="s">
        <v>788</v>
      </c>
      <c r="G1767" s="16">
        <f>DATE(YEAR(SUBSTITUTE(LEFT(Base_report!F1753,10),"-","/")),MONTH(SUBSTITUTE(LEFT(Base_report!F1753,10),"-","/")),DAY(SUBSTITUTE(LEFT(Base_report!F1753,10),"-","/")))</f>
        <v>45297</v>
      </c>
      <c r="H1767" s="16">
        <f>DATE(YEAR(SUBSTITUTE(LEFT(Base_report!G1753,10),"-","/")),MONTH(SUBSTITUTE(LEFT(Base_report!G1753,10),"-","/")),DAY(SUBSTITUTE(LEFT(Base_report!G1753,10),"-","/")))</f>
        <v>45297</v>
      </c>
      <c r="I1767" s="17" t="str">
        <f t="shared" si="1"/>
        <v>OUI</v>
      </c>
      <c r="J1767" s="18">
        <f>IF(L1767="DS",DATE(RIGHT(B1767,4),VLOOKUP(LEFT(B1767,LEN(B1767)-5),Feuil1!$E$3:$F$19,2,FALSE)+1,10),DATE(RIGHT(B1767,4),VLOOKUP(LEFT(B1767,LEN(B1767)-5),Feuil1!$E$3:$F$19,2,FALSE)+1,7))</f>
        <v>45298</v>
      </c>
      <c r="K1767" s="19">
        <f t="shared" si="2"/>
        <v>1</v>
      </c>
      <c r="L1767" s="6" t="str">
        <f t="shared" si="3"/>
        <v>FS</v>
      </c>
    </row>
    <row r="1768" ht="14.25" customHeight="1">
      <c r="A1768" s="14" t="str">
        <f>Base_report!A1754</f>
        <v>GOH</v>
      </c>
      <c r="B1768" s="14" t="str">
        <f>Base_report!B1754</f>
        <v>OCTOBRE DECEMBRE 2023</v>
      </c>
      <c r="C1768" s="15" t="str">
        <f>Base_report!C1754</f>
        <v>C2001</v>
      </c>
      <c r="D1768" s="14" t="str">
        <f>TRIM(IF(ISNUMBER(FIND("PNSME",Base_report!D1754,1)),SUBSTITUTE(Base_report!D1754,"PNSME",""),IF(ISNUMBER(FIND("PHG",Base_report!D1754,1)),SUBSTITUTE(Base_report!D1754,"PHG",""),IF(ISNUMBER(FIND("PCS",Base_report!D1754,1)),SUBSTITUTE(Base_report!D1754,"PCS",""),IF(ISNUMBER(FIND("CMU",Base_report!D1754,1)),SUBSTITUTE(Base_report!D1754,"CMU",""),Base_report!D1754)))))</f>
        <v>CENTRE ANTITUBERCULEUX GAGNOA</v>
      </c>
      <c r="E1768" s="14" t="str">
        <f>SUBSTITUTE(Base_report!E1754,"-","/")</f>
        <v>PNLT/MULTI RESISTANTE MEDICAMENTS ET INTRANTS</v>
      </c>
      <c r="F1768" s="14" t="s">
        <v>788</v>
      </c>
      <c r="G1768" s="16">
        <f>DATE(YEAR(SUBSTITUTE(LEFT(Base_report!F1754,10),"-","/")),MONTH(SUBSTITUTE(LEFT(Base_report!F1754,10),"-","/")),DAY(SUBSTITUTE(LEFT(Base_report!F1754,10),"-","/")))</f>
        <v>45296</v>
      </c>
      <c r="H1768" s="16">
        <f>DATE(YEAR(SUBSTITUTE(LEFT(Base_report!G1754,10),"-","/")),MONTH(SUBSTITUTE(LEFT(Base_report!G1754,10),"-","/")),DAY(SUBSTITUTE(LEFT(Base_report!G1754,10),"-","/")))</f>
        <v>45296</v>
      </c>
      <c r="I1768" s="17" t="str">
        <f t="shared" si="1"/>
        <v>OUI</v>
      </c>
      <c r="J1768" s="18">
        <f>IF(L1768="DS",DATE(RIGHT(B1768,4),VLOOKUP(LEFT(B1768,LEN(B1768)-5),Feuil1!$E$3:$F$19,2,FALSE)+1,10),DATE(RIGHT(B1768,4),VLOOKUP(LEFT(B1768,LEN(B1768)-5),Feuil1!$E$3:$F$19,2,FALSE)+1,7))</f>
        <v>45298</v>
      </c>
      <c r="K1768" s="19">
        <f t="shared" si="2"/>
        <v>1</v>
      </c>
      <c r="L1768" s="6" t="str">
        <f t="shared" si="3"/>
        <v>FS</v>
      </c>
    </row>
    <row r="1769" ht="14.25" customHeight="1">
      <c r="A1769" s="14" t="str">
        <f>Base_report!A1755</f>
        <v>SAN PEDRO</v>
      </c>
      <c r="B1769" s="14" t="str">
        <f>Base_report!B1755</f>
        <v>OCTOBRE DECEMBRE 2023</v>
      </c>
      <c r="C1769" s="15" t="str">
        <f>Base_report!C1755</f>
        <v>C2066</v>
      </c>
      <c r="D1769" s="14" t="str">
        <f>TRIM(IF(ISNUMBER(FIND("PNSME",Base_report!D1755,1)),SUBSTITUTE(Base_report!D1755,"PNSME",""),IF(ISNUMBER(FIND("PHG",Base_report!D1755,1)),SUBSTITUTE(Base_report!D1755,"PHG",""),IF(ISNUMBER(FIND("PCS",Base_report!D1755,1)),SUBSTITUTE(Base_report!D1755,"PCS",""),IF(ISNUMBER(FIND("CMU",Base_report!D1755,1)),SUBSTITUTE(Base_report!D1755,"CMU",""),Base_report!D1755)))))</f>
        <v>HOPITAL GENERAL TABOU</v>
      </c>
      <c r="E1769" s="14" t="str">
        <f>SUBSTITUTE(Base_report!E1755,"-","/")</f>
        <v>PNLT/SENSIBLE MEDICAMENTS ET INTRANTS</v>
      </c>
      <c r="F1769" s="14" t="s">
        <v>788</v>
      </c>
      <c r="G1769" s="16">
        <f>DATE(YEAR(SUBSTITUTE(LEFT(Base_report!F1755,10),"-","/")),MONTH(SUBSTITUTE(LEFT(Base_report!F1755,10),"-","/")),DAY(SUBSTITUTE(LEFT(Base_report!F1755,10),"-","/")))</f>
        <v>45296</v>
      </c>
      <c r="H1769" s="16">
        <f>DATE(YEAR(SUBSTITUTE(LEFT(Base_report!G1755,10),"-","/")),MONTH(SUBSTITUTE(LEFT(Base_report!G1755,10),"-","/")),DAY(SUBSTITUTE(LEFT(Base_report!G1755,10),"-","/")))</f>
        <v>45298</v>
      </c>
      <c r="I1769" s="17" t="str">
        <f t="shared" si="1"/>
        <v>OUI</v>
      </c>
      <c r="J1769" s="18">
        <f>IF(L1769="DS",DATE(RIGHT(B1769,4),VLOOKUP(LEFT(B1769,LEN(B1769)-5),Feuil1!$E$3:$F$19,2,FALSE)+1,10),DATE(RIGHT(B1769,4),VLOOKUP(LEFT(B1769,LEN(B1769)-5),Feuil1!$E$3:$F$19,2,FALSE)+1,7))</f>
        <v>45298</v>
      </c>
      <c r="K1769" s="19">
        <f t="shared" si="2"/>
        <v>1</v>
      </c>
      <c r="L1769" s="6" t="str">
        <f t="shared" si="3"/>
        <v>FS</v>
      </c>
    </row>
    <row r="1770" ht="14.25" customHeight="1">
      <c r="A1770" s="14" t="str">
        <f>Base_report!A1756</f>
        <v>GOH</v>
      </c>
      <c r="B1770" s="14" t="str">
        <f>Base_report!B1756</f>
        <v>OCTOBRE DECEMBRE 2023</v>
      </c>
      <c r="C1770" s="15" t="str">
        <f>Base_report!C1756</f>
        <v>C2001</v>
      </c>
      <c r="D1770" s="14" t="str">
        <f>TRIM(IF(ISNUMBER(FIND("PNSME",Base_report!D1756,1)),SUBSTITUTE(Base_report!D1756,"PNSME",""),IF(ISNUMBER(FIND("PHG",Base_report!D1756,1)),SUBSTITUTE(Base_report!D1756,"PHG",""),IF(ISNUMBER(FIND("PCS",Base_report!D1756,1)),SUBSTITUTE(Base_report!D1756,"PCS",""),IF(ISNUMBER(FIND("CMU",Base_report!D1756,1)),SUBSTITUTE(Base_report!D1756,"CMU",""),Base_report!D1756)))))</f>
        <v>CENTRE ANTITUBERCULEUX GAGNOA</v>
      </c>
      <c r="E1770" s="14" t="str">
        <f>SUBSTITUTE(Base_report!E1756,"-","/")</f>
        <v>PNLT/SENSIBLE MEDICAMENTS ET INTRANTS</v>
      </c>
      <c r="F1770" s="14" t="s">
        <v>788</v>
      </c>
      <c r="G1770" s="16">
        <f>DATE(YEAR(SUBSTITUTE(LEFT(Base_report!F1756,10),"-","/")),MONTH(SUBSTITUTE(LEFT(Base_report!F1756,10),"-","/")),DAY(SUBSTITUTE(LEFT(Base_report!F1756,10),"-","/")))</f>
        <v>45296</v>
      </c>
      <c r="H1770" s="16">
        <f>DATE(YEAR(SUBSTITUTE(LEFT(Base_report!G1756,10),"-","/")),MONTH(SUBSTITUTE(LEFT(Base_report!G1756,10),"-","/")),DAY(SUBSTITUTE(LEFT(Base_report!G1756,10),"-","/")))</f>
        <v>45296</v>
      </c>
      <c r="I1770" s="17" t="str">
        <f t="shared" si="1"/>
        <v>OUI</v>
      </c>
      <c r="J1770" s="18">
        <f>IF(L1770="DS",DATE(RIGHT(B1770,4),VLOOKUP(LEFT(B1770,LEN(B1770)-5),Feuil1!$E$3:$F$19,2,FALSE)+1,10),DATE(RIGHT(B1770,4),VLOOKUP(LEFT(B1770,LEN(B1770)-5),Feuil1!$E$3:$F$19,2,FALSE)+1,7))</f>
        <v>45298</v>
      </c>
      <c r="K1770" s="19">
        <f t="shared" si="2"/>
        <v>1</v>
      </c>
      <c r="L1770" s="6" t="str">
        <f t="shared" si="3"/>
        <v>FS</v>
      </c>
    </row>
    <row r="1771" ht="14.25" customHeight="1">
      <c r="A1771" s="14" t="str">
        <f>Base_report!A1757</f>
        <v>BAFING</v>
      </c>
      <c r="B1771" s="14" t="str">
        <f>Base_report!B1757</f>
        <v>OCTOBRE DECEMBRE 2023</v>
      </c>
      <c r="C1771" s="15" t="str">
        <f>Base_report!C1757</f>
        <v>C5094</v>
      </c>
      <c r="D1771" s="14" t="str">
        <f>TRIM(IF(ISNUMBER(FIND("PNSME",Base_report!D1757,1)),SUBSTITUTE(Base_report!D1757,"PNSME",""),IF(ISNUMBER(FIND("PHG",Base_report!D1757,1)),SUBSTITUTE(Base_report!D1757,"PHG",""),IF(ISNUMBER(FIND("PCS",Base_report!D1757,1)),SUBSTITUTE(Base_report!D1757,"PCS",""),IF(ISNUMBER(FIND("CMU",Base_report!D1757,1)),SUBSTITUTE(Base_report!D1757,"CMU",""),Base_report!D1757)))))</f>
        <v>CENTRE ANTITUBERCULEUX TOUBA</v>
      </c>
      <c r="E1771" s="14" t="str">
        <f>SUBSTITUTE(Base_report!E1757,"-","/")</f>
        <v>PNLT/MULTI RESISTANTE MEDICAMENTS ET INTRANTS</v>
      </c>
      <c r="F1771" s="14" t="s">
        <v>788</v>
      </c>
      <c r="G1771" s="16">
        <f>DATE(YEAR(SUBSTITUTE(LEFT(Base_report!F1757,10),"-","/")),MONTH(SUBSTITUTE(LEFT(Base_report!F1757,10),"-","/")),DAY(SUBSTITUTE(LEFT(Base_report!F1757,10),"-","/")))</f>
        <v>45297</v>
      </c>
      <c r="H1771" s="16">
        <f>DATE(YEAR(SUBSTITUTE(LEFT(Base_report!G1757,10),"-","/")),MONTH(SUBSTITUTE(LEFT(Base_report!G1757,10),"-","/")),DAY(SUBSTITUTE(LEFT(Base_report!G1757,10),"-","/")))</f>
        <v>45297</v>
      </c>
      <c r="I1771" s="17" t="str">
        <f t="shared" si="1"/>
        <v>OUI</v>
      </c>
      <c r="J1771" s="18">
        <f>IF(L1771="DS",DATE(RIGHT(B1771,4),VLOOKUP(LEFT(B1771,LEN(B1771)-5),Feuil1!$E$3:$F$19,2,FALSE)+1,10),DATE(RIGHT(B1771,4),VLOOKUP(LEFT(B1771,LEN(B1771)-5),Feuil1!$E$3:$F$19,2,FALSE)+1,7))</f>
        <v>45298</v>
      </c>
      <c r="K1771" s="19">
        <f t="shared" si="2"/>
        <v>1</v>
      </c>
      <c r="L1771" s="6" t="str">
        <f t="shared" si="3"/>
        <v>FS</v>
      </c>
    </row>
    <row r="1772" ht="14.25" customHeight="1">
      <c r="A1772" s="14" t="str">
        <f>Base_report!A1758</f>
        <v>PORO</v>
      </c>
      <c r="B1772" s="14" t="str">
        <f>Base_report!B1758</f>
        <v>OCTOBRE DECEMBRE 2023</v>
      </c>
      <c r="C1772" s="15" t="str">
        <f>Base_report!C1758</f>
        <v>C2175</v>
      </c>
      <c r="D1772" s="14" t="str">
        <f>TRIM(IF(ISNUMBER(FIND("PNSME",Base_report!D1758,1)),SUBSTITUTE(Base_report!D1758,"PNSME",""),IF(ISNUMBER(FIND("PHG",Base_report!D1758,1)),SUBSTITUTE(Base_report!D1758,"PHG",""),IF(ISNUMBER(FIND("PCS",Base_report!D1758,1)),SUBSTITUTE(Base_report!D1758,"PCS",""),IF(ISNUMBER(FIND("CMU",Base_report!D1758,1)),SUBSTITUTE(Base_report!D1758,"CMU",""),Base_report!D1758)))))</f>
        <v>CENTRE ANTITUBERCULEUX KORHOGO</v>
      </c>
      <c r="E1772" s="14" t="str">
        <f>SUBSTITUTE(Base_report!E1758,"-","/")</f>
        <v>PNLT/PRODUITS DE LABORATOIRE</v>
      </c>
      <c r="F1772" s="14" t="s">
        <v>788</v>
      </c>
      <c r="G1772" s="16">
        <f>DATE(YEAR(SUBSTITUTE(LEFT(Base_report!F1758,10),"-","/")),MONTH(SUBSTITUTE(LEFT(Base_report!F1758,10),"-","/")),DAY(SUBSTITUTE(LEFT(Base_report!F1758,10),"-","/")))</f>
        <v>45301</v>
      </c>
      <c r="H1772" s="16">
        <f>DATE(YEAR(SUBSTITUTE(LEFT(Base_report!G1758,10),"-","/")),MONTH(SUBSTITUTE(LEFT(Base_report!G1758,10),"-","/")),DAY(SUBSTITUTE(LEFT(Base_report!G1758,10),"-","/")))</f>
        <v>45301</v>
      </c>
      <c r="I1772" s="17" t="str">
        <f t="shared" si="1"/>
        <v>OUI</v>
      </c>
      <c r="J1772" s="18">
        <f>IF(L1772="DS",DATE(RIGHT(B1772,4),VLOOKUP(LEFT(B1772,LEN(B1772)-5),Feuil1!$E$3:$F$19,2,FALSE)+1,10),DATE(RIGHT(B1772,4),VLOOKUP(LEFT(B1772,LEN(B1772)-5),Feuil1!$E$3:$F$19,2,FALSE)+1,7))</f>
        <v>45298</v>
      </c>
      <c r="K1772" s="19">
        <f t="shared" si="2"/>
        <v>0</v>
      </c>
      <c r="L1772" s="6" t="str">
        <f t="shared" si="3"/>
        <v>FS</v>
      </c>
    </row>
    <row r="1773" ht="14.25" customHeight="1">
      <c r="A1773" s="14" t="str">
        <f>Base_report!A1759</f>
        <v>BAFING</v>
      </c>
      <c r="B1773" s="14" t="str">
        <f>Base_report!B1759</f>
        <v>OCTOBRE DECEMBRE 2023</v>
      </c>
      <c r="C1773" s="15" t="str">
        <f>Base_report!C1759</f>
        <v>C5094</v>
      </c>
      <c r="D1773" s="14" t="str">
        <f>TRIM(IF(ISNUMBER(FIND("PNSME",Base_report!D1759,1)),SUBSTITUTE(Base_report!D1759,"PNSME",""),IF(ISNUMBER(FIND("PHG",Base_report!D1759,1)),SUBSTITUTE(Base_report!D1759,"PHG",""),IF(ISNUMBER(FIND("PCS",Base_report!D1759,1)),SUBSTITUTE(Base_report!D1759,"PCS",""),IF(ISNUMBER(FIND("CMU",Base_report!D1759,1)),SUBSTITUTE(Base_report!D1759,"CMU",""),Base_report!D1759)))))</f>
        <v>CENTRE ANTITUBERCULEUX TOUBA</v>
      </c>
      <c r="E1773" s="14" t="str">
        <f>SUBSTITUTE(Base_report!E1759,"-","/")</f>
        <v>PNLT/PRODUITS DE LABORATOIRE</v>
      </c>
      <c r="F1773" s="14" t="s">
        <v>788</v>
      </c>
      <c r="G1773" s="16">
        <f>DATE(YEAR(SUBSTITUTE(LEFT(Base_report!F1759,10),"-","/")),MONTH(SUBSTITUTE(LEFT(Base_report!F1759,10),"-","/")),DAY(SUBSTITUTE(LEFT(Base_report!F1759,10),"-","/")))</f>
        <v>45296</v>
      </c>
      <c r="H1773" s="16">
        <f>DATE(YEAR(SUBSTITUTE(LEFT(Base_report!G1759,10),"-","/")),MONTH(SUBSTITUTE(LEFT(Base_report!G1759,10),"-","/")),DAY(SUBSTITUTE(LEFT(Base_report!G1759,10),"-","/")))</f>
        <v>45296</v>
      </c>
      <c r="I1773" s="17" t="str">
        <f t="shared" si="1"/>
        <v>OUI</v>
      </c>
      <c r="J1773" s="18">
        <f>IF(L1773="DS",DATE(RIGHT(B1773,4),VLOOKUP(LEFT(B1773,LEN(B1773)-5),Feuil1!$E$3:$F$19,2,FALSE)+1,10),DATE(RIGHT(B1773,4),VLOOKUP(LEFT(B1773,LEN(B1773)-5),Feuil1!$E$3:$F$19,2,FALSE)+1,7))</f>
        <v>45298</v>
      </c>
      <c r="K1773" s="19">
        <f t="shared" si="2"/>
        <v>1</v>
      </c>
      <c r="L1773" s="6" t="str">
        <f t="shared" si="3"/>
        <v>FS</v>
      </c>
    </row>
    <row r="1774" ht="14.25" customHeight="1">
      <c r="A1774" s="14" t="str">
        <f>Base_report!A1760</f>
        <v>ABIDJAN 2</v>
      </c>
      <c r="B1774" s="14" t="str">
        <f>Base_report!B1760</f>
        <v>OCTOBRE DECEMBRE 2023</v>
      </c>
      <c r="C1774" s="15" t="str">
        <f>Base_report!C1760</f>
        <v>C1002</v>
      </c>
      <c r="D1774" s="14" t="str">
        <f>TRIM(IF(ISNUMBER(FIND("PNSME",Base_report!D1760,1)),SUBSTITUTE(Base_report!D1760,"PNSME",""),IF(ISNUMBER(FIND("PHG",Base_report!D1760,1)),SUBSTITUTE(Base_report!D1760,"PHG",""),IF(ISNUMBER(FIND("PCS",Base_report!D1760,1)),SUBSTITUTE(Base_report!D1760,"PCS",""),IF(ISNUMBER(FIND("CMU",Base_report!D1760,1)),SUBSTITUTE(Base_report!D1760,"CMU",""),Base_report!D1760)))))</f>
        <v>CENTRE ANTITUBERCULEUX TREICHVILLE</v>
      </c>
      <c r="E1774" s="14" t="str">
        <f>SUBSTITUTE(Base_report!E1760,"-","/")</f>
        <v>PNLT/PRODUITS DE LABORATOIRE</v>
      </c>
      <c r="F1774" s="14" t="s">
        <v>788</v>
      </c>
      <c r="G1774" s="16">
        <f>DATE(YEAR(SUBSTITUTE(LEFT(Base_report!F1760,10),"-","/")),MONTH(SUBSTITUTE(LEFT(Base_report!F1760,10),"-","/")),DAY(SUBSTITUTE(LEFT(Base_report!F1760,10),"-","/")))</f>
        <v>45295</v>
      </c>
      <c r="H1774" s="16">
        <f>DATE(YEAR(SUBSTITUTE(LEFT(Base_report!G1760,10),"-","/")),MONTH(SUBSTITUTE(LEFT(Base_report!G1760,10),"-","/")),DAY(SUBSTITUTE(LEFT(Base_report!G1760,10),"-","/")))</f>
        <v>45300</v>
      </c>
      <c r="I1774" s="17" t="str">
        <f t="shared" si="1"/>
        <v>OUI</v>
      </c>
      <c r="J1774" s="18">
        <f>IF(L1774="DS",DATE(RIGHT(B1774,4),VLOOKUP(LEFT(B1774,LEN(B1774)-5),Feuil1!$E$3:$F$19,2,FALSE)+1,10),DATE(RIGHT(B1774,4),VLOOKUP(LEFT(B1774,LEN(B1774)-5),Feuil1!$E$3:$F$19,2,FALSE)+1,7))</f>
        <v>45298</v>
      </c>
      <c r="K1774" s="19">
        <f t="shared" si="2"/>
        <v>0</v>
      </c>
      <c r="L1774" s="6" t="str">
        <f t="shared" si="3"/>
        <v>FS</v>
      </c>
    </row>
    <row r="1775" ht="14.25" customHeight="1">
      <c r="A1775" s="14" t="str">
        <f>Base_report!A1761</f>
        <v>NAWA</v>
      </c>
      <c r="B1775" s="14" t="str">
        <f>Base_report!B1761</f>
        <v>OCTOBRE DECEMBRE 2023</v>
      </c>
      <c r="C1775" s="15" t="str">
        <f>Base_report!C1761</f>
        <v>C2167</v>
      </c>
      <c r="D1775" s="14" t="str">
        <f>TRIM(IF(ISNUMBER(FIND("PNSME",Base_report!D1761,1)),SUBSTITUTE(Base_report!D1761,"PNSME",""),IF(ISNUMBER(FIND("PHG",Base_report!D1761,1)),SUBSTITUTE(Base_report!D1761,"PHG",""),IF(ISNUMBER(FIND("PCS",Base_report!D1761,1)),SUBSTITUTE(Base_report!D1761,"PCS",""),IF(ISNUMBER(FIND("CMU",Base_report!D1761,1)),SUBSTITUTE(Base_report!D1761,"CMU",""),Base_report!D1761)))))</f>
        <v>DISTRICT SANITAIRE GUEYO</v>
      </c>
      <c r="E1775" s="14" t="str">
        <f>SUBSTITUTE(Base_report!E1761,"-","/")</f>
        <v>PNLT/SENSIBLE MEDICAMENTS ET INTRANTS</v>
      </c>
      <c r="F1775" s="14" t="s">
        <v>788</v>
      </c>
      <c r="G1775" s="16">
        <f>DATE(YEAR(SUBSTITUTE(LEFT(Base_report!F1761,10),"-","/")),MONTH(SUBSTITUTE(LEFT(Base_report!F1761,10),"-","/")),DAY(SUBSTITUTE(LEFT(Base_report!F1761,10),"-","/")))</f>
        <v>45300</v>
      </c>
      <c r="H1775" s="16">
        <f>DATE(YEAR(SUBSTITUTE(LEFT(Base_report!G1761,10),"-","/")),MONTH(SUBSTITUTE(LEFT(Base_report!G1761,10),"-","/")),DAY(SUBSTITUTE(LEFT(Base_report!G1761,10),"-","/")))</f>
        <v>45300</v>
      </c>
      <c r="I1775" s="17" t="str">
        <f t="shared" si="1"/>
        <v>OUI</v>
      </c>
      <c r="J1775" s="18">
        <f>IF(L1775="DS",DATE(RIGHT(B1775,4),VLOOKUP(LEFT(B1775,LEN(B1775)-5),Feuil1!$E$3:$F$19,2,FALSE)+1,10),DATE(RIGHT(B1775,4),VLOOKUP(LEFT(B1775,LEN(B1775)-5),Feuil1!$E$3:$F$19,2,FALSE)+1,7))</f>
        <v>45301</v>
      </c>
      <c r="K1775" s="19">
        <f t="shared" si="2"/>
        <v>1</v>
      </c>
      <c r="L1775" s="6" t="str">
        <f t="shared" si="3"/>
        <v>DS</v>
      </c>
    </row>
    <row r="1776" ht="14.25" customHeight="1">
      <c r="A1776" s="14" t="str">
        <f>Base_report!A1762</f>
        <v>GBEKE</v>
      </c>
      <c r="B1776" s="14" t="str">
        <f>Base_report!B1762</f>
        <v>OCTOBRE DECEMBRE 2023</v>
      </c>
      <c r="C1776" s="15" t="str">
        <f>Base_report!C1762</f>
        <v>C2170</v>
      </c>
      <c r="D1776" s="14" t="str">
        <f>TRIM(IF(ISNUMBER(FIND("PNSME",Base_report!D1762,1)),SUBSTITUTE(Base_report!D1762,"PNSME",""),IF(ISNUMBER(FIND("PHG",Base_report!D1762,1)),SUBSTITUTE(Base_report!D1762,"PHG",""),IF(ISNUMBER(FIND("PCS",Base_report!D1762,1)),SUBSTITUTE(Base_report!D1762,"PCS",""),IF(ISNUMBER(FIND("CMU",Base_report!D1762,1)),SUBSTITUTE(Base_report!D1762,"CMU",""),Base_report!D1762)))))</f>
        <v>CENTRE ANTITUBERCULEUX BOUAKE</v>
      </c>
      <c r="E1776" s="14" t="str">
        <f>SUBSTITUTE(Base_report!E1762,"-","/")</f>
        <v>PNLT/MULTI RESISTANTE MEDICAMENTS ET INTRANTS</v>
      </c>
      <c r="F1776" s="14" t="s">
        <v>788</v>
      </c>
      <c r="G1776" s="16">
        <f>DATE(YEAR(SUBSTITUTE(LEFT(Base_report!F1762,10),"-","/")),MONTH(SUBSTITUTE(LEFT(Base_report!F1762,10),"-","/")),DAY(SUBSTITUTE(LEFT(Base_report!F1762,10),"-","/")))</f>
        <v>45298</v>
      </c>
      <c r="H1776" s="16">
        <f>DATE(YEAR(SUBSTITUTE(LEFT(Base_report!G1762,10),"-","/")),MONTH(SUBSTITUTE(LEFT(Base_report!G1762,10),"-","/")),DAY(SUBSTITUTE(LEFT(Base_report!G1762,10),"-","/")))</f>
        <v>45298</v>
      </c>
      <c r="I1776" s="17" t="str">
        <f t="shared" si="1"/>
        <v>OUI</v>
      </c>
      <c r="J1776" s="18">
        <f>IF(L1776="DS",DATE(RIGHT(B1776,4),VLOOKUP(LEFT(B1776,LEN(B1776)-5),Feuil1!$E$3:$F$19,2,FALSE)+1,10),DATE(RIGHT(B1776,4),VLOOKUP(LEFT(B1776,LEN(B1776)-5),Feuil1!$E$3:$F$19,2,FALSE)+1,7))</f>
        <v>45298</v>
      </c>
      <c r="K1776" s="19">
        <f t="shared" si="2"/>
        <v>1</v>
      </c>
      <c r="L1776" s="6" t="str">
        <f t="shared" si="3"/>
        <v>FS</v>
      </c>
    </row>
    <row r="1777" ht="14.25" customHeight="1">
      <c r="A1777" s="14" t="str">
        <f>Base_report!A1763</f>
        <v>GBEKE</v>
      </c>
      <c r="B1777" s="14" t="str">
        <f>Base_report!B1763</f>
        <v>OCTOBRE DECEMBRE 2023</v>
      </c>
      <c r="C1777" s="15" t="str">
        <f>Base_report!C1763</f>
        <v>C2170</v>
      </c>
      <c r="D1777" s="14" t="str">
        <f>TRIM(IF(ISNUMBER(FIND("PNSME",Base_report!D1763,1)),SUBSTITUTE(Base_report!D1763,"PNSME",""),IF(ISNUMBER(FIND("PHG",Base_report!D1763,1)),SUBSTITUTE(Base_report!D1763,"PHG",""),IF(ISNUMBER(FIND("PCS",Base_report!D1763,1)),SUBSTITUTE(Base_report!D1763,"PCS",""),IF(ISNUMBER(FIND("CMU",Base_report!D1763,1)),SUBSTITUTE(Base_report!D1763,"CMU",""),Base_report!D1763)))))</f>
        <v>CENTRE ANTITUBERCULEUX BOUAKE</v>
      </c>
      <c r="E1777" s="14" t="str">
        <f>SUBSTITUTE(Base_report!E1763,"-","/")</f>
        <v>PNLT/PRODUITS DE LABORATOIRE</v>
      </c>
      <c r="F1777" s="14" t="s">
        <v>788</v>
      </c>
      <c r="G1777" s="16">
        <f>DATE(YEAR(SUBSTITUTE(LEFT(Base_report!F1763,10),"-","/")),MONTH(SUBSTITUTE(LEFT(Base_report!F1763,10),"-","/")),DAY(SUBSTITUTE(LEFT(Base_report!F1763,10),"-","/")))</f>
        <v>45298</v>
      </c>
      <c r="H1777" s="16">
        <f>DATE(YEAR(SUBSTITUTE(LEFT(Base_report!G1763,10),"-","/")),MONTH(SUBSTITUTE(LEFT(Base_report!G1763,10),"-","/")),DAY(SUBSTITUTE(LEFT(Base_report!G1763,10),"-","/")))</f>
        <v>45298</v>
      </c>
      <c r="I1777" s="17" t="str">
        <f t="shared" si="1"/>
        <v>OUI</v>
      </c>
      <c r="J1777" s="18">
        <f>IF(L1777="DS",DATE(RIGHT(B1777,4),VLOOKUP(LEFT(B1777,LEN(B1777)-5),Feuil1!$E$3:$F$19,2,FALSE)+1,10),DATE(RIGHT(B1777,4),VLOOKUP(LEFT(B1777,LEN(B1777)-5),Feuil1!$E$3:$F$19,2,FALSE)+1,7))</f>
        <v>45298</v>
      </c>
      <c r="K1777" s="19">
        <f t="shared" si="2"/>
        <v>1</v>
      </c>
      <c r="L1777" s="6" t="str">
        <f t="shared" si="3"/>
        <v>FS</v>
      </c>
    </row>
    <row r="1778" ht="14.25" customHeight="1">
      <c r="A1778" s="14" t="str">
        <f>Base_report!A1764</f>
        <v>GBEKE</v>
      </c>
      <c r="B1778" s="14" t="str">
        <f>Base_report!B1764</f>
        <v>OCTOBRE DECEMBRE 2023</v>
      </c>
      <c r="C1778" s="15" t="str">
        <f>Base_report!C1764</f>
        <v>C2170</v>
      </c>
      <c r="D1778" s="14" t="str">
        <f>TRIM(IF(ISNUMBER(FIND("PNSME",Base_report!D1764,1)),SUBSTITUTE(Base_report!D1764,"PNSME",""),IF(ISNUMBER(FIND("PHG",Base_report!D1764,1)),SUBSTITUTE(Base_report!D1764,"PHG",""),IF(ISNUMBER(FIND("PCS",Base_report!D1764,1)),SUBSTITUTE(Base_report!D1764,"PCS",""),IF(ISNUMBER(FIND("CMU",Base_report!D1764,1)),SUBSTITUTE(Base_report!D1764,"CMU",""),Base_report!D1764)))))</f>
        <v>CENTRE ANTITUBERCULEUX BOUAKE</v>
      </c>
      <c r="E1778" s="14" t="str">
        <f>SUBSTITUTE(Base_report!E1764,"-","/")</f>
        <v>PNLT/SENSIBLE MEDICAMENTS ET INTRANTS</v>
      </c>
      <c r="F1778" s="14" t="s">
        <v>788</v>
      </c>
      <c r="G1778" s="16">
        <f>DATE(YEAR(SUBSTITUTE(LEFT(Base_report!F1764,10),"-","/")),MONTH(SUBSTITUTE(LEFT(Base_report!F1764,10),"-","/")),DAY(SUBSTITUTE(LEFT(Base_report!F1764,10),"-","/")))</f>
        <v>45298</v>
      </c>
      <c r="H1778" s="16">
        <f>DATE(YEAR(SUBSTITUTE(LEFT(Base_report!G1764,10),"-","/")),MONTH(SUBSTITUTE(LEFT(Base_report!G1764,10),"-","/")),DAY(SUBSTITUTE(LEFT(Base_report!G1764,10),"-","/")))</f>
        <v>45298</v>
      </c>
      <c r="I1778" s="17" t="str">
        <f t="shared" si="1"/>
        <v>OUI</v>
      </c>
      <c r="J1778" s="18">
        <f>IF(L1778="DS",DATE(RIGHT(B1778,4),VLOOKUP(LEFT(B1778,LEN(B1778)-5),Feuil1!$E$3:$F$19,2,FALSE)+1,10),DATE(RIGHT(B1778,4),VLOOKUP(LEFT(B1778,LEN(B1778)-5),Feuil1!$E$3:$F$19,2,FALSE)+1,7))</f>
        <v>45298</v>
      </c>
      <c r="K1778" s="19">
        <f t="shared" si="2"/>
        <v>1</v>
      </c>
      <c r="L1778" s="6" t="str">
        <f t="shared" si="3"/>
        <v>FS</v>
      </c>
    </row>
    <row r="1779" ht="14.25" customHeight="1">
      <c r="A1779" s="14" t="str">
        <f>Base_report!A1765</f>
        <v>KABADOUGOU</v>
      </c>
      <c r="B1779" s="14" t="str">
        <f>Base_report!B1765</f>
        <v>OCTOBRE DECEMBRE 2023</v>
      </c>
      <c r="C1779" s="15" t="str">
        <f>Base_report!C1765</f>
        <v>C5063</v>
      </c>
      <c r="D1779" s="14" t="str">
        <f>TRIM(IF(ISNUMBER(FIND("PNSME",Base_report!D1765,1)),SUBSTITUTE(Base_report!D1765,"PNSME",""),IF(ISNUMBER(FIND("PHG",Base_report!D1765,1)),SUBSTITUTE(Base_report!D1765,"PHG",""),IF(ISNUMBER(FIND("PCS",Base_report!D1765,1)),SUBSTITUTE(Base_report!D1765,"PCS",""),IF(ISNUMBER(FIND("CMU",Base_report!D1765,1)),SUBSTITUTE(Base_report!D1765,"CMU",""),Base_report!D1765)))))</f>
        <v>HOPITAL GENERAL DE MADINANI</v>
      </c>
      <c r="E1779" s="14" t="str">
        <f>SUBSTITUTE(Base_report!E1765,"-","/")</f>
        <v>PNLT/SENSIBLE MEDICAMENTS ET INTRANTS</v>
      </c>
      <c r="F1779" s="14" t="s">
        <v>788</v>
      </c>
      <c r="G1779" s="16">
        <f>DATE(YEAR(SUBSTITUTE(LEFT(Base_report!F1765,10),"-","/")),MONTH(SUBSTITUTE(LEFT(Base_report!F1765,10),"-","/")),DAY(SUBSTITUTE(LEFT(Base_report!F1765,10),"-","/")))</f>
        <v>45298</v>
      </c>
      <c r="H1779" s="16">
        <f>DATE(YEAR(SUBSTITUTE(LEFT(Base_report!G1765,10),"-","/")),MONTH(SUBSTITUTE(LEFT(Base_report!G1765,10),"-","/")),DAY(SUBSTITUTE(LEFT(Base_report!G1765,10),"-","/")))</f>
        <v>45298</v>
      </c>
      <c r="I1779" s="17" t="str">
        <f t="shared" si="1"/>
        <v>OUI</v>
      </c>
      <c r="J1779" s="18">
        <f>IF(L1779="DS",DATE(RIGHT(B1779,4),VLOOKUP(LEFT(B1779,LEN(B1779)-5),Feuil1!$E$3:$F$19,2,FALSE)+1,10),DATE(RIGHT(B1779,4),VLOOKUP(LEFT(B1779,LEN(B1779)-5),Feuil1!$E$3:$F$19,2,FALSE)+1,7))</f>
        <v>45298</v>
      </c>
      <c r="K1779" s="19">
        <f t="shared" si="2"/>
        <v>1</v>
      </c>
      <c r="L1779" s="6" t="str">
        <f t="shared" si="3"/>
        <v>FS</v>
      </c>
    </row>
    <row r="1780" ht="14.25" customHeight="1">
      <c r="A1780" s="14" t="str">
        <f>Base_report!A1766</f>
        <v>LOH-DJIBOUA</v>
      </c>
      <c r="B1780" s="14" t="str">
        <f>Base_report!B1766</f>
        <v>OCTOBRE DECEMBRE 2023</v>
      </c>
      <c r="C1780" s="15" t="str">
        <f>Base_report!C1766</f>
        <v>C2032</v>
      </c>
      <c r="D1780" s="14" t="str">
        <f>TRIM(IF(ISNUMBER(FIND("PNSME",Base_report!D1766,1)),SUBSTITUTE(Base_report!D1766,"PNSME",""),IF(ISNUMBER(FIND("PHG",Base_report!D1766,1)),SUBSTITUTE(Base_report!D1766,"PHG",""),IF(ISNUMBER(FIND("PCS",Base_report!D1766,1)),SUBSTITUTE(Base_report!D1766,"PCS",""),IF(ISNUMBER(FIND("CMU",Base_report!D1766,1)),SUBSTITUTE(Base_report!D1766,"CMU",""),Base_report!D1766)))))</f>
        <v>DISTRICT SANITAIRE LAKOTA</v>
      </c>
      <c r="E1780" s="14" t="str">
        <f>SUBSTITUTE(Base_report!E1766,"-","/")</f>
        <v>PNLT/SENSIBLE MEDICAMENTS ET INTRANTS</v>
      </c>
      <c r="F1780" s="14" t="s">
        <v>788</v>
      </c>
      <c r="G1780" s="16">
        <f>DATE(YEAR(SUBSTITUTE(LEFT(Base_report!F1766,10),"-","/")),MONTH(SUBSTITUTE(LEFT(Base_report!F1766,10),"-","/")),DAY(SUBSTITUTE(LEFT(Base_report!F1766,10),"-","/")))</f>
        <v>45301</v>
      </c>
      <c r="H1780" s="16">
        <f>DATE(YEAR(SUBSTITUTE(LEFT(Base_report!G1766,10),"-","/")),MONTH(SUBSTITUTE(LEFT(Base_report!G1766,10),"-","/")),DAY(SUBSTITUTE(LEFT(Base_report!G1766,10),"-","/")))</f>
        <v>45301</v>
      </c>
      <c r="I1780" s="17" t="str">
        <f t="shared" si="1"/>
        <v>OUI</v>
      </c>
      <c r="J1780" s="18">
        <f>IF(L1780="DS",DATE(RIGHT(B1780,4),VLOOKUP(LEFT(B1780,LEN(B1780)-5),Feuil1!$E$3:$F$19,2,FALSE)+1,10),DATE(RIGHT(B1780,4),VLOOKUP(LEFT(B1780,LEN(B1780)-5),Feuil1!$E$3:$F$19,2,FALSE)+1,7))</f>
        <v>45301</v>
      </c>
      <c r="K1780" s="19">
        <f t="shared" si="2"/>
        <v>1</v>
      </c>
      <c r="L1780" s="6" t="str">
        <f t="shared" si="3"/>
        <v>DS</v>
      </c>
    </row>
    <row r="1781" ht="14.25" customHeight="1">
      <c r="A1781" s="14" t="str">
        <f>Base_report!A1767</f>
        <v>GRANDS PONTS</v>
      </c>
      <c r="B1781" s="14" t="str">
        <f>Base_report!B1767</f>
        <v>OCTOBRE DECEMBRE 2023</v>
      </c>
      <c r="C1781" s="15" t="str">
        <f>Base_report!C1767</f>
        <v>C1091</v>
      </c>
      <c r="D1781" s="14" t="str">
        <f>TRIM(IF(ISNUMBER(FIND("PNSME",Base_report!D1767,1)),SUBSTITUTE(Base_report!D1767,"PNSME",""),IF(ISNUMBER(FIND("PHG",Base_report!D1767,1)),SUBSTITUTE(Base_report!D1767,"PHG",""),IF(ISNUMBER(FIND("PCS",Base_report!D1767,1)),SUBSTITUTE(Base_report!D1767,"PCS",""),IF(ISNUMBER(FIND("CMU",Base_report!D1767,1)),SUBSTITUTE(Base_report!D1767,"CMU",""),Base_report!D1767)))))</f>
        <v>HOPITAL GENERAL GRAND-LAHOU</v>
      </c>
      <c r="E1781" s="14" t="str">
        <f>SUBSTITUTE(Base_report!E1767,"-","/")</f>
        <v>PNLT/SENSIBLE MEDICAMENTS ET INTRANTS</v>
      </c>
      <c r="F1781" s="14" t="s">
        <v>788</v>
      </c>
      <c r="G1781" s="16">
        <f>DATE(YEAR(SUBSTITUTE(LEFT(Base_report!F1767,10),"-","/")),MONTH(SUBSTITUTE(LEFT(Base_report!F1767,10),"-","/")),DAY(SUBSTITUTE(LEFT(Base_report!F1767,10),"-","/")))</f>
        <v>45295</v>
      </c>
      <c r="H1781" s="16">
        <f>DATE(YEAR(SUBSTITUTE(LEFT(Base_report!G1767,10),"-","/")),MONTH(SUBSTITUTE(LEFT(Base_report!G1767,10),"-","/")),DAY(SUBSTITUTE(LEFT(Base_report!G1767,10),"-","/")))</f>
        <v>45295</v>
      </c>
      <c r="I1781" s="17" t="str">
        <f t="shared" si="1"/>
        <v>OUI</v>
      </c>
      <c r="J1781" s="18">
        <f>IF(L1781="DS",DATE(RIGHT(B1781,4),VLOOKUP(LEFT(B1781,LEN(B1781)-5),Feuil1!$E$3:$F$19,2,FALSE)+1,10),DATE(RIGHT(B1781,4),VLOOKUP(LEFT(B1781,LEN(B1781)-5),Feuil1!$E$3:$F$19,2,FALSE)+1,7))</f>
        <v>45298</v>
      </c>
      <c r="K1781" s="19">
        <f t="shared" si="2"/>
        <v>1</v>
      </c>
      <c r="L1781" s="6" t="str">
        <f t="shared" si="3"/>
        <v>FS</v>
      </c>
    </row>
    <row r="1782" ht="14.25" customHeight="1">
      <c r="A1782" s="14" t="str">
        <f>Base_report!A1768</f>
        <v>GOH</v>
      </c>
      <c r="B1782" s="14" t="str">
        <f>Base_report!B1768</f>
        <v>OCTOBRE DECEMBRE 2023</v>
      </c>
      <c r="C1782" s="15" t="str">
        <f>Base_report!C1768</f>
        <v>C2033</v>
      </c>
      <c r="D1782" s="14" t="str">
        <f>TRIM(IF(ISNUMBER(FIND("PNSME",Base_report!D1768,1)),SUBSTITUTE(Base_report!D1768,"PNSME",""),IF(ISNUMBER(FIND("PHG",Base_report!D1768,1)),SUBSTITUTE(Base_report!D1768,"PHG",""),IF(ISNUMBER(FIND("PCS",Base_report!D1768,1)),SUBSTITUTE(Base_report!D1768,"PCS",""),IF(ISNUMBER(FIND("CMU",Base_report!D1768,1)),SUBSTITUTE(Base_report!D1768,"CMU",""),Base_report!D1768)))))</f>
        <v>DISTRICT SANITAIRE OUME</v>
      </c>
      <c r="E1782" s="14" t="str">
        <f>SUBSTITUTE(Base_report!E1768,"-","/")</f>
        <v>PNLT/SENSIBLE MEDICAMENTS ET INTRANTS</v>
      </c>
      <c r="F1782" s="14" t="s">
        <v>788</v>
      </c>
      <c r="G1782" s="16">
        <f>DATE(YEAR(SUBSTITUTE(LEFT(Base_report!F1768,10),"-","/")),MONTH(SUBSTITUTE(LEFT(Base_report!F1768,10),"-","/")),DAY(SUBSTITUTE(LEFT(Base_report!F1768,10),"-","/")))</f>
        <v>45300</v>
      </c>
      <c r="H1782" s="16">
        <f>DATE(YEAR(SUBSTITUTE(LEFT(Base_report!G1768,10),"-","/")),MONTH(SUBSTITUTE(LEFT(Base_report!G1768,10),"-","/")),DAY(SUBSTITUTE(LEFT(Base_report!G1768,10),"-","/")))</f>
        <v>45300</v>
      </c>
      <c r="I1782" s="17" t="str">
        <f t="shared" si="1"/>
        <v>OUI</v>
      </c>
      <c r="J1782" s="18">
        <f>IF(L1782="DS",DATE(RIGHT(B1782,4),VLOOKUP(LEFT(B1782,LEN(B1782)-5),Feuil1!$E$3:$F$19,2,FALSE)+1,10),DATE(RIGHT(B1782,4),VLOOKUP(LEFT(B1782,LEN(B1782)-5),Feuil1!$E$3:$F$19,2,FALSE)+1,7))</f>
        <v>45301</v>
      </c>
      <c r="K1782" s="19">
        <f t="shared" si="2"/>
        <v>1</v>
      </c>
      <c r="L1782" s="6" t="str">
        <f t="shared" si="3"/>
        <v>DS</v>
      </c>
    </row>
    <row r="1783" ht="14.25" customHeight="1">
      <c r="A1783" s="14" t="str">
        <f>Base_report!A1769</f>
        <v>LOH-DJIBOUA</v>
      </c>
      <c r="B1783" s="14" t="str">
        <f>Base_report!B1769</f>
        <v>OCTOBRE DECEMBRE 2023</v>
      </c>
      <c r="C1783" s="15" t="str">
        <f>Base_report!C1769</f>
        <v>C2174</v>
      </c>
      <c r="D1783" s="14" t="str">
        <f>TRIM(IF(ISNUMBER(FIND("PNSME",Base_report!D1769,1)),SUBSTITUTE(Base_report!D1769,"PNSME",""),IF(ISNUMBER(FIND("PHG",Base_report!D1769,1)),SUBSTITUTE(Base_report!D1769,"PHG",""),IF(ISNUMBER(FIND("PCS",Base_report!D1769,1)),SUBSTITUTE(Base_report!D1769,"PCS",""),IF(ISNUMBER(FIND("CMU",Base_report!D1769,1)),SUBSTITUTE(Base_report!D1769,"CMU",""),Base_report!D1769)))))</f>
        <v>CENTRE ANTITUBERCULEUX DIVO</v>
      </c>
      <c r="E1783" s="14" t="str">
        <f>SUBSTITUTE(Base_report!E1769,"-","/")</f>
        <v>PNLT/MULTI RESISTANTE MEDICAMENTS ET INTRANTS</v>
      </c>
      <c r="F1783" s="14" t="s">
        <v>788</v>
      </c>
      <c r="G1783" s="16">
        <f>DATE(YEAR(SUBSTITUTE(LEFT(Base_report!F1769,10),"-","/")),MONTH(SUBSTITUTE(LEFT(Base_report!F1769,10),"-","/")),DAY(SUBSTITUTE(LEFT(Base_report!F1769,10),"-","/")))</f>
        <v>45295</v>
      </c>
      <c r="H1783" s="16">
        <f>DATE(YEAR(SUBSTITUTE(LEFT(Base_report!G1769,10),"-","/")),MONTH(SUBSTITUTE(LEFT(Base_report!G1769,10),"-","/")),DAY(SUBSTITUTE(LEFT(Base_report!G1769,10),"-","/")))</f>
        <v>45296</v>
      </c>
      <c r="I1783" s="17" t="str">
        <f t="shared" si="1"/>
        <v>OUI</v>
      </c>
      <c r="J1783" s="18">
        <f>IF(L1783="DS",DATE(RIGHT(B1783,4),VLOOKUP(LEFT(B1783,LEN(B1783)-5),Feuil1!$E$3:$F$19,2,FALSE)+1,10),DATE(RIGHT(B1783,4),VLOOKUP(LEFT(B1783,LEN(B1783)-5),Feuil1!$E$3:$F$19,2,FALSE)+1,7))</f>
        <v>45298</v>
      </c>
      <c r="K1783" s="19">
        <f t="shared" si="2"/>
        <v>1</v>
      </c>
      <c r="L1783" s="6" t="str">
        <f t="shared" si="3"/>
        <v>FS</v>
      </c>
    </row>
    <row r="1784" ht="14.25" customHeight="1">
      <c r="A1784" s="14" t="str">
        <f>Base_report!A1770</f>
        <v>SAN PEDRO</v>
      </c>
      <c r="B1784" s="14" t="str">
        <f>Base_report!B1770</f>
        <v>OCTOBRE DECEMBRE 2023</v>
      </c>
      <c r="C1784" s="15" t="str">
        <f>Base_report!C1770</f>
        <v>C2035</v>
      </c>
      <c r="D1784" s="14" t="str">
        <f>TRIM(IF(ISNUMBER(FIND("PNSME",Base_report!D1770,1)),SUBSTITUTE(Base_report!D1770,"PNSME",""),IF(ISNUMBER(FIND("PHG",Base_report!D1770,1)),SUBSTITUTE(Base_report!D1770,"PHG",""),IF(ISNUMBER(FIND("PCS",Base_report!D1770,1)),SUBSTITUTE(Base_report!D1770,"PCS",""),IF(ISNUMBER(FIND("CMU",Base_report!D1770,1)),SUBSTITUTE(Base_report!D1770,"CMU",""),Base_report!D1770)))))</f>
        <v>DISTRICT SANITAIRE SAN-PEDRO</v>
      </c>
      <c r="E1784" s="14" t="str">
        <f>SUBSTITUTE(Base_report!E1770,"-","/")</f>
        <v>PNLT/SENSIBLE MEDICAMENTS ET INTRANTS</v>
      </c>
      <c r="F1784" s="14" t="s">
        <v>788</v>
      </c>
      <c r="G1784" s="16">
        <f>DATE(YEAR(SUBSTITUTE(LEFT(Base_report!F1770,10),"-","/")),MONTH(SUBSTITUTE(LEFT(Base_report!F1770,10),"-","/")),DAY(SUBSTITUTE(LEFT(Base_report!F1770,10),"-","/")))</f>
        <v>45302</v>
      </c>
      <c r="H1784" s="16">
        <f>DATE(YEAR(SUBSTITUTE(LEFT(Base_report!G1770,10),"-","/")),MONTH(SUBSTITUTE(LEFT(Base_report!G1770,10),"-","/")),DAY(SUBSTITUTE(LEFT(Base_report!G1770,10),"-","/")))</f>
        <v>45302</v>
      </c>
      <c r="I1784" s="17" t="str">
        <f t="shared" si="1"/>
        <v>OUI</v>
      </c>
      <c r="J1784" s="18">
        <f>IF(L1784="DS",DATE(RIGHT(B1784,4),VLOOKUP(LEFT(B1784,LEN(B1784)-5),Feuil1!$E$3:$F$19,2,FALSE)+1,10),DATE(RIGHT(B1784,4),VLOOKUP(LEFT(B1784,LEN(B1784)-5),Feuil1!$E$3:$F$19,2,FALSE)+1,7))</f>
        <v>45301</v>
      </c>
      <c r="K1784" s="19">
        <f t="shared" si="2"/>
        <v>0</v>
      </c>
      <c r="L1784" s="6" t="str">
        <f t="shared" si="3"/>
        <v>DS</v>
      </c>
    </row>
    <row r="1785" ht="14.25" customHeight="1">
      <c r="A1785" s="14" t="str">
        <f>Base_report!A1771</f>
        <v>LOH-DJIBOUA</v>
      </c>
      <c r="B1785" s="14" t="str">
        <f>Base_report!B1771</f>
        <v>OCTOBRE DECEMBRE 2023</v>
      </c>
      <c r="C1785" s="15" t="str">
        <f>Base_report!C1771</f>
        <v>C2174</v>
      </c>
      <c r="D1785" s="14" t="str">
        <f>TRIM(IF(ISNUMBER(FIND("PNSME",Base_report!D1771,1)),SUBSTITUTE(Base_report!D1771,"PNSME",""),IF(ISNUMBER(FIND("PHG",Base_report!D1771,1)),SUBSTITUTE(Base_report!D1771,"PHG",""),IF(ISNUMBER(FIND("PCS",Base_report!D1771,1)),SUBSTITUTE(Base_report!D1771,"PCS",""),IF(ISNUMBER(FIND("CMU",Base_report!D1771,1)),SUBSTITUTE(Base_report!D1771,"CMU",""),Base_report!D1771)))))</f>
        <v>CENTRE ANTITUBERCULEUX DIVO</v>
      </c>
      <c r="E1785" s="14" t="str">
        <f>SUBSTITUTE(Base_report!E1771,"-","/")</f>
        <v>PNLT/SENSIBLE MEDICAMENTS ET INTRANTS</v>
      </c>
      <c r="F1785" s="14" t="s">
        <v>788</v>
      </c>
      <c r="G1785" s="16">
        <f>DATE(YEAR(SUBSTITUTE(LEFT(Base_report!F1771,10),"-","/")),MONTH(SUBSTITUTE(LEFT(Base_report!F1771,10),"-","/")),DAY(SUBSTITUTE(LEFT(Base_report!F1771,10),"-","/")))</f>
        <v>45295</v>
      </c>
      <c r="H1785" s="16">
        <f>DATE(YEAR(SUBSTITUTE(LEFT(Base_report!G1771,10),"-","/")),MONTH(SUBSTITUTE(LEFT(Base_report!G1771,10),"-","/")),DAY(SUBSTITUTE(LEFT(Base_report!G1771,10),"-","/")))</f>
        <v>45296</v>
      </c>
      <c r="I1785" s="17" t="str">
        <f t="shared" si="1"/>
        <v>OUI</v>
      </c>
      <c r="J1785" s="18">
        <f>IF(L1785="DS",DATE(RIGHT(B1785,4),VLOOKUP(LEFT(B1785,LEN(B1785)-5),Feuil1!$E$3:$F$19,2,FALSE)+1,10),DATE(RIGHT(B1785,4),VLOOKUP(LEFT(B1785,LEN(B1785)-5),Feuil1!$E$3:$F$19,2,FALSE)+1,7))</f>
        <v>45298</v>
      </c>
      <c r="K1785" s="19">
        <f t="shared" si="2"/>
        <v>1</v>
      </c>
      <c r="L1785" s="6" t="str">
        <f t="shared" si="3"/>
        <v>FS</v>
      </c>
    </row>
    <row r="1786" ht="14.25" customHeight="1">
      <c r="A1786" s="14" t="str">
        <f>Base_report!A1772</f>
        <v>ABIDJAN 2</v>
      </c>
      <c r="B1786" s="14" t="str">
        <f>Base_report!B1772</f>
        <v>OCTOBRE DECEMBRE 2023</v>
      </c>
      <c r="C1786" s="15" t="str">
        <f>Base_report!C1772</f>
        <v>C1030</v>
      </c>
      <c r="D1786" s="14" t="str">
        <f>TRIM(IF(ISNUMBER(FIND("PNSME",Base_report!D1772,1)),SUBSTITUTE(Base_report!D1772,"PNSME",""),IF(ISNUMBER(FIND("PHG",Base_report!D1772,1)),SUBSTITUTE(Base_report!D1772,"PHG",""),IF(ISNUMBER(FIND("PCS",Base_report!D1772,1)),SUBSTITUTE(Base_report!D1772,"PCS",""),IF(ISNUMBER(FIND("CMU",Base_report!D1772,1)),SUBSTITUTE(Base_report!D1772,"CMU",""),Base_report!D1772)))))</f>
        <v>CSU COM PANGOLIN</v>
      </c>
      <c r="E1786" s="14" t="str">
        <f>SUBSTITUTE(Base_report!E1772,"-","/")</f>
        <v>PNLT/SENSIBLE MEDICAMENTS ET INTRANTS</v>
      </c>
      <c r="F1786" s="14" t="s">
        <v>788</v>
      </c>
      <c r="G1786" s="16">
        <f>DATE(YEAR(SUBSTITUTE(LEFT(Base_report!F1772,10),"-","/")),MONTH(SUBSTITUTE(LEFT(Base_report!F1772,10),"-","/")),DAY(SUBSTITUTE(LEFT(Base_report!F1772,10),"-","/")))</f>
        <v>45296</v>
      </c>
      <c r="H1786" s="16">
        <f>DATE(YEAR(SUBSTITUTE(LEFT(Base_report!G1772,10),"-","/")),MONTH(SUBSTITUTE(LEFT(Base_report!G1772,10),"-","/")),DAY(SUBSTITUTE(LEFT(Base_report!G1772,10),"-","/")))</f>
        <v>45298</v>
      </c>
      <c r="I1786" s="17" t="str">
        <f t="shared" si="1"/>
        <v>OUI</v>
      </c>
      <c r="J1786" s="18">
        <f>IF(L1786="DS",DATE(RIGHT(B1786,4),VLOOKUP(LEFT(B1786,LEN(B1786)-5),Feuil1!$E$3:$F$19,2,FALSE)+1,10),DATE(RIGHT(B1786,4),VLOOKUP(LEFT(B1786,LEN(B1786)-5),Feuil1!$E$3:$F$19,2,FALSE)+1,7))</f>
        <v>45298</v>
      </c>
      <c r="K1786" s="19">
        <f t="shared" si="2"/>
        <v>1</v>
      </c>
      <c r="L1786" s="6" t="str">
        <f t="shared" si="3"/>
        <v>FS</v>
      </c>
    </row>
    <row r="1787" ht="14.25" customHeight="1">
      <c r="A1787" s="14" t="str">
        <f>Base_report!A1773</f>
        <v>TCHOLOGO</v>
      </c>
      <c r="B1787" s="14" t="str">
        <f>Base_report!B1773</f>
        <v>OCTOBRE DECEMBRE 2023</v>
      </c>
      <c r="C1787" s="15" t="str">
        <f>Base_report!C1773</f>
        <v>C3061</v>
      </c>
      <c r="D1787" s="14" t="str">
        <f>TRIM(IF(ISNUMBER(FIND("PNSME",Base_report!D1773,1)),SUBSTITUTE(Base_report!D1773,"PNSME",""),IF(ISNUMBER(FIND("PHG",Base_report!D1773,1)),SUBSTITUTE(Base_report!D1773,"PHG",""),IF(ISNUMBER(FIND("PCS",Base_report!D1773,1)),SUBSTITUTE(Base_report!D1773,"PCS",""),IF(ISNUMBER(FIND("CMU",Base_report!D1773,1)),SUBSTITUTE(Base_report!D1773,"CMU",""),Base_report!D1773)))))</f>
        <v>CSU DIAWALA</v>
      </c>
      <c r="E1787" s="14" t="str">
        <f>SUBSTITUTE(Base_report!E1773,"-","/")</f>
        <v>PNLT/SENSIBLE MEDICAMENTS ET INTRANTS</v>
      </c>
      <c r="F1787" s="14" t="s">
        <v>788</v>
      </c>
      <c r="G1787" s="16">
        <f>DATE(YEAR(SUBSTITUTE(LEFT(Base_report!F1773,10),"-","/")),MONTH(SUBSTITUTE(LEFT(Base_report!F1773,10),"-","/")),DAY(SUBSTITUTE(LEFT(Base_report!F1773,10),"-","/")))</f>
        <v>45295</v>
      </c>
      <c r="H1787" s="16">
        <f>DATE(YEAR(SUBSTITUTE(LEFT(Base_report!G1773,10),"-","/")),MONTH(SUBSTITUTE(LEFT(Base_report!G1773,10),"-","/")),DAY(SUBSTITUTE(LEFT(Base_report!G1773,10),"-","/")))</f>
        <v>45295</v>
      </c>
      <c r="I1787" s="17" t="str">
        <f t="shared" si="1"/>
        <v>OUI</v>
      </c>
      <c r="J1787" s="18">
        <f>IF(L1787="DS",DATE(RIGHT(B1787,4),VLOOKUP(LEFT(B1787,LEN(B1787)-5),Feuil1!$E$3:$F$19,2,FALSE)+1,10),DATE(RIGHT(B1787,4),VLOOKUP(LEFT(B1787,LEN(B1787)-5),Feuil1!$E$3:$F$19,2,FALSE)+1,7))</f>
        <v>45298</v>
      </c>
      <c r="K1787" s="19">
        <f t="shared" si="2"/>
        <v>1</v>
      </c>
      <c r="L1787" s="6" t="str">
        <f t="shared" si="3"/>
        <v>FS</v>
      </c>
    </row>
    <row r="1788" ht="14.25" customHeight="1">
      <c r="A1788" s="14" t="str">
        <f>Base_report!A1774</f>
        <v>NAWA</v>
      </c>
      <c r="B1788" s="14" t="str">
        <f>Base_report!B1774</f>
        <v>OCTOBRE DECEMBRE 2023</v>
      </c>
      <c r="C1788" s="15" t="str">
        <f>Base_report!C1774</f>
        <v>C2131</v>
      </c>
      <c r="D1788" s="14" t="str">
        <f>TRIM(IF(ISNUMBER(FIND("PNSME",Base_report!D1774,1)),SUBSTITUTE(Base_report!D1774,"PNSME",""),IF(ISNUMBER(FIND("PHG",Base_report!D1774,1)),SUBSTITUTE(Base_report!D1774,"PHG",""),IF(ISNUMBER(FIND("PCS",Base_report!D1774,1)),SUBSTITUTE(Base_report!D1774,"PCS",""),IF(ISNUMBER(FIND("CMU",Base_report!D1774,1)),SUBSTITUTE(Base_report!D1774,"CMU",""),Base_report!D1774)))))</f>
        <v>HOPITAL GENERAL GUEYO</v>
      </c>
      <c r="E1788" s="14" t="str">
        <f>SUBSTITUTE(Base_report!E1774,"-","/")</f>
        <v>PNLT/SENSIBLE MEDICAMENTS ET INTRANTS</v>
      </c>
      <c r="F1788" s="14" t="s">
        <v>788</v>
      </c>
      <c r="G1788" s="16">
        <f>DATE(YEAR(SUBSTITUTE(LEFT(Base_report!F1774,10),"-","/")),MONTH(SUBSTITUTE(LEFT(Base_report!F1774,10),"-","/")),DAY(SUBSTITUTE(LEFT(Base_report!F1774,10),"-","/")))</f>
        <v>45295</v>
      </c>
      <c r="H1788" s="16">
        <f>DATE(YEAR(SUBSTITUTE(LEFT(Base_report!G1774,10),"-","/")),MONTH(SUBSTITUTE(LEFT(Base_report!G1774,10),"-","/")),DAY(SUBSTITUTE(LEFT(Base_report!G1774,10),"-","/")))</f>
        <v>45295</v>
      </c>
      <c r="I1788" s="17" t="str">
        <f t="shared" si="1"/>
        <v>OUI</v>
      </c>
      <c r="J1788" s="18">
        <f>IF(L1788="DS",DATE(RIGHT(B1788,4),VLOOKUP(LEFT(B1788,LEN(B1788)-5),Feuil1!$E$3:$F$19,2,FALSE)+1,10),DATE(RIGHT(B1788,4),VLOOKUP(LEFT(B1788,LEN(B1788)-5),Feuil1!$E$3:$F$19,2,FALSE)+1,7))</f>
        <v>45298</v>
      </c>
      <c r="K1788" s="19">
        <f t="shared" si="2"/>
        <v>1</v>
      </c>
      <c r="L1788" s="6" t="str">
        <f t="shared" si="3"/>
        <v>FS</v>
      </c>
    </row>
    <row r="1789" ht="14.25" customHeight="1">
      <c r="A1789" s="14" t="str">
        <f>Base_report!A1775</f>
        <v>TCHOLOGO</v>
      </c>
      <c r="B1789" s="14" t="str">
        <f>Base_report!B1775</f>
        <v>OCTOBRE DECEMBRE 2023</v>
      </c>
      <c r="C1789" s="15" t="str">
        <f>Base_report!C1775</f>
        <v>C3063</v>
      </c>
      <c r="D1789" s="14" t="str">
        <f>TRIM(IF(ISNUMBER(FIND("PNSME",Base_report!D1775,1)),SUBSTITUTE(Base_report!D1775,"PNSME",""),IF(ISNUMBER(FIND("PHG",Base_report!D1775,1)),SUBSTITUTE(Base_report!D1775,"PHG",""),IF(ISNUMBER(FIND("PCS",Base_report!D1775,1)),SUBSTITUTE(Base_report!D1775,"PCS",""),IF(ISNUMBER(FIND("CMU",Base_report!D1775,1)),SUBSTITUTE(Base_report!D1775,"CMU",""),Base_report!D1775)))))</f>
        <v>CENTRE ANTITUBERCULEUX FERKESSEDOUGOU</v>
      </c>
      <c r="E1789" s="14" t="str">
        <f>SUBSTITUTE(Base_report!E1775,"-","/")</f>
        <v>PNLT/SENSIBLE MEDICAMENTS ET INTRANTS</v>
      </c>
      <c r="F1789" s="14" t="s">
        <v>788</v>
      </c>
      <c r="G1789" s="16">
        <f>DATE(YEAR(SUBSTITUTE(LEFT(Base_report!F1775,10),"-","/")),MONTH(SUBSTITUTE(LEFT(Base_report!F1775,10),"-","/")),DAY(SUBSTITUTE(LEFT(Base_report!F1775,10),"-","/")))</f>
        <v>45301</v>
      </c>
      <c r="H1789" s="16">
        <f>DATE(YEAR(SUBSTITUTE(LEFT(Base_report!G1775,10),"-","/")),MONTH(SUBSTITUTE(LEFT(Base_report!G1775,10),"-","/")),DAY(SUBSTITUTE(LEFT(Base_report!G1775,10),"-","/")))</f>
        <v>45301</v>
      </c>
      <c r="I1789" s="17" t="str">
        <f t="shared" si="1"/>
        <v>OUI</v>
      </c>
      <c r="J1789" s="18">
        <f>IF(L1789="DS",DATE(RIGHT(B1789,4),VLOOKUP(LEFT(B1789,LEN(B1789)-5),Feuil1!$E$3:$F$19,2,FALSE)+1,10),DATE(RIGHT(B1789,4),VLOOKUP(LEFT(B1789,LEN(B1789)-5),Feuil1!$E$3:$F$19,2,FALSE)+1,7))</f>
        <v>45298</v>
      </c>
      <c r="K1789" s="19">
        <f t="shared" si="2"/>
        <v>0</v>
      </c>
      <c r="L1789" s="6" t="str">
        <f t="shared" si="3"/>
        <v>FS</v>
      </c>
    </row>
    <row r="1790" ht="14.25" customHeight="1">
      <c r="A1790" s="14" t="str">
        <f>Base_report!A1776</f>
        <v>TONKPI</v>
      </c>
      <c r="B1790" s="14" t="str">
        <f>Base_report!B1776</f>
        <v>OCTOBRE DECEMBRE 2023</v>
      </c>
      <c r="C1790" s="15" t="str">
        <f>Base_report!C1776</f>
        <v>C5061</v>
      </c>
      <c r="D1790" s="14" t="str">
        <f>TRIM(IF(ISNUMBER(FIND("PNSME",Base_report!D1776,1)),SUBSTITUTE(Base_report!D1776,"PNSME",""),IF(ISNUMBER(FIND("PHG",Base_report!D1776,1)),SUBSTITUTE(Base_report!D1776,"PHG",""),IF(ISNUMBER(FIND("PCS",Base_report!D1776,1)),SUBSTITUTE(Base_report!D1776,"PCS",""),IF(ISNUMBER(FIND("CMU",Base_report!D1776,1)),SUBSTITUTE(Base_report!D1776,"CMU",""),Base_report!D1776)))))</f>
        <v>CENTRE ANTITUBERCULEUX MAN</v>
      </c>
      <c r="E1790" s="14" t="str">
        <f>SUBSTITUTE(Base_report!E1776,"-","/")</f>
        <v>PNLT/SENSIBLE MEDICAMENTS ET INTRANTS</v>
      </c>
      <c r="F1790" s="14" t="s">
        <v>788</v>
      </c>
      <c r="G1790" s="16">
        <f>DATE(YEAR(SUBSTITUTE(LEFT(Base_report!F1776,10),"-","/")),MONTH(SUBSTITUTE(LEFT(Base_report!F1776,10),"-","/")),DAY(SUBSTITUTE(LEFT(Base_report!F1776,10),"-","/")))</f>
        <v>45297</v>
      </c>
      <c r="H1790" s="16">
        <f>DATE(YEAR(SUBSTITUTE(LEFT(Base_report!G1776,10),"-","/")),MONTH(SUBSTITUTE(LEFT(Base_report!G1776,10),"-","/")),DAY(SUBSTITUTE(LEFT(Base_report!G1776,10),"-","/")))</f>
        <v>45298</v>
      </c>
      <c r="I1790" s="17" t="str">
        <f t="shared" si="1"/>
        <v>OUI</v>
      </c>
      <c r="J1790" s="18">
        <f>IF(L1790="DS",DATE(RIGHT(B1790,4),VLOOKUP(LEFT(B1790,LEN(B1790)-5),Feuil1!$E$3:$F$19,2,FALSE)+1,10),DATE(RIGHT(B1790,4),VLOOKUP(LEFT(B1790,LEN(B1790)-5),Feuil1!$E$3:$F$19,2,FALSE)+1,7))</f>
        <v>45298</v>
      </c>
      <c r="K1790" s="19">
        <f t="shared" si="2"/>
        <v>1</v>
      </c>
      <c r="L1790" s="6" t="str">
        <f t="shared" si="3"/>
        <v>FS</v>
      </c>
    </row>
    <row r="1791" ht="14.25" customHeight="1">
      <c r="A1791" s="14" t="str">
        <f>Base_report!A1777</f>
        <v>TONKPI</v>
      </c>
      <c r="B1791" s="14" t="str">
        <f>Base_report!B1777</f>
        <v>OCTOBRE DECEMBRE 2023</v>
      </c>
      <c r="C1791" s="15" t="str">
        <f>Base_report!C1777</f>
        <v>C5061</v>
      </c>
      <c r="D1791" s="14" t="str">
        <f>TRIM(IF(ISNUMBER(FIND("PNSME",Base_report!D1777,1)),SUBSTITUTE(Base_report!D1777,"PNSME",""),IF(ISNUMBER(FIND("PHG",Base_report!D1777,1)),SUBSTITUTE(Base_report!D1777,"PHG",""),IF(ISNUMBER(FIND("PCS",Base_report!D1777,1)),SUBSTITUTE(Base_report!D1777,"PCS",""),IF(ISNUMBER(FIND("CMU",Base_report!D1777,1)),SUBSTITUTE(Base_report!D1777,"CMU",""),Base_report!D1777)))))</f>
        <v>CENTRE ANTITUBERCULEUX MAN</v>
      </c>
      <c r="E1791" s="14" t="str">
        <f>SUBSTITUTE(Base_report!E1777,"-","/")</f>
        <v>PNLT/PRODUITS DE LABORATOIRE</v>
      </c>
      <c r="F1791" s="14" t="s">
        <v>788</v>
      </c>
      <c r="G1791" s="16">
        <f>DATE(YEAR(SUBSTITUTE(LEFT(Base_report!F1777,10),"-","/")),MONTH(SUBSTITUTE(LEFT(Base_report!F1777,10),"-","/")),DAY(SUBSTITUTE(LEFT(Base_report!F1777,10),"-","/")))</f>
        <v>45297</v>
      </c>
      <c r="H1791" s="16">
        <f>DATE(YEAR(SUBSTITUTE(LEFT(Base_report!G1777,10),"-","/")),MONTH(SUBSTITUTE(LEFT(Base_report!G1777,10),"-","/")),DAY(SUBSTITUTE(LEFT(Base_report!G1777,10),"-","/")))</f>
        <v>45298</v>
      </c>
      <c r="I1791" s="17" t="str">
        <f t="shared" si="1"/>
        <v>OUI</v>
      </c>
      <c r="J1791" s="18">
        <f>IF(L1791="DS",DATE(RIGHT(B1791,4),VLOOKUP(LEFT(B1791,LEN(B1791)-5),Feuil1!$E$3:$F$19,2,FALSE)+1,10),DATE(RIGHT(B1791,4),VLOOKUP(LEFT(B1791,LEN(B1791)-5),Feuil1!$E$3:$F$19,2,FALSE)+1,7))</f>
        <v>45298</v>
      </c>
      <c r="K1791" s="19">
        <f t="shared" si="2"/>
        <v>1</v>
      </c>
      <c r="L1791" s="6" t="str">
        <f t="shared" si="3"/>
        <v>FS</v>
      </c>
    </row>
    <row r="1792" ht="14.25" customHeight="1">
      <c r="A1792" s="14" t="str">
        <f>Base_report!A1778</f>
        <v>ABIDJAN 2</v>
      </c>
      <c r="B1792" s="14" t="str">
        <f>Base_report!B1778</f>
        <v>OCTOBRE DECEMBRE 2023</v>
      </c>
      <c r="C1792" s="15" t="str">
        <f>Base_report!C1778</f>
        <v>C1676</v>
      </c>
      <c r="D1792" s="14" t="str">
        <f>TRIM(IF(ISNUMBER(FIND("PNSME",Base_report!D1778,1)),SUBSTITUTE(Base_report!D1778,"PNSME",""),IF(ISNUMBER(FIND("PHG",Base_report!D1778,1)),SUBSTITUTE(Base_report!D1778,"PHG",""),IF(ISNUMBER(FIND("PCS",Base_report!D1778,1)),SUBSTITUTE(Base_report!D1778,"PCS",""),IF(ISNUMBER(FIND("CMU",Base_report!D1778,1)),SUBSTITUTE(Base_report!D1778,"CMU",""),Base_report!D1778)))))</f>
        <v>DISTRICT SANITAIRE TREICHVILLE MARCORY</v>
      </c>
      <c r="E1792" s="14" t="str">
        <f>SUBSTITUTE(Base_report!E1778,"-","/")</f>
        <v>PNLT/SENSIBLE MEDICAMENTS ET INTRANTS</v>
      </c>
      <c r="F1792" s="14" t="s">
        <v>788</v>
      </c>
      <c r="G1792" s="16">
        <f>DATE(YEAR(SUBSTITUTE(LEFT(Base_report!F1778,10),"-","/")),MONTH(SUBSTITUTE(LEFT(Base_report!F1778,10),"-","/")),DAY(SUBSTITUTE(LEFT(Base_report!F1778,10),"-","/")))</f>
        <v>45301</v>
      </c>
      <c r="H1792" s="16">
        <f>DATE(YEAR(SUBSTITUTE(LEFT(Base_report!G1778,10),"-","/")),MONTH(SUBSTITUTE(LEFT(Base_report!G1778,10),"-","/")),DAY(SUBSTITUTE(LEFT(Base_report!G1778,10),"-","/")))</f>
        <v>45301</v>
      </c>
      <c r="I1792" s="17" t="str">
        <f t="shared" si="1"/>
        <v>OUI</v>
      </c>
      <c r="J1792" s="18">
        <f>IF(L1792="DS",DATE(RIGHT(B1792,4),VLOOKUP(LEFT(B1792,LEN(B1792)-5),Feuil1!$E$3:$F$19,2,FALSE)+1,10),DATE(RIGHT(B1792,4),VLOOKUP(LEFT(B1792,LEN(B1792)-5),Feuil1!$E$3:$F$19,2,FALSE)+1,7))</f>
        <v>45301</v>
      </c>
      <c r="K1792" s="19">
        <f t="shared" si="2"/>
        <v>1</v>
      </c>
      <c r="L1792" s="6" t="str">
        <f t="shared" si="3"/>
        <v>DS</v>
      </c>
    </row>
    <row r="1793" ht="14.25" customHeight="1">
      <c r="A1793" s="14" t="str">
        <f>Base_report!A1779</f>
        <v>GUEMON</v>
      </c>
      <c r="B1793" s="14" t="str">
        <f>Base_report!B1779</f>
        <v>OCTOBRE DECEMBRE 2023</v>
      </c>
      <c r="C1793" s="15" t="str">
        <f>Base_report!C1779</f>
        <v>C5095</v>
      </c>
      <c r="D1793" s="14" t="str">
        <f>TRIM(IF(ISNUMBER(FIND("PNSME",Base_report!D1779,1)),SUBSTITUTE(Base_report!D1779,"PNSME",""),IF(ISNUMBER(FIND("PHG",Base_report!D1779,1)),SUBSTITUTE(Base_report!D1779,"PHG",""),IF(ISNUMBER(FIND("PCS",Base_report!D1779,1)),SUBSTITUTE(Base_report!D1779,"PCS",""),IF(ISNUMBER(FIND("CMU",Base_report!D1779,1)),SUBSTITUTE(Base_report!D1779,"CMU",""),Base_report!D1779)))))</f>
        <v>CENTRE ANTITUBERCULEUX DUEKOUE</v>
      </c>
      <c r="E1793" s="14" t="str">
        <f>SUBSTITUTE(Base_report!E1779,"-","/")</f>
        <v>PNLT/PRODUITS DE LABORATOIRE</v>
      </c>
      <c r="F1793" s="14" t="s">
        <v>788</v>
      </c>
      <c r="G1793" s="16">
        <f>DATE(YEAR(SUBSTITUTE(LEFT(Base_report!F1779,10),"-","/")),MONTH(SUBSTITUTE(LEFT(Base_report!F1779,10),"-","/")),DAY(SUBSTITUTE(LEFT(Base_report!F1779,10),"-","/")))</f>
        <v>45298</v>
      </c>
      <c r="H1793" s="16">
        <f>DATE(YEAR(SUBSTITUTE(LEFT(Base_report!G1779,10),"-","/")),MONTH(SUBSTITUTE(LEFT(Base_report!G1779,10),"-","/")),DAY(SUBSTITUTE(LEFT(Base_report!G1779,10),"-","/")))</f>
        <v>45298</v>
      </c>
      <c r="I1793" s="17" t="str">
        <f t="shared" si="1"/>
        <v>OUI</v>
      </c>
      <c r="J1793" s="18">
        <f>IF(L1793="DS",DATE(RIGHT(B1793,4),VLOOKUP(LEFT(B1793,LEN(B1793)-5),Feuil1!$E$3:$F$19,2,FALSE)+1,10),DATE(RIGHT(B1793,4),VLOOKUP(LEFT(B1793,LEN(B1793)-5),Feuil1!$E$3:$F$19,2,FALSE)+1,7))</f>
        <v>45298</v>
      </c>
      <c r="K1793" s="19">
        <f t="shared" si="2"/>
        <v>1</v>
      </c>
      <c r="L1793" s="6" t="str">
        <f t="shared" si="3"/>
        <v>FS</v>
      </c>
    </row>
    <row r="1794" ht="14.25" customHeight="1">
      <c r="A1794" s="14" t="str">
        <f>Base_report!A1780</f>
        <v>PORO</v>
      </c>
      <c r="B1794" s="14" t="str">
        <f>Base_report!B1780</f>
        <v>OCTOBRE DECEMBRE 2023</v>
      </c>
      <c r="C1794" s="15" t="str">
        <f>Base_report!C1780</f>
        <v>C3043</v>
      </c>
      <c r="D1794" s="14" t="str">
        <f>TRIM(IF(ISNUMBER(FIND("PNSME",Base_report!D1780,1)),SUBSTITUTE(Base_report!D1780,"PNSME",""),IF(ISNUMBER(FIND("PHG",Base_report!D1780,1)),SUBSTITUTE(Base_report!D1780,"PHG",""),IF(ISNUMBER(FIND("PCS",Base_report!D1780,1)),SUBSTITUTE(Base_report!D1780,"PCS",""),IF(ISNUMBER(FIND("CMU",Base_report!D1780,1)),SUBSTITUTE(Base_report!D1780,"CMU",""),Base_report!D1780)))))</f>
        <v>HOPITAL GENERAL DIKODOUGOU</v>
      </c>
      <c r="E1794" s="14" t="str">
        <f>SUBSTITUTE(Base_report!E1780,"-","/")</f>
        <v>PNLT/SENSIBLE MEDICAMENTS ET INTRANTS</v>
      </c>
      <c r="F1794" s="14" t="s">
        <v>788</v>
      </c>
      <c r="G1794" s="16">
        <f>DATE(YEAR(SUBSTITUTE(LEFT(Base_report!F1780,10),"-","/")),MONTH(SUBSTITUTE(LEFT(Base_report!F1780,10),"-","/")),DAY(SUBSTITUTE(LEFT(Base_report!F1780,10),"-","/")))</f>
        <v>45296</v>
      </c>
      <c r="H1794" s="16">
        <f>DATE(YEAR(SUBSTITUTE(LEFT(Base_report!G1780,10),"-","/")),MONTH(SUBSTITUTE(LEFT(Base_report!G1780,10),"-","/")),DAY(SUBSTITUTE(LEFT(Base_report!G1780,10),"-","/")))</f>
        <v>45302</v>
      </c>
      <c r="I1794" s="17" t="str">
        <f t="shared" si="1"/>
        <v>OUI</v>
      </c>
      <c r="J1794" s="18">
        <f>IF(L1794="DS",DATE(RIGHT(B1794,4),VLOOKUP(LEFT(B1794,LEN(B1794)-5),Feuil1!$E$3:$F$19,2,FALSE)+1,10),DATE(RIGHT(B1794,4),VLOOKUP(LEFT(B1794,LEN(B1794)-5),Feuil1!$E$3:$F$19,2,FALSE)+1,7))</f>
        <v>45298</v>
      </c>
      <c r="K1794" s="19">
        <f t="shared" si="2"/>
        <v>0</v>
      </c>
      <c r="L1794" s="6" t="str">
        <f t="shared" si="3"/>
        <v>FS</v>
      </c>
    </row>
    <row r="1795" ht="14.25" customHeight="1">
      <c r="A1795" s="14" t="str">
        <f>Base_report!A1781</f>
        <v>MORONOU</v>
      </c>
      <c r="B1795" s="14" t="str">
        <f>Base_report!B1781</f>
        <v>OCTOBRE DECEMBRE 2023</v>
      </c>
      <c r="C1795" s="15" t="str">
        <f>Base_report!C1781</f>
        <v>C4092</v>
      </c>
      <c r="D1795" s="14" t="str">
        <f>TRIM(IF(ISNUMBER(FIND("PNSME",Base_report!D1781,1)),SUBSTITUTE(Base_report!D1781,"PNSME",""),IF(ISNUMBER(FIND("PHG",Base_report!D1781,1)),SUBSTITUTE(Base_report!D1781,"PHG",""),IF(ISNUMBER(FIND("PCS",Base_report!D1781,1)),SUBSTITUTE(Base_report!D1781,"PCS",""),IF(ISNUMBER(FIND("CMU",Base_report!D1781,1)),SUBSTITUTE(Base_report!D1781,"CMU",""),Base_report!D1781)))))</f>
        <v>CENTRE ANTITUBERCULEUX BONGOUANOU</v>
      </c>
      <c r="E1795" s="14" t="str">
        <f>SUBSTITUTE(Base_report!E1781,"-","/")</f>
        <v>PNLT/MULTI RESISTANTE MEDICAMENTS ET INTRANTS</v>
      </c>
      <c r="F1795" s="14" t="s">
        <v>788</v>
      </c>
      <c r="G1795" s="16">
        <f>DATE(YEAR(SUBSTITUTE(LEFT(Base_report!F1781,10),"-","/")),MONTH(SUBSTITUTE(LEFT(Base_report!F1781,10),"-","/")),DAY(SUBSTITUTE(LEFT(Base_report!F1781,10),"-","/")))</f>
        <v>45299</v>
      </c>
      <c r="H1795" s="16">
        <f>DATE(YEAR(SUBSTITUTE(LEFT(Base_report!G1781,10),"-","/")),MONTH(SUBSTITUTE(LEFT(Base_report!G1781,10),"-","/")),DAY(SUBSTITUTE(LEFT(Base_report!G1781,10),"-","/")))</f>
        <v>45299</v>
      </c>
      <c r="I1795" s="17" t="str">
        <f t="shared" si="1"/>
        <v>OUI</v>
      </c>
      <c r="J1795" s="18">
        <f>IF(L1795="DS",DATE(RIGHT(B1795,4),VLOOKUP(LEFT(B1795,LEN(B1795)-5),Feuil1!$E$3:$F$19,2,FALSE)+1,10),DATE(RIGHT(B1795,4),VLOOKUP(LEFT(B1795,LEN(B1795)-5),Feuil1!$E$3:$F$19,2,FALSE)+1,7))</f>
        <v>45298</v>
      </c>
      <c r="K1795" s="19">
        <f t="shared" si="2"/>
        <v>0</v>
      </c>
      <c r="L1795" s="6" t="str">
        <f t="shared" si="3"/>
        <v>FS</v>
      </c>
    </row>
    <row r="1796" ht="14.25" customHeight="1">
      <c r="A1796" s="14" t="str">
        <f>Base_report!A1782</f>
        <v>NAWA</v>
      </c>
      <c r="B1796" s="14" t="str">
        <f>Base_report!B1782</f>
        <v>OCTOBRE DECEMBRE 2023</v>
      </c>
      <c r="C1796" s="15" t="str">
        <f>Base_report!C1782</f>
        <v>C2190</v>
      </c>
      <c r="D1796" s="14" t="str">
        <f>TRIM(IF(ISNUMBER(FIND("PNSME",Base_report!D1782,1)),SUBSTITUTE(Base_report!D1782,"PNSME",""),IF(ISNUMBER(FIND("PHG",Base_report!D1782,1)),SUBSTITUTE(Base_report!D1782,"PHG",""),IF(ISNUMBER(FIND("PCS",Base_report!D1782,1)),SUBSTITUTE(Base_report!D1782,"PCS",""),IF(ISNUMBER(FIND("CMU",Base_report!D1782,1)),SUBSTITUTE(Base_report!D1782,"CMU",""),Base_report!D1782)))))</f>
        <v>CENTRE ANTITUBERCULEUX SOUBRE</v>
      </c>
      <c r="E1796" s="14" t="str">
        <f>SUBSTITUTE(Base_report!E1782,"-","/")</f>
        <v>PNLT/MULTI RESISTANTE MEDICAMENTS ET INTRANTS</v>
      </c>
      <c r="F1796" s="14" t="s">
        <v>788</v>
      </c>
      <c r="G1796" s="16">
        <f>DATE(YEAR(SUBSTITUTE(LEFT(Base_report!F1782,10),"-","/")),MONTH(SUBSTITUTE(LEFT(Base_report!F1782,10),"-","/")),DAY(SUBSTITUTE(LEFT(Base_report!F1782,10),"-","/")))</f>
        <v>45298</v>
      </c>
      <c r="H1796" s="16">
        <f>DATE(YEAR(SUBSTITUTE(LEFT(Base_report!G1782,10),"-","/")),MONTH(SUBSTITUTE(LEFT(Base_report!G1782,10),"-","/")),DAY(SUBSTITUTE(LEFT(Base_report!G1782,10),"-","/")))</f>
        <v>45298</v>
      </c>
      <c r="I1796" s="17" t="str">
        <f t="shared" si="1"/>
        <v>OUI</v>
      </c>
      <c r="J1796" s="18">
        <f>IF(L1796="DS",DATE(RIGHT(B1796,4),VLOOKUP(LEFT(B1796,LEN(B1796)-5),Feuil1!$E$3:$F$19,2,FALSE)+1,10),DATE(RIGHT(B1796,4),VLOOKUP(LEFT(B1796,LEN(B1796)-5),Feuil1!$E$3:$F$19,2,FALSE)+1,7))</f>
        <v>45298</v>
      </c>
      <c r="K1796" s="19">
        <f t="shared" si="2"/>
        <v>1</v>
      </c>
      <c r="L1796" s="6" t="str">
        <f t="shared" si="3"/>
        <v>FS</v>
      </c>
    </row>
    <row r="1797" ht="14.25" customHeight="1">
      <c r="A1797" s="14" t="str">
        <f>Base_report!A1783</f>
        <v>ABIDJAN 1</v>
      </c>
      <c r="B1797" s="14" t="str">
        <f>Base_report!B1783</f>
        <v>OCTOBRE DECEMBRE 2023</v>
      </c>
      <c r="C1797" s="15" t="str">
        <f>Base_report!C1783</f>
        <v>C1680</v>
      </c>
      <c r="D1797" s="14" t="str">
        <f>TRIM(IF(ISNUMBER(FIND("PNSME",Base_report!D1783,1)),SUBSTITUTE(Base_report!D1783,"PNSME",""),IF(ISNUMBER(FIND("PHG",Base_report!D1783,1)),SUBSTITUTE(Base_report!D1783,"PHG",""),IF(ISNUMBER(FIND("PCS",Base_report!D1783,1)),SUBSTITUTE(Base_report!D1783,"PCS",""),IF(ISNUMBER(FIND("CMU",Base_report!D1783,1)),SUBSTITUTE(Base_report!D1783,"CMU",""),Base_report!D1783)))))</f>
        <v>CENTRE ANTITUBERCULEUX ABOBO</v>
      </c>
      <c r="E1797" s="14" t="str">
        <f>SUBSTITUTE(Base_report!E1783,"-","/")</f>
        <v>PNLT/PRODUITS DE LABORATOIRE</v>
      </c>
      <c r="F1797" s="14" t="s">
        <v>788</v>
      </c>
      <c r="G1797" s="16">
        <f>DATE(YEAR(SUBSTITUTE(LEFT(Base_report!F1783,10),"-","/")),MONTH(SUBSTITUTE(LEFT(Base_report!F1783,10),"-","/")),DAY(SUBSTITUTE(LEFT(Base_report!F1783,10),"-","/")))</f>
        <v>45300</v>
      </c>
      <c r="H1797" s="16">
        <f>DATE(YEAR(SUBSTITUTE(LEFT(Base_report!G1783,10),"-","/")),MONTH(SUBSTITUTE(LEFT(Base_report!G1783,10),"-","/")),DAY(SUBSTITUTE(LEFT(Base_report!G1783,10),"-","/")))</f>
        <v>45300</v>
      </c>
      <c r="I1797" s="17" t="str">
        <f t="shared" si="1"/>
        <v>OUI</v>
      </c>
      <c r="J1797" s="18">
        <f>IF(L1797="DS",DATE(RIGHT(B1797,4),VLOOKUP(LEFT(B1797,LEN(B1797)-5),Feuil1!$E$3:$F$19,2,FALSE)+1,10),DATE(RIGHT(B1797,4),VLOOKUP(LEFT(B1797,LEN(B1797)-5),Feuil1!$E$3:$F$19,2,FALSE)+1,7))</f>
        <v>45298</v>
      </c>
      <c r="K1797" s="19">
        <f t="shared" si="2"/>
        <v>0</v>
      </c>
      <c r="L1797" s="6" t="str">
        <f t="shared" si="3"/>
        <v>FS</v>
      </c>
    </row>
    <row r="1798" ht="14.25" customHeight="1">
      <c r="A1798" s="14" t="str">
        <f>Base_report!A1784</f>
        <v>TONKPI</v>
      </c>
      <c r="B1798" s="14" t="str">
        <f>Base_report!B1784</f>
        <v>OCTOBRE DECEMBRE 2023</v>
      </c>
      <c r="C1798" s="15" t="str">
        <f>Base_report!C1784</f>
        <v>C5061</v>
      </c>
      <c r="D1798" s="14" t="str">
        <f>TRIM(IF(ISNUMBER(FIND("PNSME",Base_report!D1784,1)),SUBSTITUTE(Base_report!D1784,"PNSME",""),IF(ISNUMBER(FIND("PHG",Base_report!D1784,1)),SUBSTITUTE(Base_report!D1784,"PHG",""),IF(ISNUMBER(FIND("PCS",Base_report!D1784,1)),SUBSTITUTE(Base_report!D1784,"PCS",""),IF(ISNUMBER(FIND("CMU",Base_report!D1784,1)),SUBSTITUTE(Base_report!D1784,"CMU",""),Base_report!D1784)))))</f>
        <v>CENTRE ANTITUBERCULEUX MAN</v>
      </c>
      <c r="E1798" s="14" t="str">
        <f>SUBSTITUTE(Base_report!E1784,"-","/")</f>
        <v>PNLT/MULTI RESISTANTE MEDICAMENTS ET INTRANTS</v>
      </c>
      <c r="F1798" s="14" t="s">
        <v>788</v>
      </c>
      <c r="G1798" s="16">
        <f>DATE(YEAR(SUBSTITUTE(LEFT(Base_report!F1784,10),"-","/")),MONTH(SUBSTITUTE(LEFT(Base_report!F1784,10),"-","/")),DAY(SUBSTITUTE(LEFT(Base_report!F1784,10),"-","/")))</f>
        <v>45297</v>
      </c>
      <c r="H1798" s="16">
        <f>DATE(YEAR(SUBSTITUTE(LEFT(Base_report!G1784,10),"-","/")),MONTH(SUBSTITUTE(LEFT(Base_report!G1784,10),"-","/")),DAY(SUBSTITUTE(LEFT(Base_report!G1784,10),"-","/")))</f>
        <v>45298</v>
      </c>
      <c r="I1798" s="17" t="str">
        <f t="shared" si="1"/>
        <v>OUI</v>
      </c>
      <c r="J1798" s="18">
        <f>IF(L1798="DS",DATE(RIGHT(B1798,4),VLOOKUP(LEFT(B1798,LEN(B1798)-5),Feuil1!$E$3:$F$19,2,FALSE)+1,10),DATE(RIGHT(B1798,4),VLOOKUP(LEFT(B1798,LEN(B1798)-5),Feuil1!$E$3:$F$19,2,FALSE)+1,7))</f>
        <v>45298</v>
      </c>
      <c r="K1798" s="19">
        <f t="shared" si="2"/>
        <v>1</v>
      </c>
      <c r="L1798" s="6" t="str">
        <f t="shared" si="3"/>
        <v>FS</v>
      </c>
    </row>
    <row r="1799" ht="14.25" customHeight="1">
      <c r="A1799" s="14" t="str">
        <f>Base_report!A1785</f>
        <v>ABIDJAN 2</v>
      </c>
      <c r="B1799" s="14" t="str">
        <f>Base_report!B1785</f>
        <v>OCTOBRE DECEMBRE 2023</v>
      </c>
      <c r="C1799" s="15" t="str">
        <f>Base_report!C1785</f>
        <v>C1001</v>
      </c>
      <c r="D1799" s="14" t="str">
        <f>TRIM(IF(ISNUMBER(FIND("PNSME",Base_report!D1785,1)),SUBSTITUTE(Base_report!D1785,"PNSME",""),IF(ISNUMBER(FIND("PHG",Base_report!D1785,1)),SUBSTITUTE(Base_report!D1785,"PHG",""),IF(ISNUMBER(FIND("PCS",Base_report!D1785,1)),SUBSTITUTE(Base_report!D1785,"PCS",""),IF(ISNUMBER(FIND("CMU",Base_report!D1785,1)),SUBSTITUTE(Base_report!D1785,"CMU",""),Base_report!D1785)))))</f>
        <v>CENTRE ANTITUBERCULEUX ADJAME</v>
      </c>
      <c r="E1799" s="14" t="str">
        <f>SUBSTITUTE(Base_report!E1785,"-","/")</f>
        <v>PNLT/SENSIBLE MEDICAMENTS ET INTRANTS</v>
      </c>
      <c r="F1799" s="14" t="s">
        <v>788</v>
      </c>
      <c r="G1799" s="16">
        <f>DATE(YEAR(SUBSTITUTE(LEFT(Base_report!F1785,10),"-","/")),MONTH(SUBSTITUTE(LEFT(Base_report!F1785,10),"-","/")),DAY(SUBSTITUTE(LEFT(Base_report!F1785,10),"-","/")))</f>
        <v>45299</v>
      </c>
      <c r="H1799" s="16">
        <f>DATE(YEAR(SUBSTITUTE(LEFT(Base_report!G1785,10),"-","/")),MONTH(SUBSTITUTE(LEFT(Base_report!G1785,10),"-","/")),DAY(SUBSTITUTE(LEFT(Base_report!G1785,10),"-","/")))</f>
        <v>45299</v>
      </c>
      <c r="I1799" s="17" t="str">
        <f t="shared" si="1"/>
        <v>OUI</v>
      </c>
      <c r="J1799" s="18">
        <f>IF(L1799="DS",DATE(RIGHT(B1799,4),VLOOKUP(LEFT(B1799,LEN(B1799)-5),Feuil1!$E$3:$F$19,2,FALSE)+1,10),DATE(RIGHT(B1799,4),VLOOKUP(LEFT(B1799,LEN(B1799)-5),Feuil1!$E$3:$F$19,2,FALSE)+1,7))</f>
        <v>45298</v>
      </c>
      <c r="K1799" s="19">
        <f t="shared" si="2"/>
        <v>0</v>
      </c>
      <c r="L1799" s="6" t="str">
        <f t="shared" si="3"/>
        <v>FS</v>
      </c>
    </row>
    <row r="1800" ht="14.25" customHeight="1">
      <c r="A1800" s="14" t="str">
        <f>Base_report!A1786</f>
        <v>GBEKE</v>
      </c>
      <c r="B1800" s="14" t="str">
        <f>Base_report!B1786</f>
        <v>OCTOBRE DECEMBRE 2023</v>
      </c>
      <c r="C1800" s="15" t="str">
        <f>Base_report!C1786</f>
        <v>C2048</v>
      </c>
      <c r="D1800" s="14" t="str">
        <f>TRIM(IF(ISNUMBER(FIND("PNSME",Base_report!D1786,1)),SUBSTITUTE(Base_report!D1786,"PNSME",""),IF(ISNUMBER(FIND("PHG",Base_report!D1786,1)),SUBSTITUTE(Base_report!D1786,"PHG",""),IF(ISNUMBER(FIND("PCS",Base_report!D1786,1)),SUBSTITUTE(Base_report!D1786,"PCS",""),IF(ISNUMBER(FIND("CMU",Base_report!D1786,1)),SUBSTITUTE(Base_report!D1786,"CMU",""),Base_report!D1786)))))</f>
        <v>DISTRICT SANITAIRE BEOUMI</v>
      </c>
      <c r="E1800" s="14" t="str">
        <f>SUBSTITUTE(Base_report!E1786,"-","/")</f>
        <v>PNLT/SENSIBLE MEDICAMENTS ET INTRANTS</v>
      </c>
      <c r="F1800" s="14" t="s">
        <v>788</v>
      </c>
      <c r="G1800" s="16">
        <f>DATE(YEAR(SUBSTITUTE(LEFT(Base_report!F1786,10),"-","/")),MONTH(SUBSTITUTE(LEFT(Base_report!F1786,10),"-","/")),DAY(SUBSTITUTE(LEFT(Base_report!F1786,10),"-","/")))</f>
        <v>45301</v>
      </c>
      <c r="H1800" s="16">
        <f>DATE(YEAR(SUBSTITUTE(LEFT(Base_report!G1786,10),"-","/")),MONTH(SUBSTITUTE(LEFT(Base_report!G1786,10),"-","/")),DAY(SUBSTITUTE(LEFT(Base_report!G1786,10),"-","/")))</f>
        <v>45301</v>
      </c>
      <c r="I1800" s="17" t="str">
        <f t="shared" si="1"/>
        <v>OUI</v>
      </c>
      <c r="J1800" s="18">
        <f>IF(L1800="DS",DATE(RIGHT(B1800,4),VLOOKUP(LEFT(B1800,LEN(B1800)-5),Feuil1!$E$3:$F$19,2,FALSE)+1,10),DATE(RIGHT(B1800,4),VLOOKUP(LEFT(B1800,LEN(B1800)-5),Feuil1!$E$3:$F$19,2,FALSE)+1,7))</f>
        <v>45301</v>
      </c>
      <c r="K1800" s="19">
        <f t="shared" si="2"/>
        <v>1</v>
      </c>
      <c r="L1800" s="6" t="str">
        <f t="shared" si="3"/>
        <v>DS</v>
      </c>
    </row>
  </sheetData>
  <autoFilter ref="$A$1:$L$1574"/>
  <conditionalFormatting sqref="K2:K1800">
    <cfRule type="cellIs" dxfId="0" priority="1" operator="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0"/>
    <col customWidth="1" min="2" max="2" width="58.14"/>
    <col customWidth="1" min="3" max="3" width="18.29"/>
    <col customWidth="1" min="4" max="16" width="11.71"/>
    <col customWidth="1" min="17" max="26" width="11.43"/>
  </cols>
  <sheetData>
    <row r="1" ht="28.5" customHeight="1">
      <c r="A1" s="20" t="s">
        <v>789</v>
      </c>
      <c r="B1" s="21" t="s">
        <v>790</v>
      </c>
      <c r="C1" s="22" t="s">
        <v>791</v>
      </c>
      <c r="D1" s="20" t="s">
        <v>792</v>
      </c>
      <c r="E1" s="21" t="s">
        <v>793</v>
      </c>
      <c r="F1" s="21" t="s">
        <v>794</v>
      </c>
      <c r="G1" s="21" t="s">
        <v>795</v>
      </c>
      <c r="H1" s="21" t="s">
        <v>796</v>
      </c>
      <c r="I1" s="21" t="s">
        <v>797</v>
      </c>
      <c r="J1" s="21" t="s">
        <v>798</v>
      </c>
      <c r="K1" s="21" t="s">
        <v>799</v>
      </c>
      <c r="L1" s="21" t="s">
        <v>800</v>
      </c>
      <c r="M1" s="21" t="s">
        <v>801</v>
      </c>
      <c r="N1" s="21" t="s">
        <v>802</v>
      </c>
      <c r="O1" s="21" t="s">
        <v>803</v>
      </c>
      <c r="P1" s="23" t="s">
        <v>804</v>
      </c>
      <c r="Q1" s="24"/>
      <c r="R1" s="24"/>
      <c r="S1" s="24"/>
      <c r="T1" s="24"/>
      <c r="U1" s="24"/>
      <c r="V1" s="24"/>
      <c r="W1" s="24"/>
      <c r="X1" s="24"/>
      <c r="Y1" s="24"/>
      <c r="Z1" s="24"/>
    </row>
    <row r="2" ht="14.25" customHeight="1">
      <c r="A2" s="25" t="s">
        <v>506</v>
      </c>
      <c r="B2" s="26" t="s">
        <v>507</v>
      </c>
      <c r="C2" s="27" t="s">
        <v>24</v>
      </c>
      <c r="D2" s="28" t="s">
        <v>805</v>
      </c>
      <c r="E2" s="29" t="s">
        <v>805</v>
      </c>
      <c r="F2" s="29" t="s">
        <v>805</v>
      </c>
      <c r="G2" s="29" t="s">
        <v>805</v>
      </c>
      <c r="H2" s="29" t="s">
        <v>805</v>
      </c>
      <c r="I2" s="29">
        <v>1.0</v>
      </c>
      <c r="J2" s="29">
        <v>1.0</v>
      </c>
      <c r="K2" s="29" t="s">
        <v>805</v>
      </c>
      <c r="L2" s="29" t="s">
        <v>805</v>
      </c>
      <c r="M2" s="29" t="s">
        <v>805</v>
      </c>
      <c r="N2" s="29" t="s">
        <v>805</v>
      </c>
      <c r="O2" s="29" t="s">
        <v>805</v>
      </c>
      <c r="P2" s="30"/>
    </row>
    <row r="3" ht="14.25" customHeight="1">
      <c r="A3" s="31" t="s">
        <v>564</v>
      </c>
      <c r="B3" s="32" t="s">
        <v>565</v>
      </c>
      <c r="C3" s="33" t="s">
        <v>24</v>
      </c>
      <c r="D3" s="34" t="s">
        <v>805</v>
      </c>
      <c r="E3" s="15" t="s">
        <v>805</v>
      </c>
      <c r="F3" s="15" t="s">
        <v>805</v>
      </c>
      <c r="G3" s="15" t="s">
        <v>805</v>
      </c>
      <c r="H3" s="15" t="s">
        <v>805</v>
      </c>
      <c r="I3" s="15">
        <v>1.0</v>
      </c>
      <c r="J3" s="15">
        <v>1.0</v>
      </c>
      <c r="K3" s="15" t="s">
        <v>805</v>
      </c>
      <c r="L3" s="29" t="s">
        <v>805</v>
      </c>
      <c r="M3" s="29" t="s">
        <v>805</v>
      </c>
      <c r="N3" s="29" t="s">
        <v>805</v>
      </c>
      <c r="O3" s="29" t="s">
        <v>805</v>
      </c>
      <c r="P3" s="35"/>
    </row>
    <row r="4" ht="14.25" customHeight="1">
      <c r="A4" s="31" t="s">
        <v>423</v>
      </c>
      <c r="B4" s="32" t="s">
        <v>424</v>
      </c>
      <c r="C4" s="33" t="s">
        <v>24</v>
      </c>
      <c r="D4" s="34" t="s">
        <v>805</v>
      </c>
      <c r="E4" s="15" t="s">
        <v>805</v>
      </c>
      <c r="F4" s="15" t="s">
        <v>805</v>
      </c>
      <c r="G4" s="15" t="s">
        <v>805</v>
      </c>
      <c r="H4" s="15" t="s">
        <v>805</v>
      </c>
      <c r="I4" s="15">
        <v>1.0</v>
      </c>
      <c r="J4" s="15" t="s">
        <v>805</v>
      </c>
      <c r="K4" s="15" t="s">
        <v>805</v>
      </c>
      <c r="L4" s="29" t="s">
        <v>805</v>
      </c>
      <c r="M4" s="29" t="s">
        <v>805</v>
      </c>
      <c r="N4" s="29" t="s">
        <v>805</v>
      </c>
      <c r="O4" s="29" t="s">
        <v>805</v>
      </c>
      <c r="P4" s="35"/>
    </row>
    <row r="5" ht="14.25" customHeight="1">
      <c r="A5" s="31" t="s">
        <v>626</v>
      </c>
      <c r="B5" s="32" t="s">
        <v>627</v>
      </c>
      <c r="C5" s="33" t="s">
        <v>24</v>
      </c>
      <c r="D5" s="34">
        <v>1.0</v>
      </c>
      <c r="E5" s="15">
        <v>1.0</v>
      </c>
      <c r="F5" s="15">
        <v>1.0</v>
      </c>
      <c r="G5" s="15" t="s">
        <v>805</v>
      </c>
      <c r="H5" s="15">
        <v>1.0</v>
      </c>
      <c r="I5" s="15">
        <v>1.0</v>
      </c>
      <c r="J5" s="15">
        <v>1.0</v>
      </c>
      <c r="K5" s="15" t="s">
        <v>805</v>
      </c>
      <c r="L5" s="29" t="s">
        <v>805</v>
      </c>
      <c r="M5" s="29" t="s">
        <v>805</v>
      </c>
      <c r="N5" s="29" t="s">
        <v>805</v>
      </c>
      <c r="O5" s="29" t="s">
        <v>805</v>
      </c>
      <c r="P5" s="35"/>
    </row>
    <row r="6" ht="14.25" customHeight="1">
      <c r="A6" s="31" t="s">
        <v>655</v>
      </c>
      <c r="B6" s="32" t="s">
        <v>656</v>
      </c>
      <c r="C6" s="33" t="s">
        <v>24</v>
      </c>
      <c r="D6" s="34" t="s">
        <v>805</v>
      </c>
      <c r="E6" s="15" t="s">
        <v>805</v>
      </c>
      <c r="F6" s="15" t="s">
        <v>805</v>
      </c>
      <c r="G6" s="15" t="s">
        <v>805</v>
      </c>
      <c r="H6" s="15" t="s">
        <v>805</v>
      </c>
      <c r="I6" s="15">
        <v>1.0</v>
      </c>
      <c r="J6" s="15">
        <v>1.0</v>
      </c>
      <c r="K6" s="15" t="s">
        <v>805</v>
      </c>
      <c r="L6" s="29" t="s">
        <v>805</v>
      </c>
      <c r="M6" s="29" t="s">
        <v>805</v>
      </c>
      <c r="N6" s="29" t="s">
        <v>805</v>
      </c>
      <c r="O6" s="29" t="s">
        <v>805</v>
      </c>
      <c r="P6" s="35"/>
    </row>
    <row r="7" ht="14.25" customHeight="1">
      <c r="A7" s="31" t="s">
        <v>52</v>
      </c>
      <c r="B7" s="32" t="s">
        <v>53</v>
      </c>
      <c r="C7" s="33" t="s">
        <v>24</v>
      </c>
      <c r="D7" s="34">
        <v>1.0</v>
      </c>
      <c r="E7" s="15">
        <v>1.0</v>
      </c>
      <c r="F7" s="15">
        <v>1.0</v>
      </c>
      <c r="G7" s="15">
        <v>1.0</v>
      </c>
      <c r="H7" s="15">
        <v>1.0</v>
      </c>
      <c r="I7" s="15">
        <v>1.0</v>
      </c>
      <c r="J7" s="15" t="s">
        <v>805</v>
      </c>
      <c r="K7" s="15" t="s">
        <v>805</v>
      </c>
      <c r="L7" s="29">
        <v>1.0</v>
      </c>
      <c r="M7" s="29" t="s">
        <v>805</v>
      </c>
      <c r="N7" s="29" t="s">
        <v>805</v>
      </c>
      <c r="O7" s="29">
        <v>1.0</v>
      </c>
      <c r="P7" s="35"/>
    </row>
    <row r="8" ht="14.25" customHeight="1">
      <c r="A8" s="31" t="s">
        <v>806</v>
      </c>
      <c r="B8" s="32" t="s">
        <v>807</v>
      </c>
      <c r="C8" s="33" t="s">
        <v>24</v>
      </c>
      <c r="D8" s="34" t="s">
        <v>805</v>
      </c>
      <c r="E8" s="15" t="s">
        <v>805</v>
      </c>
      <c r="F8" s="15" t="s">
        <v>805</v>
      </c>
      <c r="G8" s="15" t="s">
        <v>805</v>
      </c>
      <c r="H8" s="15" t="s">
        <v>805</v>
      </c>
      <c r="I8" s="15">
        <v>1.0</v>
      </c>
      <c r="J8" s="15">
        <v>1.0</v>
      </c>
      <c r="K8" s="15" t="s">
        <v>805</v>
      </c>
      <c r="L8" s="29">
        <v>1.0</v>
      </c>
      <c r="M8" s="29" t="s">
        <v>805</v>
      </c>
      <c r="N8" s="29" t="s">
        <v>805</v>
      </c>
      <c r="O8" s="29">
        <v>1.0</v>
      </c>
      <c r="P8" s="35"/>
    </row>
    <row r="9" ht="14.25" customHeight="1">
      <c r="A9" s="31" t="s">
        <v>548</v>
      </c>
      <c r="B9" s="32" t="s">
        <v>549</v>
      </c>
      <c r="C9" s="33" t="s">
        <v>24</v>
      </c>
      <c r="D9" s="34">
        <v>1.0</v>
      </c>
      <c r="E9" s="15">
        <v>1.0</v>
      </c>
      <c r="F9" s="15">
        <v>1.0</v>
      </c>
      <c r="G9" s="15" t="s">
        <v>805</v>
      </c>
      <c r="H9" s="15">
        <v>1.0</v>
      </c>
      <c r="I9" s="15">
        <v>1.0</v>
      </c>
      <c r="J9" s="15">
        <v>1.0</v>
      </c>
      <c r="K9" s="15">
        <v>1.0</v>
      </c>
      <c r="L9" s="29">
        <v>1.0</v>
      </c>
      <c r="M9" s="29" t="s">
        <v>805</v>
      </c>
      <c r="N9" s="29" t="s">
        <v>805</v>
      </c>
      <c r="O9" s="29" t="s">
        <v>805</v>
      </c>
      <c r="P9" s="35"/>
    </row>
    <row r="10" ht="14.25" customHeight="1">
      <c r="A10" s="31" t="s">
        <v>25</v>
      </c>
      <c r="B10" s="32" t="s">
        <v>26</v>
      </c>
      <c r="C10" s="33" t="s">
        <v>24</v>
      </c>
      <c r="D10" s="34">
        <v>1.0</v>
      </c>
      <c r="E10" s="15">
        <v>1.0</v>
      </c>
      <c r="F10" s="15">
        <v>1.0</v>
      </c>
      <c r="G10" s="15" t="s">
        <v>805</v>
      </c>
      <c r="H10" s="15">
        <v>1.0</v>
      </c>
      <c r="I10" s="15">
        <v>1.0</v>
      </c>
      <c r="J10" s="15">
        <v>1.0</v>
      </c>
      <c r="K10" s="15">
        <v>1.0</v>
      </c>
      <c r="L10" s="29" t="s">
        <v>805</v>
      </c>
      <c r="M10" s="29" t="s">
        <v>805</v>
      </c>
      <c r="N10" s="29" t="s">
        <v>805</v>
      </c>
      <c r="O10" s="29" t="s">
        <v>805</v>
      </c>
      <c r="P10" s="35"/>
    </row>
    <row r="11" ht="14.25" customHeight="1">
      <c r="A11" s="31" t="s">
        <v>638</v>
      </c>
      <c r="B11" s="32" t="s">
        <v>639</v>
      </c>
      <c r="C11" s="33" t="s">
        <v>24</v>
      </c>
      <c r="D11" s="34" t="s">
        <v>805</v>
      </c>
      <c r="E11" s="15" t="s">
        <v>805</v>
      </c>
      <c r="F11" s="15" t="s">
        <v>805</v>
      </c>
      <c r="G11" s="15" t="s">
        <v>805</v>
      </c>
      <c r="H11" s="15" t="s">
        <v>805</v>
      </c>
      <c r="I11" s="15">
        <v>1.0</v>
      </c>
      <c r="J11" s="15" t="s">
        <v>805</v>
      </c>
      <c r="K11" s="15" t="s">
        <v>805</v>
      </c>
      <c r="L11" s="29" t="s">
        <v>805</v>
      </c>
      <c r="M11" s="29" t="s">
        <v>805</v>
      </c>
      <c r="N11" s="29" t="s">
        <v>805</v>
      </c>
      <c r="O11" s="29" t="s">
        <v>805</v>
      </c>
      <c r="P11" s="35"/>
    </row>
    <row r="12" ht="14.25" customHeight="1">
      <c r="A12" s="31" t="s">
        <v>486</v>
      </c>
      <c r="B12" s="32" t="s">
        <v>487</v>
      </c>
      <c r="C12" s="33" t="s">
        <v>24</v>
      </c>
      <c r="D12" s="34">
        <v>1.0</v>
      </c>
      <c r="E12" s="15">
        <v>1.0</v>
      </c>
      <c r="F12" s="15">
        <v>1.0</v>
      </c>
      <c r="G12" s="15" t="s">
        <v>805</v>
      </c>
      <c r="H12" s="15">
        <v>1.0</v>
      </c>
      <c r="I12" s="15" t="s">
        <v>805</v>
      </c>
      <c r="J12" s="15" t="s">
        <v>805</v>
      </c>
      <c r="K12" s="15" t="s">
        <v>805</v>
      </c>
      <c r="L12" s="29">
        <v>1.0</v>
      </c>
      <c r="M12" s="29" t="s">
        <v>805</v>
      </c>
      <c r="N12" s="29" t="s">
        <v>805</v>
      </c>
      <c r="O12" s="29" t="s">
        <v>805</v>
      </c>
      <c r="P12" s="35"/>
    </row>
    <row r="13" ht="14.25" customHeight="1">
      <c r="A13" s="31" t="s">
        <v>600</v>
      </c>
      <c r="B13" s="32" t="s">
        <v>601</v>
      </c>
      <c r="C13" s="33" t="s">
        <v>24</v>
      </c>
      <c r="D13" s="34">
        <v>1.0</v>
      </c>
      <c r="E13" s="15">
        <v>1.0</v>
      </c>
      <c r="F13" s="15">
        <v>1.0</v>
      </c>
      <c r="G13" s="15">
        <v>1.0</v>
      </c>
      <c r="H13" s="15">
        <v>1.0</v>
      </c>
      <c r="I13" s="15" t="s">
        <v>805</v>
      </c>
      <c r="J13" s="15" t="s">
        <v>805</v>
      </c>
      <c r="K13" s="15" t="s">
        <v>805</v>
      </c>
      <c r="L13" s="29">
        <v>1.0</v>
      </c>
      <c r="M13" s="29">
        <v>1.0</v>
      </c>
      <c r="N13" s="29">
        <v>1.0</v>
      </c>
      <c r="O13" s="29">
        <v>1.0</v>
      </c>
      <c r="P13" s="35"/>
    </row>
    <row r="14" ht="14.25" customHeight="1">
      <c r="A14" s="31" t="s">
        <v>262</v>
      </c>
      <c r="B14" s="32" t="s">
        <v>263</v>
      </c>
      <c r="C14" s="33" t="s">
        <v>24</v>
      </c>
      <c r="D14" s="34" t="s">
        <v>805</v>
      </c>
      <c r="E14" s="15" t="s">
        <v>805</v>
      </c>
      <c r="F14" s="15" t="s">
        <v>805</v>
      </c>
      <c r="G14" s="15" t="s">
        <v>805</v>
      </c>
      <c r="H14" s="15" t="s">
        <v>805</v>
      </c>
      <c r="I14" s="15">
        <v>1.0</v>
      </c>
      <c r="J14" s="15" t="s">
        <v>805</v>
      </c>
      <c r="K14" s="15" t="s">
        <v>805</v>
      </c>
      <c r="L14" s="29" t="s">
        <v>805</v>
      </c>
      <c r="M14" s="29" t="s">
        <v>805</v>
      </c>
      <c r="N14" s="29" t="s">
        <v>805</v>
      </c>
      <c r="O14" s="29" t="s">
        <v>805</v>
      </c>
      <c r="P14" s="35"/>
    </row>
    <row r="15" ht="14.25" customHeight="1">
      <c r="A15" s="31" t="s">
        <v>665</v>
      </c>
      <c r="B15" s="32" t="s">
        <v>666</v>
      </c>
      <c r="C15" s="33" t="s">
        <v>24</v>
      </c>
      <c r="D15" s="34" t="s">
        <v>805</v>
      </c>
      <c r="E15" s="15" t="s">
        <v>805</v>
      </c>
      <c r="F15" s="15" t="s">
        <v>805</v>
      </c>
      <c r="G15" s="15" t="s">
        <v>805</v>
      </c>
      <c r="H15" s="15" t="s">
        <v>805</v>
      </c>
      <c r="I15" s="15">
        <v>1.0</v>
      </c>
      <c r="J15" s="15" t="s">
        <v>805</v>
      </c>
      <c r="K15" s="15" t="s">
        <v>805</v>
      </c>
      <c r="L15" s="29" t="s">
        <v>805</v>
      </c>
      <c r="M15" s="29" t="s">
        <v>805</v>
      </c>
      <c r="N15" s="29" t="s">
        <v>805</v>
      </c>
      <c r="O15" s="29" t="s">
        <v>805</v>
      </c>
      <c r="P15" s="35"/>
    </row>
    <row r="16" ht="14.25" customHeight="1">
      <c r="A16" s="31" t="s">
        <v>570</v>
      </c>
      <c r="B16" s="32" t="s">
        <v>571</v>
      </c>
      <c r="C16" s="33" t="s">
        <v>24</v>
      </c>
      <c r="D16" s="34" t="s">
        <v>805</v>
      </c>
      <c r="E16" s="15" t="s">
        <v>805</v>
      </c>
      <c r="F16" s="15" t="s">
        <v>805</v>
      </c>
      <c r="G16" s="15" t="s">
        <v>805</v>
      </c>
      <c r="H16" s="15" t="s">
        <v>805</v>
      </c>
      <c r="I16" s="15">
        <v>1.0</v>
      </c>
      <c r="J16" s="15">
        <v>1.0</v>
      </c>
      <c r="K16" s="15" t="s">
        <v>805</v>
      </c>
      <c r="L16" s="29" t="s">
        <v>805</v>
      </c>
      <c r="M16" s="29" t="s">
        <v>805</v>
      </c>
      <c r="N16" s="29" t="s">
        <v>805</v>
      </c>
      <c r="O16" s="29" t="s">
        <v>805</v>
      </c>
      <c r="P16" s="35"/>
    </row>
    <row r="17" ht="14.25" customHeight="1">
      <c r="A17" s="31" t="s">
        <v>328</v>
      </c>
      <c r="B17" s="32" t="s">
        <v>329</v>
      </c>
      <c r="C17" s="33" t="s">
        <v>24</v>
      </c>
      <c r="D17" s="34">
        <v>1.0</v>
      </c>
      <c r="E17" s="15">
        <v>1.0</v>
      </c>
      <c r="F17" s="15">
        <v>1.0</v>
      </c>
      <c r="G17" s="15" t="s">
        <v>805</v>
      </c>
      <c r="H17" s="15">
        <v>1.0</v>
      </c>
      <c r="I17" s="15">
        <v>1.0</v>
      </c>
      <c r="J17" s="15" t="s">
        <v>805</v>
      </c>
      <c r="K17" s="15" t="s">
        <v>805</v>
      </c>
      <c r="L17" s="29" t="s">
        <v>805</v>
      </c>
      <c r="M17" s="29" t="s">
        <v>805</v>
      </c>
      <c r="N17" s="29" t="s">
        <v>805</v>
      </c>
      <c r="O17" s="29" t="s">
        <v>805</v>
      </c>
      <c r="P17" s="35"/>
    </row>
    <row r="18" ht="14.25" customHeight="1">
      <c r="A18" s="31" t="s">
        <v>620</v>
      </c>
      <c r="B18" s="32" t="s">
        <v>621</v>
      </c>
      <c r="C18" s="33" t="s">
        <v>24</v>
      </c>
      <c r="D18" s="34">
        <v>1.0</v>
      </c>
      <c r="E18" s="15">
        <v>1.0</v>
      </c>
      <c r="F18" s="15">
        <v>1.0</v>
      </c>
      <c r="G18" s="15">
        <v>1.0</v>
      </c>
      <c r="H18" s="15">
        <v>1.0</v>
      </c>
      <c r="I18" s="15">
        <v>1.0</v>
      </c>
      <c r="J18" s="15" t="s">
        <v>805</v>
      </c>
      <c r="K18" s="15" t="s">
        <v>805</v>
      </c>
      <c r="L18" s="29">
        <v>1.0</v>
      </c>
      <c r="M18" s="29" t="s">
        <v>805</v>
      </c>
      <c r="N18" s="29" t="s">
        <v>805</v>
      </c>
      <c r="O18" s="29">
        <v>1.0</v>
      </c>
      <c r="P18" s="35"/>
    </row>
    <row r="19" ht="14.25" customHeight="1">
      <c r="A19" s="31" t="s">
        <v>207</v>
      </c>
      <c r="B19" s="32" t="s">
        <v>208</v>
      </c>
      <c r="C19" s="33" t="s">
        <v>24</v>
      </c>
      <c r="D19" s="34">
        <v>1.0</v>
      </c>
      <c r="E19" s="15">
        <v>1.0</v>
      </c>
      <c r="F19" s="15">
        <v>1.0</v>
      </c>
      <c r="G19" s="15" t="s">
        <v>805</v>
      </c>
      <c r="H19" s="15">
        <v>1.0</v>
      </c>
      <c r="I19" s="15">
        <v>1.0</v>
      </c>
      <c r="J19" s="15">
        <v>1.0</v>
      </c>
      <c r="K19" s="15" t="s">
        <v>805</v>
      </c>
      <c r="L19" s="29" t="s">
        <v>805</v>
      </c>
      <c r="M19" s="29" t="s">
        <v>805</v>
      </c>
      <c r="N19" s="29" t="s">
        <v>805</v>
      </c>
      <c r="O19" s="29" t="s">
        <v>805</v>
      </c>
      <c r="P19" s="35"/>
    </row>
    <row r="20" ht="14.25" customHeight="1">
      <c r="A20" s="31" t="s">
        <v>333</v>
      </c>
      <c r="B20" s="32" t="s">
        <v>334</v>
      </c>
      <c r="C20" s="33" t="s">
        <v>24</v>
      </c>
      <c r="D20" s="34">
        <v>1.0</v>
      </c>
      <c r="E20" s="15">
        <v>1.0</v>
      </c>
      <c r="F20" s="15">
        <v>1.0</v>
      </c>
      <c r="G20" s="15">
        <v>1.0</v>
      </c>
      <c r="H20" s="15">
        <v>1.0</v>
      </c>
      <c r="I20" s="15" t="s">
        <v>805</v>
      </c>
      <c r="J20" s="15" t="s">
        <v>805</v>
      </c>
      <c r="K20" s="15" t="s">
        <v>805</v>
      </c>
      <c r="L20" s="29" t="s">
        <v>805</v>
      </c>
      <c r="M20" s="29" t="s">
        <v>805</v>
      </c>
      <c r="N20" s="29" t="s">
        <v>805</v>
      </c>
      <c r="O20" s="29" t="s">
        <v>805</v>
      </c>
      <c r="P20" s="35"/>
    </row>
    <row r="21" ht="14.25" customHeight="1">
      <c r="A21" s="31" t="s">
        <v>431</v>
      </c>
      <c r="B21" s="32" t="s">
        <v>432</v>
      </c>
      <c r="C21" s="33" t="s">
        <v>24</v>
      </c>
      <c r="D21" s="34">
        <v>1.0</v>
      </c>
      <c r="E21" s="15">
        <v>1.0</v>
      </c>
      <c r="F21" s="15">
        <v>1.0</v>
      </c>
      <c r="G21" s="15" t="s">
        <v>805</v>
      </c>
      <c r="H21" s="15">
        <v>1.0</v>
      </c>
      <c r="I21" s="15">
        <v>1.0</v>
      </c>
      <c r="J21" s="15">
        <v>1.0</v>
      </c>
      <c r="K21" s="15">
        <v>1.0</v>
      </c>
      <c r="L21" s="29">
        <v>1.0</v>
      </c>
      <c r="M21" s="29" t="s">
        <v>805</v>
      </c>
      <c r="N21" s="29" t="s">
        <v>805</v>
      </c>
      <c r="O21" s="29">
        <v>1.0</v>
      </c>
      <c r="P21" s="35"/>
    </row>
    <row r="22" ht="14.25" customHeight="1">
      <c r="A22" s="31" t="s">
        <v>167</v>
      </c>
      <c r="B22" s="32" t="s">
        <v>168</v>
      </c>
      <c r="C22" s="33" t="s">
        <v>24</v>
      </c>
      <c r="D22" s="34">
        <v>1.0</v>
      </c>
      <c r="E22" s="15">
        <v>1.0</v>
      </c>
      <c r="F22" s="15" t="s">
        <v>805</v>
      </c>
      <c r="G22" s="15" t="s">
        <v>805</v>
      </c>
      <c r="H22" s="15">
        <v>1.0</v>
      </c>
      <c r="I22" s="15">
        <v>1.0</v>
      </c>
      <c r="J22" s="15">
        <v>1.0</v>
      </c>
      <c r="K22" s="15">
        <v>1.0</v>
      </c>
      <c r="L22" s="29" t="s">
        <v>805</v>
      </c>
      <c r="M22" s="29" t="s">
        <v>805</v>
      </c>
      <c r="N22" s="29" t="s">
        <v>805</v>
      </c>
      <c r="O22" s="29" t="s">
        <v>805</v>
      </c>
      <c r="P22" s="35"/>
    </row>
    <row r="23" ht="14.25" customHeight="1">
      <c r="A23" s="31" t="s">
        <v>466</v>
      </c>
      <c r="B23" s="32" t="s">
        <v>467</v>
      </c>
      <c r="C23" s="33" t="s">
        <v>24</v>
      </c>
      <c r="D23" s="34" t="s">
        <v>805</v>
      </c>
      <c r="E23" s="15" t="s">
        <v>805</v>
      </c>
      <c r="F23" s="15" t="s">
        <v>805</v>
      </c>
      <c r="G23" s="15" t="s">
        <v>805</v>
      </c>
      <c r="H23" s="15" t="s">
        <v>805</v>
      </c>
      <c r="I23" s="15">
        <v>1.0</v>
      </c>
      <c r="J23" s="15">
        <v>1.0</v>
      </c>
      <c r="K23" s="15" t="s">
        <v>805</v>
      </c>
      <c r="L23" s="29">
        <v>1.0</v>
      </c>
      <c r="M23" s="29" t="s">
        <v>805</v>
      </c>
      <c r="N23" s="29" t="s">
        <v>805</v>
      </c>
      <c r="O23" s="29">
        <v>1.0</v>
      </c>
      <c r="P23" s="35"/>
    </row>
    <row r="24" ht="14.25" customHeight="1">
      <c r="A24" s="31" t="s">
        <v>646</v>
      </c>
      <c r="B24" s="32" t="s">
        <v>647</v>
      </c>
      <c r="C24" s="33" t="s">
        <v>24</v>
      </c>
      <c r="D24" s="34" t="s">
        <v>805</v>
      </c>
      <c r="E24" s="15" t="s">
        <v>805</v>
      </c>
      <c r="F24" s="15" t="s">
        <v>805</v>
      </c>
      <c r="G24" s="15" t="s">
        <v>805</v>
      </c>
      <c r="H24" s="15" t="s">
        <v>805</v>
      </c>
      <c r="I24" s="15">
        <v>1.0</v>
      </c>
      <c r="J24" s="15">
        <v>1.0</v>
      </c>
      <c r="K24" s="15" t="s">
        <v>805</v>
      </c>
      <c r="L24" s="29" t="s">
        <v>805</v>
      </c>
      <c r="M24" s="29" t="s">
        <v>805</v>
      </c>
      <c r="N24" s="29" t="s">
        <v>805</v>
      </c>
      <c r="O24" s="29" t="s">
        <v>805</v>
      </c>
      <c r="P24" s="35"/>
    </row>
    <row r="25" ht="14.25" customHeight="1">
      <c r="A25" s="31" t="s">
        <v>417</v>
      </c>
      <c r="B25" s="32" t="s">
        <v>418</v>
      </c>
      <c r="C25" s="33" t="s">
        <v>24</v>
      </c>
      <c r="D25" s="34">
        <v>1.0</v>
      </c>
      <c r="E25" s="15">
        <v>1.0</v>
      </c>
      <c r="F25" s="15" t="s">
        <v>805</v>
      </c>
      <c r="G25" s="15" t="s">
        <v>805</v>
      </c>
      <c r="H25" s="15">
        <v>1.0</v>
      </c>
      <c r="I25" s="15">
        <v>1.0</v>
      </c>
      <c r="J25" s="15">
        <v>1.0</v>
      </c>
      <c r="K25" s="15" t="s">
        <v>805</v>
      </c>
      <c r="L25" s="29">
        <v>1.0</v>
      </c>
      <c r="M25" s="29" t="s">
        <v>805</v>
      </c>
      <c r="N25" s="29" t="s">
        <v>805</v>
      </c>
      <c r="O25" s="29">
        <v>1.0</v>
      </c>
      <c r="P25" s="35"/>
    </row>
    <row r="26" ht="14.25" customHeight="1">
      <c r="A26" s="31" t="s">
        <v>550</v>
      </c>
      <c r="B26" s="32" t="s">
        <v>551</v>
      </c>
      <c r="C26" s="33" t="s">
        <v>24</v>
      </c>
      <c r="D26" s="34" t="s">
        <v>805</v>
      </c>
      <c r="E26" s="15" t="s">
        <v>805</v>
      </c>
      <c r="F26" s="15" t="s">
        <v>805</v>
      </c>
      <c r="G26" s="15" t="s">
        <v>805</v>
      </c>
      <c r="H26" s="15" t="s">
        <v>805</v>
      </c>
      <c r="I26" s="15">
        <v>1.0</v>
      </c>
      <c r="J26" s="15" t="s">
        <v>805</v>
      </c>
      <c r="K26" s="15" t="s">
        <v>805</v>
      </c>
      <c r="L26" s="29" t="s">
        <v>805</v>
      </c>
      <c r="M26" s="29" t="s">
        <v>805</v>
      </c>
      <c r="N26" s="29" t="s">
        <v>805</v>
      </c>
      <c r="O26" s="29" t="s">
        <v>805</v>
      </c>
      <c r="P26" s="35"/>
    </row>
    <row r="27" ht="14.25" customHeight="1">
      <c r="A27" s="31" t="s">
        <v>212</v>
      </c>
      <c r="B27" s="32" t="s">
        <v>213</v>
      </c>
      <c r="C27" s="33" t="s">
        <v>24</v>
      </c>
      <c r="D27" s="34">
        <v>1.0</v>
      </c>
      <c r="E27" s="15">
        <v>1.0</v>
      </c>
      <c r="F27" s="15" t="s">
        <v>805</v>
      </c>
      <c r="G27" s="15">
        <v>1.0</v>
      </c>
      <c r="H27" s="15">
        <v>1.0</v>
      </c>
      <c r="I27" s="15">
        <v>1.0</v>
      </c>
      <c r="J27" s="15">
        <v>1.0</v>
      </c>
      <c r="K27" s="15" t="s">
        <v>805</v>
      </c>
      <c r="L27" s="29">
        <v>1.0</v>
      </c>
      <c r="M27" s="29" t="s">
        <v>805</v>
      </c>
      <c r="N27" s="29" t="s">
        <v>805</v>
      </c>
      <c r="O27" s="29">
        <v>1.0</v>
      </c>
      <c r="P27" s="35"/>
    </row>
    <row r="28" ht="14.25" customHeight="1">
      <c r="A28" s="31" t="s">
        <v>82</v>
      </c>
      <c r="B28" s="32" t="s">
        <v>83</v>
      </c>
      <c r="C28" s="33" t="s">
        <v>24</v>
      </c>
      <c r="D28" s="34">
        <v>1.0</v>
      </c>
      <c r="E28" s="15">
        <v>1.0</v>
      </c>
      <c r="F28" s="15">
        <v>1.0</v>
      </c>
      <c r="G28" s="15" t="s">
        <v>805</v>
      </c>
      <c r="H28" s="15">
        <v>1.0</v>
      </c>
      <c r="I28" s="15">
        <v>1.0</v>
      </c>
      <c r="J28" s="15">
        <v>1.0</v>
      </c>
      <c r="K28" s="15">
        <v>1.0</v>
      </c>
      <c r="L28" s="29">
        <v>1.0</v>
      </c>
      <c r="M28" s="29" t="s">
        <v>805</v>
      </c>
      <c r="N28" s="29" t="s">
        <v>805</v>
      </c>
      <c r="O28" s="29">
        <v>1.0</v>
      </c>
      <c r="P28" s="35"/>
    </row>
    <row r="29" ht="14.25" customHeight="1">
      <c r="A29" s="31" t="s">
        <v>108</v>
      </c>
      <c r="B29" s="32" t="s">
        <v>109</v>
      </c>
      <c r="C29" s="33" t="s">
        <v>24</v>
      </c>
      <c r="D29" s="34">
        <v>1.0</v>
      </c>
      <c r="E29" s="15">
        <v>1.0</v>
      </c>
      <c r="F29" s="15" t="s">
        <v>805</v>
      </c>
      <c r="G29" s="15" t="s">
        <v>805</v>
      </c>
      <c r="H29" s="15">
        <v>1.0</v>
      </c>
      <c r="I29" s="15" t="s">
        <v>805</v>
      </c>
      <c r="J29" s="15" t="s">
        <v>805</v>
      </c>
      <c r="K29" s="15" t="s">
        <v>805</v>
      </c>
      <c r="L29" s="29">
        <v>1.0</v>
      </c>
      <c r="M29" s="29" t="s">
        <v>805</v>
      </c>
      <c r="N29" s="29" t="s">
        <v>805</v>
      </c>
      <c r="O29" s="29">
        <v>1.0</v>
      </c>
      <c r="P29" s="35"/>
    </row>
    <row r="30" ht="14.25" customHeight="1">
      <c r="A30" s="31" t="s">
        <v>582</v>
      </c>
      <c r="B30" s="32" t="s">
        <v>583</v>
      </c>
      <c r="C30" s="33" t="s">
        <v>24</v>
      </c>
      <c r="D30" s="34">
        <v>1.0</v>
      </c>
      <c r="E30" s="15">
        <v>1.0</v>
      </c>
      <c r="F30" s="15">
        <v>1.0</v>
      </c>
      <c r="G30" s="15" t="s">
        <v>805</v>
      </c>
      <c r="H30" s="15">
        <v>1.0</v>
      </c>
      <c r="I30" s="15" t="s">
        <v>805</v>
      </c>
      <c r="J30" s="15" t="s">
        <v>805</v>
      </c>
      <c r="K30" s="15" t="s">
        <v>805</v>
      </c>
      <c r="L30" s="29" t="s">
        <v>805</v>
      </c>
      <c r="M30" s="29" t="s">
        <v>805</v>
      </c>
      <c r="N30" s="29" t="s">
        <v>805</v>
      </c>
      <c r="O30" s="29" t="s">
        <v>805</v>
      </c>
      <c r="P30" s="35"/>
    </row>
    <row r="31" ht="14.25" customHeight="1">
      <c r="A31" s="31" t="s">
        <v>496</v>
      </c>
      <c r="B31" s="32" t="s">
        <v>497</v>
      </c>
      <c r="C31" s="33" t="s">
        <v>24</v>
      </c>
      <c r="D31" s="34">
        <v>1.0</v>
      </c>
      <c r="E31" s="15">
        <v>1.0</v>
      </c>
      <c r="F31" s="15">
        <v>1.0</v>
      </c>
      <c r="G31" s="15" t="s">
        <v>805</v>
      </c>
      <c r="H31" s="15">
        <v>1.0</v>
      </c>
      <c r="I31" s="15" t="s">
        <v>805</v>
      </c>
      <c r="J31" s="15" t="s">
        <v>805</v>
      </c>
      <c r="K31" s="15" t="s">
        <v>805</v>
      </c>
      <c r="L31" s="29" t="s">
        <v>805</v>
      </c>
      <c r="M31" s="29" t="s">
        <v>805</v>
      </c>
      <c r="N31" s="29" t="s">
        <v>805</v>
      </c>
      <c r="O31" s="29" t="s">
        <v>805</v>
      </c>
      <c r="P31" s="35"/>
    </row>
    <row r="32" ht="14.25" customHeight="1">
      <c r="A32" s="31" t="s">
        <v>562</v>
      </c>
      <c r="B32" s="32" t="s">
        <v>563</v>
      </c>
      <c r="C32" s="33" t="s">
        <v>24</v>
      </c>
      <c r="D32" s="34" t="s">
        <v>805</v>
      </c>
      <c r="E32" s="15" t="s">
        <v>805</v>
      </c>
      <c r="F32" s="15" t="s">
        <v>805</v>
      </c>
      <c r="G32" s="15" t="s">
        <v>805</v>
      </c>
      <c r="H32" s="15" t="s">
        <v>805</v>
      </c>
      <c r="I32" s="15">
        <v>1.0</v>
      </c>
      <c r="J32" s="15" t="s">
        <v>805</v>
      </c>
      <c r="K32" s="15" t="s">
        <v>805</v>
      </c>
      <c r="L32" s="29">
        <v>1.0</v>
      </c>
      <c r="M32" s="29" t="s">
        <v>805</v>
      </c>
      <c r="N32" s="29" t="s">
        <v>805</v>
      </c>
      <c r="O32" s="29">
        <v>1.0</v>
      </c>
      <c r="P32" s="35"/>
    </row>
    <row r="33" ht="14.25" customHeight="1">
      <c r="A33" s="31" t="s">
        <v>596</v>
      </c>
      <c r="B33" s="32" t="s">
        <v>597</v>
      </c>
      <c r="C33" s="33" t="s">
        <v>24</v>
      </c>
      <c r="D33" s="34">
        <v>1.0</v>
      </c>
      <c r="E33" s="15">
        <v>1.0</v>
      </c>
      <c r="F33" s="15" t="s">
        <v>805</v>
      </c>
      <c r="G33" s="15" t="s">
        <v>805</v>
      </c>
      <c r="H33" s="15">
        <v>1.0</v>
      </c>
      <c r="I33" s="15">
        <v>1.0</v>
      </c>
      <c r="J33" s="15">
        <v>1.0</v>
      </c>
      <c r="K33" s="15" t="s">
        <v>805</v>
      </c>
      <c r="L33" s="29" t="s">
        <v>805</v>
      </c>
      <c r="M33" s="29" t="s">
        <v>805</v>
      </c>
      <c r="N33" s="29" t="s">
        <v>805</v>
      </c>
      <c r="O33" s="29" t="s">
        <v>805</v>
      </c>
      <c r="P33" s="35"/>
    </row>
    <row r="34" ht="14.25" customHeight="1">
      <c r="A34" s="31" t="s">
        <v>192</v>
      </c>
      <c r="B34" s="32" t="s">
        <v>193</v>
      </c>
      <c r="C34" s="33" t="s">
        <v>24</v>
      </c>
      <c r="D34" s="34">
        <v>1.0</v>
      </c>
      <c r="E34" s="15">
        <v>1.0</v>
      </c>
      <c r="F34" s="15">
        <v>1.0</v>
      </c>
      <c r="G34" s="15" t="s">
        <v>805</v>
      </c>
      <c r="H34" s="15">
        <v>1.0</v>
      </c>
      <c r="I34" s="15">
        <v>1.0</v>
      </c>
      <c r="J34" s="15">
        <v>1.0</v>
      </c>
      <c r="K34" s="15">
        <v>1.0</v>
      </c>
      <c r="L34" s="29" t="s">
        <v>805</v>
      </c>
      <c r="M34" s="29" t="s">
        <v>805</v>
      </c>
      <c r="N34" s="29" t="s">
        <v>805</v>
      </c>
      <c r="O34" s="29" t="s">
        <v>805</v>
      </c>
      <c r="P34" s="35"/>
    </row>
    <row r="35" ht="14.25" customHeight="1">
      <c r="A35" s="31" t="s">
        <v>568</v>
      </c>
      <c r="B35" s="32" t="s">
        <v>569</v>
      </c>
      <c r="C35" s="33" t="s">
        <v>24</v>
      </c>
      <c r="D35" s="34">
        <v>1.0</v>
      </c>
      <c r="E35" s="15">
        <v>1.0</v>
      </c>
      <c r="F35" s="15" t="s">
        <v>805</v>
      </c>
      <c r="G35" s="15">
        <v>1.0</v>
      </c>
      <c r="H35" s="15">
        <v>1.0</v>
      </c>
      <c r="I35" s="15">
        <v>1.0</v>
      </c>
      <c r="J35" s="15">
        <v>1.0</v>
      </c>
      <c r="K35" s="15" t="s">
        <v>805</v>
      </c>
      <c r="L35" s="29" t="s">
        <v>805</v>
      </c>
      <c r="M35" s="29" t="s">
        <v>805</v>
      </c>
      <c r="N35" s="29" t="s">
        <v>805</v>
      </c>
      <c r="O35" s="29" t="s">
        <v>805</v>
      </c>
      <c r="P35" s="35"/>
    </row>
    <row r="36" ht="14.25" customHeight="1">
      <c r="A36" s="31" t="s">
        <v>371</v>
      </c>
      <c r="B36" s="32" t="s">
        <v>372</v>
      </c>
      <c r="C36" s="33" t="s">
        <v>24</v>
      </c>
      <c r="D36" s="34">
        <v>1.0</v>
      </c>
      <c r="E36" s="15">
        <v>1.0</v>
      </c>
      <c r="F36" s="15">
        <v>1.0</v>
      </c>
      <c r="G36" s="15">
        <v>1.0</v>
      </c>
      <c r="H36" s="15">
        <v>1.0</v>
      </c>
      <c r="I36" s="15" t="s">
        <v>805</v>
      </c>
      <c r="J36" s="15" t="s">
        <v>805</v>
      </c>
      <c r="K36" s="15" t="s">
        <v>805</v>
      </c>
      <c r="L36" s="29" t="s">
        <v>805</v>
      </c>
      <c r="M36" s="29" t="s">
        <v>805</v>
      </c>
      <c r="N36" s="29" t="s">
        <v>805</v>
      </c>
      <c r="O36" s="29" t="s">
        <v>805</v>
      </c>
      <c r="P36" s="35"/>
    </row>
    <row r="37" ht="14.25" customHeight="1">
      <c r="A37" s="31" t="s">
        <v>283</v>
      </c>
      <c r="B37" s="32" t="s">
        <v>284</v>
      </c>
      <c r="C37" s="33" t="s">
        <v>24</v>
      </c>
      <c r="D37" s="34">
        <v>1.0</v>
      </c>
      <c r="E37" s="15">
        <v>1.0</v>
      </c>
      <c r="F37" s="15">
        <v>1.0</v>
      </c>
      <c r="G37" s="15">
        <v>1.0</v>
      </c>
      <c r="H37" s="15">
        <v>1.0</v>
      </c>
      <c r="I37" s="15" t="s">
        <v>805</v>
      </c>
      <c r="J37" s="15">
        <v>1.0</v>
      </c>
      <c r="K37" s="15" t="s">
        <v>805</v>
      </c>
      <c r="L37" s="29">
        <v>1.0</v>
      </c>
      <c r="M37" s="29" t="s">
        <v>805</v>
      </c>
      <c r="N37" s="29" t="s">
        <v>805</v>
      </c>
      <c r="O37" s="29" t="s">
        <v>805</v>
      </c>
      <c r="P37" s="35"/>
    </row>
    <row r="38" ht="14.25" customHeight="1">
      <c r="A38" s="31" t="s">
        <v>400</v>
      </c>
      <c r="B38" s="32" t="s">
        <v>401</v>
      </c>
      <c r="C38" s="33" t="s">
        <v>24</v>
      </c>
      <c r="D38" s="34">
        <v>1.0</v>
      </c>
      <c r="E38" s="15">
        <v>1.0</v>
      </c>
      <c r="F38" s="15">
        <v>1.0</v>
      </c>
      <c r="G38" s="15">
        <v>1.0</v>
      </c>
      <c r="H38" s="15">
        <v>1.0</v>
      </c>
      <c r="I38" s="15" t="s">
        <v>805</v>
      </c>
      <c r="J38" s="15" t="s">
        <v>805</v>
      </c>
      <c r="K38" s="15" t="s">
        <v>805</v>
      </c>
      <c r="L38" s="29" t="s">
        <v>805</v>
      </c>
      <c r="M38" s="29" t="s">
        <v>805</v>
      </c>
      <c r="N38" s="29" t="s">
        <v>805</v>
      </c>
      <c r="O38" s="29" t="s">
        <v>805</v>
      </c>
      <c r="P38" s="35"/>
    </row>
    <row r="39" ht="14.25" customHeight="1">
      <c r="A39" s="31" t="s">
        <v>514</v>
      </c>
      <c r="B39" s="32" t="s">
        <v>515</v>
      </c>
      <c r="C39" s="33" t="s">
        <v>24</v>
      </c>
      <c r="D39" s="34" t="s">
        <v>805</v>
      </c>
      <c r="E39" s="15" t="s">
        <v>805</v>
      </c>
      <c r="F39" s="15" t="s">
        <v>805</v>
      </c>
      <c r="G39" s="15" t="s">
        <v>805</v>
      </c>
      <c r="H39" s="15" t="s">
        <v>805</v>
      </c>
      <c r="I39" s="15" t="s">
        <v>805</v>
      </c>
      <c r="J39" s="15">
        <v>1.0</v>
      </c>
      <c r="K39" s="15" t="s">
        <v>805</v>
      </c>
      <c r="L39" s="29">
        <v>1.0</v>
      </c>
      <c r="M39" s="29" t="s">
        <v>805</v>
      </c>
      <c r="N39" s="29" t="s">
        <v>805</v>
      </c>
      <c r="O39" s="29">
        <v>1.0</v>
      </c>
      <c r="P39" s="35"/>
    </row>
    <row r="40" ht="14.25" customHeight="1">
      <c r="A40" s="31" t="s">
        <v>808</v>
      </c>
      <c r="B40" s="32" t="s">
        <v>809</v>
      </c>
      <c r="C40" s="33" t="s">
        <v>24</v>
      </c>
      <c r="D40" s="34" t="s">
        <v>805</v>
      </c>
      <c r="E40" s="15" t="s">
        <v>805</v>
      </c>
      <c r="F40" s="15" t="s">
        <v>805</v>
      </c>
      <c r="G40" s="15" t="s">
        <v>805</v>
      </c>
      <c r="H40" s="15" t="s">
        <v>805</v>
      </c>
      <c r="I40" s="15" t="s">
        <v>805</v>
      </c>
      <c r="J40" s="15" t="s">
        <v>805</v>
      </c>
      <c r="K40" s="15" t="s">
        <v>805</v>
      </c>
      <c r="L40" s="29">
        <v>1.0</v>
      </c>
      <c r="M40" s="29">
        <v>1.0</v>
      </c>
      <c r="N40" s="29">
        <v>1.0</v>
      </c>
      <c r="O40" s="29">
        <v>1.0</v>
      </c>
      <c r="P40" s="35"/>
    </row>
    <row r="41" ht="14.25" customHeight="1">
      <c r="A41" s="31" t="s">
        <v>375</v>
      </c>
      <c r="B41" s="32" t="s">
        <v>376</v>
      </c>
      <c r="C41" s="33" t="s">
        <v>24</v>
      </c>
      <c r="D41" s="34" t="s">
        <v>805</v>
      </c>
      <c r="E41" s="15" t="s">
        <v>805</v>
      </c>
      <c r="F41" s="15" t="s">
        <v>805</v>
      </c>
      <c r="G41" s="15" t="s">
        <v>805</v>
      </c>
      <c r="H41" s="15" t="s">
        <v>805</v>
      </c>
      <c r="I41" s="15" t="s">
        <v>805</v>
      </c>
      <c r="J41" s="15">
        <v>1.0</v>
      </c>
      <c r="K41" s="15" t="s">
        <v>805</v>
      </c>
      <c r="L41" s="29" t="s">
        <v>805</v>
      </c>
      <c r="M41" s="29" t="s">
        <v>805</v>
      </c>
      <c r="N41" s="29" t="s">
        <v>805</v>
      </c>
      <c r="O41" s="29" t="s">
        <v>805</v>
      </c>
      <c r="P41" s="35"/>
    </row>
    <row r="42" ht="14.25" customHeight="1">
      <c r="A42" s="31" t="s">
        <v>492</v>
      </c>
      <c r="B42" s="32" t="s">
        <v>493</v>
      </c>
      <c r="C42" s="33" t="s">
        <v>24</v>
      </c>
      <c r="D42" s="34" t="s">
        <v>805</v>
      </c>
      <c r="E42" s="15" t="s">
        <v>805</v>
      </c>
      <c r="F42" s="15" t="s">
        <v>805</v>
      </c>
      <c r="G42" s="15" t="s">
        <v>805</v>
      </c>
      <c r="H42" s="15" t="s">
        <v>805</v>
      </c>
      <c r="I42" s="15" t="s">
        <v>805</v>
      </c>
      <c r="J42" s="15">
        <v>1.0</v>
      </c>
      <c r="K42" s="15" t="s">
        <v>805</v>
      </c>
      <c r="L42" s="29" t="s">
        <v>805</v>
      </c>
      <c r="M42" s="29" t="s">
        <v>805</v>
      </c>
      <c r="N42" s="29" t="s">
        <v>805</v>
      </c>
      <c r="O42" s="29" t="s">
        <v>805</v>
      </c>
      <c r="P42" s="35"/>
    </row>
    <row r="43" ht="14.25" customHeight="1">
      <c r="A43" s="31" t="s">
        <v>544</v>
      </c>
      <c r="B43" s="32" t="s">
        <v>545</v>
      </c>
      <c r="C43" s="33" t="s">
        <v>72</v>
      </c>
      <c r="D43" s="34" t="s">
        <v>805</v>
      </c>
      <c r="E43" s="15" t="s">
        <v>805</v>
      </c>
      <c r="F43" s="15" t="s">
        <v>805</v>
      </c>
      <c r="G43" s="15" t="s">
        <v>805</v>
      </c>
      <c r="H43" s="15" t="s">
        <v>805</v>
      </c>
      <c r="I43" s="15">
        <v>1.0</v>
      </c>
      <c r="J43" s="15">
        <v>1.0</v>
      </c>
      <c r="K43" s="15" t="s">
        <v>805</v>
      </c>
      <c r="L43" s="29" t="s">
        <v>805</v>
      </c>
      <c r="M43" s="29" t="s">
        <v>805</v>
      </c>
      <c r="N43" s="29" t="s">
        <v>805</v>
      </c>
      <c r="O43" s="29" t="s">
        <v>805</v>
      </c>
      <c r="P43" s="35"/>
    </row>
    <row r="44" ht="14.25" customHeight="1">
      <c r="A44" s="31" t="s">
        <v>810</v>
      </c>
      <c r="B44" s="32" t="s">
        <v>811</v>
      </c>
      <c r="C44" s="33" t="s">
        <v>72</v>
      </c>
      <c r="D44" s="34" t="s">
        <v>805</v>
      </c>
      <c r="E44" s="15" t="s">
        <v>805</v>
      </c>
      <c r="F44" s="15" t="s">
        <v>805</v>
      </c>
      <c r="G44" s="15" t="s">
        <v>805</v>
      </c>
      <c r="H44" s="15" t="s">
        <v>805</v>
      </c>
      <c r="I44" s="15">
        <v>1.0</v>
      </c>
      <c r="J44" s="15">
        <v>1.0</v>
      </c>
      <c r="K44" s="15" t="s">
        <v>805</v>
      </c>
      <c r="L44" s="29" t="s">
        <v>805</v>
      </c>
      <c r="M44" s="29" t="s">
        <v>805</v>
      </c>
      <c r="N44" s="29" t="s">
        <v>805</v>
      </c>
      <c r="O44" s="29" t="s">
        <v>805</v>
      </c>
      <c r="P44" s="35"/>
    </row>
    <row r="45" ht="14.25" customHeight="1">
      <c r="A45" s="31" t="s">
        <v>330</v>
      </c>
      <c r="B45" s="32" t="s">
        <v>331</v>
      </c>
      <c r="C45" s="33" t="s">
        <v>72</v>
      </c>
      <c r="D45" s="34" t="s">
        <v>805</v>
      </c>
      <c r="E45" s="15" t="s">
        <v>805</v>
      </c>
      <c r="F45" s="15" t="s">
        <v>805</v>
      </c>
      <c r="G45" s="15" t="s">
        <v>805</v>
      </c>
      <c r="H45" s="15" t="s">
        <v>805</v>
      </c>
      <c r="I45" s="15">
        <v>1.0</v>
      </c>
      <c r="J45" s="15">
        <v>1.0</v>
      </c>
      <c r="K45" s="15" t="s">
        <v>805</v>
      </c>
      <c r="L45" s="29">
        <v>1.0</v>
      </c>
      <c r="M45" s="29" t="s">
        <v>805</v>
      </c>
      <c r="N45" s="29" t="s">
        <v>805</v>
      </c>
      <c r="O45" s="29">
        <v>1.0</v>
      </c>
      <c r="P45" s="35"/>
    </row>
    <row r="46" ht="14.25" customHeight="1">
      <c r="A46" s="31" t="s">
        <v>402</v>
      </c>
      <c r="B46" s="32" t="s">
        <v>403</v>
      </c>
      <c r="C46" s="33" t="s">
        <v>72</v>
      </c>
      <c r="D46" s="34" t="s">
        <v>805</v>
      </c>
      <c r="E46" s="15" t="s">
        <v>805</v>
      </c>
      <c r="F46" s="15" t="s">
        <v>805</v>
      </c>
      <c r="G46" s="15" t="s">
        <v>805</v>
      </c>
      <c r="H46" s="15" t="s">
        <v>805</v>
      </c>
      <c r="I46" s="15">
        <v>1.0</v>
      </c>
      <c r="J46" s="15" t="s">
        <v>805</v>
      </c>
      <c r="K46" s="15" t="s">
        <v>805</v>
      </c>
      <c r="L46" s="29" t="s">
        <v>805</v>
      </c>
      <c r="M46" s="29" t="s">
        <v>805</v>
      </c>
      <c r="N46" s="29" t="s">
        <v>805</v>
      </c>
      <c r="O46" s="29" t="s">
        <v>805</v>
      </c>
      <c r="P46" s="35"/>
    </row>
    <row r="47" ht="14.25" customHeight="1">
      <c r="A47" s="31" t="s">
        <v>520</v>
      </c>
      <c r="B47" s="32" t="s">
        <v>521</v>
      </c>
      <c r="C47" s="33" t="s">
        <v>72</v>
      </c>
      <c r="D47" s="34" t="s">
        <v>805</v>
      </c>
      <c r="E47" s="15" t="s">
        <v>805</v>
      </c>
      <c r="F47" s="15" t="s">
        <v>805</v>
      </c>
      <c r="G47" s="15" t="s">
        <v>805</v>
      </c>
      <c r="H47" s="15" t="s">
        <v>805</v>
      </c>
      <c r="I47" s="15">
        <v>1.0</v>
      </c>
      <c r="J47" s="15">
        <v>1.0</v>
      </c>
      <c r="K47" s="15" t="s">
        <v>805</v>
      </c>
      <c r="L47" s="29">
        <v>1.0</v>
      </c>
      <c r="M47" s="29" t="s">
        <v>805</v>
      </c>
      <c r="N47" s="29" t="s">
        <v>805</v>
      </c>
      <c r="O47" s="29">
        <v>1.0</v>
      </c>
      <c r="P47" s="35"/>
    </row>
    <row r="48" ht="14.25" customHeight="1">
      <c r="A48" s="31" t="s">
        <v>391</v>
      </c>
      <c r="B48" s="32" t="s">
        <v>392</v>
      </c>
      <c r="C48" s="33" t="s">
        <v>72</v>
      </c>
      <c r="D48" s="34" t="s">
        <v>805</v>
      </c>
      <c r="E48" s="15" t="s">
        <v>805</v>
      </c>
      <c r="F48" s="15" t="s">
        <v>805</v>
      </c>
      <c r="G48" s="15" t="s">
        <v>805</v>
      </c>
      <c r="H48" s="15" t="s">
        <v>805</v>
      </c>
      <c r="I48" s="15">
        <v>1.0</v>
      </c>
      <c r="J48" s="15">
        <v>1.0</v>
      </c>
      <c r="K48" s="15" t="s">
        <v>805</v>
      </c>
      <c r="L48" s="29" t="s">
        <v>805</v>
      </c>
      <c r="M48" s="29" t="s">
        <v>805</v>
      </c>
      <c r="N48" s="29" t="s">
        <v>805</v>
      </c>
      <c r="O48" s="29" t="s">
        <v>805</v>
      </c>
      <c r="P48" s="35"/>
    </row>
    <row r="49" ht="14.25" customHeight="1">
      <c r="A49" s="31" t="s">
        <v>269</v>
      </c>
      <c r="B49" s="32" t="s">
        <v>270</v>
      </c>
      <c r="C49" s="33" t="s">
        <v>72</v>
      </c>
      <c r="D49" s="34" t="s">
        <v>805</v>
      </c>
      <c r="E49" s="15" t="s">
        <v>805</v>
      </c>
      <c r="F49" s="15" t="s">
        <v>805</v>
      </c>
      <c r="G49" s="15" t="s">
        <v>805</v>
      </c>
      <c r="H49" s="15" t="s">
        <v>805</v>
      </c>
      <c r="I49" s="15">
        <v>1.0</v>
      </c>
      <c r="J49" s="15">
        <v>1.0</v>
      </c>
      <c r="K49" s="15" t="s">
        <v>805</v>
      </c>
      <c r="L49" s="29">
        <v>1.0</v>
      </c>
      <c r="M49" s="29" t="s">
        <v>805</v>
      </c>
      <c r="N49" s="29" t="s">
        <v>805</v>
      </c>
      <c r="O49" s="29">
        <v>1.0</v>
      </c>
      <c r="P49" s="35"/>
    </row>
    <row r="50" ht="14.25" customHeight="1">
      <c r="A50" s="31" t="s">
        <v>614</v>
      </c>
      <c r="B50" s="32" t="s">
        <v>615</v>
      </c>
      <c r="C50" s="33" t="s">
        <v>72</v>
      </c>
      <c r="D50" s="34">
        <v>1.0</v>
      </c>
      <c r="E50" s="15" t="s">
        <v>805</v>
      </c>
      <c r="F50" s="15" t="s">
        <v>805</v>
      </c>
      <c r="G50" s="15">
        <v>1.0</v>
      </c>
      <c r="H50" s="15">
        <v>1.0</v>
      </c>
      <c r="I50" s="15">
        <v>1.0</v>
      </c>
      <c r="J50" s="15">
        <v>1.0</v>
      </c>
      <c r="K50" s="15" t="s">
        <v>805</v>
      </c>
      <c r="L50" s="29" t="s">
        <v>805</v>
      </c>
      <c r="M50" s="29" t="s">
        <v>805</v>
      </c>
      <c r="N50" s="29" t="s">
        <v>805</v>
      </c>
      <c r="O50" s="29" t="s">
        <v>805</v>
      </c>
      <c r="P50" s="35"/>
    </row>
    <row r="51" ht="14.25" customHeight="1">
      <c r="A51" s="31" t="s">
        <v>518</v>
      </c>
      <c r="B51" s="32" t="s">
        <v>519</v>
      </c>
      <c r="C51" s="33" t="s">
        <v>72</v>
      </c>
      <c r="D51" s="34" t="s">
        <v>805</v>
      </c>
      <c r="E51" s="15" t="s">
        <v>805</v>
      </c>
      <c r="F51" s="15" t="s">
        <v>805</v>
      </c>
      <c r="G51" s="15" t="s">
        <v>805</v>
      </c>
      <c r="H51" s="15" t="s">
        <v>805</v>
      </c>
      <c r="I51" s="15">
        <v>1.0</v>
      </c>
      <c r="J51" s="15">
        <v>1.0</v>
      </c>
      <c r="K51" s="15" t="s">
        <v>805</v>
      </c>
      <c r="L51" s="29" t="s">
        <v>805</v>
      </c>
      <c r="M51" s="29" t="s">
        <v>805</v>
      </c>
      <c r="N51" s="29" t="s">
        <v>805</v>
      </c>
      <c r="O51" s="29" t="s">
        <v>805</v>
      </c>
      <c r="P51" s="35"/>
    </row>
    <row r="52" ht="14.25" customHeight="1">
      <c r="A52" s="31" t="s">
        <v>163</v>
      </c>
      <c r="B52" s="32" t="s">
        <v>164</v>
      </c>
      <c r="C52" s="33" t="s">
        <v>72</v>
      </c>
      <c r="D52" s="34">
        <v>1.0</v>
      </c>
      <c r="E52" s="15">
        <v>1.0</v>
      </c>
      <c r="F52" s="15">
        <v>1.0</v>
      </c>
      <c r="G52" s="15" t="s">
        <v>805</v>
      </c>
      <c r="H52" s="15">
        <v>1.0</v>
      </c>
      <c r="I52" s="15">
        <v>1.0</v>
      </c>
      <c r="J52" s="15">
        <v>1.0</v>
      </c>
      <c r="K52" s="15">
        <v>1.0</v>
      </c>
      <c r="L52" s="29" t="s">
        <v>805</v>
      </c>
      <c r="M52" s="29" t="s">
        <v>805</v>
      </c>
      <c r="N52" s="29" t="s">
        <v>805</v>
      </c>
      <c r="O52" s="29" t="s">
        <v>805</v>
      </c>
      <c r="P52" s="35"/>
    </row>
    <row r="53" ht="14.25" customHeight="1">
      <c r="A53" s="31" t="s">
        <v>812</v>
      </c>
      <c r="B53" s="32" t="s">
        <v>813</v>
      </c>
      <c r="C53" s="33" t="s">
        <v>72</v>
      </c>
      <c r="D53" s="34">
        <v>1.0</v>
      </c>
      <c r="E53" s="15">
        <v>1.0</v>
      </c>
      <c r="F53" s="15" t="s">
        <v>805</v>
      </c>
      <c r="G53" s="15" t="s">
        <v>805</v>
      </c>
      <c r="H53" s="15">
        <v>1.0</v>
      </c>
      <c r="I53" s="15">
        <v>1.0</v>
      </c>
      <c r="J53" s="15">
        <v>1.0</v>
      </c>
      <c r="K53" s="15" t="s">
        <v>805</v>
      </c>
      <c r="L53" s="29" t="s">
        <v>805</v>
      </c>
      <c r="M53" s="29" t="s">
        <v>805</v>
      </c>
      <c r="N53" s="29" t="s">
        <v>805</v>
      </c>
      <c r="O53" s="29" t="s">
        <v>805</v>
      </c>
      <c r="P53" s="35"/>
    </row>
    <row r="54" ht="14.25" customHeight="1">
      <c r="A54" s="31" t="s">
        <v>456</v>
      </c>
      <c r="B54" s="32" t="s">
        <v>457</v>
      </c>
      <c r="C54" s="33" t="s">
        <v>72</v>
      </c>
      <c r="D54" s="34">
        <v>1.0</v>
      </c>
      <c r="E54" s="15">
        <v>1.0</v>
      </c>
      <c r="F54" s="15">
        <v>1.0</v>
      </c>
      <c r="G54" s="15">
        <v>1.0</v>
      </c>
      <c r="H54" s="15">
        <v>1.0</v>
      </c>
      <c r="I54" s="15" t="s">
        <v>805</v>
      </c>
      <c r="J54" s="15" t="s">
        <v>805</v>
      </c>
      <c r="K54" s="15" t="s">
        <v>805</v>
      </c>
      <c r="L54" s="29">
        <v>1.0</v>
      </c>
      <c r="M54" s="29">
        <v>1.0</v>
      </c>
      <c r="N54" s="29">
        <v>1.0</v>
      </c>
      <c r="O54" s="29">
        <v>1.0</v>
      </c>
      <c r="P54" s="35"/>
    </row>
    <row r="55" ht="14.25" customHeight="1">
      <c r="A55" s="31" t="s">
        <v>814</v>
      </c>
      <c r="B55" s="32" t="s">
        <v>815</v>
      </c>
      <c r="C55" s="33" t="s">
        <v>72</v>
      </c>
      <c r="D55" s="34">
        <v>1.0</v>
      </c>
      <c r="E55" s="15">
        <v>1.0</v>
      </c>
      <c r="F55" s="15">
        <v>1.0</v>
      </c>
      <c r="G55" s="15" t="s">
        <v>805</v>
      </c>
      <c r="H55" s="15">
        <v>1.0</v>
      </c>
      <c r="I55" s="15" t="s">
        <v>805</v>
      </c>
      <c r="J55" s="15" t="s">
        <v>805</v>
      </c>
      <c r="K55" s="15" t="s">
        <v>805</v>
      </c>
      <c r="L55" s="29">
        <v>1.0</v>
      </c>
      <c r="M55" s="29" t="s">
        <v>805</v>
      </c>
      <c r="N55" s="29" t="s">
        <v>805</v>
      </c>
      <c r="O55" s="29">
        <v>1.0</v>
      </c>
      <c r="P55" s="35"/>
    </row>
    <row r="56" ht="14.25" customHeight="1">
      <c r="A56" s="31" t="s">
        <v>816</v>
      </c>
      <c r="B56" s="32" t="s">
        <v>817</v>
      </c>
      <c r="C56" s="33" t="s">
        <v>72</v>
      </c>
      <c r="D56" s="34" t="s">
        <v>805</v>
      </c>
      <c r="E56" s="15" t="s">
        <v>805</v>
      </c>
      <c r="F56" s="15" t="s">
        <v>805</v>
      </c>
      <c r="G56" s="15" t="s">
        <v>805</v>
      </c>
      <c r="H56" s="15" t="s">
        <v>805</v>
      </c>
      <c r="I56" s="15">
        <v>1.0</v>
      </c>
      <c r="J56" s="15">
        <v>1.0</v>
      </c>
      <c r="K56" s="15" t="s">
        <v>805</v>
      </c>
      <c r="L56" s="29" t="s">
        <v>805</v>
      </c>
      <c r="M56" s="29" t="s">
        <v>805</v>
      </c>
      <c r="N56" s="29" t="s">
        <v>805</v>
      </c>
      <c r="O56" s="29" t="s">
        <v>805</v>
      </c>
      <c r="P56" s="35"/>
    </row>
    <row r="57" ht="14.25" customHeight="1">
      <c r="A57" s="31" t="s">
        <v>472</v>
      </c>
      <c r="B57" s="32" t="s">
        <v>473</v>
      </c>
      <c r="C57" s="33" t="s">
        <v>72</v>
      </c>
      <c r="D57" s="34" t="s">
        <v>805</v>
      </c>
      <c r="E57" s="15" t="s">
        <v>805</v>
      </c>
      <c r="F57" s="15" t="s">
        <v>805</v>
      </c>
      <c r="G57" s="15" t="s">
        <v>805</v>
      </c>
      <c r="H57" s="15" t="s">
        <v>805</v>
      </c>
      <c r="I57" s="15">
        <v>1.0</v>
      </c>
      <c r="J57" s="15">
        <v>1.0</v>
      </c>
      <c r="K57" s="15" t="s">
        <v>805</v>
      </c>
      <c r="L57" s="29" t="s">
        <v>805</v>
      </c>
      <c r="M57" s="29" t="s">
        <v>805</v>
      </c>
      <c r="N57" s="29" t="s">
        <v>805</v>
      </c>
      <c r="O57" s="29" t="s">
        <v>805</v>
      </c>
      <c r="P57" s="35"/>
    </row>
    <row r="58" ht="14.25" customHeight="1">
      <c r="A58" s="31" t="s">
        <v>556</v>
      </c>
      <c r="B58" s="32" t="s">
        <v>557</v>
      </c>
      <c r="C58" s="33" t="s">
        <v>72</v>
      </c>
      <c r="D58" s="34" t="s">
        <v>805</v>
      </c>
      <c r="E58" s="15" t="s">
        <v>805</v>
      </c>
      <c r="F58" s="15" t="s">
        <v>805</v>
      </c>
      <c r="G58" s="15" t="s">
        <v>805</v>
      </c>
      <c r="H58" s="15" t="s">
        <v>805</v>
      </c>
      <c r="I58" s="15">
        <v>1.0</v>
      </c>
      <c r="J58" s="15">
        <v>1.0</v>
      </c>
      <c r="K58" s="15" t="s">
        <v>805</v>
      </c>
      <c r="L58" s="29" t="s">
        <v>805</v>
      </c>
      <c r="M58" s="29" t="s">
        <v>805</v>
      </c>
      <c r="N58" s="29" t="s">
        <v>805</v>
      </c>
      <c r="O58" s="29" t="s">
        <v>805</v>
      </c>
      <c r="P58" s="35"/>
    </row>
    <row r="59" ht="14.25" customHeight="1">
      <c r="A59" s="31" t="s">
        <v>636</v>
      </c>
      <c r="B59" s="32" t="s">
        <v>637</v>
      </c>
      <c r="C59" s="33" t="s">
        <v>72</v>
      </c>
      <c r="D59" s="34" t="s">
        <v>805</v>
      </c>
      <c r="E59" s="15" t="s">
        <v>805</v>
      </c>
      <c r="F59" s="15" t="s">
        <v>805</v>
      </c>
      <c r="G59" s="15" t="s">
        <v>805</v>
      </c>
      <c r="H59" s="15" t="s">
        <v>805</v>
      </c>
      <c r="I59" s="15">
        <v>1.0</v>
      </c>
      <c r="J59" s="15">
        <v>1.0</v>
      </c>
      <c r="K59" s="15" t="s">
        <v>805</v>
      </c>
      <c r="L59" s="29">
        <v>1.0</v>
      </c>
      <c r="M59" s="29" t="s">
        <v>805</v>
      </c>
      <c r="N59" s="29" t="s">
        <v>805</v>
      </c>
      <c r="O59" s="29" t="s">
        <v>805</v>
      </c>
      <c r="P59" s="35"/>
    </row>
    <row r="60" ht="14.25" customHeight="1">
      <c r="A60" s="31" t="s">
        <v>452</v>
      </c>
      <c r="B60" s="32" t="s">
        <v>453</v>
      </c>
      <c r="C60" s="33" t="s">
        <v>72</v>
      </c>
      <c r="D60" s="34" t="s">
        <v>805</v>
      </c>
      <c r="E60" s="15" t="s">
        <v>805</v>
      </c>
      <c r="F60" s="15" t="s">
        <v>805</v>
      </c>
      <c r="G60" s="15" t="s">
        <v>805</v>
      </c>
      <c r="H60" s="15" t="s">
        <v>805</v>
      </c>
      <c r="I60" s="15">
        <v>1.0</v>
      </c>
      <c r="J60" s="15">
        <v>1.0</v>
      </c>
      <c r="K60" s="15" t="s">
        <v>805</v>
      </c>
      <c r="L60" s="29" t="s">
        <v>805</v>
      </c>
      <c r="M60" s="29" t="s">
        <v>805</v>
      </c>
      <c r="N60" s="29" t="s">
        <v>805</v>
      </c>
      <c r="O60" s="29" t="s">
        <v>805</v>
      </c>
      <c r="P60" s="35"/>
    </row>
    <row r="61" ht="14.25" customHeight="1">
      <c r="A61" s="31" t="s">
        <v>630</v>
      </c>
      <c r="B61" s="32" t="s">
        <v>631</v>
      </c>
      <c r="C61" s="33" t="s">
        <v>72</v>
      </c>
      <c r="D61" s="34">
        <v>1.0</v>
      </c>
      <c r="E61" s="15">
        <v>1.0</v>
      </c>
      <c r="F61" s="15">
        <v>1.0</v>
      </c>
      <c r="G61" s="15" t="s">
        <v>805</v>
      </c>
      <c r="H61" s="15">
        <v>1.0</v>
      </c>
      <c r="I61" s="15">
        <v>1.0</v>
      </c>
      <c r="J61" s="15">
        <v>1.0</v>
      </c>
      <c r="K61" s="15">
        <v>1.0</v>
      </c>
      <c r="L61" s="29" t="s">
        <v>805</v>
      </c>
      <c r="M61" s="29" t="s">
        <v>805</v>
      </c>
      <c r="N61" s="29" t="s">
        <v>805</v>
      </c>
      <c r="O61" s="29" t="s">
        <v>805</v>
      </c>
      <c r="P61" s="35"/>
    </row>
    <row r="62" ht="14.25" customHeight="1">
      <c r="A62" s="31" t="s">
        <v>818</v>
      </c>
      <c r="B62" s="32" t="s">
        <v>819</v>
      </c>
      <c r="C62" s="33" t="s">
        <v>72</v>
      </c>
      <c r="D62" s="34" t="s">
        <v>805</v>
      </c>
      <c r="E62" s="15" t="s">
        <v>805</v>
      </c>
      <c r="F62" s="15" t="s">
        <v>805</v>
      </c>
      <c r="G62" s="15" t="s">
        <v>805</v>
      </c>
      <c r="H62" s="15" t="s">
        <v>805</v>
      </c>
      <c r="I62" s="15">
        <v>1.0</v>
      </c>
      <c r="J62" s="15" t="s">
        <v>805</v>
      </c>
      <c r="K62" s="15" t="s">
        <v>805</v>
      </c>
      <c r="L62" s="29" t="s">
        <v>805</v>
      </c>
      <c r="M62" s="29" t="s">
        <v>805</v>
      </c>
      <c r="N62" s="29" t="s">
        <v>805</v>
      </c>
      <c r="O62" s="29" t="s">
        <v>805</v>
      </c>
      <c r="P62" s="35"/>
    </row>
    <row r="63" ht="14.25" customHeight="1">
      <c r="A63" s="31" t="s">
        <v>209</v>
      </c>
      <c r="B63" s="32" t="s">
        <v>210</v>
      </c>
      <c r="C63" s="33" t="s">
        <v>72</v>
      </c>
      <c r="D63" s="34" t="s">
        <v>805</v>
      </c>
      <c r="E63" s="15" t="s">
        <v>805</v>
      </c>
      <c r="F63" s="15" t="s">
        <v>805</v>
      </c>
      <c r="G63" s="15" t="s">
        <v>805</v>
      </c>
      <c r="H63" s="15" t="s">
        <v>805</v>
      </c>
      <c r="I63" s="15">
        <v>1.0</v>
      </c>
      <c r="J63" s="15">
        <v>1.0</v>
      </c>
      <c r="K63" s="15" t="s">
        <v>805</v>
      </c>
      <c r="L63" s="29" t="s">
        <v>805</v>
      </c>
      <c r="M63" s="29" t="s">
        <v>805</v>
      </c>
      <c r="N63" s="29" t="s">
        <v>805</v>
      </c>
      <c r="O63" s="29" t="s">
        <v>805</v>
      </c>
      <c r="P63" s="35"/>
    </row>
    <row r="64" ht="14.25" customHeight="1">
      <c r="A64" s="31" t="s">
        <v>820</v>
      </c>
      <c r="B64" s="32" t="s">
        <v>821</v>
      </c>
      <c r="C64" s="33" t="s">
        <v>72</v>
      </c>
      <c r="D64" s="34">
        <v>1.0</v>
      </c>
      <c r="E64" s="15">
        <v>1.0</v>
      </c>
      <c r="F64" s="15" t="s">
        <v>805</v>
      </c>
      <c r="G64" s="15" t="s">
        <v>805</v>
      </c>
      <c r="H64" s="15">
        <v>1.0</v>
      </c>
      <c r="I64" s="15">
        <v>1.0</v>
      </c>
      <c r="J64" s="15">
        <v>1.0</v>
      </c>
      <c r="K64" s="15" t="s">
        <v>805</v>
      </c>
      <c r="L64" s="29" t="s">
        <v>805</v>
      </c>
      <c r="M64" s="29" t="s">
        <v>805</v>
      </c>
      <c r="N64" s="29" t="s">
        <v>805</v>
      </c>
      <c r="O64" s="29" t="s">
        <v>805</v>
      </c>
      <c r="P64" s="35"/>
    </row>
    <row r="65" ht="14.25" customHeight="1">
      <c r="A65" s="31" t="s">
        <v>77</v>
      </c>
      <c r="B65" s="32" t="s">
        <v>78</v>
      </c>
      <c r="C65" s="33" t="s">
        <v>72</v>
      </c>
      <c r="D65" s="34">
        <v>1.0</v>
      </c>
      <c r="E65" s="15">
        <v>1.0</v>
      </c>
      <c r="F65" s="15">
        <v>1.0</v>
      </c>
      <c r="G65" s="15" t="s">
        <v>805</v>
      </c>
      <c r="H65" s="15">
        <v>1.0</v>
      </c>
      <c r="I65" s="15">
        <v>1.0</v>
      </c>
      <c r="J65" s="15">
        <v>1.0</v>
      </c>
      <c r="K65" s="15">
        <v>1.0</v>
      </c>
      <c r="L65" s="29" t="s">
        <v>805</v>
      </c>
      <c r="M65" s="29" t="s">
        <v>805</v>
      </c>
      <c r="N65" s="29" t="s">
        <v>805</v>
      </c>
      <c r="O65" s="29" t="s">
        <v>805</v>
      </c>
      <c r="P65" s="35"/>
    </row>
    <row r="66" ht="14.25" customHeight="1">
      <c r="A66" s="31" t="s">
        <v>576</v>
      </c>
      <c r="B66" s="32" t="s">
        <v>577</v>
      </c>
      <c r="C66" s="33" t="s">
        <v>72</v>
      </c>
      <c r="D66" s="34">
        <v>1.0</v>
      </c>
      <c r="E66" s="15">
        <v>1.0</v>
      </c>
      <c r="F66" s="15" t="s">
        <v>805</v>
      </c>
      <c r="G66" s="15">
        <v>1.0</v>
      </c>
      <c r="H66" s="15">
        <v>1.0</v>
      </c>
      <c r="I66" s="15">
        <v>1.0</v>
      </c>
      <c r="J66" s="15">
        <v>1.0</v>
      </c>
      <c r="K66" s="15" t="s">
        <v>805</v>
      </c>
      <c r="L66" s="29" t="s">
        <v>805</v>
      </c>
      <c r="M66" s="29" t="s">
        <v>805</v>
      </c>
      <c r="N66" s="29" t="s">
        <v>805</v>
      </c>
      <c r="O66" s="29" t="s">
        <v>805</v>
      </c>
      <c r="P66" s="35"/>
    </row>
    <row r="67" ht="14.25" customHeight="1">
      <c r="A67" s="31" t="s">
        <v>612</v>
      </c>
      <c r="B67" s="32" t="s">
        <v>613</v>
      </c>
      <c r="C67" s="33" t="s">
        <v>72</v>
      </c>
      <c r="D67" s="34">
        <v>1.0</v>
      </c>
      <c r="E67" s="15">
        <v>1.0</v>
      </c>
      <c r="F67" s="15">
        <v>1.0</v>
      </c>
      <c r="G67" s="15" t="s">
        <v>805</v>
      </c>
      <c r="H67" s="15">
        <v>1.0</v>
      </c>
      <c r="I67" s="15" t="s">
        <v>805</v>
      </c>
      <c r="J67" s="15" t="s">
        <v>805</v>
      </c>
      <c r="K67" s="15">
        <v>1.0</v>
      </c>
      <c r="L67" s="29">
        <v>1.0</v>
      </c>
      <c r="M67" s="29">
        <v>1.0</v>
      </c>
      <c r="N67" s="29" t="s">
        <v>805</v>
      </c>
      <c r="O67" s="29">
        <v>1.0</v>
      </c>
      <c r="P67" s="35"/>
    </row>
    <row r="68" ht="14.25" customHeight="1">
      <c r="A68" s="31" t="s">
        <v>642</v>
      </c>
      <c r="B68" s="32" t="s">
        <v>643</v>
      </c>
      <c r="C68" s="33" t="s">
        <v>72</v>
      </c>
      <c r="D68" s="34">
        <v>1.0</v>
      </c>
      <c r="E68" s="15">
        <v>1.0</v>
      </c>
      <c r="F68" s="15">
        <v>1.0</v>
      </c>
      <c r="G68" s="15">
        <v>1.0</v>
      </c>
      <c r="H68" s="15">
        <v>1.0</v>
      </c>
      <c r="I68" s="15" t="s">
        <v>805</v>
      </c>
      <c r="J68" s="15" t="s">
        <v>805</v>
      </c>
      <c r="K68" s="15" t="s">
        <v>805</v>
      </c>
      <c r="L68" s="29" t="s">
        <v>805</v>
      </c>
      <c r="M68" s="29" t="s">
        <v>805</v>
      </c>
      <c r="N68" s="29">
        <v>1.0</v>
      </c>
      <c r="O68" s="29" t="s">
        <v>805</v>
      </c>
      <c r="P68" s="35"/>
    </row>
    <row r="69" ht="14.25" customHeight="1">
      <c r="A69" s="31" t="s">
        <v>721</v>
      </c>
      <c r="B69" s="32" t="s">
        <v>722</v>
      </c>
      <c r="C69" s="33" t="s">
        <v>72</v>
      </c>
      <c r="D69" s="34" t="s">
        <v>805</v>
      </c>
      <c r="E69" s="15" t="s">
        <v>805</v>
      </c>
      <c r="F69" s="15" t="s">
        <v>805</v>
      </c>
      <c r="G69" s="15" t="s">
        <v>805</v>
      </c>
      <c r="H69" s="15" t="s">
        <v>805</v>
      </c>
      <c r="I69" s="15" t="s">
        <v>805</v>
      </c>
      <c r="J69" s="15" t="s">
        <v>805</v>
      </c>
      <c r="K69" s="15" t="s">
        <v>805</v>
      </c>
      <c r="L69" s="29">
        <v>1.0</v>
      </c>
      <c r="M69" s="29">
        <v>1.0</v>
      </c>
      <c r="N69" s="29">
        <v>1.0</v>
      </c>
      <c r="O69" s="29">
        <v>1.0</v>
      </c>
      <c r="P69" s="35"/>
    </row>
    <row r="70" ht="14.25" customHeight="1">
      <c r="A70" s="31" t="s">
        <v>476</v>
      </c>
      <c r="B70" s="32" t="s">
        <v>822</v>
      </c>
      <c r="C70" s="33" t="s">
        <v>72</v>
      </c>
      <c r="D70" s="34" t="s">
        <v>805</v>
      </c>
      <c r="E70" s="15" t="s">
        <v>805</v>
      </c>
      <c r="F70" s="15" t="s">
        <v>805</v>
      </c>
      <c r="G70" s="15" t="s">
        <v>805</v>
      </c>
      <c r="H70" s="15" t="s">
        <v>805</v>
      </c>
      <c r="I70" s="15" t="s">
        <v>805</v>
      </c>
      <c r="J70" s="15">
        <v>1.0</v>
      </c>
      <c r="K70" s="15" t="s">
        <v>805</v>
      </c>
      <c r="L70" s="29" t="s">
        <v>805</v>
      </c>
      <c r="M70" s="29" t="s">
        <v>805</v>
      </c>
      <c r="N70" s="29" t="s">
        <v>805</v>
      </c>
      <c r="O70" s="29" t="s">
        <v>805</v>
      </c>
      <c r="P70" s="35"/>
    </row>
    <row r="71" ht="14.25" customHeight="1">
      <c r="A71" s="31" t="s">
        <v>244</v>
      </c>
      <c r="B71" s="32" t="s">
        <v>245</v>
      </c>
      <c r="C71" s="33" t="s">
        <v>72</v>
      </c>
      <c r="D71" s="34" t="s">
        <v>805</v>
      </c>
      <c r="E71" s="15" t="s">
        <v>805</v>
      </c>
      <c r="F71" s="15" t="s">
        <v>805</v>
      </c>
      <c r="G71" s="15" t="s">
        <v>805</v>
      </c>
      <c r="H71" s="15" t="s">
        <v>805</v>
      </c>
      <c r="I71" s="15">
        <v>1.0</v>
      </c>
      <c r="J71" s="15">
        <v>1.0</v>
      </c>
      <c r="K71" s="15" t="s">
        <v>805</v>
      </c>
      <c r="L71" s="29">
        <v>1.0</v>
      </c>
      <c r="M71" s="29" t="s">
        <v>805</v>
      </c>
      <c r="N71" s="29" t="s">
        <v>805</v>
      </c>
      <c r="O71" s="29">
        <v>1.0</v>
      </c>
      <c r="P71" s="35"/>
    </row>
    <row r="72" ht="14.25" customHeight="1">
      <c r="A72" s="31" t="s">
        <v>429</v>
      </c>
      <c r="B72" s="32" t="s">
        <v>430</v>
      </c>
      <c r="C72" s="33" t="s">
        <v>72</v>
      </c>
      <c r="D72" s="34">
        <v>1.0</v>
      </c>
      <c r="E72" s="15">
        <v>1.0</v>
      </c>
      <c r="F72" s="15">
        <v>1.0</v>
      </c>
      <c r="G72" s="15">
        <v>1.0</v>
      </c>
      <c r="H72" s="15">
        <v>1.0</v>
      </c>
      <c r="I72" s="15">
        <v>1.0</v>
      </c>
      <c r="J72" s="15">
        <v>1.0</v>
      </c>
      <c r="K72" s="15" t="s">
        <v>805</v>
      </c>
      <c r="L72" s="29">
        <v>1.0</v>
      </c>
      <c r="M72" s="29" t="s">
        <v>805</v>
      </c>
      <c r="N72" s="29" t="s">
        <v>805</v>
      </c>
      <c r="O72" s="29">
        <v>1.0</v>
      </c>
      <c r="P72" s="35"/>
    </row>
    <row r="73" ht="14.25" customHeight="1">
      <c r="A73" s="31" t="s">
        <v>494</v>
      </c>
      <c r="B73" s="32" t="s">
        <v>495</v>
      </c>
      <c r="C73" s="33" t="s">
        <v>72</v>
      </c>
      <c r="D73" s="34">
        <v>1.0</v>
      </c>
      <c r="E73" s="15">
        <v>1.0</v>
      </c>
      <c r="F73" s="15">
        <v>1.0</v>
      </c>
      <c r="G73" s="15" t="s">
        <v>805</v>
      </c>
      <c r="H73" s="15">
        <v>1.0</v>
      </c>
      <c r="I73" s="15">
        <v>1.0</v>
      </c>
      <c r="J73" s="15">
        <v>1.0</v>
      </c>
      <c r="K73" s="15" t="s">
        <v>805</v>
      </c>
      <c r="L73" s="29" t="s">
        <v>805</v>
      </c>
      <c r="M73" s="29" t="s">
        <v>805</v>
      </c>
      <c r="N73" s="29" t="s">
        <v>805</v>
      </c>
      <c r="O73" s="29" t="s">
        <v>805</v>
      </c>
      <c r="P73" s="35"/>
    </row>
    <row r="74" ht="14.25" customHeight="1">
      <c r="A74" s="31" t="s">
        <v>622</v>
      </c>
      <c r="B74" s="32" t="s">
        <v>623</v>
      </c>
      <c r="C74" s="33" t="s">
        <v>72</v>
      </c>
      <c r="D74" s="34">
        <v>1.0</v>
      </c>
      <c r="E74" s="15">
        <v>1.0</v>
      </c>
      <c r="F74" s="15">
        <v>1.0</v>
      </c>
      <c r="G74" s="15" t="s">
        <v>805</v>
      </c>
      <c r="H74" s="15">
        <v>1.0</v>
      </c>
      <c r="I74" s="15">
        <v>1.0</v>
      </c>
      <c r="J74" s="15">
        <v>1.0</v>
      </c>
      <c r="K74" s="15" t="s">
        <v>805</v>
      </c>
      <c r="L74" s="29" t="s">
        <v>805</v>
      </c>
      <c r="M74" s="29" t="s">
        <v>805</v>
      </c>
      <c r="N74" s="29" t="s">
        <v>805</v>
      </c>
      <c r="O74" s="29" t="s">
        <v>805</v>
      </c>
      <c r="P74" s="35"/>
    </row>
    <row r="75" ht="14.25" customHeight="1">
      <c r="A75" s="31" t="s">
        <v>823</v>
      </c>
      <c r="B75" s="32" t="s">
        <v>824</v>
      </c>
      <c r="C75" s="33" t="s">
        <v>72</v>
      </c>
      <c r="D75" s="34" t="s">
        <v>805</v>
      </c>
      <c r="E75" s="15" t="s">
        <v>805</v>
      </c>
      <c r="F75" s="15" t="s">
        <v>805</v>
      </c>
      <c r="G75" s="15" t="s">
        <v>805</v>
      </c>
      <c r="H75" s="15" t="s">
        <v>805</v>
      </c>
      <c r="I75" s="15" t="s">
        <v>805</v>
      </c>
      <c r="J75" s="15" t="s">
        <v>805</v>
      </c>
      <c r="K75" s="15" t="s">
        <v>805</v>
      </c>
      <c r="L75" s="29">
        <v>1.0</v>
      </c>
      <c r="M75" s="29">
        <v>1.0</v>
      </c>
      <c r="N75" s="29">
        <v>1.0</v>
      </c>
      <c r="O75" s="29">
        <v>1.0</v>
      </c>
      <c r="P75" s="35"/>
    </row>
    <row r="76" ht="14.25" customHeight="1">
      <c r="A76" s="31" t="s">
        <v>825</v>
      </c>
      <c r="B76" s="32" t="s">
        <v>826</v>
      </c>
      <c r="C76" s="33" t="s">
        <v>72</v>
      </c>
      <c r="D76" s="34" t="s">
        <v>805</v>
      </c>
      <c r="E76" s="15" t="s">
        <v>805</v>
      </c>
      <c r="F76" s="15" t="s">
        <v>805</v>
      </c>
      <c r="G76" s="15" t="s">
        <v>805</v>
      </c>
      <c r="H76" s="15" t="s">
        <v>805</v>
      </c>
      <c r="I76" s="15">
        <v>1.0</v>
      </c>
      <c r="J76" s="15" t="s">
        <v>805</v>
      </c>
      <c r="K76" s="15" t="s">
        <v>805</v>
      </c>
      <c r="L76" s="29" t="s">
        <v>805</v>
      </c>
      <c r="M76" s="29" t="s">
        <v>805</v>
      </c>
      <c r="N76" s="29" t="s">
        <v>805</v>
      </c>
      <c r="O76" s="29" t="s">
        <v>805</v>
      </c>
      <c r="P76" s="35"/>
    </row>
    <row r="77" ht="14.25" customHeight="1">
      <c r="A77" s="31" t="s">
        <v>468</v>
      </c>
      <c r="B77" s="32" t="s">
        <v>469</v>
      </c>
      <c r="C77" s="33" t="s">
        <v>72</v>
      </c>
      <c r="D77" s="34" t="s">
        <v>805</v>
      </c>
      <c r="E77" s="15" t="s">
        <v>805</v>
      </c>
      <c r="F77" s="15" t="s">
        <v>805</v>
      </c>
      <c r="G77" s="15" t="s">
        <v>805</v>
      </c>
      <c r="H77" s="15" t="s">
        <v>805</v>
      </c>
      <c r="I77" s="15">
        <v>1.0</v>
      </c>
      <c r="J77" s="15">
        <v>1.0</v>
      </c>
      <c r="K77" s="15" t="s">
        <v>805</v>
      </c>
      <c r="L77" s="29" t="s">
        <v>805</v>
      </c>
      <c r="M77" s="29" t="s">
        <v>805</v>
      </c>
      <c r="N77" s="29" t="s">
        <v>805</v>
      </c>
      <c r="O77" s="29" t="s">
        <v>805</v>
      </c>
      <c r="P77" s="35"/>
    </row>
    <row r="78" ht="14.25" customHeight="1">
      <c r="A78" s="31" t="s">
        <v>241</v>
      </c>
      <c r="B78" s="32" t="s">
        <v>242</v>
      </c>
      <c r="C78" s="33" t="s">
        <v>72</v>
      </c>
      <c r="D78" s="34" t="s">
        <v>805</v>
      </c>
      <c r="E78" s="15" t="s">
        <v>805</v>
      </c>
      <c r="F78" s="15" t="s">
        <v>805</v>
      </c>
      <c r="G78" s="15" t="s">
        <v>805</v>
      </c>
      <c r="H78" s="15" t="s">
        <v>805</v>
      </c>
      <c r="I78" s="15">
        <v>1.0</v>
      </c>
      <c r="J78" s="15">
        <v>1.0</v>
      </c>
      <c r="K78" s="15" t="s">
        <v>805</v>
      </c>
      <c r="L78" s="29">
        <v>1.0</v>
      </c>
      <c r="M78" s="29" t="s">
        <v>805</v>
      </c>
      <c r="N78" s="29" t="s">
        <v>805</v>
      </c>
      <c r="O78" s="29">
        <v>1.0</v>
      </c>
      <c r="P78" s="35"/>
    </row>
    <row r="79" ht="14.25" customHeight="1">
      <c r="A79" s="31" t="s">
        <v>488</v>
      </c>
      <c r="B79" s="32" t="s">
        <v>489</v>
      </c>
      <c r="C79" s="33" t="s">
        <v>72</v>
      </c>
      <c r="D79" s="34">
        <v>1.0</v>
      </c>
      <c r="E79" s="15">
        <v>1.0</v>
      </c>
      <c r="F79" s="15">
        <v>1.0</v>
      </c>
      <c r="G79" s="15" t="s">
        <v>805</v>
      </c>
      <c r="H79" s="15">
        <v>1.0</v>
      </c>
      <c r="I79" s="15">
        <v>1.0</v>
      </c>
      <c r="J79" s="15">
        <v>1.0</v>
      </c>
      <c r="K79" s="15" t="s">
        <v>805</v>
      </c>
      <c r="L79" s="29">
        <v>1.0</v>
      </c>
      <c r="M79" s="29" t="s">
        <v>805</v>
      </c>
      <c r="N79" s="29" t="s">
        <v>805</v>
      </c>
      <c r="O79" s="29">
        <v>1.0</v>
      </c>
      <c r="P79" s="35"/>
    </row>
    <row r="80" ht="14.25" customHeight="1">
      <c r="A80" s="31" t="s">
        <v>257</v>
      </c>
      <c r="B80" s="32" t="s">
        <v>258</v>
      </c>
      <c r="C80" s="33" t="s">
        <v>72</v>
      </c>
      <c r="D80" s="34" t="s">
        <v>805</v>
      </c>
      <c r="E80" s="15" t="s">
        <v>805</v>
      </c>
      <c r="F80" s="15" t="s">
        <v>805</v>
      </c>
      <c r="G80" s="15" t="s">
        <v>805</v>
      </c>
      <c r="H80" s="15" t="s">
        <v>805</v>
      </c>
      <c r="I80" s="15">
        <v>1.0</v>
      </c>
      <c r="J80" s="15">
        <v>1.0</v>
      </c>
      <c r="K80" s="15" t="s">
        <v>805</v>
      </c>
      <c r="L80" s="29">
        <v>1.0</v>
      </c>
      <c r="M80" s="29" t="s">
        <v>805</v>
      </c>
      <c r="N80" s="29" t="s">
        <v>805</v>
      </c>
      <c r="O80" s="29" t="s">
        <v>805</v>
      </c>
      <c r="P80" s="35"/>
    </row>
    <row r="81" ht="14.25" customHeight="1">
      <c r="A81" s="31" t="s">
        <v>438</v>
      </c>
      <c r="B81" s="32" t="s">
        <v>439</v>
      </c>
      <c r="C81" s="33" t="s">
        <v>72</v>
      </c>
      <c r="D81" s="34">
        <v>1.0</v>
      </c>
      <c r="E81" s="15">
        <v>1.0</v>
      </c>
      <c r="F81" s="15">
        <v>1.0</v>
      </c>
      <c r="G81" s="15">
        <v>1.0</v>
      </c>
      <c r="H81" s="15">
        <v>1.0</v>
      </c>
      <c r="I81" s="15">
        <v>1.0</v>
      </c>
      <c r="J81" s="15">
        <v>1.0</v>
      </c>
      <c r="K81" s="15">
        <v>1.0</v>
      </c>
      <c r="L81" s="29">
        <v>1.0</v>
      </c>
      <c r="M81" s="29" t="s">
        <v>805</v>
      </c>
      <c r="N81" s="29" t="s">
        <v>805</v>
      </c>
      <c r="O81" s="29">
        <v>1.0</v>
      </c>
      <c r="P81" s="35"/>
    </row>
    <row r="82" ht="14.25" customHeight="1">
      <c r="A82" s="31" t="s">
        <v>337</v>
      </c>
      <c r="B82" s="32" t="s">
        <v>338</v>
      </c>
      <c r="C82" s="33" t="s">
        <v>72</v>
      </c>
      <c r="D82" s="34" t="s">
        <v>805</v>
      </c>
      <c r="E82" s="15" t="s">
        <v>805</v>
      </c>
      <c r="F82" s="15" t="s">
        <v>805</v>
      </c>
      <c r="G82" s="15" t="s">
        <v>805</v>
      </c>
      <c r="H82" s="15" t="s">
        <v>805</v>
      </c>
      <c r="I82" s="15">
        <v>1.0</v>
      </c>
      <c r="J82" s="15">
        <v>1.0</v>
      </c>
      <c r="K82" s="15" t="s">
        <v>805</v>
      </c>
      <c r="L82" s="29" t="s">
        <v>805</v>
      </c>
      <c r="M82" s="29" t="s">
        <v>805</v>
      </c>
      <c r="N82" s="29" t="s">
        <v>805</v>
      </c>
      <c r="O82" s="29" t="s">
        <v>805</v>
      </c>
      <c r="P82" s="35"/>
    </row>
    <row r="83" ht="14.25" customHeight="1">
      <c r="A83" s="31" t="s">
        <v>73</v>
      </c>
      <c r="B83" s="32" t="s">
        <v>74</v>
      </c>
      <c r="C83" s="33" t="s">
        <v>72</v>
      </c>
      <c r="D83" s="34">
        <v>1.0</v>
      </c>
      <c r="E83" s="15">
        <v>1.0</v>
      </c>
      <c r="F83" s="15">
        <v>1.0</v>
      </c>
      <c r="G83" s="15">
        <v>1.0</v>
      </c>
      <c r="H83" s="15">
        <v>1.0</v>
      </c>
      <c r="I83" s="15">
        <v>1.0</v>
      </c>
      <c r="J83" s="15">
        <v>1.0</v>
      </c>
      <c r="K83" s="15">
        <v>1.0</v>
      </c>
      <c r="L83" s="29" t="s">
        <v>805</v>
      </c>
      <c r="M83" s="29" t="s">
        <v>805</v>
      </c>
      <c r="N83" s="29" t="s">
        <v>805</v>
      </c>
      <c r="O83" s="29" t="s">
        <v>805</v>
      </c>
      <c r="P83" s="35"/>
    </row>
    <row r="84" ht="14.25" customHeight="1">
      <c r="A84" s="31" t="s">
        <v>566</v>
      </c>
      <c r="B84" s="32" t="s">
        <v>567</v>
      </c>
      <c r="C84" s="33" t="s">
        <v>72</v>
      </c>
      <c r="D84" s="34">
        <v>1.0</v>
      </c>
      <c r="E84" s="15">
        <v>1.0</v>
      </c>
      <c r="F84" s="15">
        <v>1.0</v>
      </c>
      <c r="G84" s="15">
        <v>1.0</v>
      </c>
      <c r="H84" s="15">
        <v>1.0</v>
      </c>
      <c r="I84" s="15" t="s">
        <v>805</v>
      </c>
      <c r="J84" s="15" t="s">
        <v>805</v>
      </c>
      <c r="K84" s="15" t="s">
        <v>805</v>
      </c>
      <c r="L84" s="29" t="s">
        <v>805</v>
      </c>
      <c r="M84" s="29" t="s">
        <v>805</v>
      </c>
      <c r="N84" s="29" t="s">
        <v>805</v>
      </c>
      <c r="O84" s="29" t="s">
        <v>805</v>
      </c>
      <c r="P84" s="35"/>
    </row>
    <row r="85" ht="14.25" customHeight="1">
      <c r="A85" s="31" t="s">
        <v>827</v>
      </c>
      <c r="B85" s="32" t="s">
        <v>828</v>
      </c>
      <c r="C85" s="33" t="s">
        <v>72</v>
      </c>
      <c r="D85" s="34" t="s">
        <v>805</v>
      </c>
      <c r="E85" s="15" t="s">
        <v>805</v>
      </c>
      <c r="F85" s="15" t="s">
        <v>805</v>
      </c>
      <c r="G85" s="15" t="s">
        <v>805</v>
      </c>
      <c r="H85" s="15" t="s">
        <v>805</v>
      </c>
      <c r="I85" s="15" t="s">
        <v>805</v>
      </c>
      <c r="J85" s="15">
        <v>1.0</v>
      </c>
      <c r="K85" s="15" t="s">
        <v>805</v>
      </c>
      <c r="L85" s="29" t="s">
        <v>805</v>
      </c>
      <c r="M85" s="29" t="s">
        <v>805</v>
      </c>
      <c r="N85" s="29" t="s">
        <v>805</v>
      </c>
      <c r="O85" s="29" t="s">
        <v>805</v>
      </c>
      <c r="P85" s="35"/>
    </row>
    <row r="86" ht="14.25" customHeight="1">
      <c r="A86" s="31" t="s">
        <v>292</v>
      </c>
      <c r="B86" s="32" t="s">
        <v>293</v>
      </c>
      <c r="C86" s="33" t="s">
        <v>72</v>
      </c>
      <c r="D86" s="34">
        <v>1.0</v>
      </c>
      <c r="E86" s="15">
        <v>1.0</v>
      </c>
      <c r="F86" s="15" t="s">
        <v>805</v>
      </c>
      <c r="G86" s="15">
        <v>1.0</v>
      </c>
      <c r="H86" s="15">
        <v>1.0</v>
      </c>
      <c r="I86" s="15">
        <v>1.0</v>
      </c>
      <c r="J86" s="15" t="s">
        <v>805</v>
      </c>
      <c r="K86" s="15">
        <v>1.0</v>
      </c>
      <c r="L86" s="29">
        <v>1.0</v>
      </c>
      <c r="M86" s="29">
        <v>1.0</v>
      </c>
      <c r="N86" s="29" t="s">
        <v>805</v>
      </c>
      <c r="O86" s="29">
        <v>1.0</v>
      </c>
      <c r="P86" s="35"/>
    </row>
    <row r="87" ht="14.25" customHeight="1">
      <c r="A87" s="31" t="s">
        <v>829</v>
      </c>
      <c r="B87" s="32" t="s">
        <v>830</v>
      </c>
      <c r="C87" s="33" t="s">
        <v>72</v>
      </c>
      <c r="D87" s="34" t="s">
        <v>805</v>
      </c>
      <c r="E87" s="15" t="s">
        <v>805</v>
      </c>
      <c r="F87" s="15" t="s">
        <v>805</v>
      </c>
      <c r="G87" s="15" t="s">
        <v>805</v>
      </c>
      <c r="H87" s="15" t="s">
        <v>805</v>
      </c>
      <c r="I87" s="15">
        <v>1.0</v>
      </c>
      <c r="J87" s="15" t="s">
        <v>805</v>
      </c>
      <c r="K87" s="15" t="s">
        <v>805</v>
      </c>
      <c r="L87" s="29" t="s">
        <v>805</v>
      </c>
      <c r="M87" s="29" t="s">
        <v>805</v>
      </c>
      <c r="N87" s="29" t="s">
        <v>805</v>
      </c>
      <c r="O87" s="29" t="s">
        <v>805</v>
      </c>
      <c r="P87" s="35"/>
    </row>
    <row r="88" ht="14.25" customHeight="1">
      <c r="A88" s="31" t="s">
        <v>421</v>
      </c>
      <c r="B88" s="32" t="s">
        <v>422</v>
      </c>
      <c r="C88" s="33" t="s">
        <v>72</v>
      </c>
      <c r="D88" s="34">
        <v>1.0</v>
      </c>
      <c r="E88" s="15">
        <v>1.0</v>
      </c>
      <c r="F88" s="15">
        <v>1.0</v>
      </c>
      <c r="G88" s="15">
        <v>1.0</v>
      </c>
      <c r="H88" s="15">
        <v>1.0</v>
      </c>
      <c r="I88" s="15">
        <v>1.0</v>
      </c>
      <c r="J88" s="15" t="s">
        <v>805</v>
      </c>
      <c r="K88" s="15" t="s">
        <v>805</v>
      </c>
      <c r="L88" s="29">
        <v>1.0</v>
      </c>
      <c r="M88" s="29" t="s">
        <v>805</v>
      </c>
      <c r="N88" s="29" t="s">
        <v>805</v>
      </c>
      <c r="O88" s="29">
        <v>1.0</v>
      </c>
      <c r="P88" s="35"/>
    </row>
    <row r="89" ht="14.25" customHeight="1">
      <c r="A89" s="31" t="s">
        <v>689</v>
      </c>
      <c r="B89" s="32" t="s">
        <v>690</v>
      </c>
      <c r="C89" s="33" t="s">
        <v>72</v>
      </c>
      <c r="D89" s="34">
        <v>1.0</v>
      </c>
      <c r="E89" s="15">
        <v>1.0</v>
      </c>
      <c r="F89" s="15">
        <v>1.0</v>
      </c>
      <c r="G89" s="15" t="s">
        <v>805</v>
      </c>
      <c r="H89" s="15">
        <v>1.0</v>
      </c>
      <c r="I89" s="15">
        <v>1.0</v>
      </c>
      <c r="J89" s="15">
        <v>1.0</v>
      </c>
      <c r="K89" s="15" t="s">
        <v>805</v>
      </c>
      <c r="L89" s="29" t="s">
        <v>805</v>
      </c>
      <c r="M89" s="29" t="s">
        <v>805</v>
      </c>
      <c r="N89" s="29" t="s">
        <v>805</v>
      </c>
      <c r="O89" s="29" t="s">
        <v>805</v>
      </c>
      <c r="P89" s="35"/>
    </row>
    <row r="90" ht="14.25" customHeight="1">
      <c r="A90" s="31" t="s">
        <v>409</v>
      </c>
      <c r="B90" s="32" t="s">
        <v>410</v>
      </c>
      <c r="C90" s="33" t="s">
        <v>72</v>
      </c>
      <c r="D90" s="34">
        <v>1.0</v>
      </c>
      <c r="E90" s="15">
        <v>1.0</v>
      </c>
      <c r="F90" s="15">
        <v>1.0</v>
      </c>
      <c r="G90" s="15" t="s">
        <v>805</v>
      </c>
      <c r="H90" s="15">
        <v>1.0</v>
      </c>
      <c r="I90" s="15">
        <v>1.0</v>
      </c>
      <c r="J90" s="15" t="s">
        <v>805</v>
      </c>
      <c r="K90" s="15" t="s">
        <v>805</v>
      </c>
      <c r="L90" s="29" t="s">
        <v>805</v>
      </c>
      <c r="M90" s="29" t="s">
        <v>805</v>
      </c>
      <c r="N90" s="29" t="s">
        <v>805</v>
      </c>
      <c r="O90" s="29" t="s">
        <v>805</v>
      </c>
      <c r="P90" s="35"/>
    </row>
    <row r="91" ht="14.25" customHeight="1">
      <c r="A91" s="31" t="s">
        <v>616</v>
      </c>
      <c r="B91" s="32" t="s">
        <v>617</v>
      </c>
      <c r="C91" s="33" t="s">
        <v>72</v>
      </c>
      <c r="D91" s="34">
        <v>1.0</v>
      </c>
      <c r="E91" s="15">
        <v>1.0</v>
      </c>
      <c r="F91" s="15">
        <v>1.0</v>
      </c>
      <c r="G91" s="15" t="s">
        <v>805</v>
      </c>
      <c r="H91" s="15">
        <v>1.0</v>
      </c>
      <c r="I91" s="15">
        <v>1.0</v>
      </c>
      <c r="J91" s="15" t="s">
        <v>805</v>
      </c>
      <c r="K91" s="15" t="s">
        <v>805</v>
      </c>
      <c r="L91" s="29" t="s">
        <v>805</v>
      </c>
      <c r="M91" s="29" t="s">
        <v>805</v>
      </c>
      <c r="N91" s="29" t="s">
        <v>805</v>
      </c>
      <c r="O91" s="29" t="s">
        <v>805</v>
      </c>
      <c r="P91" s="35"/>
    </row>
    <row r="92" ht="14.25" customHeight="1">
      <c r="A92" s="31" t="s">
        <v>150</v>
      </c>
      <c r="B92" s="32" t="s">
        <v>151</v>
      </c>
      <c r="C92" s="33" t="s">
        <v>72</v>
      </c>
      <c r="D92" s="34">
        <v>1.0</v>
      </c>
      <c r="E92" s="15">
        <v>1.0</v>
      </c>
      <c r="F92" s="15">
        <v>1.0</v>
      </c>
      <c r="G92" s="15" t="s">
        <v>805</v>
      </c>
      <c r="H92" s="15">
        <v>1.0</v>
      </c>
      <c r="I92" s="15">
        <v>1.0</v>
      </c>
      <c r="J92" s="15">
        <v>1.0</v>
      </c>
      <c r="K92" s="15">
        <v>1.0</v>
      </c>
      <c r="L92" s="29">
        <v>1.0</v>
      </c>
      <c r="M92" s="29" t="s">
        <v>805</v>
      </c>
      <c r="N92" s="29" t="s">
        <v>805</v>
      </c>
      <c r="O92" s="29">
        <v>1.0</v>
      </c>
      <c r="P92" s="35"/>
    </row>
    <row r="93" ht="14.25" customHeight="1">
      <c r="A93" s="31" t="s">
        <v>460</v>
      </c>
      <c r="B93" s="32" t="s">
        <v>461</v>
      </c>
      <c r="C93" s="33" t="s">
        <v>72</v>
      </c>
      <c r="D93" s="34">
        <v>1.0</v>
      </c>
      <c r="E93" s="15">
        <v>1.0</v>
      </c>
      <c r="F93" s="15" t="s">
        <v>805</v>
      </c>
      <c r="G93" s="15" t="s">
        <v>805</v>
      </c>
      <c r="H93" s="15">
        <v>1.0</v>
      </c>
      <c r="I93" s="15" t="s">
        <v>805</v>
      </c>
      <c r="J93" s="15" t="s">
        <v>805</v>
      </c>
      <c r="K93" s="15" t="s">
        <v>805</v>
      </c>
      <c r="L93" s="29">
        <v>1.0</v>
      </c>
      <c r="M93" s="29" t="s">
        <v>805</v>
      </c>
      <c r="N93" s="29" t="s">
        <v>805</v>
      </c>
      <c r="O93" s="29">
        <v>1.0</v>
      </c>
      <c r="P93" s="35"/>
    </row>
    <row r="94" ht="14.25" customHeight="1">
      <c r="A94" s="31" t="s">
        <v>252</v>
      </c>
      <c r="B94" s="32" t="s">
        <v>253</v>
      </c>
      <c r="C94" s="33" t="s">
        <v>72</v>
      </c>
      <c r="D94" s="34">
        <v>1.0</v>
      </c>
      <c r="E94" s="15">
        <v>1.0</v>
      </c>
      <c r="F94" s="15">
        <v>1.0</v>
      </c>
      <c r="G94" s="15">
        <v>1.0</v>
      </c>
      <c r="H94" s="15">
        <v>1.0</v>
      </c>
      <c r="I94" s="15" t="s">
        <v>805</v>
      </c>
      <c r="J94" s="15" t="s">
        <v>805</v>
      </c>
      <c r="K94" s="15" t="s">
        <v>805</v>
      </c>
      <c r="L94" s="29">
        <v>1.0</v>
      </c>
      <c r="M94" s="29" t="s">
        <v>805</v>
      </c>
      <c r="N94" s="29" t="s">
        <v>805</v>
      </c>
      <c r="O94" s="29">
        <v>1.0</v>
      </c>
      <c r="P94" s="35"/>
    </row>
    <row r="95" ht="14.25" customHeight="1">
      <c r="A95" s="31" t="s">
        <v>604</v>
      </c>
      <c r="B95" s="32" t="s">
        <v>605</v>
      </c>
      <c r="C95" s="33" t="s">
        <v>72</v>
      </c>
      <c r="D95" s="34" t="s">
        <v>805</v>
      </c>
      <c r="E95" s="15">
        <v>1.0</v>
      </c>
      <c r="F95" s="15">
        <v>1.0</v>
      </c>
      <c r="G95" s="15">
        <v>1.0</v>
      </c>
      <c r="H95" s="15">
        <v>1.0</v>
      </c>
      <c r="I95" s="15" t="s">
        <v>805</v>
      </c>
      <c r="J95" s="15" t="s">
        <v>805</v>
      </c>
      <c r="K95" s="15" t="s">
        <v>805</v>
      </c>
      <c r="L95" s="29" t="s">
        <v>805</v>
      </c>
      <c r="M95" s="29" t="s">
        <v>805</v>
      </c>
      <c r="N95" s="29" t="s">
        <v>805</v>
      </c>
      <c r="O95" s="29" t="s">
        <v>805</v>
      </c>
      <c r="P95" s="35"/>
    </row>
    <row r="96" ht="14.25" customHeight="1">
      <c r="A96" s="31" t="s">
        <v>462</v>
      </c>
      <c r="B96" s="32" t="s">
        <v>463</v>
      </c>
      <c r="C96" s="33" t="s">
        <v>72</v>
      </c>
      <c r="D96" s="34" t="s">
        <v>805</v>
      </c>
      <c r="E96" s="15">
        <v>1.0</v>
      </c>
      <c r="F96" s="15">
        <v>1.0</v>
      </c>
      <c r="G96" s="15">
        <v>1.0</v>
      </c>
      <c r="H96" s="15">
        <v>1.0</v>
      </c>
      <c r="I96" s="15" t="s">
        <v>805</v>
      </c>
      <c r="J96" s="15" t="s">
        <v>805</v>
      </c>
      <c r="K96" s="15" t="s">
        <v>805</v>
      </c>
      <c r="L96" s="29" t="s">
        <v>805</v>
      </c>
      <c r="M96" s="29" t="s">
        <v>805</v>
      </c>
      <c r="N96" s="29" t="s">
        <v>805</v>
      </c>
      <c r="O96" s="29" t="s">
        <v>805</v>
      </c>
      <c r="P96" s="35"/>
    </row>
    <row r="97" ht="14.25" customHeight="1">
      <c r="A97" s="31" t="s">
        <v>759</v>
      </c>
      <c r="B97" s="32" t="s">
        <v>831</v>
      </c>
      <c r="C97" s="33" t="s">
        <v>72</v>
      </c>
      <c r="D97" s="34" t="s">
        <v>805</v>
      </c>
      <c r="E97" s="15" t="s">
        <v>805</v>
      </c>
      <c r="F97" s="15" t="s">
        <v>805</v>
      </c>
      <c r="G97" s="15" t="s">
        <v>805</v>
      </c>
      <c r="H97" s="15" t="s">
        <v>805</v>
      </c>
      <c r="I97" s="15" t="s">
        <v>805</v>
      </c>
      <c r="J97" s="15" t="s">
        <v>805</v>
      </c>
      <c r="K97" s="15" t="s">
        <v>805</v>
      </c>
      <c r="L97" s="29">
        <v>1.0</v>
      </c>
      <c r="M97" s="29">
        <v>1.0</v>
      </c>
      <c r="N97" s="29">
        <v>1.0</v>
      </c>
      <c r="O97" s="29">
        <v>1.0</v>
      </c>
      <c r="P97" s="35"/>
    </row>
    <row r="98" ht="14.25" customHeight="1">
      <c r="A98" s="31" t="s">
        <v>236</v>
      </c>
      <c r="B98" s="32" t="s">
        <v>237</v>
      </c>
      <c r="C98" s="33" t="s">
        <v>102</v>
      </c>
      <c r="D98" s="34">
        <v>1.0</v>
      </c>
      <c r="E98" s="15">
        <v>1.0</v>
      </c>
      <c r="F98" s="15">
        <v>1.0</v>
      </c>
      <c r="G98" s="15">
        <v>1.0</v>
      </c>
      <c r="H98" s="15">
        <v>1.0</v>
      </c>
      <c r="I98" s="15">
        <v>1.0</v>
      </c>
      <c r="J98" s="15">
        <v>1.0</v>
      </c>
      <c r="K98" s="15" t="s">
        <v>805</v>
      </c>
      <c r="L98" s="29" t="s">
        <v>805</v>
      </c>
      <c r="M98" s="29" t="s">
        <v>805</v>
      </c>
      <c r="N98" s="29" t="s">
        <v>805</v>
      </c>
      <c r="O98" s="29" t="s">
        <v>805</v>
      </c>
      <c r="P98" s="35"/>
    </row>
    <row r="99" ht="14.25" customHeight="1">
      <c r="A99" s="31" t="s">
        <v>120</v>
      </c>
      <c r="B99" s="32" t="s">
        <v>121</v>
      </c>
      <c r="C99" s="33" t="s">
        <v>102</v>
      </c>
      <c r="D99" s="34">
        <v>1.0</v>
      </c>
      <c r="E99" s="15">
        <v>1.0</v>
      </c>
      <c r="F99" s="15">
        <v>1.0</v>
      </c>
      <c r="G99" s="15" t="s">
        <v>805</v>
      </c>
      <c r="H99" s="15">
        <v>1.0</v>
      </c>
      <c r="I99" s="15">
        <v>1.0</v>
      </c>
      <c r="J99" s="15">
        <v>1.0</v>
      </c>
      <c r="K99" s="15" t="s">
        <v>805</v>
      </c>
      <c r="L99" s="29">
        <v>1.0</v>
      </c>
      <c r="M99" s="29" t="s">
        <v>805</v>
      </c>
      <c r="N99" s="29" t="s">
        <v>805</v>
      </c>
      <c r="O99" s="29">
        <v>1.0</v>
      </c>
      <c r="P99" s="35"/>
    </row>
    <row r="100" ht="14.25" customHeight="1">
      <c r="A100" s="31" t="s">
        <v>773</v>
      </c>
      <c r="B100" s="32" t="s">
        <v>774</v>
      </c>
      <c r="C100" s="33" t="s">
        <v>102</v>
      </c>
      <c r="D100" s="34" t="s">
        <v>805</v>
      </c>
      <c r="E100" s="15" t="s">
        <v>805</v>
      </c>
      <c r="F100" s="15" t="s">
        <v>805</v>
      </c>
      <c r="G100" s="15" t="s">
        <v>805</v>
      </c>
      <c r="H100" s="15" t="s">
        <v>805</v>
      </c>
      <c r="I100" s="15" t="s">
        <v>805</v>
      </c>
      <c r="J100" s="15" t="s">
        <v>805</v>
      </c>
      <c r="K100" s="15" t="s">
        <v>805</v>
      </c>
      <c r="L100" s="29">
        <v>1.0</v>
      </c>
      <c r="M100" s="29">
        <v>1.0</v>
      </c>
      <c r="N100" s="29">
        <v>1.0</v>
      </c>
      <c r="O100" s="29">
        <v>1.0</v>
      </c>
      <c r="P100" s="35"/>
    </row>
    <row r="101" ht="14.25" customHeight="1">
      <c r="A101" s="31" t="s">
        <v>490</v>
      </c>
      <c r="B101" s="32" t="s">
        <v>491</v>
      </c>
      <c r="C101" s="33" t="s">
        <v>102</v>
      </c>
      <c r="D101" s="34">
        <v>1.0</v>
      </c>
      <c r="E101" s="15">
        <v>1.0</v>
      </c>
      <c r="F101" s="15">
        <v>1.0</v>
      </c>
      <c r="G101" s="15" t="s">
        <v>805</v>
      </c>
      <c r="H101" s="15">
        <v>1.0</v>
      </c>
      <c r="I101" s="15">
        <v>1.0</v>
      </c>
      <c r="J101" s="15">
        <v>1.0</v>
      </c>
      <c r="K101" s="15" t="s">
        <v>805</v>
      </c>
      <c r="L101" s="29">
        <v>1.0</v>
      </c>
      <c r="M101" s="29" t="s">
        <v>805</v>
      </c>
      <c r="N101" s="29" t="s">
        <v>805</v>
      </c>
      <c r="O101" s="29" t="s">
        <v>805</v>
      </c>
      <c r="P101" s="35"/>
    </row>
    <row r="102" ht="14.25" customHeight="1">
      <c r="A102" s="31" t="s">
        <v>640</v>
      </c>
      <c r="B102" s="32" t="s">
        <v>641</v>
      </c>
      <c r="C102" s="33" t="s">
        <v>102</v>
      </c>
      <c r="D102" s="34">
        <v>1.0</v>
      </c>
      <c r="E102" s="15">
        <v>1.0</v>
      </c>
      <c r="F102" s="15">
        <v>1.0</v>
      </c>
      <c r="G102" s="15" t="s">
        <v>805</v>
      </c>
      <c r="H102" s="15">
        <v>1.0</v>
      </c>
      <c r="I102" s="15">
        <v>1.0</v>
      </c>
      <c r="J102" s="15">
        <v>1.0</v>
      </c>
      <c r="K102" s="15" t="s">
        <v>805</v>
      </c>
      <c r="L102" s="29">
        <v>1.0</v>
      </c>
      <c r="M102" s="29" t="s">
        <v>805</v>
      </c>
      <c r="N102" s="29" t="s">
        <v>805</v>
      </c>
      <c r="O102" s="29" t="s">
        <v>805</v>
      </c>
      <c r="P102" s="35"/>
    </row>
    <row r="103" ht="14.25" customHeight="1">
      <c r="A103" s="31" t="s">
        <v>558</v>
      </c>
      <c r="B103" s="32" t="s">
        <v>559</v>
      </c>
      <c r="C103" s="33" t="s">
        <v>102</v>
      </c>
      <c r="D103" s="34">
        <v>1.0</v>
      </c>
      <c r="E103" s="15">
        <v>1.0</v>
      </c>
      <c r="F103" s="15" t="s">
        <v>805</v>
      </c>
      <c r="G103" s="15" t="s">
        <v>805</v>
      </c>
      <c r="H103" s="15">
        <v>1.0</v>
      </c>
      <c r="I103" s="15">
        <v>1.0</v>
      </c>
      <c r="J103" s="15">
        <v>1.0</v>
      </c>
      <c r="K103" s="15" t="s">
        <v>805</v>
      </c>
      <c r="L103" s="29">
        <v>1.0</v>
      </c>
      <c r="M103" s="29" t="s">
        <v>805</v>
      </c>
      <c r="N103" s="29" t="s">
        <v>805</v>
      </c>
      <c r="O103" s="29" t="s">
        <v>805</v>
      </c>
      <c r="P103" s="35"/>
    </row>
    <row r="104" ht="14.25" customHeight="1">
      <c r="A104" s="31" t="s">
        <v>326</v>
      </c>
      <c r="B104" s="32" t="s">
        <v>327</v>
      </c>
      <c r="C104" s="33" t="s">
        <v>102</v>
      </c>
      <c r="D104" s="34">
        <v>1.0</v>
      </c>
      <c r="E104" s="15">
        <v>1.0</v>
      </c>
      <c r="F104" s="15">
        <v>1.0</v>
      </c>
      <c r="G104" s="15" t="s">
        <v>805</v>
      </c>
      <c r="H104" s="15">
        <v>1.0</v>
      </c>
      <c r="I104" s="15">
        <v>1.0</v>
      </c>
      <c r="J104" s="15">
        <v>1.0</v>
      </c>
      <c r="K104" s="15" t="s">
        <v>805</v>
      </c>
      <c r="L104" s="29" t="s">
        <v>805</v>
      </c>
      <c r="M104" s="29" t="s">
        <v>805</v>
      </c>
      <c r="N104" s="29" t="s">
        <v>805</v>
      </c>
      <c r="O104" s="29" t="s">
        <v>805</v>
      </c>
      <c r="P104" s="35"/>
    </row>
    <row r="105" ht="14.25" customHeight="1">
      <c r="A105" s="31" t="s">
        <v>103</v>
      </c>
      <c r="B105" s="32" t="s">
        <v>104</v>
      </c>
      <c r="C105" s="33" t="s">
        <v>102</v>
      </c>
      <c r="D105" s="34">
        <v>1.0</v>
      </c>
      <c r="E105" s="15">
        <v>1.0</v>
      </c>
      <c r="F105" s="15">
        <v>1.0</v>
      </c>
      <c r="G105" s="15" t="s">
        <v>805</v>
      </c>
      <c r="H105" s="15">
        <v>1.0</v>
      </c>
      <c r="I105" s="15">
        <v>1.0</v>
      </c>
      <c r="J105" s="15">
        <v>1.0</v>
      </c>
      <c r="K105" s="15" t="s">
        <v>805</v>
      </c>
      <c r="L105" s="29">
        <v>1.0</v>
      </c>
      <c r="M105" s="29" t="s">
        <v>805</v>
      </c>
      <c r="N105" s="29" t="s">
        <v>805</v>
      </c>
      <c r="O105" s="29">
        <v>1.0</v>
      </c>
      <c r="P105" s="35"/>
    </row>
    <row r="106" ht="14.25" customHeight="1">
      <c r="A106" s="31" t="s">
        <v>446</v>
      </c>
      <c r="B106" s="32" t="s">
        <v>447</v>
      </c>
      <c r="C106" s="33" t="s">
        <v>102</v>
      </c>
      <c r="D106" s="34">
        <v>1.0</v>
      </c>
      <c r="E106" s="15">
        <v>1.0</v>
      </c>
      <c r="F106" s="15">
        <v>1.0</v>
      </c>
      <c r="G106" s="15" t="s">
        <v>805</v>
      </c>
      <c r="H106" s="15">
        <v>1.0</v>
      </c>
      <c r="I106" s="15">
        <v>1.0</v>
      </c>
      <c r="J106" s="15">
        <v>1.0</v>
      </c>
      <c r="K106" s="15" t="s">
        <v>805</v>
      </c>
      <c r="L106" s="29" t="s">
        <v>805</v>
      </c>
      <c r="M106" s="29" t="s">
        <v>805</v>
      </c>
      <c r="N106" s="29" t="s">
        <v>805</v>
      </c>
      <c r="O106" s="29" t="s">
        <v>805</v>
      </c>
      <c r="P106" s="35"/>
    </row>
    <row r="107" ht="14.25" customHeight="1">
      <c r="A107" s="31" t="s">
        <v>184</v>
      </c>
      <c r="B107" s="32" t="s">
        <v>185</v>
      </c>
      <c r="C107" s="33" t="s">
        <v>102</v>
      </c>
      <c r="D107" s="34">
        <v>1.0</v>
      </c>
      <c r="E107" s="15">
        <v>1.0</v>
      </c>
      <c r="F107" s="15">
        <v>1.0</v>
      </c>
      <c r="G107" s="15" t="s">
        <v>805</v>
      </c>
      <c r="H107" s="15">
        <v>1.0</v>
      </c>
      <c r="I107" s="15">
        <v>1.0</v>
      </c>
      <c r="J107" s="15">
        <v>1.0</v>
      </c>
      <c r="K107" s="15" t="s">
        <v>805</v>
      </c>
      <c r="L107" s="29">
        <v>1.0</v>
      </c>
      <c r="M107" s="29" t="s">
        <v>805</v>
      </c>
      <c r="N107" s="29" t="s">
        <v>805</v>
      </c>
      <c r="O107" s="29">
        <v>1.0</v>
      </c>
      <c r="P107" s="35"/>
    </row>
    <row r="108" ht="14.25" customHeight="1">
      <c r="A108" s="31" t="s">
        <v>407</v>
      </c>
      <c r="B108" s="32" t="s">
        <v>408</v>
      </c>
      <c r="C108" s="33" t="s">
        <v>14</v>
      </c>
      <c r="D108" s="34">
        <v>1.0</v>
      </c>
      <c r="E108" s="15">
        <v>1.0</v>
      </c>
      <c r="F108" s="15" t="s">
        <v>805</v>
      </c>
      <c r="G108" s="15" t="s">
        <v>805</v>
      </c>
      <c r="H108" s="15">
        <v>1.0</v>
      </c>
      <c r="I108" s="15">
        <v>1.0</v>
      </c>
      <c r="J108" s="15">
        <v>1.0</v>
      </c>
      <c r="K108" s="15">
        <v>1.0</v>
      </c>
      <c r="L108" s="29">
        <v>1.0</v>
      </c>
      <c r="M108" s="29" t="s">
        <v>805</v>
      </c>
      <c r="N108" s="29" t="s">
        <v>805</v>
      </c>
      <c r="O108" s="29">
        <v>1.0</v>
      </c>
      <c r="P108" s="35"/>
    </row>
    <row r="109" ht="14.25" customHeight="1">
      <c r="A109" s="31" t="s">
        <v>679</v>
      </c>
      <c r="B109" s="32" t="s">
        <v>680</v>
      </c>
      <c r="C109" s="33" t="s">
        <v>14</v>
      </c>
      <c r="D109" s="34">
        <v>1.0</v>
      </c>
      <c r="E109" s="15">
        <v>1.0</v>
      </c>
      <c r="F109" s="15" t="s">
        <v>805</v>
      </c>
      <c r="G109" s="15" t="s">
        <v>805</v>
      </c>
      <c r="H109" s="15">
        <v>1.0</v>
      </c>
      <c r="I109" s="15">
        <v>1.0</v>
      </c>
      <c r="J109" s="15">
        <v>1.0</v>
      </c>
      <c r="K109" s="15">
        <v>1.0</v>
      </c>
      <c r="L109" s="29">
        <v>1.0</v>
      </c>
      <c r="M109" s="29" t="s">
        <v>805</v>
      </c>
      <c r="N109" s="29" t="s">
        <v>805</v>
      </c>
      <c r="O109" s="29">
        <v>1.0</v>
      </c>
      <c r="P109" s="35"/>
    </row>
    <row r="110" ht="14.25" customHeight="1">
      <c r="A110" s="31" t="s">
        <v>231</v>
      </c>
      <c r="B110" s="32" t="s">
        <v>232</v>
      </c>
      <c r="C110" s="33" t="s">
        <v>14</v>
      </c>
      <c r="D110" s="34">
        <v>1.0</v>
      </c>
      <c r="E110" s="15">
        <v>1.0</v>
      </c>
      <c r="F110" s="15" t="s">
        <v>805</v>
      </c>
      <c r="G110" s="15" t="s">
        <v>805</v>
      </c>
      <c r="H110" s="15">
        <v>1.0</v>
      </c>
      <c r="I110" s="15">
        <v>1.0</v>
      </c>
      <c r="J110" s="15">
        <v>1.0</v>
      </c>
      <c r="K110" s="15">
        <v>1.0</v>
      </c>
      <c r="L110" s="29">
        <v>1.0</v>
      </c>
      <c r="M110" s="29">
        <v>1.0</v>
      </c>
      <c r="N110" s="29" t="s">
        <v>805</v>
      </c>
      <c r="O110" s="29">
        <v>1.0</v>
      </c>
      <c r="P110" s="35"/>
    </row>
    <row r="111" ht="14.25" customHeight="1">
      <c r="A111" s="31" t="s">
        <v>15</v>
      </c>
      <c r="B111" s="32" t="s">
        <v>16</v>
      </c>
      <c r="C111" s="33" t="s">
        <v>14</v>
      </c>
      <c r="D111" s="34">
        <v>1.0</v>
      </c>
      <c r="E111" s="15">
        <v>1.0</v>
      </c>
      <c r="F111" s="15" t="s">
        <v>805</v>
      </c>
      <c r="G111" s="15" t="s">
        <v>805</v>
      </c>
      <c r="H111" s="15">
        <v>1.0</v>
      </c>
      <c r="I111" s="15">
        <v>1.0</v>
      </c>
      <c r="J111" s="15">
        <v>1.0</v>
      </c>
      <c r="K111" s="15">
        <v>1.0</v>
      </c>
      <c r="L111" s="29" t="s">
        <v>805</v>
      </c>
      <c r="M111" s="29" t="s">
        <v>805</v>
      </c>
      <c r="N111" s="29" t="s">
        <v>805</v>
      </c>
      <c r="O111" s="29" t="s">
        <v>805</v>
      </c>
      <c r="P111" s="35"/>
    </row>
    <row r="112" ht="14.25" customHeight="1">
      <c r="A112" s="31" t="s">
        <v>502</v>
      </c>
      <c r="B112" s="32" t="s">
        <v>503</v>
      </c>
      <c r="C112" s="33" t="s">
        <v>14</v>
      </c>
      <c r="D112" s="34">
        <v>1.0</v>
      </c>
      <c r="E112" s="15">
        <v>1.0</v>
      </c>
      <c r="F112" s="15">
        <v>1.0</v>
      </c>
      <c r="G112" s="15" t="s">
        <v>805</v>
      </c>
      <c r="H112" s="15">
        <v>1.0</v>
      </c>
      <c r="I112" s="15">
        <v>1.0</v>
      </c>
      <c r="J112" s="15">
        <v>1.0</v>
      </c>
      <c r="K112" s="15">
        <v>1.0</v>
      </c>
      <c r="L112" s="29">
        <v>1.0</v>
      </c>
      <c r="M112" s="29" t="s">
        <v>805</v>
      </c>
      <c r="N112" s="29" t="s">
        <v>805</v>
      </c>
      <c r="O112" s="29">
        <v>1.0</v>
      </c>
      <c r="P112" s="35"/>
    </row>
    <row r="113" ht="14.25" customHeight="1">
      <c r="A113" s="31" t="s">
        <v>832</v>
      </c>
      <c r="B113" s="32" t="s">
        <v>833</v>
      </c>
      <c r="C113" s="33" t="s">
        <v>14</v>
      </c>
      <c r="D113" s="34">
        <v>1.0</v>
      </c>
      <c r="E113" s="15">
        <v>1.0</v>
      </c>
      <c r="F113" s="15" t="s">
        <v>805</v>
      </c>
      <c r="G113" s="15" t="s">
        <v>805</v>
      </c>
      <c r="H113" s="15">
        <v>1.0</v>
      </c>
      <c r="I113" s="15">
        <v>1.0</v>
      </c>
      <c r="J113" s="15">
        <v>1.0</v>
      </c>
      <c r="K113" s="15" t="s">
        <v>805</v>
      </c>
      <c r="L113" s="29">
        <v>1.0</v>
      </c>
      <c r="M113" s="29" t="s">
        <v>805</v>
      </c>
      <c r="N113" s="29" t="s">
        <v>805</v>
      </c>
      <c r="O113" s="29">
        <v>1.0</v>
      </c>
      <c r="P113" s="35"/>
    </row>
    <row r="114" ht="14.25" customHeight="1">
      <c r="A114" s="31" t="s">
        <v>777</v>
      </c>
      <c r="B114" s="32" t="s">
        <v>834</v>
      </c>
      <c r="C114" s="33" t="s">
        <v>14</v>
      </c>
      <c r="D114" s="34" t="s">
        <v>805</v>
      </c>
      <c r="E114" s="15" t="s">
        <v>805</v>
      </c>
      <c r="F114" s="15" t="s">
        <v>805</v>
      </c>
      <c r="G114" s="15" t="s">
        <v>805</v>
      </c>
      <c r="H114" s="15" t="s">
        <v>805</v>
      </c>
      <c r="I114" s="15" t="s">
        <v>805</v>
      </c>
      <c r="J114" s="36" t="s">
        <v>805</v>
      </c>
      <c r="K114" s="15" t="s">
        <v>805</v>
      </c>
      <c r="L114" s="29" t="s">
        <v>805</v>
      </c>
      <c r="M114" s="29" t="s">
        <v>805</v>
      </c>
      <c r="N114" s="29" t="s">
        <v>805</v>
      </c>
      <c r="O114" s="29" t="s">
        <v>805</v>
      </c>
      <c r="P114" s="35"/>
    </row>
    <row r="115" ht="14.25" customHeight="1">
      <c r="A115" s="31" t="s">
        <v>538</v>
      </c>
      <c r="B115" s="32" t="s">
        <v>539</v>
      </c>
      <c r="C115" s="33" t="s">
        <v>388</v>
      </c>
      <c r="D115" s="34">
        <v>1.0</v>
      </c>
      <c r="E115" s="15">
        <v>1.0</v>
      </c>
      <c r="F115" s="15" t="s">
        <v>805</v>
      </c>
      <c r="G115" s="15" t="s">
        <v>805</v>
      </c>
      <c r="H115" s="15">
        <v>1.0</v>
      </c>
      <c r="I115" s="15">
        <v>1.0</v>
      </c>
      <c r="J115" s="15">
        <v>1.0</v>
      </c>
      <c r="K115" s="15">
        <v>1.0</v>
      </c>
      <c r="L115" s="29">
        <v>1.0</v>
      </c>
      <c r="M115" s="29" t="s">
        <v>805</v>
      </c>
      <c r="N115" s="29" t="s">
        <v>805</v>
      </c>
      <c r="O115" s="29">
        <v>1.0</v>
      </c>
      <c r="P115" s="35"/>
    </row>
    <row r="116" ht="14.25" customHeight="1">
      <c r="A116" s="31" t="s">
        <v>398</v>
      </c>
      <c r="B116" s="32" t="s">
        <v>399</v>
      </c>
      <c r="C116" s="33" t="s">
        <v>388</v>
      </c>
      <c r="D116" s="34">
        <v>1.0</v>
      </c>
      <c r="E116" s="15">
        <v>1.0</v>
      </c>
      <c r="F116" s="15">
        <v>1.0</v>
      </c>
      <c r="G116" s="15" t="s">
        <v>805</v>
      </c>
      <c r="H116" s="15">
        <v>1.0</v>
      </c>
      <c r="I116" s="15">
        <v>1.0</v>
      </c>
      <c r="J116" s="15">
        <v>1.0</v>
      </c>
      <c r="K116" s="15">
        <v>1.0</v>
      </c>
      <c r="L116" s="29">
        <v>1.0</v>
      </c>
      <c r="M116" s="29" t="s">
        <v>805</v>
      </c>
      <c r="N116" s="29" t="s">
        <v>805</v>
      </c>
      <c r="O116" s="29" t="s">
        <v>805</v>
      </c>
      <c r="P116" s="35"/>
    </row>
    <row r="117" ht="14.25" customHeight="1">
      <c r="A117" s="31" t="s">
        <v>389</v>
      </c>
      <c r="B117" s="32" t="s">
        <v>390</v>
      </c>
      <c r="C117" s="33" t="s">
        <v>388</v>
      </c>
      <c r="D117" s="34">
        <v>1.0</v>
      </c>
      <c r="E117" s="15">
        <v>1.0</v>
      </c>
      <c r="F117" s="15">
        <v>1.0</v>
      </c>
      <c r="G117" s="15" t="s">
        <v>805</v>
      </c>
      <c r="H117" s="15">
        <v>1.0</v>
      </c>
      <c r="I117" s="15">
        <v>1.0</v>
      </c>
      <c r="J117" s="15">
        <v>1.0</v>
      </c>
      <c r="K117" s="15" t="s">
        <v>805</v>
      </c>
      <c r="L117" s="29">
        <v>1.0</v>
      </c>
      <c r="M117" s="29" t="s">
        <v>805</v>
      </c>
      <c r="N117" s="29" t="s">
        <v>805</v>
      </c>
      <c r="O117" s="29">
        <v>1.0</v>
      </c>
      <c r="P117" s="35"/>
    </row>
    <row r="118" ht="14.25" customHeight="1">
      <c r="A118" s="31" t="s">
        <v>835</v>
      </c>
      <c r="B118" s="32" t="s">
        <v>836</v>
      </c>
      <c r="C118" s="33" t="s">
        <v>388</v>
      </c>
      <c r="D118" s="34" t="s">
        <v>805</v>
      </c>
      <c r="E118" s="15" t="s">
        <v>805</v>
      </c>
      <c r="F118" s="15" t="s">
        <v>805</v>
      </c>
      <c r="G118" s="15" t="s">
        <v>805</v>
      </c>
      <c r="H118" s="15" t="s">
        <v>805</v>
      </c>
      <c r="I118" s="15" t="s">
        <v>805</v>
      </c>
      <c r="J118" s="15" t="s">
        <v>805</v>
      </c>
      <c r="K118" s="15" t="s">
        <v>805</v>
      </c>
      <c r="L118" s="29">
        <v>1.0</v>
      </c>
      <c r="M118" s="29">
        <v>1.0</v>
      </c>
      <c r="N118" s="29">
        <v>1.0</v>
      </c>
      <c r="O118" s="29">
        <v>1.0</v>
      </c>
      <c r="P118" s="35"/>
    </row>
    <row r="119" ht="14.25" customHeight="1">
      <c r="A119" s="31" t="s">
        <v>837</v>
      </c>
      <c r="B119" s="32" t="s">
        <v>838</v>
      </c>
      <c r="C119" s="33" t="s">
        <v>388</v>
      </c>
      <c r="D119" s="34">
        <v>1.0</v>
      </c>
      <c r="E119" s="15">
        <v>1.0</v>
      </c>
      <c r="F119" s="15">
        <v>1.0</v>
      </c>
      <c r="G119" s="15" t="s">
        <v>805</v>
      </c>
      <c r="H119" s="15">
        <v>1.0</v>
      </c>
      <c r="I119" s="15">
        <v>1.0</v>
      </c>
      <c r="J119" s="15">
        <v>1.0</v>
      </c>
      <c r="K119" s="15">
        <v>1.0</v>
      </c>
      <c r="L119" s="29">
        <v>1.0</v>
      </c>
      <c r="M119" s="29" t="s">
        <v>805</v>
      </c>
      <c r="N119" s="29" t="s">
        <v>805</v>
      </c>
      <c r="O119" s="29">
        <v>1.0</v>
      </c>
      <c r="P119" s="35"/>
    </row>
    <row r="120" ht="14.25" customHeight="1">
      <c r="A120" s="31" t="s">
        <v>675</v>
      </c>
      <c r="B120" s="32" t="s">
        <v>676</v>
      </c>
      <c r="C120" s="33" t="s">
        <v>388</v>
      </c>
      <c r="D120" s="34" t="s">
        <v>805</v>
      </c>
      <c r="E120" s="15" t="s">
        <v>805</v>
      </c>
      <c r="F120" s="15" t="s">
        <v>805</v>
      </c>
      <c r="G120" s="15" t="s">
        <v>805</v>
      </c>
      <c r="H120" s="15" t="s">
        <v>805</v>
      </c>
      <c r="I120" s="15">
        <v>1.0</v>
      </c>
      <c r="J120" s="15">
        <v>1.0</v>
      </c>
      <c r="K120" s="15" t="s">
        <v>805</v>
      </c>
      <c r="L120" s="29" t="s">
        <v>805</v>
      </c>
      <c r="M120" s="29" t="s">
        <v>805</v>
      </c>
      <c r="N120" s="29" t="s">
        <v>805</v>
      </c>
      <c r="O120" s="29" t="s">
        <v>805</v>
      </c>
      <c r="P120" s="35"/>
    </row>
    <row r="121" ht="14.25" customHeight="1">
      <c r="A121" s="31" t="s">
        <v>699</v>
      </c>
      <c r="B121" s="32" t="s">
        <v>700</v>
      </c>
      <c r="C121" s="33" t="s">
        <v>388</v>
      </c>
      <c r="D121" s="34">
        <v>1.0</v>
      </c>
      <c r="E121" s="15">
        <v>1.0</v>
      </c>
      <c r="F121" s="15">
        <v>1.0</v>
      </c>
      <c r="G121" s="15" t="s">
        <v>805</v>
      </c>
      <c r="H121" s="15">
        <v>1.0</v>
      </c>
      <c r="I121" s="15">
        <v>1.0</v>
      </c>
      <c r="J121" s="15">
        <v>1.0</v>
      </c>
      <c r="K121" s="15">
        <v>1.0</v>
      </c>
      <c r="L121" s="29" t="s">
        <v>805</v>
      </c>
      <c r="M121" s="29" t="s">
        <v>805</v>
      </c>
      <c r="N121" s="29" t="s">
        <v>805</v>
      </c>
      <c r="O121" s="29" t="s">
        <v>805</v>
      </c>
      <c r="P121" s="35"/>
    </row>
    <row r="122" ht="14.25" customHeight="1">
      <c r="A122" s="31" t="s">
        <v>677</v>
      </c>
      <c r="B122" s="32" t="s">
        <v>678</v>
      </c>
      <c r="C122" s="33" t="s">
        <v>388</v>
      </c>
      <c r="D122" s="34">
        <v>1.0</v>
      </c>
      <c r="E122" s="15">
        <v>1.0</v>
      </c>
      <c r="F122" s="15">
        <v>1.0</v>
      </c>
      <c r="G122" s="15" t="s">
        <v>805</v>
      </c>
      <c r="H122" s="15">
        <v>1.0</v>
      </c>
      <c r="I122" s="15">
        <v>1.0</v>
      </c>
      <c r="J122" s="15">
        <v>1.0</v>
      </c>
      <c r="K122" s="15">
        <v>1.0</v>
      </c>
      <c r="L122" s="29">
        <v>1.0</v>
      </c>
      <c r="M122" s="29" t="s">
        <v>805</v>
      </c>
      <c r="N122" s="29" t="s">
        <v>805</v>
      </c>
      <c r="O122" s="29">
        <v>1.0</v>
      </c>
      <c r="P122" s="35"/>
    </row>
    <row r="123" ht="14.25" customHeight="1">
      <c r="A123" s="31" t="s">
        <v>60</v>
      </c>
      <c r="B123" s="32" t="s">
        <v>61</v>
      </c>
      <c r="C123" s="33" t="s">
        <v>17</v>
      </c>
      <c r="D123" s="34">
        <v>1.0</v>
      </c>
      <c r="E123" s="15">
        <v>1.0</v>
      </c>
      <c r="F123" s="15" t="s">
        <v>805</v>
      </c>
      <c r="G123" s="15" t="s">
        <v>805</v>
      </c>
      <c r="H123" s="15">
        <v>1.0</v>
      </c>
      <c r="I123" s="15">
        <v>1.0</v>
      </c>
      <c r="J123" s="15">
        <v>1.0</v>
      </c>
      <c r="K123" s="15" t="s">
        <v>805</v>
      </c>
      <c r="L123" s="29">
        <v>1.0</v>
      </c>
      <c r="M123" s="29" t="s">
        <v>805</v>
      </c>
      <c r="N123" s="29" t="s">
        <v>805</v>
      </c>
      <c r="O123" s="29">
        <v>1.0</v>
      </c>
      <c r="P123" s="35"/>
    </row>
    <row r="124" ht="14.25" customHeight="1">
      <c r="A124" s="31" t="s">
        <v>225</v>
      </c>
      <c r="B124" s="32" t="s">
        <v>226</v>
      </c>
      <c r="C124" s="33" t="s">
        <v>17</v>
      </c>
      <c r="D124" s="34">
        <v>1.0</v>
      </c>
      <c r="E124" s="15">
        <v>1.0</v>
      </c>
      <c r="F124" s="15">
        <v>1.0</v>
      </c>
      <c r="G124" s="15" t="s">
        <v>805</v>
      </c>
      <c r="H124" s="15">
        <v>1.0</v>
      </c>
      <c r="I124" s="15">
        <v>1.0</v>
      </c>
      <c r="J124" s="15">
        <v>1.0</v>
      </c>
      <c r="K124" s="15" t="s">
        <v>805</v>
      </c>
      <c r="L124" s="29" t="s">
        <v>805</v>
      </c>
      <c r="M124" s="29" t="s">
        <v>805</v>
      </c>
      <c r="N124" s="29" t="s">
        <v>805</v>
      </c>
      <c r="O124" s="29">
        <v>1.0</v>
      </c>
      <c r="P124" s="35"/>
    </row>
    <row r="125" ht="14.25" customHeight="1">
      <c r="A125" s="31" t="s">
        <v>18</v>
      </c>
      <c r="B125" s="32" t="s">
        <v>19</v>
      </c>
      <c r="C125" s="33" t="s">
        <v>17</v>
      </c>
      <c r="D125" s="34">
        <v>1.0</v>
      </c>
      <c r="E125" s="15">
        <v>1.0</v>
      </c>
      <c r="F125" s="15" t="s">
        <v>805</v>
      </c>
      <c r="G125" s="15" t="s">
        <v>805</v>
      </c>
      <c r="H125" s="15">
        <v>1.0</v>
      </c>
      <c r="I125" s="15">
        <v>1.0</v>
      </c>
      <c r="J125" s="15">
        <v>1.0</v>
      </c>
      <c r="K125" s="15">
        <v>1.0</v>
      </c>
      <c r="L125" s="29">
        <v>1.0</v>
      </c>
      <c r="M125" s="29" t="s">
        <v>805</v>
      </c>
      <c r="N125" s="29" t="s">
        <v>805</v>
      </c>
      <c r="O125" s="29">
        <v>1.0</v>
      </c>
      <c r="P125" s="35"/>
    </row>
    <row r="126" ht="14.25" customHeight="1">
      <c r="A126" s="31" t="s">
        <v>590</v>
      </c>
      <c r="B126" s="32" t="s">
        <v>591</v>
      </c>
      <c r="C126" s="33" t="s">
        <v>17</v>
      </c>
      <c r="D126" s="34">
        <v>1.0</v>
      </c>
      <c r="E126" s="15">
        <v>1.0</v>
      </c>
      <c r="F126" s="15">
        <v>1.0</v>
      </c>
      <c r="G126" s="15" t="s">
        <v>805</v>
      </c>
      <c r="H126" s="15">
        <v>1.0</v>
      </c>
      <c r="I126" s="15">
        <v>1.0</v>
      </c>
      <c r="J126" s="15">
        <v>1.0</v>
      </c>
      <c r="K126" s="15">
        <v>1.0</v>
      </c>
      <c r="L126" s="29" t="s">
        <v>805</v>
      </c>
      <c r="M126" s="29" t="s">
        <v>805</v>
      </c>
      <c r="N126" s="29" t="s">
        <v>805</v>
      </c>
      <c r="O126" s="29" t="s">
        <v>805</v>
      </c>
      <c r="P126" s="35"/>
    </row>
    <row r="127" ht="14.25" customHeight="1">
      <c r="A127" s="31" t="s">
        <v>96</v>
      </c>
      <c r="B127" s="32" t="s">
        <v>97</v>
      </c>
      <c r="C127" s="33" t="s">
        <v>17</v>
      </c>
      <c r="D127" s="34">
        <v>1.0</v>
      </c>
      <c r="E127" s="15">
        <v>1.0</v>
      </c>
      <c r="F127" s="15">
        <v>1.0</v>
      </c>
      <c r="G127" s="15" t="s">
        <v>805</v>
      </c>
      <c r="H127" s="15">
        <v>1.0</v>
      </c>
      <c r="I127" s="15">
        <v>1.0</v>
      </c>
      <c r="J127" s="15">
        <v>1.0</v>
      </c>
      <c r="K127" s="15" t="s">
        <v>805</v>
      </c>
      <c r="L127" s="29">
        <v>1.0</v>
      </c>
      <c r="M127" s="29" t="s">
        <v>805</v>
      </c>
      <c r="N127" s="29" t="s">
        <v>805</v>
      </c>
      <c r="O127" s="29">
        <v>1.0</v>
      </c>
      <c r="P127" s="35"/>
    </row>
    <row r="128" ht="14.25" customHeight="1">
      <c r="A128" s="31" t="s">
        <v>508</v>
      </c>
      <c r="B128" s="32" t="s">
        <v>509</v>
      </c>
      <c r="C128" s="33" t="s">
        <v>17</v>
      </c>
      <c r="D128" s="34">
        <v>1.0</v>
      </c>
      <c r="E128" s="15">
        <v>1.0</v>
      </c>
      <c r="F128" s="15">
        <v>1.0</v>
      </c>
      <c r="G128" s="15" t="s">
        <v>805</v>
      </c>
      <c r="H128" s="15">
        <v>1.0</v>
      </c>
      <c r="I128" s="15">
        <v>1.0</v>
      </c>
      <c r="J128" s="15">
        <v>1.0</v>
      </c>
      <c r="K128" s="15" t="s">
        <v>805</v>
      </c>
      <c r="L128" s="29">
        <v>1.0</v>
      </c>
      <c r="M128" s="29" t="s">
        <v>805</v>
      </c>
      <c r="N128" s="29" t="s">
        <v>805</v>
      </c>
      <c r="O128" s="29">
        <v>1.0</v>
      </c>
      <c r="P128" s="35"/>
    </row>
    <row r="129" ht="14.25" customHeight="1">
      <c r="A129" s="31" t="s">
        <v>536</v>
      </c>
      <c r="B129" s="32" t="s">
        <v>537</v>
      </c>
      <c r="C129" s="33" t="s">
        <v>17</v>
      </c>
      <c r="D129" s="34" t="s">
        <v>805</v>
      </c>
      <c r="E129" s="15" t="s">
        <v>805</v>
      </c>
      <c r="F129" s="15" t="s">
        <v>805</v>
      </c>
      <c r="G129" s="15" t="s">
        <v>805</v>
      </c>
      <c r="H129" s="15" t="s">
        <v>805</v>
      </c>
      <c r="I129" s="15">
        <v>1.0</v>
      </c>
      <c r="J129" s="15">
        <v>1.0</v>
      </c>
      <c r="K129" s="15" t="s">
        <v>805</v>
      </c>
      <c r="L129" s="29">
        <v>1.0</v>
      </c>
      <c r="M129" s="29" t="s">
        <v>805</v>
      </c>
      <c r="N129" s="29" t="s">
        <v>805</v>
      </c>
      <c r="O129" s="29" t="s">
        <v>805</v>
      </c>
      <c r="P129" s="35"/>
    </row>
    <row r="130" ht="14.25" customHeight="1">
      <c r="A130" s="31" t="s">
        <v>234</v>
      </c>
      <c r="B130" s="32" t="s">
        <v>235</v>
      </c>
      <c r="C130" s="33" t="s">
        <v>17</v>
      </c>
      <c r="D130" s="34">
        <v>1.0</v>
      </c>
      <c r="E130" s="15">
        <v>1.0</v>
      </c>
      <c r="F130" s="15">
        <v>1.0</v>
      </c>
      <c r="G130" s="15">
        <v>1.0</v>
      </c>
      <c r="H130" s="15">
        <v>1.0</v>
      </c>
      <c r="I130" s="15">
        <v>1.0</v>
      </c>
      <c r="J130" s="15">
        <v>1.0</v>
      </c>
      <c r="K130" s="15" t="s">
        <v>805</v>
      </c>
      <c r="L130" s="29" t="s">
        <v>805</v>
      </c>
      <c r="M130" s="29" t="s">
        <v>805</v>
      </c>
      <c r="N130" s="29" t="s">
        <v>805</v>
      </c>
      <c r="O130" s="29" t="s">
        <v>805</v>
      </c>
      <c r="P130" s="35"/>
    </row>
    <row r="131" ht="14.25" customHeight="1">
      <c r="A131" s="31" t="s">
        <v>516</v>
      </c>
      <c r="B131" s="32" t="s">
        <v>517</v>
      </c>
      <c r="C131" s="33" t="s">
        <v>17</v>
      </c>
      <c r="D131" s="34">
        <v>1.0</v>
      </c>
      <c r="E131" s="15">
        <v>1.0</v>
      </c>
      <c r="F131" s="15">
        <v>1.0</v>
      </c>
      <c r="G131" s="15">
        <v>1.0</v>
      </c>
      <c r="H131" s="15">
        <v>1.0</v>
      </c>
      <c r="I131" s="15">
        <v>1.0</v>
      </c>
      <c r="J131" s="15">
        <v>1.0</v>
      </c>
      <c r="K131" s="15">
        <v>1.0</v>
      </c>
      <c r="L131" s="29" t="s">
        <v>805</v>
      </c>
      <c r="M131" s="29" t="s">
        <v>805</v>
      </c>
      <c r="N131" s="29" t="s">
        <v>805</v>
      </c>
      <c r="O131" s="29" t="s">
        <v>805</v>
      </c>
      <c r="P131" s="35"/>
    </row>
    <row r="132" ht="14.25" customHeight="1">
      <c r="A132" s="31" t="s">
        <v>58</v>
      </c>
      <c r="B132" s="32" t="s">
        <v>59</v>
      </c>
      <c r="C132" s="33" t="s">
        <v>17</v>
      </c>
      <c r="D132" s="34">
        <v>1.0</v>
      </c>
      <c r="E132" s="15">
        <v>1.0</v>
      </c>
      <c r="F132" s="15">
        <v>1.0</v>
      </c>
      <c r="G132" s="15" t="s">
        <v>805</v>
      </c>
      <c r="H132" s="15">
        <v>1.0</v>
      </c>
      <c r="I132" s="15">
        <v>1.0</v>
      </c>
      <c r="J132" s="15">
        <v>1.0</v>
      </c>
      <c r="K132" s="15">
        <v>1.0</v>
      </c>
      <c r="L132" s="29">
        <v>1.0</v>
      </c>
      <c r="M132" s="29" t="s">
        <v>805</v>
      </c>
      <c r="N132" s="29" t="s">
        <v>805</v>
      </c>
      <c r="O132" s="29" t="s">
        <v>805</v>
      </c>
      <c r="P132" s="35"/>
    </row>
    <row r="133" ht="14.25" customHeight="1">
      <c r="A133" s="31" t="s">
        <v>743</v>
      </c>
      <c r="B133" s="32" t="s">
        <v>839</v>
      </c>
      <c r="C133" s="33" t="s">
        <v>17</v>
      </c>
      <c r="D133" s="34" t="s">
        <v>805</v>
      </c>
      <c r="E133" s="15" t="s">
        <v>805</v>
      </c>
      <c r="F133" s="15" t="s">
        <v>805</v>
      </c>
      <c r="G133" s="15" t="s">
        <v>805</v>
      </c>
      <c r="H133" s="15" t="s">
        <v>805</v>
      </c>
      <c r="I133" s="15" t="s">
        <v>805</v>
      </c>
      <c r="J133" s="15" t="s">
        <v>805</v>
      </c>
      <c r="K133" s="15" t="s">
        <v>805</v>
      </c>
      <c r="L133" s="29">
        <v>1.0</v>
      </c>
      <c r="M133" s="29">
        <v>1.0</v>
      </c>
      <c r="N133" s="29">
        <v>1.0</v>
      </c>
      <c r="O133" s="29">
        <v>1.0</v>
      </c>
      <c r="P133" s="35"/>
    </row>
    <row r="134" ht="14.25" customHeight="1">
      <c r="A134" s="31" t="s">
        <v>66</v>
      </c>
      <c r="B134" s="32" t="s">
        <v>67</v>
      </c>
      <c r="C134" s="33" t="s">
        <v>65</v>
      </c>
      <c r="D134" s="34">
        <v>1.0</v>
      </c>
      <c r="E134" s="15">
        <v>1.0</v>
      </c>
      <c r="F134" s="15" t="s">
        <v>805</v>
      </c>
      <c r="G134" s="15" t="s">
        <v>805</v>
      </c>
      <c r="H134" s="15">
        <v>1.0</v>
      </c>
      <c r="I134" s="15">
        <v>1.0</v>
      </c>
      <c r="J134" s="15">
        <v>1.0</v>
      </c>
      <c r="K134" s="15">
        <v>1.0</v>
      </c>
      <c r="L134" s="29" t="s">
        <v>805</v>
      </c>
      <c r="M134" s="29" t="s">
        <v>805</v>
      </c>
      <c r="N134" s="29" t="s">
        <v>805</v>
      </c>
      <c r="O134" s="29" t="s">
        <v>805</v>
      </c>
      <c r="P134" s="35"/>
    </row>
    <row r="135" ht="14.25" customHeight="1">
      <c r="A135" s="31" t="s">
        <v>304</v>
      </c>
      <c r="B135" s="37" t="s">
        <v>305</v>
      </c>
      <c r="C135" s="33" t="s">
        <v>65</v>
      </c>
      <c r="D135" s="34">
        <v>1.0</v>
      </c>
      <c r="E135" s="15">
        <v>1.0</v>
      </c>
      <c r="F135" s="15">
        <v>1.0</v>
      </c>
      <c r="G135" s="15" t="s">
        <v>805</v>
      </c>
      <c r="H135" s="15">
        <v>1.0</v>
      </c>
      <c r="I135" s="15">
        <v>1.0</v>
      </c>
      <c r="J135" s="15">
        <v>1.0</v>
      </c>
      <c r="K135" s="15">
        <v>1.0</v>
      </c>
      <c r="L135" s="29">
        <v>1.0</v>
      </c>
      <c r="M135" s="29" t="s">
        <v>805</v>
      </c>
      <c r="N135" s="29">
        <v>1.0</v>
      </c>
      <c r="O135" s="29">
        <v>1.0</v>
      </c>
      <c r="P135" s="35"/>
    </row>
    <row r="136" ht="14.25" customHeight="1">
      <c r="A136" s="31" t="s">
        <v>115</v>
      </c>
      <c r="B136" s="32" t="s">
        <v>116</v>
      </c>
      <c r="C136" s="33" t="s">
        <v>65</v>
      </c>
      <c r="D136" s="34">
        <v>1.0</v>
      </c>
      <c r="E136" s="15">
        <v>1.0</v>
      </c>
      <c r="F136" s="15">
        <v>1.0</v>
      </c>
      <c r="G136" s="15" t="s">
        <v>805</v>
      </c>
      <c r="H136" s="15">
        <v>1.0</v>
      </c>
      <c r="I136" s="15">
        <v>1.0</v>
      </c>
      <c r="J136" s="15">
        <v>1.0</v>
      </c>
      <c r="K136" s="15">
        <v>1.0</v>
      </c>
      <c r="L136" s="29">
        <v>1.0</v>
      </c>
      <c r="M136" s="29" t="s">
        <v>805</v>
      </c>
      <c r="N136" s="29" t="s">
        <v>805</v>
      </c>
      <c r="O136" s="29" t="s">
        <v>805</v>
      </c>
      <c r="P136" s="35"/>
    </row>
    <row r="137" ht="14.25" customHeight="1">
      <c r="A137" s="31" t="s">
        <v>308</v>
      </c>
      <c r="B137" s="32" t="s">
        <v>309</v>
      </c>
      <c r="C137" s="33" t="s">
        <v>65</v>
      </c>
      <c r="D137" s="34">
        <v>1.0</v>
      </c>
      <c r="E137" s="15">
        <v>1.0</v>
      </c>
      <c r="F137" s="15">
        <v>1.0</v>
      </c>
      <c r="G137" s="15">
        <v>1.0</v>
      </c>
      <c r="H137" s="15">
        <v>1.0</v>
      </c>
      <c r="I137" s="15">
        <v>1.0</v>
      </c>
      <c r="J137" s="15">
        <v>1.0</v>
      </c>
      <c r="K137" s="15">
        <v>1.0</v>
      </c>
      <c r="L137" s="29">
        <v>1.0</v>
      </c>
      <c r="M137" s="29" t="s">
        <v>805</v>
      </c>
      <c r="N137" s="29" t="s">
        <v>805</v>
      </c>
      <c r="O137" s="29">
        <v>1.0</v>
      </c>
      <c r="P137" s="35"/>
    </row>
    <row r="138" ht="14.25" customHeight="1">
      <c r="A138" s="31" t="s">
        <v>146</v>
      </c>
      <c r="B138" s="32" t="s">
        <v>147</v>
      </c>
      <c r="C138" s="33" t="s">
        <v>132</v>
      </c>
      <c r="D138" s="34">
        <v>1.0</v>
      </c>
      <c r="E138" s="15">
        <v>1.0</v>
      </c>
      <c r="F138" s="15">
        <v>1.0</v>
      </c>
      <c r="G138" s="15" t="s">
        <v>805</v>
      </c>
      <c r="H138" s="15">
        <v>1.0</v>
      </c>
      <c r="I138" s="15">
        <v>1.0</v>
      </c>
      <c r="J138" s="15">
        <v>1.0</v>
      </c>
      <c r="K138" s="15">
        <v>1.0</v>
      </c>
      <c r="L138" s="29">
        <v>1.0</v>
      </c>
      <c r="M138" s="29" t="s">
        <v>805</v>
      </c>
      <c r="N138" s="29" t="s">
        <v>805</v>
      </c>
      <c r="O138" s="29">
        <v>1.0</v>
      </c>
      <c r="P138" s="35"/>
    </row>
    <row r="139" ht="14.25" customHeight="1">
      <c r="A139" s="31" t="s">
        <v>267</v>
      </c>
      <c r="B139" s="32" t="s">
        <v>268</v>
      </c>
      <c r="C139" s="33" t="s">
        <v>132</v>
      </c>
      <c r="D139" s="34">
        <v>1.0</v>
      </c>
      <c r="E139" s="15">
        <v>1.0</v>
      </c>
      <c r="F139" s="15">
        <v>1.0</v>
      </c>
      <c r="G139" s="15" t="s">
        <v>805</v>
      </c>
      <c r="H139" s="15">
        <v>1.0</v>
      </c>
      <c r="I139" s="15">
        <v>1.0</v>
      </c>
      <c r="J139" s="15">
        <v>1.0</v>
      </c>
      <c r="K139" s="15">
        <v>1.0</v>
      </c>
      <c r="L139" s="29">
        <v>1.0</v>
      </c>
      <c r="M139" s="29" t="s">
        <v>805</v>
      </c>
      <c r="N139" s="29" t="s">
        <v>805</v>
      </c>
      <c r="O139" s="29">
        <v>1.0</v>
      </c>
      <c r="P139" s="35"/>
    </row>
    <row r="140" ht="14.25" customHeight="1">
      <c r="A140" s="31" t="s">
        <v>723</v>
      </c>
      <c r="B140" s="32" t="s">
        <v>724</v>
      </c>
      <c r="C140" s="33" t="s">
        <v>132</v>
      </c>
      <c r="D140" s="34" t="s">
        <v>805</v>
      </c>
      <c r="E140" s="15" t="s">
        <v>805</v>
      </c>
      <c r="F140" s="15" t="s">
        <v>805</v>
      </c>
      <c r="G140" s="15" t="s">
        <v>805</v>
      </c>
      <c r="H140" s="15" t="s">
        <v>805</v>
      </c>
      <c r="I140" s="15" t="s">
        <v>805</v>
      </c>
      <c r="J140" s="15" t="s">
        <v>805</v>
      </c>
      <c r="K140" s="15" t="s">
        <v>805</v>
      </c>
      <c r="L140" s="29" t="s">
        <v>805</v>
      </c>
      <c r="M140" s="29" t="s">
        <v>805</v>
      </c>
      <c r="N140" s="29" t="s">
        <v>805</v>
      </c>
      <c r="O140" s="29" t="s">
        <v>805</v>
      </c>
      <c r="P140" s="35"/>
    </row>
    <row r="141" ht="14.25" customHeight="1">
      <c r="A141" s="31" t="s">
        <v>186</v>
      </c>
      <c r="B141" s="32" t="s">
        <v>187</v>
      </c>
      <c r="C141" s="33" t="s">
        <v>132</v>
      </c>
      <c r="D141" s="34">
        <v>1.0</v>
      </c>
      <c r="E141" s="15">
        <v>1.0</v>
      </c>
      <c r="F141" s="15" t="s">
        <v>805</v>
      </c>
      <c r="G141" s="15" t="s">
        <v>805</v>
      </c>
      <c r="H141" s="15">
        <v>1.0</v>
      </c>
      <c r="I141" s="15">
        <v>1.0</v>
      </c>
      <c r="J141" s="15">
        <v>1.0</v>
      </c>
      <c r="K141" s="15">
        <v>1.0</v>
      </c>
      <c r="L141" s="29">
        <v>1.0</v>
      </c>
      <c r="M141" s="29" t="s">
        <v>805</v>
      </c>
      <c r="N141" s="29" t="s">
        <v>805</v>
      </c>
      <c r="O141" s="29">
        <v>1.0</v>
      </c>
      <c r="P141" s="35"/>
    </row>
    <row r="142" ht="14.25" customHeight="1">
      <c r="A142" s="31" t="s">
        <v>592</v>
      </c>
      <c r="B142" s="32" t="s">
        <v>593</v>
      </c>
      <c r="C142" s="33" t="s">
        <v>132</v>
      </c>
      <c r="D142" s="34">
        <v>1.0</v>
      </c>
      <c r="E142" s="15">
        <v>1.0</v>
      </c>
      <c r="F142" s="15" t="s">
        <v>805</v>
      </c>
      <c r="G142" s="15" t="s">
        <v>805</v>
      </c>
      <c r="H142" s="15">
        <v>1.0</v>
      </c>
      <c r="I142" s="15">
        <v>1.0</v>
      </c>
      <c r="J142" s="15">
        <v>1.0</v>
      </c>
      <c r="K142" s="15">
        <v>1.0</v>
      </c>
      <c r="L142" s="29" t="s">
        <v>805</v>
      </c>
      <c r="M142" s="29" t="s">
        <v>805</v>
      </c>
      <c r="N142" s="29" t="s">
        <v>805</v>
      </c>
      <c r="O142" s="29" t="s">
        <v>805</v>
      </c>
      <c r="P142" s="35"/>
    </row>
    <row r="143" ht="14.25" customHeight="1">
      <c r="A143" s="31" t="s">
        <v>312</v>
      </c>
      <c r="B143" s="32" t="s">
        <v>313</v>
      </c>
      <c r="C143" s="33" t="s">
        <v>132</v>
      </c>
      <c r="D143" s="34">
        <v>1.0</v>
      </c>
      <c r="E143" s="15">
        <v>1.0</v>
      </c>
      <c r="F143" s="15">
        <v>1.0</v>
      </c>
      <c r="G143" s="15" t="s">
        <v>805</v>
      </c>
      <c r="H143" s="15">
        <v>1.0</v>
      </c>
      <c r="I143" s="15">
        <v>1.0</v>
      </c>
      <c r="J143" s="15">
        <v>1.0</v>
      </c>
      <c r="K143" s="15">
        <v>1.0</v>
      </c>
      <c r="L143" s="29" t="s">
        <v>805</v>
      </c>
      <c r="M143" s="29" t="s">
        <v>805</v>
      </c>
      <c r="N143" s="29" t="s">
        <v>805</v>
      </c>
      <c r="O143" s="29" t="s">
        <v>805</v>
      </c>
      <c r="P143" s="35"/>
    </row>
    <row r="144" ht="14.25" customHeight="1">
      <c r="A144" s="31" t="s">
        <v>172</v>
      </c>
      <c r="B144" s="32" t="s">
        <v>173</v>
      </c>
      <c r="C144" s="33" t="s">
        <v>132</v>
      </c>
      <c r="D144" s="34">
        <v>1.0</v>
      </c>
      <c r="E144" s="15">
        <v>1.0</v>
      </c>
      <c r="F144" s="15" t="s">
        <v>805</v>
      </c>
      <c r="G144" s="15" t="s">
        <v>805</v>
      </c>
      <c r="H144" s="15">
        <v>1.0</v>
      </c>
      <c r="I144" s="15">
        <v>1.0</v>
      </c>
      <c r="J144" s="15">
        <v>1.0</v>
      </c>
      <c r="K144" s="15">
        <v>1.0</v>
      </c>
      <c r="L144" s="29">
        <v>1.0</v>
      </c>
      <c r="M144" s="29" t="s">
        <v>805</v>
      </c>
      <c r="N144" s="29" t="s">
        <v>805</v>
      </c>
      <c r="O144" s="29">
        <v>1.0</v>
      </c>
      <c r="P144" s="35"/>
    </row>
    <row r="145" ht="14.25" customHeight="1">
      <c r="A145" s="31" t="s">
        <v>306</v>
      </c>
      <c r="B145" s="32" t="s">
        <v>307</v>
      </c>
      <c r="C145" s="33" t="s">
        <v>132</v>
      </c>
      <c r="D145" s="34">
        <v>1.0</v>
      </c>
      <c r="E145" s="15">
        <v>1.0</v>
      </c>
      <c r="F145" s="15" t="s">
        <v>805</v>
      </c>
      <c r="G145" s="15" t="s">
        <v>805</v>
      </c>
      <c r="H145" s="15">
        <v>1.0</v>
      </c>
      <c r="I145" s="15">
        <v>1.0</v>
      </c>
      <c r="J145" s="15">
        <v>1.0</v>
      </c>
      <c r="K145" s="15">
        <v>1.0</v>
      </c>
      <c r="L145" s="29" t="s">
        <v>805</v>
      </c>
      <c r="M145" s="29" t="s">
        <v>805</v>
      </c>
      <c r="N145" s="29" t="s">
        <v>805</v>
      </c>
      <c r="O145" s="29" t="s">
        <v>805</v>
      </c>
      <c r="P145" s="35"/>
    </row>
    <row r="146" ht="14.25" customHeight="1">
      <c r="A146" s="31" t="s">
        <v>316</v>
      </c>
      <c r="B146" s="32" t="s">
        <v>317</v>
      </c>
      <c r="C146" s="33" t="s">
        <v>132</v>
      </c>
      <c r="D146" s="34" t="s">
        <v>805</v>
      </c>
      <c r="E146" s="15" t="s">
        <v>805</v>
      </c>
      <c r="F146" s="15" t="s">
        <v>805</v>
      </c>
      <c r="G146" s="15" t="s">
        <v>805</v>
      </c>
      <c r="H146" s="15" t="s">
        <v>805</v>
      </c>
      <c r="I146" s="15">
        <v>1.0</v>
      </c>
      <c r="J146" s="15">
        <v>1.0</v>
      </c>
      <c r="K146" s="15" t="s">
        <v>805</v>
      </c>
      <c r="L146" s="29" t="s">
        <v>805</v>
      </c>
      <c r="M146" s="29" t="s">
        <v>805</v>
      </c>
      <c r="N146" s="29" t="s">
        <v>805</v>
      </c>
      <c r="O146" s="29" t="s">
        <v>805</v>
      </c>
      <c r="P146" s="35"/>
    </row>
    <row r="147" ht="14.25" customHeight="1">
      <c r="A147" s="31" t="s">
        <v>542</v>
      </c>
      <c r="B147" s="32" t="s">
        <v>543</v>
      </c>
      <c r="C147" s="33" t="s">
        <v>55</v>
      </c>
      <c r="D147" s="34">
        <v>1.0</v>
      </c>
      <c r="E147" s="15">
        <v>1.0</v>
      </c>
      <c r="F147" s="15" t="s">
        <v>805</v>
      </c>
      <c r="G147" s="15" t="s">
        <v>805</v>
      </c>
      <c r="H147" s="15">
        <v>1.0</v>
      </c>
      <c r="I147" s="15">
        <v>1.0</v>
      </c>
      <c r="J147" s="15">
        <v>1.0</v>
      </c>
      <c r="K147" s="15" t="s">
        <v>805</v>
      </c>
      <c r="L147" s="29" t="s">
        <v>805</v>
      </c>
      <c r="M147" s="29" t="s">
        <v>805</v>
      </c>
      <c r="N147" s="29" t="s">
        <v>805</v>
      </c>
      <c r="O147" s="29" t="s">
        <v>805</v>
      </c>
      <c r="P147" s="35"/>
    </row>
    <row r="148" ht="14.25" customHeight="1">
      <c r="A148" s="31" t="s">
        <v>133</v>
      </c>
      <c r="B148" s="32" t="s">
        <v>134</v>
      </c>
      <c r="C148" s="33" t="s">
        <v>55</v>
      </c>
      <c r="D148" s="34">
        <v>1.0</v>
      </c>
      <c r="E148" s="15">
        <v>1.0</v>
      </c>
      <c r="F148" s="15">
        <v>1.0</v>
      </c>
      <c r="G148" s="15" t="s">
        <v>805</v>
      </c>
      <c r="H148" s="15">
        <v>1.0</v>
      </c>
      <c r="I148" s="15">
        <v>1.0</v>
      </c>
      <c r="J148" s="15">
        <v>1.0</v>
      </c>
      <c r="K148" s="15">
        <v>1.0</v>
      </c>
      <c r="L148" s="29" t="s">
        <v>805</v>
      </c>
      <c r="M148" s="29" t="s">
        <v>805</v>
      </c>
      <c r="N148" s="29" t="s">
        <v>805</v>
      </c>
      <c r="O148" s="29" t="s">
        <v>805</v>
      </c>
      <c r="P148" s="35"/>
    </row>
    <row r="149" ht="14.25" customHeight="1">
      <c r="A149" s="31" t="s">
        <v>552</v>
      </c>
      <c r="B149" s="32" t="s">
        <v>553</v>
      </c>
      <c r="C149" s="33" t="s">
        <v>45</v>
      </c>
      <c r="D149" s="34">
        <v>1.0</v>
      </c>
      <c r="E149" s="15">
        <v>1.0</v>
      </c>
      <c r="F149" s="15">
        <v>1.0</v>
      </c>
      <c r="G149" s="15" t="s">
        <v>805</v>
      </c>
      <c r="H149" s="15">
        <v>1.0</v>
      </c>
      <c r="I149" s="15">
        <v>1.0</v>
      </c>
      <c r="J149" s="15">
        <v>1.0</v>
      </c>
      <c r="K149" s="15">
        <v>1.0</v>
      </c>
      <c r="L149" s="29">
        <v>1.0</v>
      </c>
      <c r="M149" s="29" t="s">
        <v>805</v>
      </c>
      <c r="N149" s="29" t="s">
        <v>805</v>
      </c>
      <c r="O149" s="29">
        <v>1.0</v>
      </c>
      <c r="P149" s="35"/>
    </row>
    <row r="150" ht="14.25" customHeight="1">
      <c r="A150" s="31" t="s">
        <v>335</v>
      </c>
      <c r="B150" s="32" t="s">
        <v>336</v>
      </c>
      <c r="C150" s="33" t="s">
        <v>45</v>
      </c>
      <c r="D150" s="34">
        <v>1.0</v>
      </c>
      <c r="E150" s="15">
        <v>1.0</v>
      </c>
      <c r="F150" s="15" t="s">
        <v>805</v>
      </c>
      <c r="G150" s="15" t="s">
        <v>805</v>
      </c>
      <c r="H150" s="15">
        <v>1.0</v>
      </c>
      <c r="I150" s="15">
        <v>1.0</v>
      </c>
      <c r="J150" s="15">
        <v>1.0</v>
      </c>
      <c r="K150" s="15">
        <v>1.0</v>
      </c>
      <c r="L150" s="29" t="s">
        <v>805</v>
      </c>
      <c r="M150" s="29" t="s">
        <v>805</v>
      </c>
      <c r="N150" s="29" t="s">
        <v>805</v>
      </c>
      <c r="O150" s="29" t="s">
        <v>805</v>
      </c>
      <c r="P150" s="35"/>
    </row>
    <row r="151" ht="14.25" customHeight="1">
      <c r="A151" s="31" t="s">
        <v>602</v>
      </c>
      <c r="B151" s="32" t="s">
        <v>603</v>
      </c>
      <c r="C151" s="33" t="s">
        <v>45</v>
      </c>
      <c r="D151" s="34">
        <v>1.0</v>
      </c>
      <c r="E151" s="15">
        <v>1.0</v>
      </c>
      <c r="F151" s="15">
        <v>1.0</v>
      </c>
      <c r="G151" s="15">
        <v>1.0</v>
      </c>
      <c r="H151" s="15">
        <v>1.0</v>
      </c>
      <c r="I151" s="15">
        <v>1.0</v>
      </c>
      <c r="J151" s="15">
        <v>1.0</v>
      </c>
      <c r="K151" s="15">
        <v>1.0</v>
      </c>
      <c r="L151" s="29" t="s">
        <v>805</v>
      </c>
      <c r="M151" s="29" t="s">
        <v>805</v>
      </c>
      <c r="N151" s="29" t="s">
        <v>805</v>
      </c>
      <c r="O151" s="29" t="s">
        <v>805</v>
      </c>
      <c r="P151" s="35"/>
    </row>
    <row r="152" ht="14.25" customHeight="1">
      <c r="A152" s="31" t="s">
        <v>176</v>
      </c>
      <c r="B152" s="32" t="s">
        <v>177</v>
      </c>
      <c r="C152" s="33" t="s">
        <v>45</v>
      </c>
      <c r="D152" s="34">
        <v>1.0</v>
      </c>
      <c r="E152" s="15">
        <v>1.0</v>
      </c>
      <c r="F152" s="15">
        <v>1.0</v>
      </c>
      <c r="G152" s="15" t="s">
        <v>805</v>
      </c>
      <c r="H152" s="15">
        <v>1.0</v>
      </c>
      <c r="I152" s="15">
        <v>1.0</v>
      </c>
      <c r="J152" s="15">
        <v>1.0</v>
      </c>
      <c r="K152" s="15">
        <v>1.0</v>
      </c>
      <c r="L152" s="29">
        <v>1.0</v>
      </c>
      <c r="M152" s="29" t="s">
        <v>805</v>
      </c>
      <c r="N152" s="29" t="s">
        <v>805</v>
      </c>
      <c r="O152" s="29">
        <v>1.0</v>
      </c>
      <c r="P152" s="35"/>
    </row>
    <row r="153" ht="14.25" customHeight="1">
      <c r="A153" s="31" t="s">
        <v>765</v>
      </c>
      <c r="B153" s="32" t="s">
        <v>766</v>
      </c>
      <c r="C153" s="33" t="s">
        <v>45</v>
      </c>
      <c r="D153" s="34" t="s">
        <v>805</v>
      </c>
      <c r="E153" s="15" t="s">
        <v>805</v>
      </c>
      <c r="F153" s="15" t="s">
        <v>805</v>
      </c>
      <c r="G153" s="15" t="s">
        <v>805</v>
      </c>
      <c r="H153" s="15" t="s">
        <v>805</v>
      </c>
      <c r="I153" s="15" t="s">
        <v>805</v>
      </c>
      <c r="J153" s="15" t="s">
        <v>805</v>
      </c>
      <c r="K153" s="15" t="s">
        <v>805</v>
      </c>
      <c r="L153" s="29">
        <v>1.0</v>
      </c>
      <c r="M153" s="29">
        <v>1.0</v>
      </c>
      <c r="N153" s="29">
        <v>1.0</v>
      </c>
      <c r="O153" s="29">
        <v>1.0</v>
      </c>
      <c r="P153" s="35"/>
    </row>
    <row r="154" ht="14.25" customHeight="1">
      <c r="A154" s="31" t="s">
        <v>46</v>
      </c>
      <c r="B154" s="32" t="s">
        <v>47</v>
      </c>
      <c r="C154" s="33" t="s">
        <v>45</v>
      </c>
      <c r="D154" s="34">
        <v>1.0</v>
      </c>
      <c r="E154" s="15">
        <v>1.0</v>
      </c>
      <c r="F154" s="15" t="s">
        <v>805</v>
      </c>
      <c r="G154" s="15" t="s">
        <v>805</v>
      </c>
      <c r="H154" s="15">
        <v>1.0</v>
      </c>
      <c r="I154" s="15">
        <v>1.0</v>
      </c>
      <c r="J154" s="15">
        <v>1.0</v>
      </c>
      <c r="K154" s="15">
        <v>1.0</v>
      </c>
      <c r="L154" s="29">
        <v>1.0</v>
      </c>
      <c r="M154" s="29" t="s">
        <v>805</v>
      </c>
      <c r="N154" s="29" t="s">
        <v>805</v>
      </c>
      <c r="O154" s="29">
        <v>1.0</v>
      </c>
      <c r="P154" s="35"/>
    </row>
    <row r="155" ht="14.25" customHeight="1">
      <c r="A155" s="31" t="s">
        <v>574</v>
      </c>
      <c r="B155" s="32" t="s">
        <v>575</v>
      </c>
      <c r="C155" s="33" t="s">
        <v>45</v>
      </c>
      <c r="D155" s="34">
        <v>1.0</v>
      </c>
      <c r="E155" s="15">
        <v>1.0</v>
      </c>
      <c r="F155" s="15">
        <v>1.0</v>
      </c>
      <c r="G155" s="15" t="s">
        <v>805</v>
      </c>
      <c r="H155" s="15">
        <v>1.0</v>
      </c>
      <c r="I155" s="15">
        <v>1.0</v>
      </c>
      <c r="J155" s="15">
        <v>1.0</v>
      </c>
      <c r="K155" s="15">
        <v>1.0</v>
      </c>
      <c r="L155" s="29">
        <v>1.0</v>
      </c>
      <c r="M155" s="29" t="s">
        <v>805</v>
      </c>
      <c r="N155" s="29" t="s">
        <v>805</v>
      </c>
      <c r="O155" s="29">
        <v>1.0</v>
      </c>
      <c r="P155" s="35"/>
    </row>
    <row r="156" ht="14.25" customHeight="1">
      <c r="A156" s="31" t="s">
        <v>100</v>
      </c>
      <c r="B156" s="32" t="s">
        <v>101</v>
      </c>
      <c r="C156" s="33" t="s">
        <v>45</v>
      </c>
      <c r="D156" s="34">
        <v>1.0</v>
      </c>
      <c r="E156" s="15">
        <v>1.0</v>
      </c>
      <c r="F156" s="15" t="s">
        <v>805</v>
      </c>
      <c r="G156" s="15" t="s">
        <v>805</v>
      </c>
      <c r="H156" s="15">
        <v>1.0</v>
      </c>
      <c r="I156" s="15">
        <v>1.0</v>
      </c>
      <c r="J156" s="15">
        <v>1.0</v>
      </c>
      <c r="K156" s="15">
        <v>1.0</v>
      </c>
      <c r="L156" s="29">
        <v>1.0</v>
      </c>
      <c r="M156" s="29" t="s">
        <v>805</v>
      </c>
      <c r="N156" s="29" t="s">
        <v>805</v>
      </c>
      <c r="O156" s="29">
        <v>1.0</v>
      </c>
      <c r="P156" s="35"/>
    </row>
    <row r="157" ht="14.25" customHeight="1">
      <c r="A157" s="31" t="s">
        <v>691</v>
      </c>
      <c r="B157" s="32" t="s">
        <v>692</v>
      </c>
      <c r="C157" s="33" t="s">
        <v>45</v>
      </c>
      <c r="D157" s="34">
        <v>1.0</v>
      </c>
      <c r="E157" s="15">
        <v>1.0</v>
      </c>
      <c r="F157" s="15">
        <v>1.0</v>
      </c>
      <c r="G157" s="15" t="s">
        <v>805</v>
      </c>
      <c r="H157" s="15">
        <v>1.0</v>
      </c>
      <c r="I157" s="15">
        <v>1.0</v>
      </c>
      <c r="J157" s="15">
        <v>1.0</v>
      </c>
      <c r="K157" s="15">
        <v>1.0</v>
      </c>
      <c r="L157" s="29" t="s">
        <v>805</v>
      </c>
      <c r="M157" s="29" t="s">
        <v>805</v>
      </c>
      <c r="N157" s="29" t="s">
        <v>805</v>
      </c>
      <c r="O157" s="29" t="s">
        <v>805</v>
      </c>
      <c r="P157" s="35"/>
    </row>
    <row r="158" ht="14.25" customHeight="1">
      <c r="A158" s="31" t="s">
        <v>653</v>
      </c>
      <c r="B158" s="32" t="s">
        <v>654</v>
      </c>
      <c r="C158" s="33" t="s">
        <v>652</v>
      </c>
      <c r="D158" s="34">
        <v>1.0</v>
      </c>
      <c r="E158" s="15">
        <v>1.0</v>
      </c>
      <c r="F158" s="15" t="s">
        <v>805</v>
      </c>
      <c r="G158" s="15" t="s">
        <v>805</v>
      </c>
      <c r="H158" s="15">
        <v>1.0</v>
      </c>
      <c r="I158" s="15">
        <v>1.0</v>
      </c>
      <c r="J158" s="15">
        <v>1.0</v>
      </c>
      <c r="K158" s="15">
        <v>1.0</v>
      </c>
      <c r="L158" s="29" t="s">
        <v>805</v>
      </c>
      <c r="M158" s="29" t="s">
        <v>805</v>
      </c>
      <c r="N158" s="29" t="s">
        <v>805</v>
      </c>
      <c r="O158" s="29" t="s">
        <v>805</v>
      </c>
      <c r="P158" s="35"/>
    </row>
    <row r="159" ht="14.25" customHeight="1">
      <c r="A159" s="31" t="s">
        <v>683</v>
      </c>
      <c r="B159" s="32" t="s">
        <v>684</v>
      </c>
      <c r="C159" s="33" t="s">
        <v>652</v>
      </c>
      <c r="D159" s="34">
        <v>1.0</v>
      </c>
      <c r="E159" s="15">
        <v>1.0</v>
      </c>
      <c r="F159" s="15" t="s">
        <v>805</v>
      </c>
      <c r="G159" s="15" t="s">
        <v>805</v>
      </c>
      <c r="H159" s="15">
        <v>1.0</v>
      </c>
      <c r="I159" s="15">
        <v>1.0</v>
      </c>
      <c r="J159" s="15">
        <v>1.0</v>
      </c>
      <c r="K159" s="15">
        <v>1.0</v>
      </c>
      <c r="L159" s="29">
        <v>1.0</v>
      </c>
      <c r="M159" s="29" t="s">
        <v>805</v>
      </c>
      <c r="N159" s="29" t="s">
        <v>805</v>
      </c>
      <c r="O159" s="29">
        <v>1.0</v>
      </c>
      <c r="P159" s="35"/>
    </row>
    <row r="160" ht="14.25" customHeight="1">
      <c r="A160" s="31" t="s">
        <v>657</v>
      </c>
      <c r="B160" s="32" t="s">
        <v>658</v>
      </c>
      <c r="C160" s="33" t="s">
        <v>652</v>
      </c>
      <c r="D160" s="34">
        <v>1.0</v>
      </c>
      <c r="E160" s="15">
        <v>1.0</v>
      </c>
      <c r="F160" s="15" t="s">
        <v>805</v>
      </c>
      <c r="G160" s="15" t="s">
        <v>805</v>
      </c>
      <c r="H160" s="15">
        <v>1.0</v>
      </c>
      <c r="I160" s="15">
        <v>1.0</v>
      </c>
      <c r="J160" s="15">
        <v>1.0</v>
      </c>
      <c r="K160" s="15">
        <v>1.0</v>
      </c>
      <c r="L160" s="29">
        <v>1.0</v>
      </c>
      <c r="M160" s="29" t="s">
        <v>805</v>
      </c>
      <c r="N160" s="29" t="s">
        <v>805</v>
      </c>
      <c r="O160" s="29">
        <v>1.0</v>
      </c>
      <c r="P160" s="35"/>
    </row>
    <row r="161" ht="14.25" customHeight="1">
      <c r="A161" s="31" t="s">
        <v>659</v>
      </c>
      <c r="B161" s="32" t="s">
        <v>660</v>
      </c>
      <c r="C161" s="33" t="s">
        <v>652</v>
      </c>
      <c r="D161" s="34">
        <v>1.0</v>
      </c>
      <c r="E161" s="15">
        <v>1.0</v>
      </c>
      <c r="F161" s="15" t="s">
        <v>805</v>
      </c>
      <c r="G161" s="15" t="s">
        <v>805</v>
      </c>
      <c r="H161" s="15">
        <v>1.0</v>
      </c>
      <c r="I161" s="15">
        <v>1.0</v>
      </c>
      <c r="J161" s="15">
        <v>1.0</v>
      </c>
      <c r="K161" s="15">
        <v>1.0</v>
      </c>
      <c r="L161" s="29">
        <v>1.0</v>
      </c>
      <c r="M161" s="29" t="s">
        <v>805</v>
      </c>
      <c r="N161" s="29" t="s">
        <v>805</v>
      </c>
      <c r="O161" s="29">
        <v>1.0</v>
      </c>
      <c r="P161" s="35"/>
    </row>
    <row r="162" ht="14.25" customHeight="1">
      <c r="A162" s="31" t="s">
        <v>254</v>
      </c>
      <c r="B162" s="32" t="s">
        <v>255</v>
      </c>
      <c r="C162" s="33" t="s">
        <v>49</v>
      </c>
      <c r="D162" s="34">
        <v>1.0</v>
      </c>
      <c r="E162" s="15">
        <v>1.0</v>
      </c>
      <c r="F162" s="15">
        <v>1.0</v>
      </c>
      <c r="G162" s="15" t="s">
        <v>805</v>
      </c>
      <c r="H162" s="15">
        <v>1.0</v>
      </c>
      <c r="I162" s="15">
        <v>1.0</v>
      </c>
      <c r="J162" s="15">
        <v>1.0</v>
      </c>
      <c r="K162" s="15" t="s">
        <v>805</v>
      </c>
      <c r="L162" s="29">
        <v>1.0</v>
      </c>
      <c r="M162" s="29" t="s">
        <v>805</v>
      </c>
      <c r="N162" s="29" t="s">
        <v>805</v>
      </c>
      <c r="O162" s="29">
        <v>1.0</v>
      </c>
      <c r="P162" s="35"/>
    </row>
    <row r="163" ht="14.25" customHeight="1">
      <c r="A163" s="31" t="s">
        <v>198</v>
      </c>
      <c r="B163" s="32" t="s">
        <v>199</v>
      </c>
      <c r="C163" s="33" t="s">
        <v>49</v>
      </c>
      <c r="D163" s="34">
        <v>1.0</v>
      </c>
      <c r="E163" s="15">
        <v>1.0</v>
      </c>
      <c r="F163" s="15">
        <v>1.0</v>
      </c>
      <c r="G163" s="15" t="s">
        <v>805</v>
      </c>
      <c r="H163" s="15">
        <v>1.0</v>
      </c>
      <c r="I163" s="15">
        <v>1.0</v>
      </c>
      <c r="J163" s="15">
        <v>1.0</v>
      </c>
      <c r="K163" s="15" t="s">
        <v>805</v>
      </c>
      <c r="L163" s="29">
        <v>1.0</v>
      </c>
      <c r="M163" s="29" t="s">
        <v>805</v>
      </c>
      <c r="N163" s="29" t="s">
        <v>805</v>
      </c>
      <c r="O163" s="29">
        <v>1.0</v>
      </c>
      <c r="P163" s="35"/>
    </row>
    <row r="164" ht="14.25" customHeight="1">
      <c r="A164" s="31" t="s">
        <v>190</v>
      </c>
      <c r="B164" s="32" t="s">
        <v>191</v>
      </c>
      <c r="C164" s="33" t="s">
        <v>49</v>
      </c>
      <c r="D164" s="34">
        <v>1.0</v>
      </c>
      <c r="E164" s="15">
        <v>1.0</v>
      </c>
      <c r="F164" s="15" t="s">
        <v>805</v>
      </c>
      <c r="G164" s="15" t="s">
        <v>805</v>
      </c>
      <c r="H164" s="15">
        <v>1.0</v>
      </c>
      <c r="I164" s="15">
        <v>1.0</v>
      </c>
      <c r="J164" s="15">
        <v>1.0</v>
      </c>
      <c r="K164" s="15" t="s">
        <v>805</v>
      </c>
      <c r="L164" s="29">
        <v>1.0</v>
      </c>
      <c r="M164" s="29" t="s">
        <v>805</v>
      </c>
      <c r="N164" s="29" t="s">
        <v>805</v>
      </c>
      <c r="O164" s="29">
        <v>1.0</v>
      </c>
      <c r="P164" s="35"/>
    </row>
    <row r="165" ht="14.25" customHeight="1">
      <c r="A165" s="31" t="s">
        <v>411</v>
      </c>
      <c r="B165" s="32" t="s">
        <v>412</v>
      </c>
      <c r="C165" s="33" t="s">
        <v>49</v>
      </c>
      <c r="D165" s="34">
        <v>1.0</v>
      </c>
      <c r="E165" s="15">
        <v>1.0</v>
      </c>
      <c r="F165" s="15">
        <v>1.0</v>
      </c>
      <c r="G165" s="15" t="s">
        <v>805</v>
      </c>
      <c r="H165" s="15">
        <v>1.0</v>
      </c>
      <c r="I165" s="15">
        <v>1.0</v>
      </c>
      <c r="J165" s="15">
        <v>1.0</v>
      </c>
      <c r="K165" s="15" t="s">
        <v>805</v>
      </c>
      <c r="L165" s="29" t="s">
        <v>805</v>
      </c>
      <c r="M165" s="29" t="s">
        <v>805</v>
      </c>
      <c r="N165" s="29" t="s">
        <v>805</v>
      </c>
      <c r="O165" s="29" t="s">
        <v>805</v>
      </c>
      <c r="P165" s="35"/>
    </row>
    <row r="166" ht="14.25" customHeight="1">
      <c r="A166" s="31" t="s">
        <v>127</v>
      </c>
      <c r="B166" s="32" t="s">
        <v>128</v>
      </c>
      <c r="C166" s="33" t="s">
        <v>49</v>
      </c>
      <c r="D166" s="34">
        <v>1.0</v>
      </c>
      <c r="E166" s="15">
        <v>1.0</v>
      </c>
      <c r="F166" s="15">
        <v>1.0</v>
      </c>
      <c r="G166" s="15" t="s">
        <v>805</v>
      </c>
      <c r="H166" s="15">
        <v>1.0</v>
      </c>
      <c r="I166" s="15">
        <v>1.0</v>
      </c>
      <c r="J166" s="15">
        <v>1.0</v>
      </c>
      <c r="K166" s="15" t="s">
        <v>805</v>
      </c>
      <c r="L166" s="29">
        <v>1.0</v>
      </c>
      <c r="M166" s="29" t="s">
        <v>805</v>
      </c>
      <c r="N166" s="29" t="s">
        <v>805</v>
      </c>
      <c r="O166" s="29">
        <v>1.0</v>
      </c>
      <c r="P166" s="35"/>
    </row>
    <row r="167" ht="14.25" customHeight="1">
      <c r="A167" s="31" t="s">
        <v>50</v>
      </c>
      <c r="B167" s="32" t="s">
        <v>51</v>
      </c>
      <c r="C167" s="33" t="s">
        <v>49</v>
      </c>
      <c r="D167" s="34">
        <v>1.0</v>
      </c>
      <c r="E167" s="15">
        <v>1.0</v>
      </c>
      <c r="F167" s="15">
        <v>1.0</v>
      </c>
      <c r="G167" s="15">
        <v>1.0</v>
      </c>
      <c r="H167" s="15">
        <v>1.0</v>
      </c>
      <c r="I167" s="15">
        <v>1.0</v>
      </c>
      <c r="J167" s="15">
        <v>1.0</v>
      </c>
      <c r="K167" s="15" t="s">
        <v>805</v>
      </c>
      <c r="L167" s="29">
        <v>1.0</v>
      </c>
      <c r="M167" s="29" t="s">
        <v>805</v>
      </c>
      <c r="N167" s="29" t="s">
        <v>805</v>
      </c>
      <c r="O167" s="29">
        <v>1.0</v>
      </c>
      <c r="P167" s="35"/>
    </row>
    <row r="168" ht="14.25" customHeight="1">
      <c r="A168" s="31" t="s">
        <v>369</v>
      </c>
      <c r="B168" s="32" t="s">
        <v>370</v>
      </c>
      <c r="C168" s="33" t="s">
        <v>49</v>
      </c>
      <c r="D168" s="34">
        <v>1.0</v>
      </c>
      <c r="E168" s="15">
        <v>1.0</v>
      </c>
      <c r="F168" s="15">
        <v>1.0</v>
      </c>
      <c r="G168" s="15" t="s">
        <v>805</v>
      </c>
      <c r="H168" s="15">
        <v>1.0</v>
      </c>
      <c r="I168" s="15">
        <v>1.0</v>
      </c>
      <c r="J168" s="15">
        <v>1.0</v>
      </c>
      <c r="K168" s="15" t="s">
        <v>805</v>
      </c>
      <c r="L168" s="29">
        <v>1.0</v>
      </c>
      <c r="M168" s="29" t="s">
        <v>805</v>
      </c>
      <c r="N168" s="29" t="s">
        <v>805</v>
      </c>
      <c r="O168" s="29">
        <v>1.0</v>
      </c>
      <c r="P168" s="35"/>
    </row>
    <row r="169" ht="14.25" customHeight="1">
      <c r="A169" s="31" t="s">
        <v>779</v>
      </c>
      <c r="B169" s="32" t="s">
        <v>780</v>
      </c>
      <c r="C169" s="33" t="s">
        <v>49</v>
      </c>
      <c r="D169" s="34" t="s">
        <v>805</v>
      </c>
      <c r="E169" s="15" t="s">
        <v>805</v>
      </c>
      <c r="F169" s="15" t="s">
        <v>805</v>
      </c>
      <c r="G169" s="15" t="s">
        <v>805</v>
      </c>
      <c r="H169" s="15" t="s">
        <v>805</v>
      </c>
      <c r="I169" s="15" t="s">
        <v>805</v>
      </c>
      <c r="J169" s="15" t="s">
        <v>805</v>
      </c>
      <c r="K169" s="15" t="s">
        <v>805</v>
      </c>
      <c r="L169" s="29">
        <v>1.0</v>
      </c>
      <c r="M169" s="29">
        <v>1.0</v>
      </c>
      <c r="N169" s="29">
        <v>1.0</v>
      </c>
      <c r="O169" s="29">
        <v>1.0</v>
      </c>
      <c r="P169" s="35"/>
    </row>
    <row r="170" ht="14.25" customHeight="1">
      <c r="A170" s="31" t="s">
        <v>174</v>
      </c>
      <c r="B170" s="32" t="s">
        <v>175</v>
      </c>
      <c r="C170" s="33" t="s">
        <v>49</v>
      </c>
      <c r="D170" s="34">
        <v>1.0</v>
      </c>
      <c r="E170" s="15">
        <v>1.0</v>
      </c>
      <c r="F170" s="15">
        <v>1.0</v>
      </c>
      <c r="G170" s="15" t="s">
        <v>805</v>
      </c>
      <c r="H170" s="15">
        <v>1.0</v>
      </c>
      <c r="I170" s="15">
        <v>1.0</v>
      </c>
      <c r="J170" s="15">
        <v>1.0</v>
      </c>
      <c r="K170" s="15" t="s">
        <v>805</v>
      </c>
      <c r="L170" s="29">
        <v>1.0</v>
      </c>
      <c r="M170" s="29" t="s">
        <v>805</v>
      </c>
      <c r="N170" s="29" t="s">
        <v>805</v>
      </c>
      <c r="O170" s="29">
        <v>1.0</v>
      </c>
      <c r="P170" s="35"/>
    </row>
    <row r="171" ht="14.25" customHeight="1">
      <c r="A171" s="31" t="s">
        <v>68</v>
      </c>
      <c r="B171" s="32" t="s">
        <v>69</v>
      </c>
      <c r="C171" s="33" t="s">
        <v>49</v>
      </c>
      <c r="D171" s="34">
        <v>1.0</v>
      </c>
      <c r="E171" s="15">
        <v>1.0</v>
      </c>
      <c r="F171" s="15" t="s">
        <v>805</v>
      </c>
      <c r="G171" s="15" t="s">
        <v>805</v>
      </c>
      <c r="H171" s="15">
        <v>1.0</v>
      </c>
      <c r="I171" s="15">
        <v>1.0</v>
      </c>
      <c r="J171" s="15">
        <v>1.0</v>
      </c>
      <c r="K171" s="15" t="s">
        <v>805</v>
      </c>
      <c r="L171" s="29">
        <v>1.0</v>
      </c>
      <c r="M171" s="29" t="s">
        <v>805</v>
      </c>
      <c r="N171" s="29" t="s">
        <v>805</v>
      </c>
      <c r="O171" s="29">
        <v>1.0</v>
      </c>
      <c r="P171" s="35"/>
    </row>
    <row r="172" ht="14.25" customHeight="1">
      <c r="A172" s="31" t="s">
        <v>504</v>
      </c>
      <c r="B172" s="32" t="s">
        <v>505</v>
      </c>
      <c r="C172" s="33" t="s">
        <v>49</v>
      </c>
      <c r="D172" s="34">
        <v>1.0</v>
      </c>
      <c r="E172" s="15">
        <v>1.0</v>
      </c>
      <c r="F172" s="15">
        <v>1.0</v>
      </c>
      <c r="G172" s="15" t="s">
        <v>805</v>
      </c>
      <c r="H172" s="15">
        <v>1.0</v>
      </c>
      <c r="I172" s="15">
        <v>1.0</v>
      </c>
      <c r="J172" s="15">
        <v>1.0</v>
      </c>
      <c r="K172" s="15" t="s">
        <v>805</v>
      </c>
      <c r="L172" s="29" t="s">
        <v>805</v>
      </c>
      <c r="M172" s="29" t="s">
        <v>805</v>
      </c>
      <c r="N172" s="29" t="s">
        <v>805</v>
      </c>
      <c r="O172" s="29">
        <v>1.0</v>
      </c>
      <c r="P172" s="35"/>
    </row>
    <row r="173" ht="14.25" customHeight="1">
      <c r="A173" s="31" t="s">
        <v>632</v>
      </c>
      <c r="B173" s="32" t="s">
        <v>633</v>
      </c>
      <c r="C173" s="33" t="s">
        <v>204</v>
      </c>
      <c r="D173" s="34">
        <v>1.0</v>
      </c>
      <c r="E173" s="15">
        <v>1.0</v>
      </c>
      <c r="F173" s="15">
        <v>1.0</v>
      </c>
      <c r="G173" s="15">
        <v>1.0</v>
      </c>
      <c r="H173" s="15">
        <v>1.0</v>
      </c>
      <c r="I173" s="15">
        <v>1.0</v>
      </c>
      <c r="J173" s="15">
        <v>1.0</v>
      </c>
      <c r="K173" s="15" t="s">
        <v>805</v>
      </c>
      <c r="L173" s="29" t="s">
        <v>805</v>
      </c>
      <c r="M173" s="29" t="s">
        <v>805</v>
      </c>
      <c r="N173" s="29" t="s">
        <v>805</v>
      </c>
      <c r="O173" s="29" t="s">
        <v>805</v>
      </c>
      <c r="P173" s="35"/>
    </row>
    <row r="174" ht="14.25" customHeight="1">
      <c r="A174" s="31" t="s">
        <v>464</v>
      </c>
      <c r="B174" s="32" t="s">
        <v>465</v>
      </c>
      <c r="C174" s="33" t="s">
        <v>204</v>
      </c>
      <c r="D174" s="34">
        <v>1.0</v>
      </c>
      <c r="E174" s="15">
        <v>1.0</v>
      </c>
      <c r="F174" s="15">
        <v>1.0</v>
      </c>
      <c r="G174" s="15" t="s">
        <v>805</v>
      </c>
      <c r="H174" s="15">
        <v>1.0</v>
      </c>
      <c r="I174" s="15">
        <v>1.0</v>
      </c>
      <c r="J174" s="15">
        <v>1.0</v>
      </c>
      <c r="K174" s="15" t="s">
        <v>805</v>
      </c>
      <c r="L174" s="29">
        <v>1.0</v>
      </c>
      <c r="M174" s="29" t="s">
        <v>805</v>
      </c>
      <c r="N174" s="29" t="s">
        <v>805</v>
      </c>
      <c r="O174" s="29" t="s">
        <v>805</v>
      </c>
      <c r="P174" s="35"/>
    </row>
    <row r="175" ht="14.25" customHeight="1">
      <c r="A175" s="31" t="s">
        <v>359</v>
      </c>
      <c r="B175" s="32" t="s">
        <v>360</v>
      </c>
      <c r="C175" s="33" t="s">
        <v>204</v>
      </c>
      <c r="D175" s="34">
        <v>1.0</v>
      </c>
      <c r="E175" s="15">
        <v>1.0</v>
      </c>
      <c r="F175" s="15">
        <v>1.0</v>
      </c>
      <c r="G175" s="15">
        <v>1.0</v>
      </c>
      <c r="H175" s="15">
        <v>1.0</v>
      </c>
      <c r="I175" s="15">
        <v>1.0</v>
      </c>
      <c r="J175" s="15">
        <v>1.0</v>
      </c>
      <c r="K175" s="15">
        <v>1.0</v>
      </c>
      <c r="L175" s="29">
        <v>1.0</v>
      </c>
      <c r="M175" s="29" t="s">
        <v>805</v>
      </c>
      <c r="N175" s="29" t="s">
        <v>805</v>
      </c>
      <c r="O175" s="29">
        <v>1.0</v>
      </c>
      <c r="P175" s="35"/>
    </row>
    <row r="176" ht="14.25" customHeight="1">
      <c r="A176" s="31" t="s">
        <v>205</v>
      </c>
      <c r="B176" s="32" t="s">
        <v>206</v>
      </c>
      <c r="C176" s="33" t="s">
        <v>204</v>
      </c>
      <c r="D176" s="34">
        <v>1.0</v>
      </c>
      <c r="E176" s="15">
        <v>1.0</v>
      </c>
      <c r="F176" s="15">
        <v>1.0</v>
      </c>
      <c r="G176" s="15" t="s">
        <v>805</v>
      </c>
      <c r="H176" s="15">
        <v>1.0</v>
      </c>
      <c r="I176" s="15">
        <v>1.0</v>
      </c>
      <c r="J176" s="15">
        <v>1.0</v>
      </c>
      <c r="K176" s="15">
        <v>1.0</v>
      </c>
      <c r="L176" s="29">
        <v>1.0</v>
      </c>
      <c r="M176" s="29" t="s">
        <v>805</v>
      </c>
      <c r="N176" s="29" t="s">
        <v>805</v>
      </c>
      <c r="O176" s="29">
        <v>1.0</v>
      </c>
      <c r="P176" s="35"/>
    </row>
    <row r="177" ht="14.25" customHeight="1">
      <c r="A177" s="31" t="s">
        <v>348</v>
      </c>
      <c r="B177" s="32" t="s">
        <v>349</v>
      </c>
      <c r="C177" s="33" t="s">
        <v>117</v>
      </c>
      <c r="D177" s="34">
        <v>1.0</v>
      </c>
      <c r="E177" s="15">
        <v>1.0</v>
      </c>
      <c r="F177" s="15">
        <v>1.0</v>
      </c>
      <c r="G177" s="15">
        <v>1.0</v>
      </c>
      <c r="H177" s="15">
        <v>1.0</v>
      </c>
      <c r="I177" s="15">
        <v>1.0</v>
      </c>
      <c r="J177" s="15">
        <v>1.0</v>
      </c>
      <c r="K177" s="15" t="s">
        <v>805</v>
      </c>
      <c r="L177" s="29" t="s">
        <v>805</v>
      </c>
      <c r="M177" s="29" t="s">
        <v>805</v>
      </c>
      <c r="N177" s="29" t="s">
        <v>805</v>
      </c>
      <c r="O177" s="29" t="s">
        <v>805</v>
      </c>
      <c r="P177" s="35"/>
    </row>
    <row r="178" ht="14.25" customHeight="1">
      <c r="A178" s="31" t="s">
        <v>380</v>
      </c>
      <c r="B178" s="32" t="s">
        <v>381</v>
      </c>
      <c r="C178" s="33" t="s">
        <v>117</v>
      </c>
      <c r="D178" s="34" t="s">
        <v>805</v>
      </c>
      <c r="E178" s="15" t="s">
        <v>805</v>
      </c>
      <c r="F178" s="15" t="s">
        <v>805</v>
      </c>
      <c r="G178" s="15" t="s">
        <v>805</v>
      </c>
      <c r="H178" s="15" t="s">
        <v>805</v>
      </c>
      <c r="I178" s="15">
        <v>1.0</v>
      </c>
      <c r="J178" s="15">
        <v>1.0</v>
      </c>
      <c r="K178" s="15" t="s">
        <v>805</v>
      </c>
      <c r="L178" s="29">
        <v>1.0</v>
      </c>
      <c r="M178" s="29" t="s">
        <v>805</v>
      </c>
      <c r="N178" s="29" t="s">
        <v>805</v>
      </c>
      <c r="O178" s="29">
        <v>1.0</v>
      </c>
      <c r="P178" s="35"/>
    </row>
    <row r="179" ht="14.25" customHeight="1">
      <c r="A179" s="31" t="s">
        <v>118</v>
      </c>
      <c r="B179" s="32" t="s">
        <v>119</v>
      </c>
      <c r="C179" s="33" t="s">
        <v>117</v>
      </c>
      <c r="D179" s="34">
        <v>1.0</v>
      </c>
      <c r="E179" s="15">
        <v>1.0</v>
      </c>
      <c r="F179" s="15">
        <v>1.0</v>
      </c>
      <c r="G179" s="15" t="s">
        <v>805</v>
      </c>
      <c r="H179" s="15">
        <v>1.0</v>
      </c>
      <c r="I179" s="15">
        <v>1.0</v>
      </c>
      <c r="J179" s="15">
        <v>1.0</v>
      </c>
      <c r="K179" s="15" t="s">
        <v>805</v>
      </c>
      <c r="L179" s="29">
        <v>1.0</v>
      </c>
      <c r="M179" s="29" t="s">
        <v>805</v>
      </c>
      <c r="N179" s="29" t="s">
        <v>805</v>
      </c>
      <c r="O179" s="29">
        <v>1.0</v>
      </c>
      <c r="P179" s="35"/>
    </row>
    <row r="180" ht="14.25" customHeight="1">
      <c r="A180" s="31" t="s">
        <v>474</v>
      </c>
      <c r="B180" s="32" t="s">
        <v>475</v>
      </c>
      <c r="C180" s="33" t="s">
        <v>117</v>
      </c>
      <c r="D180" s="34">
        <v>1.0</v>
      </c>
      <c r="E180" s="15">
        <v>1.0</v>
      </c>
      <c r="F180" s="15">
        <v>1.0</v>
      </c>
      <c r="G180" s="15">
        <v>1.0</v>
      </c>
      <c r="H180" s="15">
        <v>1.0</v>
      </c>
      <c r="I180" s="15">
        <v>1.0</v>
      </c>
      <c r="J180" s="15">
        <v>1.0</v>
      </c>
      <c r="K180" s="15" t="s">
        <v>805</v>
      </c>
      <c r="L180" s="29" t="s">
        <v>805</v>
      </c>
      <c r="M180" s="29" t="s">
        <v>805</v>
      </c>
      <c r="N180" s="29" t="s">
        <v>805</v>
      </c>
      <c r="O180" s="29" t="s">
        <v>805</v>
      </c>
      <c r="P180" s="35"/>
    </row>
    <row r="181" ht="14.25" customHeight="1">
      <c r="A181" s="31" t="s">
        <v>745</v>
      </c>
      <c r="B181" s="32" t="s">
        <v>840</v>
      </c>
      <c r="C181" s="33" t="s">
        <v>117</v>
      </c>
      <c r="D181" s="34" t="s">
        <v>805</v>
      </c>
      <c r="E181" s="15" t="s">
        <v>805</v>
      </c>
      <c r="F181" s="15" t="s">
        <v>805</v>
      </c>
      <c r="G181" s="15" t="s">
        <v>805</v>
      </c>
      <c r="H181" s="15" t="s">
        <v>805</v>
      </c>
      <c r="I181" s="15" t="s">
        <v>805</v>
      </c>
      <c r="J181" s="15" t="s">
        <v>805</v>
      </c>
      <c r="K181" s="15" t="s">
        <v>805</v>
      </c>
      <c r="L181" s="29">
        <v>1.0</v>
      </c>
      <c r="M181" s="29">
        <v>1.0</v>
      </c>
      <c r="N181" s="29">
        <v>1.0</v>
      </c>
      <c r="O181" s="29">
        <v>1.0</v>
      </c>
      <c r="P181" s="35"/>
    </row>
    <row r="182" ht="14.25" customHeight="1">
      <c r="A182" s="31" t="s">
        <v>222</v>
      </c>
      <c r="B182" s="32" t="s">
        <v>223</v>
      </c>
      <c r="C182" s="33" t="s">
        <v>135</v>
      </c>
      <c r="D182" s="34" t="s">
        <v>805</v>
      </c>
      <c r="E182" s="15" t="s">
        <v>805</v>
      </c>
      <c r="F182" s="15" t="s">
        <v>805</v>
      </c>
      <c r="G182" s="15" t="s">
        <v>805</v>
      </c>
      <c r="H182" s="15" t="s">
        <v>805</v>
      </c>
      <c r="I182" s="15" t="s">
        <v>805</v>
      </c>
      <c r="J182" s="15">
        <v>1.0</v>
      </c>
      <c r="K182" s="15" t="s">
        <v>805</v>
      </c>
      <c r="L182" s="29" t="s">
        <v>805</v>
      </c>
      <c r="M182" s="29" t="s">
        <v>805</v>
      </c>
      <c r="N182" s="29" t="s">
        <v>805</v>
      </c>
      <c r="O182" s="29" t="s">
        <v>805</v>
      </c>
      <c r="P182" s="35"/>
    </row>
    <row r="183" ht="14.25" customHeight="1">
      <c r="A183" s="31" t="s">
        <v>498</v>
      </c>
      <c r="B183" s="32" t="s">
        <v>499</v>
      </c>
      <c r="C183" s="33" t="s">
        <v>129</v>
      </c>
      <c r="D183" s="34" t="s">
        <v>805</v>
      </c>
      <c r="E183" s="15" t="s">
        <v>805</v>
      </c>
      <c r="F183" s="15" t="s">
        <v>805</v>
      </c>
      <c r="G183" s="15" t="s">
        <v>805</v>
      </c>
      <c r="H183" s="15" t="s">
        <v>805</v>
      </c>
      <c r="I183" s="15" t="s">
        <v>805</v>
      </c>
      <c r="J183" s="15">
        <v>1.0</v>
      </c>
      <c r="K183" s="15" t="s">
        <v>805</v>
      </c>
      <c r="L183" s="29" t="s">
        <v>805</v>
      </c>
      <c r="M183" s="29" t="s">
        <v>805</v>
      </c>
      <c r="N183" s="29" t="s">
        <v>805</v>
      </c>
      <c r="O183" s="29" t="s">
        <v>805</v>
      </c>
      <c r="P183" s="35"/>
    </row>
    <row r="184" ht="14.25" customHeight="1">
      <c r="A184" s="31" t="s">
        <v>322</v>
      </c>
      <c r="B184" s="32" t="s">
        <v>323</v>
      </c>
      <c r="C184" s="33" t="s">
        <v>117</v>
      </c>
      <c r="D184" s="34">
        <v>1.0</v>
      </c>
      <c r="E184" s="15">
        <v>1.0</v>
      </c>
      <c r="F184" s="15">
        <v>1.0</v>
      </c>
      <c r="G184" s="15" t="s">
        <v>805</v>
      </c>
      <c r="H184" s="15">
        <v>1.0</v>
      </c>
      <c r="I184" s="15">
        <v>1.0</v>
      </c>
      <c r="J184" s="15">
        <v>1.0</v>
      </c>
      <c r="K184" s="15" t="s">
        <v>805</v>
      </c>
      <c r="L184" s="29">
        <v>1.0</v>
      </c>
      <c r="M184" s="29" t="s">
        <v>805</v>
      </c>
      <c r="N184" s="29" t="s">
        <v>805</v>
      </c>
      <c r="O184" s="29">
        <v>1.0</v>
      </c>
      <c r="P184" s="35"/>
    </row>
    <row r="185" ht="14.25" customHeight="1">
      <c r="A185" s="31" t="s">
        <v>200</v>
      </c>
      <c r="B185" s="32" t="s">
        <v>201</v>
      </c>
      <c r="C185" s="33" t="s">
        <v>117</v>
      </c>
      <c r="D185" s="34">
        <v>1.0</v>
      </c>
      <c r="E185" s="15">
        <v>1.0</v>
      </c>
      <c r="F185" s="15">
        <v>1.0</v>
      </c>
      <c r="G185" s="15" t="s">
        <v>805</v>
      </c>
      <c r="H185" s="15">
        <v>1.0</v>
      </c>
      <c r="I185" s="15">
        <v>1.0</v>
      </c>
      <c r="J185" s="15">
        <v>1.0</v>
      </c>
      <c r="K185" s="15" t="s">
        <v>805</v>
      </c>
      <c r="L185" s="29">
        <v>1.0</v>
      </c>
      <c r="M185" s="29" t="s">
        <v>805</v>
      </c>
      <c r="N185" s="29" t="s">
        <v>805</v>
      </c>
      <c r="O185" s="29">
        <v>1.0</v>
      </c>
      <c r="P185" s="35"/>
    </row>
    <row r="186" ht="14.25" customHeight="1">
      <c r="A186" s="31" t="s">
        <v>250</v>
      </c>
      <c r="B186" s="32" t="s">
        <v>251</v>
      </c>
      <c r="C186" s="33" t="s">
        <v>117</v>
      </c>
      <c r="D186" s="34">
        <v>1.0</v>
      </c>
      <c r="E186" s="15">
        <v>1.0</v>
      </c>
      <c r="F186" s="15">
        <v>1.0</v>
      </c>
      <c r="G186" s="15">
        <v>1.0</v>
      </c>
      <c r="H186" s="15">
        <v>1.0</v>
      </c>
      <c r="I186" s="15">
        <v>1.0</v>
      </c>
      <c r="J186" s="15">
        <v>1.0</v>
      </c>
      <c r="K186" s="15" t="s">
        <v>805</v>
      </c>
      <c r="L186" s="29" t="s">
        <v>805</v>
      </c>
      <c r="M186" s="29" t="s">
        <v>805</v>
      </c>
      <c r="N186" s="29" t="s">
        <v>805</v>
      </c>
      <c r="O186" s="29" t="s">
        <v>805</v>
      </c>
      <c r="P186" s="35"/>
    </row>
    <row r="187" ht="14.25" customHeight="1">
      <c r="A187" s="31" t="s">
        <v>396</v>
      </c>
      <c r="B187" s="32" t="s">
        <v>397</v>
      </c>
      <c r="C187" s="33" t="s">
        <v>55</v>
      </c>
      <c r="D187" s="34">
        <v>1.0</v>
      </c>
      <c r="E187" s="15">
        <v>1.0</v>
      </c>
      <c r="F187" s="15">
        <v>1.0</v>
      </c>
      <c r="G187" s="15">
        <v>1.0</v>
      </c>
      <c r="H187" s="15">
        <v>1.0</v>
      </c>
      <c r="I187" s="15">
        <v>1.0</v>
      </c>
      <c r="J187" s="15">
        <v>1.0</v>
      </c>
      <c r="K187" s="15">
        <v>1.0</v>
      </c>
      <c r="L187" s="29" t="s">
        <v>805</v>
      </c>
      <c r="M187" s="29" t="s">
        <v>805</v>
      </c>
      <c r="N187" s="29" t="s">
        <v>805</v>
      </c>
      <c r="O187" s="29" t="s">
        <v>805</v>
      </c>
      <c r="P187" s="35"/>
    </row>
    <row r="188" ht="14.25" customHeight="1">
      <c r="A188" s="31" t="s">
        <v>165</v>
      </c>
      <c r="B188" s="32" t="s">
        <v>166</v>
      </c>
      <c r="C188" s="33" t="s">
        <v>55</v>
      </c>
      <c r="D188" s="34">
        <v>1.0</v>
      </c>
      <c r="E188" s="15">
        <v>1.0</v>
      </c>
      <c r="F188" s="15">
        <v>1.0</v>
      </c>
      <c r="G188" s="15">
        <v>1.0</v>
      </c>
      <c r="H188" s="15">
        <v>1.0</v>
      </c>
      <c r="I188" s="15">
        <v>1.0</v>
      </c>
      <c r="J188" s="15">
        <v>1.0</v>
      </c>
      <c r="K188" s="15">
        <v>1.0</v>
      </c>
      <c r="L188" s="29">
        <v>1.0</v>
      </c>
      <c r="M188" s="29" t="s">
        <v>805</v>
      </c>
      <c r="N188" s="29" t="s">
        <v>805</v>
      </c>
      <c r="O188" s="29">
        <v>1.0</v>
      </c>
      <c r="P188" s="35"/>
    </row>
    <row r="189" ht="14.25" customHeight="1">
      <c r="A189" s="31" t="s">
        <v>761</v>
      </c>
      <c r="B189" s="32" t="s">
        <v>762</v>
      </c>
      <c r="C189" s="33" t="s">
        <v>55</v>
      </c>
      <c r="D189" s="34" t="s">
        <v>805</v>
      </c>
      <c r="E189" s="15" t="s">
        <v>805</v>
      </c>
      <c r="F189" s="15" t="s">
        <v>805</v>
      </c>
      <c r="G189" s="15" t="s">
        <v>805</v>
      </c>
      <c r="H189" s="15" t="s">
        <v>805</v>
      </c>
      <c r="I189" s="15" t="s">
        <v>805</v>
      </c>
      <c r="J189" s="15" t="s">
        <v>805</v>
      </c>
      <c r="K189" s="15" t="s">
        <v>805</v>
      </c>
      <c r="L189" s="29">
        <v>1.0</v>
      </c>
      <c r="M189" s="29">
        <v>1.0</v>
      </c>
      <c r="N189" s="29">
        <v>1.0</v>
      </c>
      <c r="O189" s="29">
        <v>1.0</v>
      </c>
      <c r="P189" s="35"/>
    </row>
    <row r="190" ht="14.25" customHeight="1">
      <c r="A190" s="31" t="s">
        <v>156</v>
      </c>
      <c r="B190" s="32" t="s">
        <v>157</v>
      </c>
      <c r="C190" s="33" t="s">
        <v>55</v>
      </c>
      <c r="D190" s="34">
        <v>1.0</v>
      </c>
      <c r="E190" s="15">
        <v>1.0</v>
      </c>
      <c r="F190" s="15">
        <v>1.0</v>
      </c>
      <c r="G190" s="15" t="s">
        <v>805</v>
      </c>
      <c r="H190" s="15">
        <v>1.0</v>
      </c>
      <c r="I190" s="15">
        <v>1.0</v>
      </c>
      <c r="J190" s="15">
        <v>1.0</v>
      </c>
      <c r="K190" s="15" t="s">
        <v>805</v>
      </c>
      <c r="L190" s="29">
        <v>1.0</v>
      </c>
      <c r="M190" s="29" t="s">
        <v>805</v>
      </c>
      <c r="N190" s="29">
        <v>1.0</v>
      </c>
      <c r="O190" s="29">
        <v>1.0</v>
      </c>
      <c r="P190" s="35"/>
    </row>
    <row r="191" ht="14.25" customHeight="1">
      <c r="A191" s="31" t="s">
        <v>554</v>
      </c>
      <c r="B191" s="32" t="s">
        <v>555</v>
      </c>
      <c r="C191" s="33" t="s">
        <v>55</v>
      </c>
      <c r="D191" s="34">
        <v>1.0</v>
      </c>
      <c r="E191" s="15">
        <v>1.0</v>
      </c>
      <c r="F191" s="15" t="s">
        <v>805</v>
      </c>
      <c r="G191" s="15" t="s">
        <v>805</v>
      </c>
      <c r="H191" s="15">
        <v>1.0</v>
      </c>
      <c r="I191" s="15">
        <v>1.0</v>
      </c>
      <c r="J191" s="15">
        <v>1.0</v>
      </c>
      <c r="K191" s="15">
        <v>1.0</v>
      </c>
      <c r="L191" s="29">
        <v>1.0</v>
      </c>
      <c r="M191" s="29" t="s">
        <v>805</v>
      </c>
      <c r="N191" s="29" t="s">
        <v>805</v>
      </c>
      <c r="O191" s="29">
        <v>1.0</v>
      </c>
      <c r="P191" s="35"/>
    </row>
    <row r="192" ht="14.25" customHeight="1">
      <c r="A192" s="31" t="s">
        <v>606</v>
      </c>
      <c r="B192" s="32" t="s">
        <v>607</v>
      </c>
      <c r="C192" s="33" t="s">
        <v>55</v>
      </c>
      <c r="D192" s="34">
        <v>1.0</v>
      </c>
      <c r="E192" s="15">
        <v>1.0</v>
      </c>
      <c r="F192" s="15" t="s">
        <v>805</v>
      </c>
      <c r="G192" s="15" t="s">
        <v>805</v>
      </c>
      <c r="H192" s="15">
        <v>1.0</v>
      </c>
      <c r="I192" s="15">
        <v>1.0</v>
      </c>
      <c r="J192" s="15">
        <v>1.0</v>
      </c>
      <c r="K192" s="15">
        <v>1.0</v>
      </c>
      <c r="L192" s="29">
        <v>1.0</v>
      </c>
      <c r="M192" s="29" t="s">
        <v>805</v>
      </c>
      <c r="N192" s="29" t="s">
        <v>805</v>
      </c>
      <c r="O192" s="29">
        <v>1.0</v>
      </c>
      <c r="P192" s="35"/>
    </row>
    <row r="193" ht="14.25" customHeight="1">
      <c r="A193" s="31" t="s">
        <v>56</v>
      </c>
      <c r="B193" s="32" t="s">
        <v>57</v>
      </c>
      <c r="C193" s="33" t="s">
        <v>55</v>
      </c>
      <c r="D193" s="34">
        <v>1.0</v>
      </c>
      <c r="E193" s="15">
        <v>1.0</v>
      </c>
      <c r="F193" s="15">
        <v>1.0</v>
      </c>
      <c r="G193" s="15" t="s">
        <v>805</v>
      </c>
      <c r="H193" s="15">
        <v>1.0</v>
      </c>
      <c r="I193" s="15">
        <v>1.0</v>
      </c>
      <c r="J193" s="15">
        <v>1.0</v>
      </c>
      <c r="K193" s="15">
        <v>1.0</v>
      </c>
      <c r="L193" s="29">
        <v>1.0</v>
      </c>
      <c r="M193" s="29" t="s">
        <v>805</v>
      </c>
      <c r="N193" s="29" t="s">
        <v>805</v>
      </c>
      <c r="O193" s="29">
        <v>1.0</v>
      </c>
      <c r="P193" s="35"/>
    </row>
    <row r="194" ht="14.25" customHeight="1">
      <c r="A194" s="31" t="s">
        <v>534</v>
      </c>
      <c r="B194" s="32" t="s">
        <v>535</v>
      </c>
      <c r="C194" s="33" t="s">
        <v>55</v>
      </c>
      <c r="D194" s="34" t="s">
        <v>805</v>
      </c>
      <c r="E194" s="15" t="s">
        <v>805</v>
      </c>
      <c r="F194" s="15" t="s">
        <v>805</v>
      </c>
      <c r="G194" s="15" t="s">
        <v>805</v>
      </c>
      <c r="H194" s="15" t="s">
        <v>805</v>
      </c>
      <c r="I194" s="15">
        <v>1.0</v>
      </c>
      <c r="J194" s="15">
        <v>1.0</v>
      </c>
      <c r="K194" s="15" t="s">
        <v>805</v>
      </c>
      <c r="L194" s="29" t="s">
        <v>805</v>
      </c>
      <c r="M194" s="29" t="s">
        <v>805</v>
      </c>
      <c r="N194" s="29" t="s">
        <v>805</v>
      </c>
      <c r="O194" s="29">
        <v>1.0</v>
      </c>
      <c r="P194" s="35"/>
    </row>
    <row r="195" ht="14.25" customHeight="1">
      <c r="A195" s="31" t="s">
        <v>528</v>
      </c>
      <c r="B195" s="32" t="s">
        <v>529</v>
      </c>
      <c r="C195" s="33" t="s">
        <v>55</v>
      </c>
      <c r="D195" s="34">
        <v>1.0</v>
      </c>
      <c r="E195" s="15">
        <v>1.0</v>
      </c>
      <c r="F195" s="15">
        <v>1.0</v>
      </c>
      <c r="G195" s="15">
        <v>1.0</v>
      </c>
      <c r="H195" s="15">
        <v>1.0</v>
      </c>
      <c r="I195" s="15">
        <v>1.0</v>
      </c>
      <c r="J195" s="15">
        <v>1.0</v>
      </c>
      <c r="K195" s="15" t="s">
        <v>805</v>
      </c>
      <c r="L195" s="29" t="s">
        <v>805</v>
      </c>
      <c r="M195" s="29" t="s">
        <v>805</v>
      </c>
      <c r="N195" s="29" t="s">
        <v>805</v>
      </c>
      <c r="O195" s="29">
        <v>1.0</v>
      </c>
      <c r="P195" s="35"/>
    </row>
    <row r="196" ht="14.25" customHeight="1">
      <c r="A196" s="31" t="s">
        <v>628</v>
      </c>
      <c r="B196" s="32" t="s">
        <v>629</v>
      </c>
      <c r="C196" s="33" t="s">
        <v>55</v>
      </c>
      <c r="D196" s="34">
        <v>1.0</v>
      </c>
      <c r="E196" s="15">
        <v>1.0</v>
      </c>
      <c r="F196" s="15">
        <v>1.0</v>
      </c>
      <c r="G196" s="15" t="s">
        <v>805</v>
      </c>
      <c r="H196" s="15">
        <v>1.0</v>
      </c>
      <c r="I196" s="15">
        <v>1.0</v>
      </c>
      <c r="J196" s="15">
        <v>1.0</v>
      </c>
      <c r="K196" s="15" t="s">
        <v>805</v>
      </c>
      <c r="L196" s="29" t="s">
        <v>805</v>
      </c>
      <c r="M196" s="29" t="s">
        <v>805</v>
      </c>
      <c r="N196" s="29" t="s">
        <v>805</v>
      </c>
      <c r="O196" s="29" t="s">
        <v>805</v>
      </c>
      <c r="P196" s="35"/>
    </row>
    <row r="197" ht="14.25" customHeight="1">
      <c r="A197" s="31" t="s">
        <v>37</v>
      </c>
      <c r="B197" s="32" t="s">
        <v>38</v>
      </c>
      <c r="C197" s="33" t="s">
        <v>36</v>
      </c>
      <c r="D197" s="34">
        <v>1.0</v>
      </c>
      <c r="E197" s="15">
        <v>1.0</v>
      </c>
      <c r="F197" s="15">
        <v>1.0</v>
      </c>
      <c r="G197" s="15" t="s">
        <v>805</v>
      </c>
      <c r="H197" s="15">
        <v>1.0</v>
      </c>
      <c r="I197" s="15">
        <v>1.0</v>
      </c>
      <c r="J197" s="15">
        <v>1.0</v>
      </c>
      <c r="K197" s="15" t="s">
        <v>805</v>
      </c>
      <c r="L197" s="29">
        <v>1.0</v>
      </c>
      <c r="M197" s="29" t="s">
        <v>805</v>
      </c>
      <c r="N197" s="29" t="s">
        <v>805</v>
      </c>
      <c r="O197" s="29">
        <v>1.0</v>
      </c>
      <c r="P197" s="35"/>
    </row>
    <row r="198" ht="14.25" customHeight="1">
      <c r="A198" s="31" t="s">
        <v>433</v>
      </c>
      <c r="B198" s="32" t="s">
        <v>434</v>
      </c>
      <c r="C198" s="33" t="s">
        <v>36</v>
      </c>
      <c r="D198" s="34">
        <v>1.0</v>
      </c>
      <c r="E198" s="15">
        <v>1.0</v>
      </c>
      <c r="F198" s="15">
        <v>1.0</v>
      </c>
      <c r="G198" s="15">
        <v>1.0</v>
      </c>
      <c r="H198" s="15">
        <v>1.0</v>
      </c>
      <c r="I198" s="15">
        <v>1.0</v>
      </c>
      <c r="J198" s="15">
        <v>1.0</v>
      </c>
      <c r="K198" s="15" t="s">
        <v>805</v>
      </c>
      <c r="L198" s="29">
        <v>1.0</v>
      </c>
      <c r="M198" s="29" t="s">
        <v>805</v>
      </c>
      <c r="N198" s="29" t="s">
        <v>805</v>
      </c>
      <c r="O198" s="29">
        <v>1.0</v>
      </c>
      <c r="P198" s="35"/>
    </row>
    <row r="199" ht="14.25" customHeight="1">
      <c r="A199" s="31" t="s">
        <v>248</v>
      </c>
      <c r="B199" s="32" t="s">
        <v>249</v>
      </c>
      <c r="C199" s="33" t="s">
        <v>36</v>
      </c>
      <c r="D199" s="34">
        <v>1.0</v>
      </c>
      <c r="E199" s="15">
        <v>1.0</v>
      </c>
      <c r="F199" s="15">
        <v>1.0</v>
      </c>
      <c r="G199" s="15" t="s">
        <v>805</v>
      </c>
      <c r="H199" s="15">
        <v>1.0</v>
      </c>
      <c r="I199" s="15" t="s">
        <v>805</v>
      </c>
      <c r="J199" s="15" t="s">
        <v>805</v>
      </c>
      <c r="K199" s="15" t="s">
        <v>805</v>
      </c>
      <c r="L199" s="29">
        <v>1.0</v>
      </c>
      <c r="M199" s="29" t="s">
        <v>805</v>
      </c>
      <c r="N199" s="29" t="s">
        <v>805</v>
      </c>
      <c r="O199" s="29">
        <v>1.0</v>
      </c>
      <c r="P199" s="35"/>
    </row>
    <row r="200" ht="14.25" customHeight="1">
      <c r="A200" s="31" t="s">
        <v>735</v>
      </c>
      <c r="B200" s="32" t="s">
        <v>736</v>
      </c>
      <c r="C200" s="33" t="s">
        <v>36</v>
      </c>
      <c r="D200" s="34" t="s">
        <v>805</v>
      </c>
      <c r="E200" s="15" t="s">
        <v>805</v>
      </c>
      <c r="F200" s="15" t="s">
        <v>805</v>
      </c>
      <c r="G200" s="15" t="s">
        <v>805</v>
      </c>
      <c r="H200" s="15" t="s">
        <v>805</v>
      </c>
      <c r="I200" s="15" t="s">
        <v>805</v>
      </c>
      <c r="J200" s="15" t="s">
        <v>805</v>
      </c>
      <c r="K200" s="15" t="s">
        <v>805</v>
      </c>
      <c r="L200" s="29" t="s">
        <v>805</v>
      </c>
      <c r="M200" s="29" t="s">
        <v>805</v>
      </c>
      <c r="N200" s="29" t="s">
        <v>805</v>
      </c>
      <c r="O200" s="29" t="s">
        <v>805</v>
      </c>
      <c r="P200" s="35"/>
    </row>
    <row r="201" ht="14.25" customHeight="1">
      <c r="A201" s="31" t="s">
        <v>588</v>
      </c>
      <c r="B201" s="32" t="s">
        <v>589</v>
      </c>
      <c r="C201" s="33" t="s">
        <v>36</v>
      </c>
      <c r="D201" s="34" t="s">
        <v>805</v>
      </c>
      <c r="E201" s="15" t="s">
        <v>805</v>
      </c>
      <c r="F201" s="15" t="s">
        <v>805</v>
      </c>
      <c r="G201" s="15" t="s">
        <v>805</v>
      </c>
      <c r="H201" s="15" t="s">
        <v>805</v>
      </c>
      <c r="I201" s="15" t="s">
        <v>805</v>
      </c>
      <c r="J201" s="15">
        <v>1.0</v>
      </c>
      <c r="K201" s="15" t="s">
        <v>805</v>
      </c>
      <c r="L201" s="29" t="s">
        <v>805</v>
      </c>
      <c r="M201" s="29" t="s">
        <v>805</v>
      </c>
      <c r="N201" s="29" t="s">
        <v>805</v>
      </c>
      <c r="O201" s="29" t="s">
        <v>805</v>
      </c>
      <c r="P201" s="35"/>
    </row>
    <row r="202" ht="14.25" customHeight="1">
      <c r="A202" s="31" t="s">
        <v>180</v>
      </c>
      <c r="B202" s="32" t="s">
        <v>181</v>
      </c>
      <c r="C202" s="33" t="s">
        <v>36</v>
      </c>
      <c r="D202" s="34">
        <v>1.0</v>
      </c>
      <c r="E202" s="15">
        <v>1.0</v>
      </c>
      <c r="F202" s="15">
        <v>1.0</v>
      </c>
      <c r="G202" s="15" t="s">
        <v>805</v>
      </c>
      <c r="H202" s="15">
        <v>1.0</v>
      </c>
      <c r="I202" s="15">
        <v>1.0</v>
      </c>
      <c r="J202" s="15">
        <v>1.0</v>
      </c>
      <c r="K202" s="15" t="s">
        <v>805</v>
      </c>
      <c r="L202" s="29" t="s">
        <v>805</v>
      </c>
      <c r="M202" s="29" t="s">
        <v>805</v>
      </c>
      <c r="N202" s="29" t="s">
        <v>805</v>
      </c>
      <c r="O202" s="29" t="s">
        <v>805</v>
      </c>
      <c r="P202" s="35"/>
    </row>
    <row r="203" ht="14.25" customHeight="1">
      <c r="A203" s="31" t="s">
        <v>382</v>
      </c>
      <c r="B203" s="32" t="s">
        <v>383</v>
      </c>
      <c r="C203" s="33" t="s">
        <v>36</v>
      </c>
      <c r="D203" s="34">
        <v>1.0</v>
      </c>
      <c r="E203" s="15">
        <v>1.0</v>
      </c>
      <c r="F203" s="15">
        <v>1.0</v>
      </c>
      <c r="G203" s="15">
        <v>1.0</v>
      </c>
      <c r="H203" s="15">
        <v>1.0</v>
      </c>
      <c r="I203" s="15">
        <v>1.0</v>
      </c>
      <c r="J203" s="15">
        <v>1.0</v>
      </c>
      <c r="K203" s="15" t="s">
        <v>805</v>
      </c>
      <c r="L203" s="29">
        <v>1.0</v>
      </c>
      <c r="M203" s="29" t="s">
        <v>805</v>
      </c>
      <c r="N203" s="29" t="s">
        <v>805</v>
      </c>
      <c r="O203" s="29">
        <v>1.0</v>
      </c>
      <c r="P203" s="35"/>
    </row>
    <row r="204" ht="14.25" customHeight="1">
      <c r="A204" s="31" t="s">
        <v>294</v>
      </c>
      <c r="B204" s="32" t="s">
        <v>295</v>
      </c>
      <c r="C204" s="33" t="s">
        <v>36</v>
      </c>
      <c r="D204" s="34">
        <v>1.0</v>
      </c>
      <c r="E204" s="15">
        <v>1.0</v>
      </c>
      <c r="F204" s="15" t="s">
        <v>805</v>
      </c>
      <c r="G204" s="15" t="s">
        <v>805</v>
      </c>
      <c r="H204" s="15">
        <v>1.0</v>
      </c>
      <c r="I204" s="15">
        <v>1.0</v>
      </c>
      <c r="J204" s="15">
        <v>1.0</v>
      </c>
      <c r="K204" s="15">
        <v>1.0</v>
      </c>
      <c r="L204" s="29">
        <v>1.0</v>
      </c>
      <c r="M204" s="29" t="s">
        <v>805</v>
      </c>
      <c r="N204" s="29" t="s">
        <v>805</v>
      </c>
      <c r="O204" s="29">
        <v>1.0</v>
      </c>
      <c r="P204" s="35"/>
    </row>
    <row r="205" ht="14.25" customHeight="1">
      <c r="A205" s="31" t="s">
        <v>530</v>
      </c>
      <c r="B205" s="32" t="s">
        <v>531</v>
      </c>
      <c r="C205" s="33" t="s">
        <v>36</v>
      </c>
      <c r="D205" s="34">
        <v>1.0</v>
      </c>
      <c r="E205" s="15">
        <v>1.0</v>
      </c>
      <c r="F205" s="15">
        <v>1.0</v>
      </c>
      <c r="G205" s="15">
        <v>1.0</v>
      </c>
      <c r="H205" s="15">
        <v>1.0</v>
      </c>
      <c r="I205" s="15">
        <v>1.0</v>
      </c>
      <c r="J205" s="15">
        <v>1.0</v>
      </c>
      <c r="K205" s="15">
        <v>1.0</v>
      </c>
      <c r="L205" s="29">
        <v>1.0</v>
      </c>
      <c r="M205" s="29" t="s">
        <v>805</v>
      </c>
      <c r="N205" s="29" t="s">
        <v>805</v>
      </c>
      <c r="O205" s="29">
        <v>1.0</v>
      </c>
      <c r="P205" s="35"/>
    </row>
    <row r="206" ht="14.25" customHeight="1">
      <c r="A206" s="31" t="s">
        <v>30</v>
      </c>
      <c r="B206" s="32" t="s">
        <v>31</v>
      </c>
      <c r="C206" s="33" t="s">
        <v>29</v>
      </c>
      <c r="D206" s="34">
        <v>1.0</v>
      </c>
      <c r="E206" s="15">
        <v>1.0</v>
      </c>
      <c r="F206" s="15">
        <v>1.0</v>
      </c>
      <c r="G206" s="15" t="s">
        <v>805</v>
      </c>
      <c r="H206" s="15">
        <v>1.0</v>
      </c>
      <c r="I206" s="15">
        <v>1.0</v>
      </c>
      <c r="J206" s="15">
        <v>1.0</v>
      </c>
      <c r="K206" s="15">
        <v>1.0</v>
      </c>
      <c r="L206" s="29" t="s">
        <v>805</v>
      </c>
      <c r="M206" s="29" t="s">
        <v>805</v>
      </c>
      <c r="N206" s="29" t="s">
        <v>805</v>
      </c>
      <c r="O206" s="29" t="s">
        <v>805</v>
      </c>
      <c r="P206" s="35"/>
    </row>
    <row r="207" ht="14.25" customHeight="1">
      <c r="A207" s="31" t="s">
        <v>373</v>
      </c>
      <c r="B207" s="32" t="s">
        <v>374</v>
      </c>
      <c r="C207" s="33" t="s">
        <v>29</v>
      </c>
      <c r="D207" s="34">
        <v>1.0</v>
      </c>
      <c r="E207" s="15">
        <v>1.0</v>
      </c>
      <c r="F207" s="15">
        <v>1.0</v>
      </c>
      <c r="G207" s="15">
        <v>1.0</v>
      </c>
      <c r="H207" s="15">
        <v>1.0</v>
      </c>
      <c r="I207" s="15">
        <v>1.0</v>
      </c>
      <c r="J207" s="15">
        <v>1.0</v>
      </c>
      <c r="K207" s="15">
        <v>1.0</v>
      </c>
      <c r="L207" s="29">
        <v>1.0</v>
      </c>
      <c r="M207" s="29" t="s">
        <v>805</v>
      </c>
      <c r="N207" s="29" t="s">
        <v>805</v>
      </c>
      <c r="O207" s="29">
        <v>1.0</v>
      </c>
      <c r="P207" s="35"/>
    </row>
    <row r="208" ht="14.25" customHeight="1">
      <c r="A208" s="31" t="s">
        <v>202</v>
      </c>
      <c r="B208" s="32" t="s">
        <v>203</v>
      </c>
      <c r="C208" s="33" t="s">
        <v>29</v>
      </c>
      <c r="D208" s="34">
        <v>1.0</v>
      </c>
      <c r="E208" s="15">
        <v>1.0</v>
      </c>
      <c r="F208" s="15" t="s">
        <v>805</v>
      </c>
      <c r="G208" s="15" t="s">
        <v>805</v>
      </c>
      <c r="H208" s="15">
        <v>1.0</v>
      </c>
      <c r="I208" s="15">
        <v>1.0</v>
      </c>
      <c r="J208" s="15">
        <v>1.0</v>
      </c>
      <c r="K208" s="15">
        <v>1.0</v>
      </c>
      <c r="L208" s="29">
        <v>1.0</v>
      </c>
      <c r="M208" s="29" t="s">
        <v>805</v>
      </c>
      <c r="N208" s="29" t="s">
        <v>805</v>
      </c>
      <c r="O208" s="29">
        <v>1.0</v>
      </c>
      <c r="P208" s="35"/>
    </row>
    <row r="209" ht="14.25" customHeight="1">
      <c r="A209" s="31" t="s">
        <v>454</v>
      </c>
      <c r="B209" s="32" t="s">
        <v>455</v>
      </c>
      <c r="C209" s="33" t="s">
        <v>29</v>
      </c>
      <c r="D209" s="34">
        <v>1.0</v>
      </c>
      <c r="E209" s="15">
        <v>1.0</v>
      </c>
      <c r="F209" s="15">
        <v>1.0</v>
      </c>
      <c r="G209" s="15">
        <v>1.0</v>
      </c>
      <c r="H209" s="15">
        <v>1.0</v>
      </c>
      <c r="I209" s="15">
        <v>1.0</v>
      </c>
      <c r="J209" s="15">
        <v>1.0</v>
      </c>
      <c r="K209" s="15">
        <v>1.0</v>
      </c>
      <c r="L209" s="29">
        <v>1.0</v>
      </c>
      <c r="M209" s="29" t="s">
        <v>805</v>
      </c>
      <c r="N209" s="29" t="s">
        <v>805</v>
      </c>
      <c r="O209" s="29">
        <v>1.0</v>
      </c>
      <c r="P209" s="35"/>
    </row>
    <row r="210" ht="14.25" customHeight="1">
      <c r="A210" s="31" t="s">
        <v>440</v>
      </c>
      <c r="B210" s="32" t="s">
        <v>441</v>
      </c>
      <c r="C210" s="33" t="s">
        <v>29</v>
      </c>
      <c r="D210" s="34">
        <v>1.0</v>
      </c>
      <c r="E210" s="15">
        <v>1.0</v>
      </c>
      <c r="F210" s="15">
        <v>1.0</v>
      </c>
      <c r="G210" s="15" t="s">
        <v>805</v>
      </c>
      <c r="H210" s="15">
        <v>1.0</v>
      </c>
      <c r="I210" s="15">
        <v>1.0</v>
      </c>
      <c r="J210" s="15">
        <v>1.0</v>
      </c>
      <c r="K210" s="15">
        <v>1.0</v>
      </c>
      <c r="L210" s="29">
        <v>1.0</v>
      </c>
      <c r="M210" s="29" t="s">
        <v>805</v>
      </c>
      <c r="N210" s="29" t="s">
        <v>805</v>
      </c>
      <c r="O210" s="29">
        <v>1.0</v>
      </c>
      <c r="P210" s="35"/>
    </row>
    <row r="211" ht="14.25" customHeight="1">
      <c r="A211" s="31" t="s">
        <v>144</v>
      </c>
      <c r="B211" s="32" t="s">
        <v>145</v>
      </c>
      <c r="C211" s="33" t="s">
        <v>29</v>
      </c>
      <c r="D211" s="34">
        <v>1.0</v>
      </c>
      <c r="E211" s="15">
        <v>1.0</v>
      </c>
      <c r="F211" s="15" t="s">
        <v>805</v>
      </c>
      <c r="G211" s="15" t="s">
        <v>805</v>
      </c>
      <c r="H211" s="15">
        <v>1.0</v>
      </c>
      <c r="I211" s="15">
        <v>1.0</v>
      </c>
      <c r="J211" s="15">
        <v>1.0</v>
      </c>
      <c r="K211" s="15">
        <v>1.0</v>
      </c>
      <c r="L211" s="29">
        <v>1.0</v>
      </c>
      <c r="M211" s="29" t="s">
        <v>805</v>
      </c>
      <c r="N211" s="29" t="s">
        <v>805</v>
      </c>
      <c r="O211" s="29">
        <v>1.0</v>
      </c>
      <c r="P211" s="35"/>
    </row>
    <row r="212" ht="14.25" customHeight="1">
      <c r="A212" s="31" t="s">
        <v>419</v>
      </c>
      <c r="B212" s="32" t="s">
        <v>420</v>
      </c>
      <c r="C212" s="33" t="s">
        <v>33</v>
      </c>
      <c r="D212" s="34">
        <v>1.0</v>
      </c>
      <c r="E212" s="15">
        <v>1.0</v>
      </c>
      <c r="F212" s="15">
        <v>1.0</v>
      </c>
      <c r="G212" s="15" t="s">
        <v>805</v>
      </c>
      <c r="H212" s="15">
        <v>1.0</v>
      </c>
      <c r="I212" s="15">
        <v>1.0</v>
      </c>
      <c r="J212" s="15">
        <v>1.0</v>
      </c>
      <c r="K212" s="15">
        <v>1.0</v>
      </c>
      <c r="L212" s="29">
        <v>1.0</v>
      </c>
      <c r="M212" s="29" t="s">
        <v>805</v>
      </c>
      <c r="N212" s="29" t="s">
        <v>805</v>
      </c>
      <c r="O212" s="29">
        <v>1.0</v>
      </c>
      <c r="P212" s="35"/>
    </row>
    <row r="213" ht="14.25" customHeight="1">
      <c r="A213" s="31" t="s">
        <v>484</v>
      </c>
      <c r="B213" s="32" t="s">
        <v>485</v>
      </c>
      <c r="C213" s="33" t="s">
        <v>33</v>
      </c>
      <c r="D213" s="34">
        <v>1.0</v>
      </c>
      <c r="E213" s="15">
        <v>1.0</v>
      </c>
      <c r="F213" s="15">
        <v>1.0</v>
      </c>
      <c r="G213" s="15" t="s">
        <v>805</v>
      </c>
      <c r="H213" s="15">
        <v>1.0</v>
      </c>
      <c r="I213" s="15">
        <v>1.0</v>
      </c>
      <c r="J213" s="15">
        <v>1.0</v>
      </c>
      <c r="K213" s="15">
        <v>1.0</v>
      </c>
      <c r="L213" s="29" t="s">
        <v>805</v>
      </c>
      <c r="M213" s="29" t="s">
        <v>805</v>
      </c>
      <c r="N213" s="29" t="s">
        <v>805</v>
      </c>
      <c r="O213" s="29" t="s">
        <v>805</v>
      </c>
      <c r="P213" s="35"/>
    </row>
    <row r="214" ht="14.25" customHeight="1">
      <c r="A214" s="31" t="s">
        <v>182</v>
      </c>
      <c r="B214" s="32" t="s">
        <v>183</v>
      </c>
      <c r="C214" s="33" t="s">
        <v>33</v>
      </c>
      <c r="D214" s="34">
        <v>1.0</v>
      </c>
      <c r="E214" s="15">
        <v>1.0</v>
      </c>
      <c r="F214" s="15" t="s">
        <v>805</v>
      </c>
      <c r="G214" s="15" t="s">
        <v>805</v>
      </c>
      <c r="H214" s="15">
        <v>1.0</v>
      </c>
      <c r="I214" s="15">
        <v>1.0</v>
      </c>
      <c r="J214" s="15">
        <v>1.0</v>
      </c>
      <c r="K214" s="15" t="s">
        <v>805</v>
      </c>
      <c r="L214" s="29" t="s">
        <v>805</v>
      </c>
      <c r="M214" s="29" t="s">
        <v>805</v>
      </c>
      <c r="N214" s="29" t="s">
        <v>805</v>
      </c>
      <c r="O214" s="29" t="s">
        <v>805</v>
      </c>
      <c r="P214" s="35"/>
    </row>
    <row r="215" ht="14.25" customHeight="1">
      <c r="A215" s="31" t="s">
        <v>324</v>
      </c>
      <c r="B215" s="32" t="s">
        <v>325</v>
      </c>
      <c r="C215" s="33" t="s">
        <v>33</v>
      </c>
      <c r="D215" s="34">
        <v>1.0</v>
      </c>
      <c r="E215" s="15">
        <v>1.0</v>
      </c>
      <c r="F215" s="15">
        <v>1.0</v>
      </c>
      <c r="G215" s="15">
        <v>1.0</v>
      </c>
      <c r="H215" s="15">
        <v>1.0</v>
      </c>
      <c r="I215" s="15">
        <v>1.0</v>
      </c>
      <c r="J215" s="15">
        <v>1.0</v>
      </c>
      <c r="K215" s="15" t="s">
        <v>805</v>
      </c>
      <c r="L215" s="29" t="s">
        <v>805</v>
      </c>
      <c r="M215" s="29" t="s">
        <v>805</v>
      </c>
      <c r="N215" s="29" t="s">
        <v>805</v>
      </c>
      <c r="O215" s="29" t="s">
        <v>805</v>
      </c>
      <c r="P215" s="35"/>
    </row>
    <row r="216" ht="14.25" customHeight="1">
      <c r="A216" s="31" t="s">
        <v>775</v>
      </c>
      <c r="B216" s="32" t="s">
        <v>776</v>
      </c>
      <c r="C216" s="33" t="s">
        <v>33</v>
      </c>
      <c r="D216" s="34" t="s">
        <v>805</v>
      </c>
      <c r="E216" s="15" t="s">
        <v>805</v>
      </c>
      <c r="F216" s="15" t="s">
        <v>805</v>
      </c>
      <c r="G216" s="15" t="s">
        <v>805</v>
      </c>
      <c r="H216" s="15" t="s">
        <v>805</v>
      </c>
      <c r="I216" s="15" t="s">
        <v>805</v>
      </c>
      <c r="J216" s="15" t="s">
        <v>805</v>
      </c>
      <c r="K216" s="15" t="s">
        <v>805</v>
      </c>
      <c r="L216" s="29">
        <v>1.0</v>
      </c>
      <c r="M216" s="29">
        <v>1.0</v>
      </c>
      <c r="N216" s="29">
        <v>1.0</v>
      </c>
      <c r="O216" s="29">
        <v>1.0</v>
      </c>
      <c r="P216" s="35"/>
    </row>
    <row r="217" ht="14.25" customHeight="1">
      <c r="A217" s="31" t="s">
        <v>648</v>
      </c>
      <c r="B217" s="32" t="s">
        <v>649</v>
      </c>
      <c r="C217" s="33" t="s">
        <v>33</v>
      </c>
      <c r="D217" s="34">
        <v>1.0</v>
      </c>
      <c r="E217" s="15">
        <v>1.0</v>
      </c>
      <c r="F217" s="15">
        <v>1.0</v>
      </c>
      <c r="G217" s="15" t="s">
        <v>805</v>
      </c>
      <c r="H217" s="15">
        <v>1.0</v>
      </c>
      <c r="I217" s="15">
        <v>1.0</v>
      </c>
      <c r="J217" s="15">
        <v>1.0</v>
      </c>
      <c r="K217" s="15">
        <v>1.0</v>
      </c>
      <c r="L217" s="29">
        <v>1.0</v>
      </c>
      <c r="M217" s="29" t="s">
        <v>805</v>
      </c>
      <c r="N217" s="29" t="s">
        <v>805</v>
      </c>
      <c r="O217" s="29">
        <v>1.0</v>
      </c>
      <c r="P217" s="35"/>
    </row>
    <row r="218" ht="14.25" customHeight="1">
      <c r="A218" s="31" t="s">
        <v>685</v>
      </c>
      <c r="B218" s="32" t="s">
        <v>686</v>
      </c>
      <c r="C218" s="33" t="s">
        <v>33</v>
      </c>
      <c r="D218" s="34" t="s">
        <v>805</v>
      </c>
      <c r="E218" s="15" t="s">
        <v>805</v>
      </c>
      <c r="F218" s="15" t="s">
        <v>805</v>
      </c>
      <c r="G218" s="15" t="s">
        <v>805</v>
      </c>
      <c r="H218" s="15" t="s">
        <v>805</v>
      </c>
      <c r="I218" s="15">
        <v>1.0</v>
      </c>
      <c r="J218" s="15">
        <v>1.0</v>
      </c>
      <c r="K218" s="15" t="s">
        <v>805</v>
      </c>
      <c r="L218" s="29">
        <v>1.0</v>
      </c>
      <c r="M218" s="29" t="s">
        <v>805</v>
      </c>
      <c r="N218" s="29" t="s">
        <v>805</v>
      </c>
      <c r="O218" s="29">
        <v>1.0</v>
      </c>
      <c r="P218" s="35"/>
    </row>
    <row r="219" ht="14.25" customHeight="1">
      <c r="A219" s="31" t="s">
        <v>34</v>
      </c>
      <c r="B219" s="32" t="s">
        <v>35</v>
      </c>
      <c r="C219" s="33" t="s">
        <v>33</v>
      </c>
      <c r="D219" s="34">
        <v>1.0</v>
      </c>
      <c r="E219" s="15">
        <v>1.0</v>
      </c>
      <c r="F219" s="15">
        <v>1.0</v>
      </c>
      <c r="G219" s="15" t="s">
        <v>805</v>
      </c>
      <c r="H219" s="15">
        <v>1.0</v>
      </c>
      <c r="I219" s="15">
        <v>1.0</v>
      </c>
      <c r="J219" s="15">
        <v>1.0</v>
      </c>
      <c r="K219" s="15">
        <v>1.0</v>
      </c>
      <c r="L219" s="29">
        <v>1.0</v>
      </c>
      <c r="M219" s="29" t="s">
        <v>805</v>
      </c>
      <c r="N219" s="29" t="s">
        <v>805</v>
      </c>
      <c r="O219" s="29">
        <v>1.0</v>
      </c>
      <c r="P219" s="35"/>
    </row>
    <row r="220" ht="14.25" customHeight="1">
      <c r="A220" s="31" t="s">
        <v>277</v>
      </c>
      <c r="B220" s="32" t="s">
        <v>278</v>
      </c>
      <c r="C220" s="33" t="s">
        <v>105</v>
      </c>
      <c r="D220" s="34">
        <v>1.0</v>
      </c>
      <c r="E220" s="15">
        <v>1.0</v>
      </c>
      <c r="F220" s="15">
        <v>1.0</v>
      </c>
      <c r="G220" s="15">
        <v>1.0</v>
      </c>
      <c r="H220" s="15">
        <v>1.0</v>
      </c>
      <c r="I220" s="15">
        <v>1.0</v>
      </c>
      <c r="J220" s="15">
        <v>1.0</v>
      </c>
      <c r="K220" s="15" t="s">
        <v>805</v>
      </c>
      <c r="L220" s="29" t="s">
        <v>805</v>
      </c>
      <c r="M220" s="29" t="s">
        <v>805</v>
      </c>
      <c r="N220" s="29" t="s">
        <v>805</v>
      </c>
      <c r="O220" s="29" t="s">
        <v>805</v>
      </c>
      <c r="P220" s="35"/>
    </row>
    <row r="221" ht="14.25" customHeight="1">
      <c r="A221" s="31" t="s">
        <v>125</v>
      </c>
      <c r="B221" s="32" t="s">
        <v>126</v>
      </c>
      <c r="C221" s="33" t="s">
        <v>105</v>
      </c>
      <c r="D221" s="34">
        <v>1.0</v>
      </c>
      <c r="E221" s="15">
        <v>1.0</v>
      </c>
      <c r="F221" s="15">
        <v>1.0</v>
      </c>
      <c r="G221" s="15" t="s">
        <v>805</v>
      </c>
      <c r="H221" s="15">
        <v>1.0</v>
      </c>
      <c r="I221" s="15">
        <v>1.0</v>
      </c>
      <c r="J221" s="15">
        <v>1.0</v>
      </c>
      <c r="K221" s="15" t="s">
        <v>805</v>
      </c>
      <c r="L221" s="29">
        <v>1.0</v>
      </c>
      <c r="M221" s="29" t="s">
        <v>805</v>
      </c>
      <c r="N221" s="29" t="s">
        <v>805</v>
      </c>
      <c r="O221" s="29">
        <v>1.0</v>
      </c>
      <c r="P221" s="35"/>
    </row>
    <row r="222" ht="14.25" customHeight="1">
      <c r="A222" s="31" t="s">
        <v>727</v>
      </c>
      <c r="B222" s="32" t="s">
        <v>728</v>
      </c>
      <c r="C222" s="33" t="s">
        <v>105</v>
      </c>
      <c r="D222" s="34" t="s">
        <v>805</v>
      </c>
      <c r="E222" s="15" t="s">
        <v>805</v>
      </c>
      <c r="F222" s="15" t="s">
        <v>805</v>
      </c>
      <c r="G222" s="15" t="s">
        <v>805</v>
      </c>
      <c r="H222" s="15" t="s">
        <v>805</v>
      </c>
      <c r="I222" s="15" t="s">
        <v>805</v>
      </c>
      <c r="J222" s="15" t="s">
        <v>805</v>
      </c>
      <c r="K222" s="15" t="s">
        <v>805</v>
      </c>
      <c r="L222" s="29">
        <v>1.0</v>
      </c>
      <c r="M222" s="29">
        <v>1.0</v>
      </c>
      <c r="N222" s="29">
        <v>1.0</v>
      </c>
      <c r="O222" s="29">
        <v>1.0</v>
      </c>
      <c r="P222" s="35"/>
    </row>
    <row r="223" ht="14.25" customHeight="1">
      <c r="A223" s="31" t="s">
        <v>106</v>
      </c>
      <c r="B223" s="32" t="s">
        <v>107</v>
      </c>
      <c r="C223" s="33" t="s">
        <v>105</v>
      </c>
      <c r="D223" s="34">
        <v>1.0</v>
      </c>
      <c r="E223" s="15">
        <v>1.0</v>
      </c>
      <c r="F223" s="15">
        <v>1.0</v>
      </c>
      <c r="G223" s="15" t="s">
        <v>805</v>
      </c>
      <c r="H223" s="15">
        <v>1.0</v>
      </c>
      <c r="I223" s="15">
        <v>1.0</v>
      </c>
      <c r="J223" s="15">
        <v>1.0</v>
      </c>
      <c r="K223" s="15">
        <v>1.0</v>
      </c>
      <c r="L223" s="29">
        <v>1.0</v>
      </c>
      <c r="M223" s="29" t="s">
        <v>805</v>
      </c>
      <c r="N223" s="29" t="s">
        <v>805</v>
      </c>
      <c r="O223" s="29">
        <v>1.0</v>
      </c>
      <c r="P223" s="35"/>
    </row>
    <row r="224" ht="14.25" customHeight="1">
      <c r="A224" s="31" t="s">
        <v>296</v>
      </c>
      <c r="B224" s="32" t="s">
        <v>297</v>
      </c>
      <c r="C224" s="33" t="s">
        <v>105</v>
      </c>
      <c r="D224" s="34">
        <v>1.0</v>
      </c>
      <c r="E224" s="15">
        <v>1.0</v>
      </c>
      <c r="F224" s="15">
        <v>1.0</v>
      </c>
      <c r="G224" s="15">
        <v>1.0</v>
      </c>
      <c r="H224" s="15">
        <v>1.0</v>
      </c>
      <c r="I224" s="15">
        <v>1.0</v>
      </c>
      <c r="J224" s="15">
        <v>1.0</v>
      </c>
      <c r="K224" s="15">
        <v>1.0</v>
      </c>
      <c r="L224" s="29">
        <v>1.0</v>
      </c>
      <c r="M224" s="29" t="s">
        <v>805</v>
      </c>
      <c r="N224" s="29" t="s">
        <v>805</v>
      </c>
      <c r="O224" s="29">
        <v>1.0</v>
      </c>
      <c r="P224" s="35"/>
    </row>
    <row r="225" ht="14.25" customHeight="1">
      <c r="A225" s="31" t="s">
        <v>532</v>
      </c>
      <c r="B225" s="32" t="s">
        <v>533</v>
      </c>
      <c r="C225" s="33" t="s">
        <v>105</v>
      </c>
      <c r="D225" s="34">
        <v>1.0</v>
      </c>
      <c r="E225" s="15">
        <v>1.0</v>
      </c>
      <c r="F225" s="15">
        <v>1.0</v>
      </c>
      <c r="G225" s="15" t="s">
        <v>805</v>
      </c>
      <c r="H225" s="15">
        <v>1.0</v>
      </c>
      <c r="I225" s="15">
        <v>1.0</v>
      </c>
      <c r="J225" s="15">
        <v>1.0</v>
      </c>
      <c r="K225" s="15" t="s">
        <v>805</v>
      </c>
      <c r="L225" s="29">
        <v>1.0</v>
      </c>
      <c r="M225" s="29" t="s">
        <v>805</v>
      </c>
      <c r="N225" s="29" t="s">
        <v>805</v>
      </c>
      <c r="O225" s="29">
        <v>1.0</v>
      </c>
      <c r="P225" s="35"/>
    </row>
    <row r="226" ht="14.25" customHeight="1">
      <c r="A226" s="31" t="s">
        <v>152</v>
      </c>
      <c r="B226" s="32" t="s">
        <v>153</v>
      </c>
      <c r="C226" s="33" t="s">
        <v>105</v>
      </c>
      <c r="D226" s="34">
        <v>1.0</v>
      </c>
      <c r="E226" s="15">
        <v>1.0</v>
      </c>
      <c r="F226" s="15" t="s">
        <v>805</v>
      </c>
      <c r="G226" s="15" t="s">
        <v>805</v>
      </c>
      <c r="H226" s="15">
        <v>1.0</v>
      </c>
      <c r="I226" s="15">
        <v>1.0</v>
      </c>
      <c r="J226" s="15">
        <v>1.0</v>
      </c>
      <c r="K226" s="15">
        <v>1.0</v>
      </c>
      <c r="L226" s="29">
        <v>1.0</v>
      </c>
      <c r="M226" s="29" t="s">
        <v>805</v>
      </c>
      <c r="N226" s="29" t="s">
        <v>805</v>
      </c>
      <c r="O226" s="29">
        <v>1.0</v>
      </c>
      <c r="P226" s="35"/>
    </row>
    <row r="227" ht="14.25" customHeight="1">
      <c r="A227" s="31" t="s">
        <v>669</v>
      </c>
      <c r="B227" s="32" t="s">
        <v>670</v>
      </c>
      <c r="C227" s="33" t="s">
        <v>105</v>
      </c>
      <c r="D227" s="34">
        <v>1.0</v>
      </c>
      <c r="E227" s="15">
        <v>1.0</v>
      </c>
      <c r="F227" s="15">
        <v>1.0</v>
      </c>
      <c r="G227" s="15">
        <v>1.0</v>
      </c>
      <c r="H227" s="15">
        <v>1.0</v>
      </c>
      <c r="I227" s="15">
        <v>1.0</v>
      </c>
      <c r="J227" s="15">
        <v>1.0</v>
      </c>
      <c r="K227" s="15">
        <v>1.0</v>
      </c>
      <c r="L227" s="29" t="s">
        <v>805</v>
      </c>
      <c r="M227" s="29" t="s">
        <v>805</v>
      </c>
      <c r="N227" s="29" t="s">
        <v>805</v>
      </c>
      <c r="O227" s="29" t="s">
        <v>805</v>
      </c>
      <c r="P227" s="35"/>
    </row>
    <row r="228" ht="14.25" customHeight="1">
      <c r="A228" s="31" t="s">
        <v>546</v>
      </c>
      <c r="B228" s="32" t="s">
        <v>547</v>
      </c>
      <c r="C228" s="33" t="s">
        <v>105</v>
      </c>
      <c r="D228" s="34">
        <v>1.0</v>
      </c>
      <c r="E228" s="15">
        <v>1.0</v>
      </c>
      <c r="F228" s="15">
        <v>1.0</v>
      </c>
      <c r="G228" s="15" t="s">
        <v>805</v>
      </c>
      <c r="H228" s="15">
        <v>1.0</v>
      </c>
      <c r="I228" s="15">
        <v>1.0</v>
      </c>
      <c r="J228" s="15">
        <v>1.0</v>
      </c>
      <c r="K228" s="15" t="s">
        <v>805</v>
      </c>
      <c r="L228" s="29">
        <v>1.0</v>
      </c>
      <c r="M228" s="29" t="s">
        <v>805</v>
      </c>
      <c r="N228" s="29" t="s">
        <v>805</v>
      </c>
      <c r="O228" s="29">
        <v>1.0</v>
      </c>
      <c r="P228" s="35"/>
    </row>
    <row r="229" ht="14.25" customHeight="1">
      <c r="A229" s="31" t="s">
        <v>841</v>
      </c>
      <c r="B229" s="32" t="s">
        <v>842</v>
      </c>
      <c r="C229" s="33" t="s">
        <v>105</v>
      </c>
      <c r="D229" s="34">
        <v>1.0</v>
      </c>
      <c r="E229" s="15">
        <v>1.0</v>
      </c>
      <c r="F229" s="15" t="s">
        <v>805</v>
      </c>
      <c r="G229" s="15" t="s">
        <v>805</v>
      </c>
      <c r="H229" s="15">
        <v>1.0</v>
      </c>
      <c r="I229" s="15">
        <v>1.0</v>
      </c>
      <c r="J229" s="15">
        <v>1.0</v>
      </c>
      <c r="K229" s="15" t="s">
        <v>805</v>
      </c>
      <c r="L229" s="29">
        <v>1.0</v>
      </c>
      <c r="M229" s="29" t="s">
        <v>805</v>
      </c>
      <c r="N229" s="29" t="s">
        <v>805</v>
      </c>
      <c r="O229" s="29">
        <v>1.0</v>
      </c>
      <c r="P229" s="35"/>
    </row>
    <row r="230" ht="14.25" customHeight="1">
      <c r="A230" s="31" t="s">
        <v>148</v>
      </c>
      <c r="B230" s="32" t="s">
        <v>149</v>
      </c>
      <c r="C230" s="33" t="s">
        <v>88</v>
      </c>
      <c r="D230" s="34">
        <v>1.0</v>
      </c>
      <c r="E230" s="15">
        <v>1.0</v>
      </c>
      <c r="F230" s="15">
        <v>1.0</v>
      </c>
      <c r="G230" s="15" t="s">
        <v>805</v>
      </c>
      <c r="H230" s="15">
        <v>1.0</v>
      </c>
      <c r="I230" s="15">
        <v>1.0</v>
      </c>
      <c r="J230" s="15">
        <v>1.0</v>
      </c>
      <c r="K230" s="15" t="s">
        <v>805</v>
      </c>
      <c r="L230" s="29">
        <v>1.0</v>
      </c>
      <c r="M230" s="29" t="s">
        <v>805</v>
      </c>
      <c r="N230" s="29" t="s">
        <v>805</v>
      </c>
      <c r="O230" s="29">
        <v>1.0</v>
      </c>
      <c r="P230" s="35"/>
    </row>
    <row r="231" ht="14.25" customHeight="1">
      <c r="A231" s="31" t="s">
        <v>598</v>
      </c>
      <c r="B231" s="32" t="s">
        <v>599</v>
      </c>
      <c r="C231" s="33" t="s">
        <v>88</v>
      </c>
      <c r="D231" s="34">
        <v>1.0</v>
      </c>
      <c r="E231" s="15">
        <v>1.0</v>
      </c>
      <c r="F231" s="15">
        <v>1.0</v>
      </c>
      <c r="G231" s="15">
        <v>1.0</v>
      </c>
      <c r="H231" s="15">
        <v>1.0</v>
      </c>
      <c r="I231" s="15">
        <v>1.0</v>
      </c>
      <c r="J231" s="15">
        <v>1.0</v>
      </c>
      <c r="K231" s="15" t="s">
        <v>805</v>
      </c>
      <c r="L231" s="29" t="s">
        <v>805</v>
      </c>
      <c r="M231" s="29" t="s">
        <v>805</v>
      </c>
      <c r="N231" s="29" t="s">
        <v>805</v>
      </c>
      <c r="O231" s="29" t="s">
        <v>805</v>
      </c>
      <c r="P231" s="35"/>
    </row>
    <row r="232" ht="14.25" customHeight="1">
      <c r="A232" s="31" t="s">
        <v>618</v>
      </c>
      <c r="B232" s="32" t="s">
        <v>619</v>
      </c>
      <c r="C232" s="33" t="s">
        <v>88</v>
      </c>
      <c r="D232" s="34" t="s">
        <v>805</v>
      </c>
      <c r="E232" s="15" t="s">
        <v>805</v>
      </c>
      <c r="F232" s="15" t="s">
        <v>805</v>
      </c>
      <c r="G232" s="15" t="s">
        <v>805</v>
      </c>
      <c r="H232" s="15" t="s">
        <v>805</v>
      </c>
      <c r="I232" s="15">
        <v>1.0</v>
      </c>
      <c r="J232" s="15">
        <v>1.0</v>
      </c>
      <c r="K232" s="15" t="s">
        <v>805</v>
      </c>
      <c r="L232" s="29">
        <v>1.0</v>
      </c>
      <c r="M232" s="29" t="s">
        <v>805</v>
      </c>
      <c r="N232" s="29" t="s">
        <v>805</v>
      </c>
      <c r="O232" s="29">
        <v>1.0</v>
      </c>
      <c r="P232" s="35"/>
    </row>
    <row r="233" ht="14.25" customHeight="1">
      <c r="A233" s="31" t="s">
        <v>757</v>
      </c>
      <c r="B233" s="32" t="s">
        <v>843</v>
      </c>
      <c r="C233" s="33" t="s">
        <v>88</v>
      </c>
      <c r="D233" s="34" t="s">
        <v>805</v>
      </c>
      <c r="E233" s="15" t="s">
        <v>805</v>
      </c>
      <c r="F233" s="15" t="s">
        <v>805</v>
      </c>
      <c r="G233" s="15" t="s">
        <v>805</v>
      </c>
      <c r="H233" s="15" t="s">
        <v>805</v>
      </c>
      <c r="I233" s="15" t="s">
        <v>805</v>
      </c>
      <c r="J233" s="15" t="s">
        <v>805</v>
      </c>
      <c r="K233" s="15" t="s">
        <v>805</v>
      </c>
      <c r="L233" s="29" t="s">
        <v>805</v>
      </c>
      <c r="M233" s="29" t="s">
        <v>805</v>
      </c>
      <c r="N233" s="29" t="s">
        <v>805</v>
      </c>
      <c r="O233" s="29" t="s">
        <v>805</v>
      </c>
      <c r="P233" s="35"/>
    </row>
    <row r="234" ht="14.25" customHeight="1">
      <c r="A234" s="31" t="s">
        <v>673</v>
      </c>
      <c r="B234" s="32" t="s">
        <v>674</v>
      </c>
      <c r="C234" s="33" t="s">
        <v>88</v>
      </c>
      <c r="D234" s="34">
        <v>1.0</v>
      </c>
      <c r="E234" s="15">
        <v>1.0</v>
      </c>
      <c r="F234" s="15" t="s">
        <v>805</v>
      </c>
      <c r="G234" s="15" t="s">
        <v>805</v>
      </c>
      <c r="H234" s="15">
        <v>1.0</v>
      </c>
      <c r="I234" s="15">
        <v>1.0</v>
      </c>
      <c r="J234" s="15">
        <v>1.0</v>
      </c>
      <c r="K234" s="15">
        <v>1.0</v>
      </c>
      <c r="L234" s="29">
        <v>1.0</v>
      </c>
      <c r="M234" s="29" t="s">
        <v>805</v>
      </c>
      <c r="N234" s="29" t="s">
        <v>805</v>
      </c>
      <c r="O234" s="29">
        <v>1.0</v>
      </c>
      <c r="P234" s="35"/>
    </row>
    <row r="235" ht="14.25" customHeight="1">
      <c r="A235" s="31" t="s">
        <v>687</v>
      </c>
      <c r="B235" s="32" t="s">
        <v>688</v>
      </c>
      <c r="C235" s="33" t="s">
        <v>88</v>
      </c>
      <c r="D235" s="34">
        <v>1.0</v>
      </c>
      <c r="E235" s="15">
        <v>1.0</v>
      </c>
      <c r="F235" s="15">
        <v>1.0</v>
      </c>
      <c r="G235" s="15" t="s">
        <v>805</v>
      </c>
      <c r="H235" s="15">
        <v>1.0</v>
      </c>
      <c r="I235" s="15">
        <v>1.0</v>
      </c>
      <c r="J235" s="15">
        <v>1.0</v>
      </c>
      <c r="K235" s="15">
        <v>1.0</v>
      </c>
      <c r="L235" s="29" t="s">
        <v>805</v>
      </c>
      <c r="M235" s="29" t="s">
        <v>805</v>
      </c>
      <c r="N235" s="29" t="s">
        <v>805</v>
      </c>
      <c r="O235" s="29" t="s">
        <v>805</v>
      </c>
      <c r="P235" s="35"/>
    </row>
    <row r="236" ht="14.25" customHeight="1">
      <c r="A236" s="31" t="s">
        <v>239</v>
      </c>
      <c r="B236" s="32" t="s">
        <v>240</v>
      </c>
      <c r="C236" s="33" t="s">
        <v>88</v>
      </c>
      <c r="D236" s="34">
        <v>1.0</v>
      </c>
      <c r="E236" s="15">
        <v>1.0</v>
      </c>
      <c r="F236" s="15">
        <v>1.0</v>
      </c>
      <c r="G236" s="15" t="s">
        <v>805</v>
      </c>
      <c r="H236" s="15">
        <v>1.0</v>
      </c>
      <c r="I236" s="15">
        <v>1.0</v>
      </c>
      <c r="J236" s="15">
        <v>1.0</v>
      </c>
      <c r="K236" s="15">
        <v>1.0</v>
      </c>
      <c r="L236" s="29">
        <v>1.0</v>
      </c>
      <c r="M236" s="29" t="s">
        <v>805</v>
      </c>
      <c r="N236" s="29" t="s">
        <v>805</v>
      </c>
      <c r="O236" s="29">
        <v>1.0</v>
      </c>
      <c r="P236" s="35"/>
    </row>
    <row r="237" ht="14.25" customHeight="1">
      <c r="A237" s="31" t="s">
        <v>89</v>
      </c>
      <c r="B237" s="32" t="s">
        <v>90</v>
      </c>
      <c r="C237" s="33" t="s">
        <v>88</v>
      </c>
      <c r="D237" s="34">
        <v>1.0</v>
      </c>
      <c r="E237" s="15">
        <v>1.0</v>
      </c>
      <c r="F237" s="15" t="s">
        <v>805</v>
      </c>
      <c r="G237" s="15" t="s">
        <v>805</v>
      </c>
      <c r="H237" s="15">
        <v>1.0</v>
      </c>
      <c r="I237" s="15">
        <v>1.0</v>
      </c>
      <c r="J237" s="15">
        <v>1.0</v>
      </c>
      <c r="K237" s="15">
        <v>1.0</v>
      </c>
      <c r="L237" s="29" t="s">
        <v>805</v>
      </c>
      <c r="M237" s="29" t="s">
        <v>805</v>
      </c>
      <c r="N237" s="29" t="s">
        <v>805</v>
      </c>
      <c r="O237" s="29" t="s">
        <v>805</v>
      </c>
      <c r="P237" s="35"/>
    </row>
    <row r="238" ht="14.25" customHeight="1">
      <c r="A238" s="31" t="s">
        <v>393</v>
      </c>
      <c r="B238" s="32" t="s">
        <v>394</v>
      </c>
      <c r="C238" s="33" t="s">
        <v>169</v>
      </c>
      <c r="D238" s="34">
        <v>1.0</v>
      </c>
      <c r="E238" s="15">
        <v>1.0</v>
      </c>
      <c r="F238" s="15">
        <v>1.0</v>
      </c>
      <c r="G238" s="15">
        <v>1.0</v>
      </c>
      <c r="H238" s="15">
        <v>1.0</v>
      </c>
      <c r="I238" s="15">
        <v>1.0</v>
      </c>
      <c r="J238" s="15">
        <v>1.0</v>
      </c>
      <c r="K238" s="15" t="s">
        <v>805</v>
      </c>
      <c r="L238" s="29" t="s">
        <v>805</v>
      </c>
      <c r="M238" s="29" t="s">
        <v>805</v>
      </c>
      <c r="N238" s="29" t="s">
        <v>805</v>
      </c>
      <c r="O238" s="29" t="s">
        <v>805</v>
      </c>
      <c r="P238" s="35"/>
    </row>
    <row r="239" ht="14.25" customHeight="1">
      <c r="A239" s="31" t="s">
        <v>378</v>
      </c>
      <c r="B239" s="32" t="s">
        <v>379</v>
      </c>
      <c r="C239" s="33" t="s">
        <v>169</v>
      </c>
      <c r="D239" s="34">
        <v>1.0</v>
      </c>
      <c r="E239" s="15">
        <v>1.0</v>
      </c>
      <c r="F239" s="15">
        <v>1.0</v>
      </c>
      <c r="G239" s="15" t="s">
        <v>805</v>
      </c>
      <c r="H239" s="15">
        <v>1.0</v>
      </c>
      <c r="I239" s="15">
        <v>1.0</v>
      </c>
      <c r="J239" s="15">
        <v>1.0</v>
      </c>
      <c r="K239" s="15" t="s">
        <v>805</v>
      </c>
      <c r="L239" s="29">
        <v>1.0</v>
      </c>
      <c r="M239" s="29" t="s">
        <v>805</v>
      </c>
      <c r="N239" s="29" t="s">
        <v>805</v>
      </c>
      <c r="O239" s="29">
        <v>1.0</v>
      </c>
      <c r="P239" s="35"/>
    </row>
    <row r="240" ht="14.25" customHeight="1">
      <c r="A240" s="31" t="s">
        <v>586</v>
      </c>
      <c r="B240" s="32" t="s">
        <v>587</v>
      </c>
      <c r="C240" s="33" t="s">
        <v>169</v>
      </c>
      <c r="D240" s="34" t="s">
        <v>805</v>
      </c>
      <c r="E240" s="15" t="s">
        <v>805</v>
      </c>
      <c r="F240" s="15" t="s">
        <v>805</v>
      </c>
      <c r="G240" s="15" t="s">
        <v>805</v>
      </c>
      <c r="H240" s="15" t="s">
        <v>805</v>
      </c>
      <c r="I240" s="15" t="s">
        <v>805</v>
      </c>
      <c r="J240" s="15">
        <v>1.0</v>
      </c>
      <c r="K240" s="15" t="s">
        <v>805</v>
      </c>
      <c r="L240" s="29">
        <v>1.0</v>
      </c>
      <c r="M240" s="29" t="s">
        <v>805</v>
      </c>
      <c r="N240" s="29" t="s">
        <v>805</v>
      </c>
      <c r="O240" s="29">
        <v>1.0</v>
      </c>
      <c r="P240" s="35"/>
    </row>
    <row r="241" ht="14.25" customHeight="1">
      <c r="A241" s="31" t="s">
        <v>755</v>
      </c>
      <c r="B241" s="32" t="s">
        <v>756</v>
      </c>
      <c r="C241" s="33" t="s">
        <v>169</v>
      </c>
      <c r="D241" s="34" t="s">
        <v>805</v>
      </c>
      <c r="E241" s="15" t="s">
        <v>805</v>
      </c>
      <c r="F241" s="15" t="s">
        <v>805</v>
      </c>
      <c r="G241" s="15" t="s">
        <v>805</v>
      </c>
      <c r="H241" s="15" t="s">
        <v>805</v>
      </c>
      <c r="I241" s="15" t="s">
        <v>805</v>
      </c>
      <c r="J241" s="15" t="s">
        <v>805</v>
      </c>
      <c r="K241" s="15" t="s">
        <v>805</v>
      </c>
      <c r="L241" s="29">
        <v>1.0</v>
      </c>
      <c r="M241" s="29">
        <v>1.0</v>
      </c>
      <c r="N241" s="29">
        <v>1.0</v>
      </c>
      <c r="O241" s="29">
        <v>1.0</v>
      </c>
      <c r="P241" s="35"/>
    </row>
    <row r="242" ht="14.25" customHeight="1">
      <c r="A242" s="31" t="s">
        <v>170</v>
      </c>
      <c r="B242" s="32" t="s">
        <v>171</v>
      </c>
      <c r="C242" s="33" t="s">
        <v>169</v>
      </c>
      <c r="D242" s="34">
        <v>1.0</v>
      </c>
      <c r="E242" s="15">
        <v>1.0</v>
      </c>
      <c r="F242" s="15" t="s">
        <v>805</v>
      </c>
      <c r="G242" s="15" t="s">
        <v>805</v>
      </c>
      <c r="H242" s="15">
        <v>1.0</v>
      </c>
      <c r="I242" s="15">
        <v>1.0</v>
      </c>
      <c r="J242" s="15">
        <v>1.0</v>
      </c>
      <c r="K242" s="15" t="s">
        <v>805</v>
      </c>
      <c r="L242" s="29">
        <v>1.0</v>
      </c>
      <c r="M242" s="29" t="s">
        <v>805</v>
      </c>
      <c r="N242" s="29" t="s">
        <v>805</v>
      </c>
      <c r="O242" s="29">
        <v>1.0</v>
      </c>
      <c r="P242" s="35"/>
    </row>
    <row r="243" ht="14.25" customHeight="1">
      <c r="A243" s="31" t="s">
        <v>281</v>
      </c>
      <c r="B243" s="32" t="s">
        <v>282</v>
      </c>
      <c r="C243" s="33" t="s">
        <v>169</v>
      </c>
      <c r="D243" s="34">
        <v>1.0</v>
      </c>
      <c r="E243" s="15">
        <v>1.0</v>
      </c>
      <c r="F243" s="15">
        <v>1.0</v>
      </c>
      <c r="G243" s="15">
        <v>1.0</v>
      </c>
      <c r="H243" s="15">
        <v>1.0</v>
      </c>
      <c r="I243" s="15">
        <v>1.0</v>
      </c>
      <c r="J243" s="15">
        <v>1.0</v>
      </c>
      <c r="K243" s="15" t="s">
        <v>805</v>
      </c>
      <c r="L243" s="29">
        <v>1.0</v>
      </c>
      <c r="M243" s="29" t="s">
        <v>805</v>
      </c>
      <c r="N243" s="29" t="s">
        <v>805</v>
      </c>
      <c r="O243" s="29">
        <v>1.0</v>
      </c>
      <c r="P243" s="35"/>
    </row>
    <row r="244" ht="14.25" customHeight="1">
      <c r="A244" s="31" t="s">
        <v>298</v>
      </c>
      <c r="B244" s="32" t="s">
        <v>299</v>
      </c>
      <c r="C244" s="33" t="s">
        <v>169</v>
      </c>
      <c r="D244" s="34">
        <v>1.0</v>
      </c>
      <c r="E244" s="15">
        <v>1.0</v>
      </c>
      <c r="F244" s="15" t="s">
        <v>805</v>
      </c>
      <c r="G244" s="15" t="s">
        <v>805</v>
      </c>
      <c r="H244" s="15">
        <v>1.0</v>
      </c>
      <c r="I244" s="15">
        <v>1.0</v>
      </c>
      <c r="J244" s="15">
        <v>1.0</v>
      </c>
      <c r="K244" s="15" t="s">
        <v>805</v>
      </c>
      <c r="L244" s="29">
        <v>1.0</v>
      </c>
      <c r="M244" s="29" t="s">
        <v>805</v>
      </c>
      <c r="N244" s="29" t="s">
        <v>805</v>
      </c>
      <c r="O244" s="29">
        <v>1.0</v>
      </c>
      <c r="P244" s="35"/>
    </row>
    <row r="245" ht="14.25" customHeight="1">
      <c r="A245" s="31" t="s">
        <v>228</v>
      </c>
      <c r="B245" s="32" t="s">
        <v>229</v>
      </c>
      <c r="C245" s="33" t="s">
        <v>169</v>
      </c>
      <c r="D245" s="34">
        <v>1.0</v>
      </c>
      <c r="E245" s="15">
        <v>1.0</v>
      </c>
      <c r="F245" s="15">
        <v>1.0</v>
      </c>
      <c r="G245" s="15" t="s">
        <v>805</v>
      </c>
      <c r="H245" s="15">
        <v>1.0</v>
      </c>
      <c r="I245" s="15">
        <v>1.0</v>
      </c>
      <c r="J245" s="15">
        <v>1.0</v>
      </c>
      <c r="K245" s="15" t="s">
        <v>805</v>
      </c>
      <c r="L245" s="29">
        <v>1.0</v>
      </c>
      <c r="M245" s="29" t="s">
        <v>805</v>
      </c>
      <c r="N245" s="29" t="s">
        <v>805</v>
      </c>
      <c r="O245" s="29">
        <v>1.0</v>
      </c>
      <c r="P245" s="35"/>
    </row>
    <row r="246" ht="14.25" customHeight="1">
      <c r="A246" s="31" t="s">
        <v>671</v>
      </c>
      <c r="B246" s="32" t="s">
        <v>672</v>
      </c>
      <c r="C246" s="33" t="s">
        <v>435</v>
      </c>
      <c r="D246" s="34">
        <v>1.0</v>
      </c>
      <c r="E246" s="15">
        <v>1.0</v>
      </c>
      <c r="F246" s="15">
        <v>1.0</v>
      </c>
      <c r="G246" s="15" t="s">
        <v>805</v>
      </c>
      <c r="H246" s="15">
        <v>1.0</v>
      </c>
      <c r="I246" s="15">
        <v>1.0</v>
      </c>
      <c r="J246" s="15">
        <v>1.0</v>
      </c>
      <c r="K246" s="15" t="s">
        <v>805</v>
      </c>
      <c r="L246" s="29">
        <v>1.0</v>
      </c>
      <c r="M246" s="29" t="s">
        <v>805</v>
      </c>
      <c r="N246" s="29" t="s">
        <v>805</v>
      </c>
      <c r="O246" s="29">
        <v>1.0</v>
      </c>
      <c r="P246" s="35"/>
    </row>
    <row r="247" ht="14.25" customHeight="1">
      <c r="A247" s="31" t="s">
        <v>580</v>
      </c>
      <c r="B247" s="32" t="s">
        <v>581</v>
      </c>
      <c r="C247" s="33" t="s">
        <v>435</v>
      </c>
      <c r="D247" s="34">
        <v>1.0</v>
      </c>
      <c r="E247" s="15">
        <v>1.0</v>
      </c>
      <c r="F247" s="15" t="s">
        <v>805</v>
      </c>
      <c r="G247" s="15" t="s">
        <v>805</v>
      </c>
      <c r="H247" s="15">
        <v>1.0</v>
      </c>
      <c r="I247" s="15">
        <v>1.0</v>
      </c>
      <c r="J247" s="15">
        <v>1.0</v>
      </c>
      <c r="K247" s="15">
        <v>1.0</v>
      </c>
      <c r="L247" s="29">
        <v>1.0</v>
      </c>
      <c r="M247" s="29" t="s">
        <v>805</v>
      </c>
      <c r="N247" s="29" t="s">
        <v>805</v>
      </c>
      <c r="O247" s="29">
        <v>1.0</v>
      </c>
      <c r="P247" s="35"/>
    </row>
    <row r="248" ht="14.25" customHeight="1">
      <c r="A248" s="31" t="s">
        <v>844</v>
      </c>
      <c r="B248" s="32" t="s">
        <v>845</v>
      </c>
      <c r="C248" s="33" t="s">
        <v>435</v>
      </c>
      <c r="D248" s="34">
        <v>1.0</v>
      </c>
      <c r="E248" s="15">
        <v>1.0</v>
      </c>
      <c r="F248" s="15" t="s">
        <v>805</v>
      </c>
      <c r="G248" s="15" t="s">
        <v>805</v>
      </c>
      <c r="H248" s="15">
        <v>1.0</v>
      </c>
      <c r="I248" s="15">
        <v>1.0</v>
      </c>
      <c r="J248" s="15">
        <v>1.0</v>
      </c>
      <c r="K248" s="15">
        <v>1.0</v>
      </c>
      <c r="L248" s="29" t="s">
        <v>805</v>
      </c>
      <c r="M248" s="29" t="s">
        <v>805</v>
      </c>
      <c r="N248" s="29" t="s">
        <v>805</v>
      </c>
      <c r="O248" s="29" t="s">
        <v>805</v>
      </c>
      <c r="P248" s="35"/>
    </row>
    <row r="249" ht="14.25" customHeight="1">
      <c r="A249" s="31" t="s">
        <v>436</v>
      </c>
      <c r="B249" s="32" t="s">
        <v>437</v>
      </c>
      <c r="C249" s="33" t="s">
        <v>435</v>
      </c>
      <c r="D249" s="34">
        <v>1.0</v>
      </c>
      <c r="E249" s="15">
        <v>1.0</v>
      </c>
      <c r="F249" s="15">
        <v>1.0</v>
      </c>
      <c r="G249" s="15">
        <v>1.0</v>
      </c>
      <c r="H249" s="15">
        <v>1.0</v>
      </c>
      <c r="I249" s="15">
        <v>1.0</v>
      </c>
      <c r="J249" s="15">
        <v>1.0</v>
      </c>
      <c r="K249" s="15">
        <v>1.0</v>
      </c>
      <c r="L249" s="29" t="s">
        <v>805</v>
      </c>
      <c r="M249" s="29" t="s">
        <v>805</v>
      </c>
      <c r="N249" s="29" t="s">
        <v>805</v>
      </c>
      <c r="O249" s="29" t="s">
        <v>805</v>
      </c>
      <c r="P249" s="35"/>
    </row>
    <row r="250" ht="14.25" customHeight="1">
      <c r="A250" s="31" t="s">
        <v>667</v>
      </c>
      <c r="B250" s="32" t="s">
        <v>668</v>
      </c>
      <c r="C250" s="33" t="s">
        <v>435</v>
      </c>
      <c r="D250" s="34">
        <v>1.0</v>
      </c>
      <c r="E250" s="15">
        <v>1.0</v>
      </c>
      <c r="F250" s="15">
        <v>1.0</v>
      </c>
      <c r="G250" s="15" t="s">
        <v>805</v>
      </c>
      <c r="H250" s="15">
        <v>1.0</v>
      </c>
      <c r="I250" s="15">
        <v>1.0</v>
      </c>
      <c r="J250" s="15">
        <v>1.0</v>
      </c>
      <c r="K250" s="15">
        <v>1.0</v>
      </c>
      <c r="L250" s="29">
        <v>1.0</v>
      </c>
      <c r="M250" s="29" t="s">
        <v>805</v>
      </c>
      <c r="N250" s="29" t="s">
        <v>805</v>
      </c>
      <c r="O250" s="29">
        <v>1.0</v>
      </c>
      <c r="P250" s="35"/>
    </row>
    <row r="251" ht="14.25" customHeight="1">
      <c r="A251" s="31" t="s">
        <v>846</v>
      </c>
      <c r="B251" s="32" t="s">
        <v>847</v>
      </c>
      <c r="C251" s="33" t="s">
        <v>435</v>
      </c>
      <c r="D251" s="34">
        <v>1.0</v>
      </c>
      <c r="E251" s="15">
        <v>1.0</v>
      </c>
      <c r="F251" s="15" t="s">
        <v>805</v>
      </c>
      <c r="G251" s="15" t="s">
        <v>805</v>
      </c>
      <c r="H251" s="15">
        <v>1.0</v>
      </c>
      <c r="I251" s="15">
        <v>1.0</v>
      </c>
      <c r="J251" s="15">
        <v>1.0</v>
      </c>
      <c r="K251" s="15" t="s">
        <v>805</v>
      </c>
      <c r="L251" s="29" t="s">
        <v>805</v>
      </c>
      <c r="M251" s="29" t="s">
        <v>805</v>
      </c>
      <c r="N251" s="29" t="s">
        <v>805</v>
      </c>
      <c r="O251" s="29" t="s">
        <v>805</v>
      </c>
      <c r="P251" s="35"/>
    </row>
    <row r="252" ht="14.25" customHeight="1">
      <c r="A252" s="31" t="s">
        <v>560</v>
      </c>
      <c r="B252" s="32" t="s">
        <v>561</v>
      </c>
      <c r="C252" s="33" t="s">
        <v>435</v>
      </c>
      <c r="D252" s="34">
        <v>1.0</v>
      </c>
      <c r="E252" s="15">
        <v>1.0</v>
      </c>
      <c r="F252" s="15" t="s">
        <v>805</v>
      </c>
      <c r="G252" s="15" t="s">
        <v>805</v>
      </c>
      <c r="H252" s="15">
        <v>1.0</v>
      </c>
      <c r="I252" s="15">
        <v>1.0</v>
      </c>
      <c r="J252" s="15">
        <v>1.0</v>
      </c>
      <c r="K252" s="15">
        <v>1.0</v>
      </c>
      <c r="L252" s="29">
        <v>1.0</v>
      </c>
      <c r="M252" s="29" t="s">
        <v>805</v>
      </c>
      <c r="N252" s="29">
        <v>1.0</v>
      </c>
      <c r="O252" s="29">
        <v>1.0</v>
      </c>
      <c r="P252" s="35"/>
    </row>
    <row r="253" ht="14.25" customHeight="1">
      <c r="A253" s="31" t="s">
        <v>737</v>
      </c>
      <c r="B253" s="32" t="s">
        <v>738</v>
      </c>
      <c r="C253" s="33" t="s">
        <v>435</v>
      </c>
      <c r="D253" s="34" t="s">
        <v>805</v>
      </c>
      <c r="E253" s="15" t="s">
        <v>805</v>
      </c>
      <c r="F253" s="15" t="s">
        <v>805</v>
      </c>
      <c r="G253" s="15" t="s">
        <v>805</v>
      </c>
      <c r="H253" s="15" t="s">
        <v>805</v>
      </c>
      <c r="I253" s="15" t="s">
        <v>805</v>
      </c>
      <c r="J253" s="15" t="s">
        <v>805</v>
      </c>
      <c r="K253" s="15" t="s">
        <v>805</v>
      </c>
      <c r="L253" s="29">
        <v>1.0</v>
      </c>
      <c r="M253" s="29">
        <v>1.0</v>
      </c>
      <c r="N253" s="29">
        <v>1.0</v>
      </c>
      <c r="O253" s="29">
        <v>1.0</v>
      </c>
      <c r="P253" s="35"/>
    </row>
    <row r="254" ht="14.25" customHeight="1">
      <c r="A254" s="31" t="s">
        <v>478</v>
      </c>
      <c r="B254" s="32" t="s">
        <v>479</v>
      </c>
      <c r="C254" s="33" t="s">
        <v>129</v>
      </c>
      <c r="D254" s="34" t="s">
        <v>805</v>
      </c>
      <c r="E254" s="15" t="s">
        <v>805</v>
      </c>
      <c r="F254" s="15" t="s">
        <v>805</v>
      </c>
      <c r="G254" s="15" t="s">
        <v>805</v>
      </c>
      <c r="H254" s="15" t="s">
        <v>805</v>
      </c>
      <c r="I254" s="15" t="s">
        <v>805</v>
      </c>
      <c r="J254" s="15">
        <v>1.0</v>
      </c>
      <c r="K254" s="15" t="s">
        <v>805</v>
      </c>
      <c r="L254" s="29" t="s">
        <v>805</v>
      </c>
      <c r="M254" s="29" t="s">
        <v>805</v>
      </c>
      <c r="N254" s="29" t="s">
        <v>805</v>
      </c>
      <c r="O254" s="29" t="s">
        <v>805</v>
      </c>
      <c r="P254" s="35"/>
    </row>
    <row r="255" ht="14.25" customHeight="1">
      <c r="A255" s="31" t="s">
        <v>273</v>
      </c>
      <c r="B255" s="32" t="s">
        <v>274</v>
      </c>
      <c r="C255" s="33" t="s">
        <v>129</v>
      </c>
      <c r="D255" s="34">
        <v>1.0</v>
      </c>
      <c r="E255" s="15">
        <v>1.0</v>
      </c>
      <c r="F255" s="15">
        <v>1.0</v>
      </c>
      <c r="G255" s="15">
        <v>1.0</v>
      </c>
      <c r="H255" s="15">
        <v>1.0</v>
      </c>
      <c r="I255" s="15">
        <v>1.0</v>
      </c>
      <c r="J255" s="15">
        <v>1.0</v>
      </c>
      <c r="K255" s="15" t="s">
        <v>805</v>
      </c>
      <c r="L255" s="29" t="s">
        <v>805</v>
      </c>
      <c r="M255" s="29" t="s">
        <v>805</v>
      </c>
      <c r="N255" s="29" t="s">
        <v>805</v>
      </c>
      <c r="O255" s="29" t="s">
        <v>805</v>
      </c>
      <c r="P255" s="35"/>
    </row>
    <row r="256" ht="14.25" customHeight="1">
      <c r="A256" s="31" t="s">
        <v>130</v>
      </c>
      <c r="B256" s="32" t="s">
        <v>131</v>
      </c>
      <c r="C256" s="33" t="s">
        <v>129</v>
      </c>
      <c r="D256" s="34">
        <v>1.0</v>
      </c>
      <c r="E256" s="15">
        <v>1.0</v>
      </c>
      <c r="F256" s="15">
        <v>1.0</v>
      </c>
      <c r="G256" s="15" t="s">
        <v>805</v>
      </c>
      <c r="H256" s="15">
        <v>1.0</v>
      </c>
      <c r="I256" s="15">
        <v>1.0</v>
      </c>
      <c r="J256" s="15">
        <v>1.0</v>
      </c>
      <c r="K256" s="15" t="s">
        <v>805</v>
      </c>
      <c r="L256" s="29">
        <v>1.0</v>
      </c>
      <c r="M256" s="29" t="s">
        <v>805</v>
      </c>
      <c r="N256" s="29" t="s">
        <v>805</v>
      </c>
      <c r="O256" s="29">
        <v>1.0</v>
      </c>
      <c r="P256" s="35"/>
    </row>
    <row r="257" ht="14.25" customHeight="1">
      <c r="A257" s="31" t="s">
        <v>747</v>
      </c>
      <c r="B257" s="32" t="s">
        <v>748</v>
      </c>
      <c r="C257" s="33" t="s">
        <v>129</v>
      </c>
      <c r="D257" s="34" t="s">
        <v>805</v>
      </c>
      <c r="E257" s="15" t="s">
        <v>805</v>
      </c>
      <c r="F257" s="15" t="s">
        <v>805</v>
      </c>
      <c r="G257" s="15" t="s">
        <v>805</v>
      </c>
      <c r="H257" s="15" t="s">
        <v>805</v>
      </c>
      <c r="I257" s="15" t="s">
        <v>805</v>
      </c>
      <c r="J257" s="15">
        <v>1.0</v>
      </c>
      <c r="K257" s="15" t="s">
        <v>805</v>
      </c>
      <c r="L257" s="29">
        <v>1.0</v>
      </c>
      <c r="M257" s="29" t="s">
        <v>805</v>
      </c>
      <c r="N257" s="29" t="s">
        <v>805</v>
      </c>
      <c r="O257" s="29">
        <v>1.0</v>
      </c>
      <c r="P257" s="35"/>
    </row>
    <row r="258" ht="14.25" customHeight="1">
      <c r="A258" s="31" t="s">
        <v>751</v>
      </c>
      <c r="B258" s="32" t="s">
        <v>752</v>
      </c>
      <c r="C258" s="33" t="s">
        <v>129</v>
      </c>
      <c r="D258" s="34" t="s">
        <v>805</v>
      </c>
      <c r="E258" s="15" t="s">
        <v>805</v>
      </c>
      <c r="F258" s="15" t="s">
        <v>805</v>
      </c>
      <c r="G258" s="15" t="s">
        <v>805</v>
      </c>
      <c r="H258" s="15" t="s">
        <v>805</v>
      </c>
      <c r="I258" s="15" t="s">
        <v>805</v>
      </c>
      <c r="J258" s="15" t="s">
        <v>805</v>
      </c>
      <c r="K258" s="15" t="s">
        <v>805</v>
      </c>
      <c r="L258" s="29">
        <v>1.0</v>
      </c>
      <c r="M258" s="29">
        <v>1.0</v>
      </c>
      <c r="N258" s="29">
        <v>1.0</v>
      </c>
      <c r="O258" s="29">
        <v>1.0</v>
      </c>
      <c r="P258" s="35"/>
    </row>
    <row r="259" ht="14.25" customHeight="1">
      <c r="A259" s="31" t="s">
        <v>290</v>
      </c>
      <c r="B259" s="32" t="s">
        <v>291</v>
      </c>
      <c r="C259" s="33" t="s">
        <v>129</v>
      </c>
      <c r="D259" s="34">
        <v>1.0</v>
      </c>
      <c r="E259" s="15">
        <v>1.0</v>
      </c>
      <c r="F259" s="15">
        <v>1.0</v>
      </c>
      <c r="G259" s="15" t="s">
        <v>805</v>
      </c>
      <c r="H259" s="15">
        <v>1.0</v>
      </c>
      <c r="I259" s="15">
        <v>1.0</v>
      </c>
      <c r="J259" s="15">
        <v>1.0</v>
      </c>
      <c r="K259" s="15" t="s">
        <v>805</v>
      </c>
      <c r="L259" s="29">
        <v>1.0</v>
      </c>
      <c r="M259" s="29" t="s">
        <v>805</v>
      </c>
      <c r="N259" s="29" t="s">
        <v>805</v>
      </c>
      <c r="O259" s="29">
        <v>1.0</v>
      </c>
      <c r="P259" s="35"/>
    </row>
    <row r="260" ht="14.25" customHeight="1">
      <c r="A260" s="31" t="s">
        <v>848</v>
      </c>
      <c r="B260" s="32" t="s">
        <v>645</v>
      </c>
      <c r="C260" s="33" t="s">
        <v>129</v>
      </c>
      <c r="D260" s="34">
        <v>1.0</v>
      </c>
      <c r="E260" s="15">
        <v>1.0</v>
      </c>
      <c r="F260" s="15">
        <v>1.0</v>
      </c>
      <c r="G260" s="15" t="s">
        <v>805</v>
      </c>
      <c r="H260" s="15">
        <v>1.0</v>
      </c>
      <c r="I260" s="15">
        <v>1.0</v>
      </c>
      <c r="J260" s="15">
        <v>1.0</v>
      </c>
      <c r="K260" s="15" t="s">
        <v>805</v>
      </c>
      <c r="L260" s="29">
        <v>1.0</v>
      </c>
      <c r="M260" s="29" t="s">
        <v>805</v>
      </c>
      <c r="N260" s="29" t="s">
        <v>805</v>
      </c>
      <c r="O260" s="29">
        <v>1.0</v>
      </c>
      <c r="P260" s="35"/>
    </row>
    <row r="261" ht="14.25" customHeight="1">
      <c r="A261" s="31" t="s">
        <v>178</v>
      </c>
      <c r="B261" s="32" t="s">
        <v>179</v>
      </c>
      <c r="C261" s="33" t="s">
        <v>129</v>
      </c>
      <c r="D261" s="34">
        <v>1.0</v>
      </c>
      <c r="E261" s="15">
        <v>1.0</v>
      </c>
      <c r="F261" s="15" t="s">
        <v>805</v>
      </c>
      <c r="G261" s="15" t="s">
        <v>805</v>
      </c>
      <c r="H261" s="15">
        <v>1.0</v>
      </c>
      <c r="I261" s="15">
        <v>1.0</v>
      </c>
      <c r="J261" s="15">
        <v>1.0</v>
      </c>
      <c r="K261" s="15" t="s">
        <v>805</v>
      </c>
      <c r="L261" s="29">
        <v>1.0</v>
      </c>
      <c r="M261" s="29" t="s">
        <v>805</v>
      </c>
      <c r="N261" s="29" t="s">
        <v>805</v>
      </c>
      <c r="O261" s="29">
        <v>1.0</v>
      </c>
      <c r="P261" s="35"/>
    </row>
    <row r="262" ht="14.25" customHeight="1">
      <c r="A262" s="31" t="s">
        <v>650</v>
      </c>
      <c r="B262" s="32" t="s">
        <v>651</v>
      </c>
      <c r="C262" s="33" t="s">
        <v>129</v>
      </c>
      <c r="D262" s="34">
        <v>1.0</v>
      </c>
      <c r="E262" s="15">
        <v>1.0</v>
      </c>
      <c r="F262" s="15">
        <v>1.0</v>
      </c>
      <c r="G262" s="15" t="s">
        <v>805</v>
      </c>
      <c r="H262" s="15">
        <v>1.0</v>
      </c>
      <c r="I262" s="15">
        <v>1.0</v>
      </c>
      <c r="J262" s="15">
        <v>1.0</v>
      </c>
      <c r="K262" s="15" t="s">
        <v>805</v>
      </c>
      <c r="L262" s="29">
        <v>1.0</v>
      </c>
      <c r="M262" s="29" t="s">
        <v>805</v>
      </c>
      <c r="N262" s="29" t="s">
        <v>805</v>
      </c>
      <c r="O262" s="29" t="s">
        <v>805</v>
      </c>
      <c r="P262" s="35"/>
    </row>
    <row r="263" ht="14.25" customHeight="1">
      <c r="A263" s="31" t="s">
        <v>522</v>
      </c>
      <c r="B263" s="32" t="s">
        <v>523</v>
      </c>
      <c r="C263" s="33" t="s">
        <v>79</v>
      </c>
      <c r="D263" s="34">
        <v>1.0</v>
      </c>
      <c r="E263" s="15">
        <v>1.0</v>
      </c>
      <c r="F263" s="15">
        <v>1.0</v>
      </c>
      <c r="G263" s="15">
        <v>1.0</v>
      </c>
      <c r="H263" s="15">
        <v>1.0</v>
      </c>
      <c r="I263" s="15">
        <v>1.0</v>
      </c>
      <c r="J263" s="15">
        <v>1.0</v>
      </c>
      <c r="K263" s="15">
        <v>1.0</v>
      </c>
      <c r="L263" s="29" t="s">
        <v>805</v>
      </c>
      <c r="M263" s="29" t="s">
        <v>805</v>
      </c>
      <c r="N263" s="29" t="s">
        <v>805</v>
      </c>
      <c r="O263" s="29" t="s">
        <v>805</v>
      </c>
      <c r="P263" s="35"/>
    </row>
    <row r="264" ht="14.25" customHeight="1">
      <c r="A264" s="31" t="s">
        <v>361</v>
      </c>
      <c r="B264" s="32" t="s">
        <v>362</v>
      </c>
      <c r="C264" s="33" t="s">
        <v>79</v>
      </c>
      <c r="D264" s="34">
        <v>1.0</v>
      </c>
      <c r="E264" s="15">
        <v>1.0</v>
      </c>
      <c r="F264" s="15">
        <v>1.0</v>
      </c>
      <c r="G264" s="15" t="s">
        <v>805</v>
      </c>
      <c r="H264" s="15">
        <v>1.0</v>
      </c>
      <c r="I264" s="15">
        <v>1.0</v>
      </c>
      <c r="J264" s="15">
        <v>1.0</v>
      </c>
      <c r="K264" s="15">
        <v>1.0</v>
      </c>
      <c r="L264" s="29">
        <v>1.0</v>
      </c>
      <c r="M264" s="29" t="s">
        <v>805</v>
      </c>
      <c r="N264" s="29" t="s">
        <v>805</v>
      </c>
      <c r="O264" s="29">
        <v>1.0</v>
      </c>
      <c r="P264" s="35"/>
    </row>
    <row r="265" ht="14.25" customHeight="1">
      <c r="A265" s="31" t="s">
        <v>404</v>
      </c>
      <c r="B265" s="32" t="s">
        <v>405</v>
      </c>
      <c r="C265" s="33" t="s">
        <v>79</v>
      </c>
      <c r="D265" s="34" t="s">
        <v>805</v>
      </c>
      <c r="E265" s="15" t="s">
        <v>805</v>
      </c>
      <c r="F265" s="15" t="s">
        <v>805</v>
      </c>
      <c r="G265" s="15" t="s">
        <v>805</v>
      </c>
      <c r="H265" s="15" t="s">
        <v>805</v>
      </c>
      <c r="I265" s="15" t="s">
        <v>805</v>
      </c>
      <c r="J265" s="15">
        <v>1.0</v>
      </c>
      <c r="K265" s="15" t="s">
        <v>805</v>
      </c>
      <c r="L265" s="29">
        <v>1.0</v>
      </c>
      <c r="M265" s="29" t="s">
        <v>805</v>
      </c>
      <c r="N265" s="29" t="s">
        <v>805</v>
      </c>
      <c r="O265" s="29">
        <v>1.0</v>
      </c>
      <c r="P265" s="35"/>
    </row>
    <row r="266" ht="14.25" customHeight="1">
      <c r="A266" s="31" t="s">
        <v>711</v>
      </c>
      <c r="B266" s="32" t="s">
        <v>712</v>
      </c>
      <c r="C266" s="33" t="s">
        <v>79</v>
      </c>
      <c r="D266" s="34" t="s">
        <v>805</v>
      </c>
      <c r="E266" s="15" t="s">
        <v>805</v>
      </c>
      <c r="F266" s="15" t="s">
        <v>805</v>
      </c>
      <c r="G266" s="15" t="s">
        <v>805</v>
      </c>
      <c r="H266" s="15" t="s">
        <v>805</v>
      </c>
      <c r="I266" s="15" t="s">
        <v>805</v>
      </c>
      <c r="J266" s="15" t="s">
        <v>805</v>
      </c>
      <c r="K266" s="15" t="s">
        <v>805</v>
      </c>
      <c r="L266" s="29">
        <v>1.0</v>
      </c>
      <c r="M266" s="29">
        <v>1.0</v>
      </c>
      <c r="N266" s="29">
        <v>1.0</v>
      </c>
      <c r="O266" s="29">
        <v>1.0</v>
      </c>
      <c r="P266" s="35"/>
    </row>
    <row r="267" ht="14.25" customHeight="1">
      <c r="A267" s="31" t="s">
        <v>80</v>
      </c>
      <c r="B267" s="32" t="s">
        <v>81</v>
      </c>
      <c r="C267" s="33" t="s">
        <v>79</v>
      </c>
      <c r="D267" s="34">
        <v>1.0</v>
      </c>
      <c r="E267" s="15">
        <v>1.0</v>
      </c>
      <c r="F267" s="15">
        <v>1.0</v>
      </c>
      <c r="G267" s="15" t="s">
        <v>805</v>
      </c>
      <c r="H267" s="15">
        <v>1.0</v>
      </c>
      <c r="I267" s="15">
        <v>1.0</v>
      </c>
      <c r="J267" s="15">
        <v>1.0</v>
      </c>
      <c r="K267" s="15">
        <v>1.0</v>
      </c>
      <c r="L267" s="29">
        <v>1.0</v>
      </c>
      <c r="M267" s="29" t="s">
        <v>805</v>
      </c>
      <c r="N267" s="29" t="s">
        <v>805</v>
      </c>
      <c r="O267" s="29">
        <v>1.0</v>
      </c>
      <c r="P267" s="35"/>
    </row>
    <row r="268" ht="14.25" customHeight="1">
      <c r="A268" s="31" t="s">
        <v>339</v>
      </c>
      <c r="B268" s="32" t="s">
        <v>340</v>
      </c>
      <c r="C268" s="33" t="s">
        <v>79</v>
      </c>
      <c r="D268" s="34">
        <v>1.0</v>
      </c>
      <c r="E268" s="15">
        <v>1.0</v>
      </c>
      <c r="F268" s="15">
        <v>1.0</v>
      </c>
      <c r="G268" s="15">
        <v>1.0</v>
      </c>
      <c r="H268" s="15">
        <v>1.0</v>
      </c>
      <c r="I268" s="15">
        <v>1.0</v>
      </c>
      <c r="J268" s="15">
        <v>1.0</v>
      </c>
      <c r="K268" s="15">
        <v>1.0</v>
      </c>
      <c r="L268" s="29">
        <v>1.0</v>
      </c>
      <c r="M268" s="29" t="s">
        <v>805</v>
      </c>
      <c r="N268" s="29" t="s">
        <v>805</v>
      </c>
      <c r="O268" s="29">
        <v>1.0</v>
      </c>
      <c r="P268" s="35"/>
    </row>
    <row r="269" ht="14.25" customHeight="1">
      <c r="A269" s="31" t="s">
        <v>98</v>
      </c>
      <c r="B269" s="32" t="s">
        <v>99</v>
      </c>
      <c r="C269" s="33" t="s">
        <v>79</v>
      </c>
      <c r="D269" s="34">
        <v>1.0</v>
      </c>
      <c r="E269" s="15">
        <v>1.0</v>
      </c>
      <c r="F269" s="15">
        <v>1.0</v>
      </c>
      <c r="G269" s="15" t="s">
        <v>805</v>
      </c>
      <c r="H269" s="15">
        <v>1.0</v>
      </c>
      <c r="I269" s="15">
        <v>1.0</v>
      </c>
      <c r="J269" s="15">
        <v>1.0</v>
      </c>
      <c r="K269" s="15" t="s">
        <v>805</v>
      </c>
      <c r="L269" s="29">
        <v>1.0</v>
      </c>
      <c r="M269" s="29" t="s">
        <v>805</v>
      </c>
      <c r="N269" s="29" t="s">
        <v>805</v>
      </c>
      <c r="O269" s="29">
        <v>1.0</v>
      </c>
      <c r="P269" s="35"/>
    </row>
    <row r="270" ht="14.25" customHeight="1">
      <c r="A270" s="31" t="s">
        <v>444</v>
      </c>
      <c r="B270" s="32" t="s">
        <v>445</v>
      </c>
      <c r="C270" s="33" t="s">
        <v>79</v>
      </c>
      <c r="D270" s="34">
        <v>1.0</v>
      </c>
      <c r="E270" s="15">
        <v>1.0</v>
      </c>
      <c r="F270" s="15">
        <v>1.0</v>
      </c>
      <c r="G270" s="15" t="s">
        <v>805</v>
      </c>
      <c r="H270" s="15">
        <v>1.0</v>
      </c>
      <c r="I270" s="15">
        <v>1.0</v>
      </c>
      <c r="J270" s="15">
        <v>1.0</v>
      </c>
      <c r="K270" s="15" t="s">
        <v>805</v>
      </c>
      <c r="L270" s="29">
        <v>1.0</v>
      </c>
      <c r="M270" s="29" t="s">
        <v>805</v>
      </c>
      <c r="N270" s="29" t="s">
        <v>805</v>
      </c>
      <c r="O270" s="29" t="s">
        <v>805</v>
      </c>
      <c r="P270" s="35"/>
    </row>
    <row r="271" ht="14.25" customHeight="1">
      <c r="A271" s="31" t="s">
        <v>218</v>
      </c>
      <c r="B271" s="32" t="s">
        <v>219</v>
      </c>
      <c r="C271" s="33" t="s">
        <v>79</v>
      </c>
      <c r="D271" s="34" t="s">
        <v>805</v>
      </c>
      <c r="E271" s="15" t="s">
        <v>805</v>
      </c>
      <c r="F271" s="15" t="s">
        <v>805</v>
      </c>
      <c r="G271" s="15" t="s">
        <v>805</v>
      </c>
      <c r="H271" s="15" t="s">
        <v>805</v>
      </c>
      <c r="I271" s="15" t="s">
        <v>805</v>
      </c>
      <c r="J271" s="15">
        <v>1.0</v>
      </c>
      <c r="K271" s="15" t="s">
        <v>805</v>
      </c>
      <c r="L271" s="29" t="s">
        <v>805</v>
      </c>
      <c r="M271" s="29" t="s">
        <v>805</v>
      </c>
      <c r="N271" s="29" t="s">
        <v>805</v>
      </c>
      <c r="O271" s="29" t="s">
        <v>805</v>
      </c>
      <c r="P271" s="35"/>
    </row>
    <row r="272" ht="14.25" customHeight="1">
      <c r="A272" s="31" t="s">
        <v>849</v>
      </c>
      <c r="B272" s="32" t="s">
        <v>850</v>
      </c>
      <c r="C272" s="33" t="s">
        <v>158</v>
      </c>
      <c r="D272" s="34">
        <v>1.0</v>
      </c>
      <c r="E272" s="15">
        <v>1.0</v>
      </c>
      <c r="F272" s="15">
        <v>1.0</v>
      </c>
      <c r="G272" s="15" t="s">
        <v>805</v>
      </c>
      <c r="H272" s="15">
        <v>1.0</v>
      </c>
      <c r="I272" s="15">
        <v>1.0</v>
      </c>
      <c r="J272" s="15" t="s">
        <v>805</v>
      </c>
      <c r="K272" s="15" t="s">
        <v>805</v>
      </c>
      <c r="L272" s="29" t="s">
        <v>805</v>
      </c>
      <c r="M272" s="29" t="s">
        <v>805</v>
      </c>
      <c r="N272" s="29" t="s">
        <v>805</v>
      </c>
      <c r="O272" s="29" t="s">
        <v>805</v>
      </c>
      <c r="P272" s="35"/>
    </row>
    <row r="273" ht="14.25" customHeight="1">
      <c r="A273" s="31" t="s">
        <v>320</v>
      </c>
      <c r="B273" s="32" t="s">
        <v>321</v>
      </c>
      <c r="C273" s="33" t="s">
        <v>158</v>
      </c>
      <c r="D273" s="34">
        <v>1.0</v>
      </c>
      <c r="E273" s="15">
        <v>1.0</v>
      </c>
      <c r="F273" s="15">
        <v>1.0</v>
      </c>
      <c r="G273" s="15" t="s">
        <v>805</v>
      </c>
      <c r="H273" s="15">
        <v>1.0</v>
      </c>
      <c r="I273" s="15">
        <v>1.0</v>
      </c>
      <c r="J273" s="15">
        <v>1.0</v>
      </c>
      <c r="K273" s="15" t="s">
        <v>805</v>
      </c>
      <c r="L273" s="29">
        <v>1.0</v>
      </c>
      <c r="M273" s="29" t="s">
        <v>805</v>
      </c>
      <c r="N273" s="29" t="s">
        <v>805</v>
      </c>
      <c r="O273" s="29">
        <v>1.0</v>
      </c>
      <c r="P273" s="35"/>
    </row>
    <row r="274" ht="14.25" customHeight="1">
      <c r="A274" s="31" t="s">
        <v>216</v>
      </c>
      <c r="B274" s="32" t="s">
        <v>217</v>
      </c>
      <c r="C274" s="33" t="s">
        <v>158</v>
      </c>
      <c r="D274" s="34" t="s">
        <v>805</v>
      </c>
      <c r="E274" s="15" t="s">
        <v>805</v>
      </c>
      <c r="F274" s="15" t="s">
        <v>805</v>
      </c>
      <c r="G274" s="15" t="s">
        <v>805</v>
      </c>
      <c r="H274" s="15" t="s">
        <v>805</v>
      </c>
      <c r="I274" s="15">
        <v>1.0</v>
      </c>
      <c r="J274" s="15" t="s">
        <v>805</v>
      </c>
      <c r="K274" s="15" t="s">
        <v>805</v>
      </c>
      <c r="L274" s="29" t="s">
        <v>805</v>
      </c>
      <c r="M274" s="29" t="s">
        <v>805</v>
      </c>
      <c r="N274" s="29" t="s">
        <v>805</v>
      </c>
      <c r="O274" s="29" t="s">
        <v>805</v>
      </c>
      <c r="P274" s="35"/>
    </row>
    <row r="275" ht="14.25" customHeight="1">
      <c r="A275" s="31" t="s">
        <v>739</v>
      </c>
      <c r="B275" s="32" t="s">
        <v>740</v>
      </c>
      <c r="C275" s="33" t="s">
        <v>158</v>
      </c>
      <c r="D275" s="34" t="s">
        <v>805</v>
      </c>
      <c r="E275" s="15" t="s">
        <v>805</v>
      </c>
      <c r="F275" s="15" t="s">
        <v>805</v>
      </c>
      <c r="G275" s="15" t="s">
        <v>805</v>
      </c>
      <c r="H275" s="15" t="s">
        <v>805</v>
      </c>
      <c r="I275" s="15" t="s">
        <v>805</v>
      </c>
      <c r="J275" s="15" t="s">
        <v>805</v>
      </c>
      <c r="K275" s="15" t="s">
        <v>805</v>
      </c>
      <c r="L275" s="29">
        <v>1.0</v>
      </c>
      <c r="M275" s="29">
        <v>1.0</v>
      </c>
      <c r="N275" s="29">
        <v>1.0</v>
      </c>
      <c r="O275" s="29">
        <v>1.0</v>
      </c>
      <c r="P275" s="35"/>
    </row>
    <row r="276" ht="14.25" customHeight="1">
      <c r="A276" s="31" t="s">
        <v>161</v>
      </c>
      <c r="B276" s="32" t="s">
        <v>162</v>
      </c>
      <c r="C276" s="33" t="s">
        <v>158</v>
      </c>
      <c r="D276" s="34">
        <v>1.0</v>
      </c>
      <c r="E276" s="15">
        <v>1.0</v>
      </c>
      <c r="F276" s="15">
        <v>1.0</v>
      </c>
      <c r="G276" s="15" t="s">
        <v>805</v>
      </c>
      <c r="H276" s="15">
        <v>1.0</v>
      </c>
      <c r="I276" s="15">
        <v>1.0</v>
      </c>
      <c r="J276" s="15">
        <v>1.0</v>
      </c>
      <c r="K276" s="15" t="s">
        <v>805</v>
      </c>
      <c r="L276" s="29" t="s">
        <v>805</v>
      </c>
      <c r="M276" s="29" t="s">
        <v>805</v>
      </c>
      <c r="N276" s="29" t="s">
        <v>805</v>
      </c>
      <c r="O276" s="29" t="s">
        <v>805</v>
      </c>
      <c r="P276" s="35"/>
    </row>
    <row r="277" ht="14.25" customHeight="1">
      <c r="A277" s="31" t="s">
        <v>512</v>
      </c>
      <c r="B277" s="32" t="s">
        <v>513</v>
      </c>
      <c r="C277" s="33" t="s">
        <v>158</v>
      </c>
      <c r="D277" s="34">
        <v>1.0</v>
      </c>
      <c r="E277" s="15">
        <v>1.0</v>
      </c>
      <c r="F277" s="15">
        <v>1.0</v>
      </c>
      <c r="G277" s="15">
        <v>1.0</v>
      </c>
      <c r="H277" s="15">
        <v>1.0</v>
      </c>
      <c r="I277" s="15">
        <v>1.0</v>
      </c>
      <c r="J277" s="15">
        <v>1.0</v>
      </c>
      <c r="K277" s="15" t="s">
        <v>805</v>
      </c>
      <c r="L277" s="29">
        <v>1.0</v>
      </c>
      <c r="M277" s="29" t="s">
        <v>805</v>
      </c>
      <c r="N277" s="29" t="s">
        <v>805</v>
      </c>
      <c r="O277" s="29">
        <v>1.0</v>
      </c>
      <c r="P277" s="35"/>
    </row>
    <row r="278" ht="14.25" customHeight="1">
      <c r="A278" s="31" t="s">
        <v>524</v>
      </c>
      <c r="B278" s="32" t="s">
        <v>525</v>
      </c>
      <c r="C278" s="33" t="s">
        <v>158</v>
      </c>
      <c r="D278" s="34">
        <v>1.0</v>
      </c>
      <c r="E278" s="15">
        <v>1.0</v>
      </c>
      <c r="F278" s="15">
        <v>1.0</v>
      </c>
      <c r="G278" s="15" t="s">
        <v>805</v>
      </c>
      <c r="H278" s="15">
        <v>1.0</v>
      </c>
      <c r="I278" s="15">
        <v>1.0</v>
      </c>
      <c r="J278" s="15">
        <v>1.0</v>
      </c>
      <c r="K278" s="15" t="s">
        <v>805</v>
      </c>
      <c r="L278" s="29">
        <v>1.0</v>
      </c>
      <c r="M278" s="29" t="s">
        <v>805</v>
      </c>
      <c r="N278" s="29" t="s">
        <v>805</v>
      </c>
      <c r="O278" s="29">
        <v>1.0</v>
      </c>
      <c r="P278" s="35"/>
    </row>
    <row r="279" ht="14.25" customHeight="1">
      <c r="A279" s="31" t="s">
        <v>159</v>
      </c>
      <c r="B279" s="32" t="s">
        <v>160</v>
      </c>
      <c r="C279" s="33" t="s">
        <v>158</v>
      </c>
      <c r="D279" s="34">
        <v>1.0</v>
      </c>
      <c r="E279" s="15">
        <v>1.0</v>
      </c>
      <c r="F279" s="15">
        <v>1.0</v>
      </c>
      <c r="G279" s="15" t="s">
        <v>805</v>
      </c>
      <c r="H279" s="15">
        <v>1.0</v>
      </c>
      <c r="I279" s="15">
        <v>1.0</v>
      </c>
      <c r="J279" s="15">
        <v>1.0</v>
      </c>
      <c r="K279" s="15" t="s">
        <v>805</v>
      </c>
      <c r="L279" s="29" t="s">
        <v>805</v>
      </c>
      <c r="M279" s="29" t="s">
        <v>805</v>
      </c>
      <c r="N279" s="29" t="s">
        <v>805</v>
      </c>
      <c r="O279" s="29" t="s">
        <v>805</v>
      </c>
      <c r="P279" s="35"/>
    </row>
    <row r="280" ht="14.25" customHeight="1">
      <c r="A280" s="31" t="s">
        <v>458</v>
      </c>
      <c r="B280" s="32" t="s">
        <v>459</v>
      </c>
      <c r="C280" s="33" t="s">
        <v>158</v>
      </c>
      <c r="D280" s="34">
        <v>1.0</v>
      </c>
      <c r="E280" s="15">
        <v>1.0</v>
      </c>
      <c r="F280" s="15">
        <v>1.0</v>
      </c>
      <c r="G280" s="15" t="s">
        <v>805</v>
      </c>
      <c r="H280" s="15">
        <v>1.0</v>
      </c>
      <c r="I280" s="15">
        <v>1.0</v>
      </c>
      <c r="J280" s="15">
        <v>1.0</v>
      </c>
      <c r="K280" s="15" t="s">
        <v>805</v>
      </c>
      <c r="L280" s="29">
        <v>1.0</v>
      </c>
      <c r="M280" s="29" t="s">
        <v>805</v>
      </c>
      <c r="N280" s="29" t="s">
        <v>805</v>
      </c>
      <c r="O280" s="29">
        <v>1.0</v>
      </c>
      <c r="P280" s="35"/>
    </row>
    <row r="281" ht="14.25" customHeight="1">
      <c r="A281" s="31" t="s">
        <v>663</v>
      </c>
      <c r="B281" s="32" t="s">
        <v>664</v>
      </c>
      <c r="C281" s="33" t="s">
        <v>158</v>
      </c>
      <c r="D281" s="34">
        <v>1.0</v>
      </c>
      <c r="E281" s="15">
        <v>1.0</v>
      </c>
      <c r="F281" s="15">
        <v>1.0</v>
      </c>
      <c r="G281" s="15" t="s">
        <v>805</v>
      </c>
      <c r="H281" s="15">
        <v>1.0</v>
      </c>
      <c r="I281" s="15">
        <v>1.0</v>
      </c>
      <c r="J281" s="15">
        <v>1.0</v>
      </c>
      <c r="K281" s="15" t="s">
        <v>805</v>
      </c>
      <c r="L281" s="29">
        <v>1.0</v>
      </c>
      <c r="M281" s="29" t="s">
        <v>805</v>
      </c>
      <c r="N281" s="29" t="s">
        <v>805</v>
      </c>
      <c r="O281" s="29">
        <v>1.0</v>
      </c>
      <c r="P281" s="35"/>
    </row>
    <row r="282" ht="14.25" customHeight="1">
      <c r="A282" s="31" t="s">
        <v>705</v>
      </c>
      <c r="B282" s="32" t="s">
        <v>706</v>
      </c>
      <c r="C282" s="33" t="s">
        <v>158</v>
      </c>
      <c r="D282" s="34">
        <v>1.0</v>
      </c>
      <c r="E282" s="15">
        <v>1.0</v>
      </c>
      <c r="F282" s="15" t="s">
        <v>805</v>
      </c>
      <c r="G282" s="15" t="s">
        <v>805</v>
      </c>
      <c r="H282" s="15">
        <v>1.0</v>
      </c>
      <c r="I282" s="15">
        <v>1.0</v>
      </c>
      <c r="J282" s="15">
        <v>1.0</v>
      </c>
      <c r="K282" s="15" t="s">
        <v>805</v>
      </c>
      <c r="L282" s="29" t="s">
        <v>805</v>
      </c>
      <c r="M282" s="29" t="s">
        <v>805</v>
      </c>
      <c r="N282" s="29" t="s">
        <v>805</v>
      </c>
      <c r="O282" s="29" t="s">
        <v>805</v>
      </c>
      <c r="P282" s="35"/>
    </row>
    <row r="283" ht="14.25" customHeight="1">
      <c r="A283" s="31" t="s">
        <v>450</v>
      </c>
      <c r="B283" s="32" t="s">
        <v>451</v>
      </c>
      <c r="C283" s="33" t="s">
        <v>158</v>
      </c>
      <c r="D283" s="34">
        <v>1.0</v>
      </c>
      <c r="E283" s="15">
        <v>1.0</v>
      </c>
      <c r="F283" s="15">
        <v>1.0</v>
      </c>
      <c r="G283" s="15" t="s">
        <v>805</v>
      </c>
      <c r="H283" s="15">
        <v>1.0</v>
      </c>
      <c r="I283" s="15">
        <v>1.0</v>
      </c>
      <c r="J283" s="15">
        <v>1.0</v>
      </c>
      <c r="K283" s="15" t="s">
        <v>805</v>
      </c>
      <c r="L283" s="29">
        <v>1.0</v>
      </c>
      <c r="M283" s="29" t="s">
        <v>805</v>
      </c>
      <c r="N283" s="29" t="s">
        <v>805</v>
      </c>
      <c r="O283" s="29">
        <v>1.0</v>
      </c>
      <c r="P283" s="35"/>
    </row>
    <row r="284" ht="14.25" customHeight="1">
      <c r="A284" s="31" t="s">
        <v>357</v>
      </c>
      <c r="B284" s="32" t="s">
        <v>358</v>
      </c>
      <c r="C284" s="33" t="s">
        <v>62</v>
      </c>
      <c r="D284" s="34">
        <v>1.0</v>
      </c>
      <c r="E284" s="15">
        <v>1.0</v>
      </c>
      <c r="F284" s="15">
        <v>1.0</v>
      </c>
      <c r="G284" s="15" t="s">
        <v>805</v>
      </c>
      <c r="H284" s="15">
        <v>1.0</v>
      </c>
      <c r="I284" s="15">
        <v>1.0</v>
      </c>
      <c r="J284" s="15">
        <v>1.0</v>
      </c>
      <c r="K284" s="15">
        <v>1.0</v>
      </c>
      <c r="L284" s="29">
        <v>1.0</v>
      </c>
      <c r="M284" s="29" t="s">
        <v>805</v>
      </c>
      <c r="N284" s="29" t="s">
        <v>805</v>
      </c>
      <c r="O284" s="29">
        <v>1.0</v>
      </c>
      <c r="P284" s="35"/>
    </row>
    <row r="285" ht="14.25" customHeight="1">
      <c r="A285" s="31" t="s">
        <v>701</v>
      </c>
      <c r="B285" s="32" t="s">
        <v>702</v>
      </c>
      <c r="C285" s="33" t="s">
        <v>62</v>
      </c>
      <c r="D285" s="34">
        <v>1.0</v>
      </c>
      <c r="E285" s="15">
        <v>1.0</v>
      </c>
      <c r="F285" s="15">
        <v>1.0</v>
      </c>
      <c r="G285" s="15" t="s">
        <v>805</v>
      </c>
      <c r="H285" s="15">
        <v>1.0</v>
      </c>
      <c r="I285" s="15">
        <v>1.0</v>
      </c>
      <c r="J285" s="15">
        <v>1.0</v>
      </c>
      <c r="K285" s="15">
        <v>1.0</v>
      </c>
      <c r="L285" s="29">
        <v>1.0</v>
      </c>
      <c r="M285" s="29" t="s">
        <v>805</v>
      </c>
      <c r="N285" s="29" t="s">
        <v>805</v>
      </c>
      <c r="O285" s="29">
        <v>1.0</v>
      </c>
      <c r="P285" s="35"/>
    </row>
    <row r="286" ht="14.25" customHeight="1">
      <c r="A286" s="31" t="s">
        <v>91</v>
      </c>
      <c r="B286" s="32" t="s">
        <v>92</v>
      </c>
      <c r="C286" s="33" t="s">
        <v>62</v>
      </c>
      <c r="D286" s="34">
        <v>1.0</v>
      </c>
      <c r="E286" s="15">
        <v>1.0</v>
      </c>
      <c r="F286" s="15">
        <v>1.0</v>
      </c>
      <c r="G286" s="15" t="s">
        <v>805</v>
      </c>
      <c r="H286" s="15">
        <v>1.0</v>
      </c>
      <c r="I286" s="15">
        <v>1.0</v>
      </c>
      <c r="J286" s="15">
        <v>1.0</v>
      </c>
      <c r="K286" s="15">
        <v>1.0</v>
      </c>
      <c r="L286" s="29">
        <v>1.0</v>
      </c>
      <c r="M286" s="29" t="s">
        <v>805</v>
      </c>
      <c r="N286" s="29" t="s">
        <v>805</v>
      </c>
      <c r="O286" s="29">
        <v>1.0</v>
      </c>
      <c r="P286" s="35"/>
    </row>
    <row r="287" ht="14.25" customHeight="1">
      <c r="A287" s="31" t="s">
        <v>367</v>
      </c>
      <c r="B287" s="32" t="s">
        <v>368</v>
      </c>
      <c r="C287" s="33" t="s">
        <v>62</v>
      </c>
      <c r="D287" s="34">
        <v>1.0</v>
      </c>
      <c r="E287" s="15">
        <v>1.0</v>
      </c>
      <c r="F287" s="15">
        <v>1.0</v>
      </c>
      <c r="G287" s="15">
        <v>1.0</v>
      </c>
      <c r="H287" s="15">
        <v>1.0</v>
      </c>
      <c r="I287" s="15">
        <v>1.0</v>
      </c>
      <c r="J287" s="15">
        <v>1.0</v>
      </c>
      <c r="K287" s="15">
        <v>1.0</v>
      </c>
      <c r="L287" s="29" t="s">
        <v>805</v>
      </c>
      <c r="M287" s="29" t="s">
        <v>805</v>
      </c>
      <c r="N287" s="29" t="s">
        <v>805</v>
      </c>
      <c r="O287" s="29" t="s">
        <v>805</v>
      </c>
      <c r="P287" s="35"/>
    </row>
    <row r="288" ht="14.25" customHeight="1">
      <c r="A288" s="31" t="s">
        <v>753</v>
      </c>
      <c r="B288" s="32" t="s">
        <v>851</v>
      </c>
      <c r="C288" s="33" t="s">
        <v>62</v>
      </c>
      <c r="D288" s="34" t="s">
        <v>805</v>
      </c>
      <c r="E288" s="15" t="s">
        <v>805</v>
      </c>
      <c r="F288" s="15" t="s">
        <v>805</v>
      </c>
      <c r="G288" s="15" t="s">
        <v>805</v>
      </c>
      <c r="H288" s="15" t="s">
        <v>805</v>
      </c>
      <c r="I288" s="15" t="s">
        <v>805</v>
      </c>
      <c r="J288" s="15" t="s">
        <v>805</v>
      </c>
      <c r="K288" s="15" t="s">
        <v>805</v>
      </c>
      <c r="L288" s="29" t="s">
        <v>805</v>
      </c>
      <c r="M288" s="29" t="s">
        <v>805</v>
      </c>
      <c r="N288" s="29" t="s">
        <v>805</v>
      </c>
      <c r="O288" s="29" t="s">
        <v>805</v>
      </c>
      <c r="P288" s="35"/>
    </row>
    <row r="289" ht="14.25" customHeight="1">
      <c r="A289" s="31" t="s">
        <v>314</v>
      </c>
      <c r="B289" s="32" t="s">
        <v>315</v>
      </c>
      <c r="C289" s="33" t="s">
        <v>62</v>
      </c>
      <c r="D289" s="34">
        <v>1.0</v>
      </c>
      <c r="E289" s="15">
        <v>1.0</v>
      </c>
      <c r="F289" s="15">
        <v>1.0</v>
      </c>
      <c r="G289" s="15" t="s">
        <v>805</v>
      </c>
      <c r="H289" s="15">
        <v>1.0</v>
      </c>
      <c r="I289" s="15">
        <v>1.0</v>
      </c>
      <c r="J289" s="15">
        <v>1.0</v>
      </c>
      <c r="K289" s="15" t="s">
        <v>805</v>
      </c>
      <c r="L289" s="29">
        <v>1.0</v>
      </c>
      <c r="M289" s="29" t="s">
        <v>805</v>
      </c>
      <c r="N289" s="29" t="s">
        <v>805</v>
      </c>
      <c r="O289" s="29">
        <v>1.0</v>
      </c>
      <c r="P289" s="35"/>
    </row>
    <row r="290" ht="14.25" customHeight="1">
      <c r="A290" s="31" t="s">
        <v>63</v>
      </c>
      <c r="B290" s="32" t="s">
        <v>64</v>
      </c>
      <c r="C290" s="33" t="s">
        <v>62</v>
      </c>
      <c r="D290" s="34">
        <v>1.0</v>
      </c>
      <c r="E290" s="15">
        <v>1.0</v>
      </c>
      <c r="F290" s="15" t="s">
        <v>805</v>
      </c>
      <c r="G290" s="15" t="s">
        <v>805</v>
      </c>
      <c r="H290" s="15">
        <v>1.0</v>
      </c>
      <c r="I290" s="15">
        <v>1.0</v>
      </c>
      <c r="J290" s="15">
        <v>1.0</v>
      </c>
      <c r="K290" s="15">
        <v>1.0</v>
      </c>
      <c r="L290" s="29">
        <v>1.0</v>
      </c>
      <c r="M290" s="29" t="s">
        <v>805</v>
      </c>
      <c r="N290" s="29" t="s">
        <v>805</v>
      </c>
      <c r="O290" s="29">
        <v>1.0</v>
      </c>
      <c r="P290" s="35"/>
    </row>
    <row r="291" ht="14.25" customHeight="1">
      <c r="A291" s="31" t="s">
        <v>661</v>
      </c>
      <c r="B291" s="32" t="s">
        <v>662</v>
      </c>
      <c r="C291" s="33" t="s">
        <v>110</v>
      </c>
      <c r="D291" s="34">
        <v>1.0</v>
      </c>
      <c r="E291" s="15">
        <v>1.0</v>
      </c>
      <c r="F291" s="15">
        <v>1.0</v>
      </c>
      <c r="G291" s="15" t="s">
        <v>805</v>
      </c>
      <c r="H291" s="15">
        <v>1.0</v>
      </c>
      <c r="I291" s="15">
        <v>1.0</v>
      </c>
      <c r="J291" s="15">
        <v>1.0</v>
      </c>
      <c r="K291" s="15">
        <v>1.0</v>
      </c>
      <c r="L291" s="29">
        <v>1.0</v>
      </c>
      <c r="M291" s="29" t="s">
        <v>805</v>
      </c>
      <c r="N291" s="29" t="s">
        <v>805</v>
      </c>
      <c r="O291" s="29">
        <v>1.0</v>
      </c>
      <c r="P291" s="35"/>
    </row>
    <row r="292" ht="14.25" customHeight="1">
      <c r="A292" s="31" t="s">
        <v>138</v>
      </c>
      <c r="B292" s="32" t="s">
        <v>139</v>
      </c>
      <c r="C292" s="33" t="s">
        <v>110</v>
      </c>
      <c r="D292" s="34">
        <v>1.0</v>
      </c>
      <c r="E292" s="15">
        <v>1.0</v>
      </c>
      <c r="F292" s="15" t="s">
        <v>805</v>
      </c>
      <c r="G292" s="15" t="s">
        <v>805</v>
      </c>
      <c r="H292" s="15">
        <v>1.0</v>
      </c>
      <c r="I292" s="15">
        <v>1.0</v>
      </c>
      <c r="J292" s="15">
        <v>1.0</v>
      </c>
      <c r="K292" s="15">
        <v>1.0</v>
      </c>
      <c r="L292" s="29" t="s">
        <v>805</v>
      </c>
      <c r="M292" s="29" t="s">
        <v>805</v>
      </c>
      <c r="N292" s="29" t="s">
        <v>805</v>
      </c>
      <c r="O292" s="29">
        <v>1.0</v>
      </c>
      <c r="P292" s="35"/>
    </row>
    <row r="293" ht="14.25" customHeight="1">
      <c r="A293" s="31" t="s">
        <v>341</v>
      </c>
      <c r="B293" s="32" t="s">
        <v>342</v>
      </c>
      <c r="C293" s="33" t="s">
        <v>110</v>
      </c>
      <c r="D293" s="34">
        <v>1.0</v>
      </c>
      <c r="E293" s="15">
        <v>1.0</v>
      </c>
      <c r="F293" s="15">
        <v>1.0</v>
      </c>
      <c r="G293" s="15" t="s">
        <v>805</v>
      </c>
      <c r="H293" s="15">
        <v>1.0</v>
      </c>
      <c r="I293" s="15">
        <v>1.0</v>
      </c>
      <c r="J293" s="15">
        <v>1.0</v>
      </c>
      <c r="K293" s="15">
        <v>1.0</v>
      </c>
      <c r="L293" s="29">
        <v>1.0</v>
      </c>
      <c r="M293" s="29" t="s">
        <v>805</v>
      </c>
      <c r="N293" s="29" t="s">
        <v>805</v>
      </c>
      <c r="O293" s="29">
        <v>1.0</v>
      </c>
      <c r="P293" s="35"/>
    </row>
    <row r="294" ht="14.25" customHeight="1">
      <c r="A294" s="31" t="s">
        <v>111</v>
      </c>
      <c r="B294" s="32" t="s">
        <v>112</v>
      </c>
      <c r="C294" s="33" t="s">
        <v>110</v>
      </c>
      <c r="D294" s="34">
        <v>1.0</v>
      </c>
      <c r="E294" s="15">
        <v>1.0</v>
      </c>
      <c r="F294" s="15" t="s">
        <v>805</v>
      </c>
      <c r="G294" s="15" t="s">
        <v>805</v>
      </c>
      <c r="H294" s="15">
        <v>1.0</v>
      </c>
      <c r="I294" s="15">
        <v>1.0</v>
      </c>
      <c r="J294" s="15">
        <v>1.0</v>
      </c>
      <c r="K294" s="15">
        <v>1.0</v>
      </c>
      <c r="L294" s="29">
        <v>1.0</v>
      </c>
      <c r="M294" s="29" t="s">
        <v>805</v>
      </c>
      <c r="N294" s="29" t="s">
        <v>805</v>
      </c>
      <c r="O294" s="29">
        <v>1.0</v>
      </c>
      <c r="P294" s="35"/>
    </row>
    <row r="295" ht="14.25" customHeight="1">
      <c r="A295" s="31" t="s">
        <v>346</v>
      </c>
      <c r="B295" s="32" t="s">
        <v>347</v>
      </c>
      <c r="C295" s="33" t="s">
        <v>110</v>
      </c>
      <c r="D295" s="34">
        <v>1.0</v>
      </c>
      <c r="E295" s="15">
        <v>1.0</v>
      </c>
      <c r="F295" s="15">
        <v>1.0</v>
      </c>
      <c r="G295" s="15" t="s">
        <v>805</v>
      </c>
      <c r="H295" s="15">
        <v>1.0</v>
      </c>
      <c r="I295" s="15">
        <v>1.0</v>
      </c>
      <c r="J295" s="15">
        <v>1.0</v>
      </c>
      <c r="K295" s="15">
        <v>1.0</v>
      </c>
      <c r="L295" s="29">
        <v>1.0</v>
      </c>
      <c r="M295" s="29" t="s">
        <v>805</v>
      </c>
      <c r="N295" s="29" t="s">
        <v>805</v>
      </c>
      <c r="O295" s="29">
        <v>1.0</v>
      </c>
      <c r="P295" s="35"/>
    </row>
    <row r="296" ht="14.25" customHeight="1">
      <c r="A296" s="31" t="s">
        <v>584</v>
      </c>
      <c r="B296" s="32" t="s">
        <v>585</v>
      </c>
      <c r="C296" s="33" t="s">
        <v>110</v>
      </c>
      <c r="D296" s="34" t="s">
        <v>805</v>
      </c>
      <c r="E296" s="15" t="s">
        <v>805</v>
      </c>
      <c r="F296" s="15" t="s">
        <v>805</v>
      </c>
      <c r="G296" s="15" t="s">
        <v>805</v>
      </c>
      <c r="H296" s="15" t="s">
        <v>805</v>
      </c>
      <c r="I296" s="15">
        <v>1.0</v>
      </c>
      <c r="J296" s="15">
        <v>1.0</v>
      </c>
      <c r="K296" s="15" t="s">
        <v>805</v>
      </c>
      <c r="L296" s="29" t="s">
        <v>805</v>
      </c>
      <c r="M296" s="29" t="s">
        <v>805</v>
      </c>
      <c r="N296" s="29" t="s">
        <v>805</v>
      </c>
      <c r="O296" s="29" t="s">
        <v>805</v>
      </c>
      <c r="P296" s="35"/>
    </row>
    <row r="297" ht="14.25" customHeight="1">
      <c r="A297" s="31" t="s">
        <v>442</v>
      </c>
      <c r="B297" s="32" t="s">
        <v>443</v>
      </c>
      <c r="C297" s="33" t="s">
        <v>110</v>
      </c>
      <c r="D297" s="34">
        <v>1.0</v>
      </c>
      <c r="E297" s="15">
        <v>1.0</v>
      </c>
      <c r="F297" s="15">
        <v>1.0</v>
      </c>
      <c r="G297" s="15">
        <v>1.0</v>
      </c>
      <c r="H297" s="15">
        <v>1.0</v>
      </c>
      <c r="I297" s="15">
        <v>1.0</v>
      </c>
      <c r="J297" s="15">
        <v>1.0</v>
      </c>
      <c r="K297" s="15" t="s">
        <v>805</v>
      </c>
      <c r="L297" s="29">
        <v>1.0</v>
      </c>
      <c r="M297" s="29" t="s">
        <v>805</v>
      </c>
      <c r="N297" s="29" t="s">
        <v>805</v>
      </c>
      <c r="O297" s="29">
        <v>1.0</v>
      </c>
      <c r="P297" s="35"/>
    </row>
    <row r="298" ht="14.25" customHeight="1">
      <c r="A298" s="31" t="s">
        <v>386</v>
      </c>
      <c r="B298" s="32" t="s">
        <v>387</v>
      </c>
      <c r="C298" s="33" t="s">
        <v>110</v>
      </c>
      <c r="D298" s="34" t="s">
        <v>805</v>
      </c>
      <c r="E298" s="15" t="s">
        <v>805</v>
      </c>
      <c r="F298" s="15" t="s">
        <v>805</v>
      </c>
      <c r="G298" s="15" t="s">
        <v>805</v>
      </c>
      <c r="H298" s="15" t="s">
        <v>805</v>
      </c>
      <c r="I298" s="15">
        <v>1.0</v>
      </c>
      <c r="J298" s="15">
        <v>1.0</v>
      </c>
      <c r="K298" s="15" t="s">
        <v>805</v>
      </c>
      <c r="L298" s="29">
        <v>1.0</v>
      </c>
      <c r="M298" s="29" t="s">
        <v>805</v>
      </c>
      <c r="N298" s="29" t="s">
        <v>805</v>
      </c>
      <c r="O298" s="29">
        <v>1.0</v>
      </c>
      <c r="P298" s="35"/>
    </row>
    <row r="299" ht="14.25" customHeight="1">
      <c r="A299" s="31" t="s">
        <v>188</v>
      </c>
      <c r="B299" s="32" t="s">
        <v>189</v>
      </c>
      <c r="C299" s="33" t="s">
        <v>110</v>
      </c>
      <c r="D299" s="34">
        <v>1.0</v>
      </c>
      <c r="E299" s="15">
        <v>1.0</v>
      </c>
      <c r="F299" s="15">
        <v>1.0</v>
      </c>
      <c r="G299" s="15" t="s">
        <v>805</v>
      </c>
      <c r="H299" s="15">
        <v>1.0</v>
      </c>
      <c r="I299" s="15">
        <v>1.0</v>
      </c>
      <c r="J299" s="15">
        <v>1.0</v>
      </c>
      <c r="K299" s="15">
        <v>1.0</v>
      </c>
      <c r="L299" s="29">
        <v>1.0</v>
      </c>
      <c r="M299" s="29" t="s">
        <v>805</v>
      </c>
      <c r="N299" s="29" t="s">
        <v>805</v>
      </c>
      <c r="O299" s="29" t="s">
        <v>805</v>
      </c>
      <c r="P299" s="35"/>
    </row>
    <row r="300" ht="14.25" customHeight="1">
      <c r="A300" s="31" t="s">
        <v>288</v>
      </c>
      <c r="B300" s="32" t="s">
        <v>289</v>
      </c>
      <c r="C300" s="33" t="s">
        <v>110</v>
      </c>
      <c r="D300" s="34">
        <v>1.0</v>
      </c>
      <c r="E300" s="15">
        <v>1.0</v>
      </c>
      <c r="F300" s="15">
        <v>1.0</v>
      </c>
      <c r="G300" s="15">
        <v>1.0</v>
      </c>
      <c r="H300" s="15">
        <v>1.0</v>
      </c>
      <c r="I300" s="15">
        <v>1.0</v>
      </c>
      <c r="J300" s="15">
        <v>1.0</v>
      </c>
      <c r="K300" s="15">
        <v>1.0</v>
      </c>
      <c r="L300" s="29" t="s">
        <v>805</v>
      </c>
      <c r="M300" s="29" t="s">
        <v>805</v>
      </c>
      <c r="N300" s="29" t="s">
        <v>805</v>
      </c>
      <c r="O300" s="29" t="s">
        <v>805</v>
      </c>
      <c r="P300" s="35"/>
    </row>
    <row r="301" ht="14.25" customHeight="1">
      <c r="A301" s="31" t="s">
        <v>725</v>
      </c>
      <c r="B301" s="32" t="s">
        <v>726</v>
      </c>
      <c r="C301" s="33" t="s">
        <v>110</v>
      </c>
      <c r="D301" s="34" t="s">
        <v>805</v>
      </c>
      <c r="E301" s="15" t="s">
        <v>805</v>
      </c>
      <c r="F301" s="15" t="s">
        <v>805</v>
      </c>
      <c r="G301" s="15" t="s">
        <v>805</v>
      </c>
      <c r="H301" s="15" t="s">
        <v>805</v>
      </c>
      <c r="I301" s="15" t="s">
        <v>805</v>
      </c>
      <c r="J301" s="15" t="s">
        <v>805</v>
      </c>
      <c r="K301" s="15" t="s">
        <v>805</v>
      </c>
      <c r="L301" s="29">
        <v>1.0</v>
      </c>
      <c r="M301" s="29">
        <v>1.0</v>
      </c>
      <c r="N301" s="29">
        <v>1.0</v>
      </c>
      <c r="O301" s="29">
        <v>1.0</v>
      </c>
      <c r="P301" s="35"/>
    </row>
    <row r="302" ht="14.25" customHeight="1">
      <c r="A302" s="31" t="s">
        <v>526</v>
      </c>
      <c r="B302" s="32" t="s">
        <v>527</v>
      </c>
      <c r="C302" s="33" t="s">
        <v>122</v>
      </c>
      <c r="D302" s="34">
        <v>1.0</v>
      </c>
      <c r="E302" s="15">
        <v>1.0</v>
      </c>
      <c r="F302" s="15" t="s">
        <v>805</v>
      </c>
      <c r="G302" s="15" t="s">
        <v>805</v>
      </c>
      <c r="H302" s="15">
        <v>1.0</v>
      </c>
      <c r="I302" s="15">
        <v>1.0</v>
      </c>
      <c r="J302" s="15">
        <v>1.0</v>
      </c>
      <c r="K302" s="15" t="s">
        <v>805</v>
      </c>
      <c r="L302" s="29" t="s">
        <v>805</v>
      </c>
      <c r="M302" s="29" t="s">
        <v>805</v>
      </c>
      <c r="N302" s="29" t="s">
        <v>805</v>
      </c>
      <c r="O302" s="29" t="s">
        <v>805</v>
      </c>
      <c r="P302" s="35"/>
    </row>
    <row r="303" ht="14.25" customHeight="1">
      <c r="A303" s="31" t="s">
        <v>510</v>
      </c>
      <c r="B303" s="32" t="s">
        <v>511</v>
      </c>
      <c r="C303" s="33" t="s">
        <v>122</v>
      </c>
      <c r="D303" s="34">
        <v>1.0</v>
      </c>
      <c r="E303" s="15">
        <v>1.0</v>
      </c>
      <c r="F303" s="15">
        <v>1.0</v>
      </c>
      <c r="G303" s="15" t="s">
        <v>805</v>
      </c>
      <c r="H303" s="15">
        <v>1.0</v>
      </c>
      <c r="I303" s="15">
        <v>1.0</v>
      </c>
      <c r="J303" s="15">
        <v>1.0</v>
      </c>
      <c r="K303" s="15" t="s">
        <v>805</v>
      </c>
      <c r="L303" s="29">
        <v>1.0</v>
      </c>
      <c r="M303" s="29" t="s">
        <v>805</v>
      </c>
      <c r="N303" s="29" t="s">
        <v>805</v>
      </c>
      <c r="O303" s="29">
        <v>1.0</v>
      </c>
      <c r="P303" s="35"/>
    </row>
    <row r="304" ht="14.25" customHeight="1">
      <c r="A304" s="31" t="s">
        <v>425</v>
      </c>
      <c r="B304" s="32" t="s">
        <v>426</v>
      </c>
      <c r="C304" s="33" t="s">
        <v>122</v>
      </c>
      <c r="D304" s="34">
        <v>1.0</v>
      </c>
      <c r="E304" s="15">
        <v>1.0</v>
      </c>
      <c r="F304" s="15">
        <v>1.0</v>
      </c>
      <c r="G304" s="15">
        <v>1.0</v>
      </c>
      <c r="H304" s="15">
        <v>1.0</v>
      </c>
      <c r="I304" s="15">
        <v>1.0</v>
      </c>
      <c r="J304" s="15">
        <v>1.0</v>
      </c>
      <c r="K304" s="15" t="s">
        <v>805</v>
      </c>
      <c r="L304" s="29" t="s">
        <v>805</v>
      </c>
      <c r="M304" s="29" t="s">
        <v>805</v>
      </c>
      <c r="N304" s="29" t="s">
        <v>805</v>
      </c>
      <c r="O304" s="29" t="s">
        <v>805</v>
      </c>
      <c r="P304" s="35"/>
    </row>
    <row r="305" ht="14.25" customHeight="1">
      <c r="A305" s="31" t="s">
        <v>154</v>
      </c>
      <c r="B305" s="32" t="s">
        <v>155</v>
      </c>
      <c r="C305" s="33" t="s">
        <v>122</v>
      </c>
      <c r="D305" s="34">
        <v>1.0</v>
      </c>
      <c r="E305" s="15">
        <v>1.0</v>
      </c>
      <c r="F305" s="15" t="s">
        <v>805</v>
      </c>
      <c r="G305" s="15" t="s">
        <v>805</v>
      </c>
      <c r="H305" s="15">
        <v>1.0</v>
      </c>
      <c r="I305" s="15">
        <v>1.0</v>
      </c>
      <c r="J305" s="15">
        <v>1.0</v>
      </c>
      <c r="K305" s="15" t="s">
        <v>805</v>
      </c>
      <c r="L305" s="29">
        <v>1.0</v>
      </c>
      <c r="M305" s="29" t="s">
        <v>805</v>
      </c>
      <c r="N305" s="29" t="s">
        <v>805</v>
      </c>
      <c r="O305" s="29">
        <v>1.0</v>
      </c>
      <c r="P305" s="35"/>
    </row>
    <row r="306" ht="14.25" customHeight="1">
      <c r="A306" s="31" t="s">
        <v>749</v>
      </c>
      <c r="B306" s="32" t="s">
        <v>750</v>
      </c>
      <c r="C306" s="33" t="s">
        <v>122</v>
      </c>
      <c r="D306" s="34" t="s">
        <v>805</v>
      </c>
      <c r="E306" s="15" t="s">
        <v>805</v>
      </c>
      <c r="F306" s="15" t="s">
        <v>805</v>
      </c>
      <c r="G306" s="15" t="s">
        <v>805</v>
      </c>
      <c r="H306" s="15" t="s">
        <v>805</v>
      </c>
      <c r="I306" s="15" t="s">
        <v>805</v>
      </c>
      <c r="J306" s="15" t="s">
        <v>805</v>
      </c>
      <c r="K306" s="15" t="s">
        <v>805</v>
      </c>
      <c r="L306" s="29">
        <v>1.0</v>
      </c>
      <c r="M306" s="29">
        <v>1.0</v>
      </c>
      <c r="N306" s="29">
        <v>1.0</v>
      </c>
      <c r="O306" s="29">
        <v>1.0</v>
      </c>
      <c r="P306" s="35"/>
    </row>
    <row r="307" ht="14.25" customHeight="1">
      <c r="A307" s="31" t="s">
        <v>123</v>
      </c>
      <c r="B307" s="32" t="s">
        <v>124</v>
      </c>
      <c r="C307" s="33" t="s">
        <v>122</v>
      </c>
      <c r="D307" s="34">
        <v>1.0</v>
      </c>
      <c r="E307" s="15">
        <v>1.0</v>
      </c>
      <c r="F307" s="15" t="s">
        <v>805</v>
      </c>
      <c r="G307" s="15" t="s">
        <v>805</v>
      </c>
      <c r="H307" s="15">
        <v>1.0</v>
      </c>
      <c r="I307" s="15">
        <v>1.0</v>
      </c>
      <c r="J307" s="15">
        <v>1.0</v>
      </c>
      <c r="K307" s="15" t="s">
        <v>805</v>
      </c>
      <c r="L307" s="29">
        <v>1.0</v>
      </c>
      <c r="M307" s="29" t="s">
        <v>805</v>
      </c>
      <c r="N307" s="29" t="s">
        <v>805</v>
      </c>
      <c r="O307" s="29">
        <v>1.0</v>
      </c>
      <c r="P307" s="35"/>
    </row>
    <row r="308" ht="14.25" customHeight="1">
      <c r="A308" s="31" t="s">
        <v>540</v>
      </c>
      <c r="B308" s="32" t="s">
        <v>541</v>
      </c>
      <c r="C308" s="33" t="s">
        <v>122</v>
      </c>
      <c r="D308" s="34">
        <v>1.0</v>
      </c>
      <c r="E308" s="15">
        <v>1.0</v>
      </c>
      <c r="F308" s="15">
        <v>1.0</v>
      </c>
      <c r="G308" s="15" t="s">
        <v>805</v>
      </c>
      <c r="H308" s="15">
        <v>1.0</v>
      </c>
      <c r="I308" s="15">
        <v>1.0</v>
      </c>
      <c r="J308" s="15">
        <v>1.0</v>
      </c>
      <c r="K308" s="15" t="s">
        <v>805</v>
      </c>
      <c r="L308" s="29">
        <v>1.0</v>
      </c>
      <c r="M308" s="29" t="s">
        <v>805</v>
      </c>
      <c r="N308" s="29" t="s">
        <v>805</v>
      </c>
      <c r="O308" s="29">
        <v>1.0</v>
      </c>
      <c r="P308" s="35"/>
    </row>
    <row r="309" ht="14.25" customHeight="1">
      <c r="A309" s="31" t="s">
        <v>260</v>
      </c>
      <c r="B309" s="32" t="s">
        <v>261</v>
      </c>
      <c r="C309" s="33" t="s">
        <v>21</v>
      </c>
      <c r="D309" s="34">
        <v>1.0</v>
      </c>
      <c r="E309" s="15">
        <v>1.0</v>
      </c>
      <c r="F309" s="15">
        <v>1.0</v>
      </c>
      <c r="G309" s="15" t="s">
        <v>805</v>
      </c>
      <c r="H309" s="15">
        <v>1.0</v>
      </c>
      <c r="I309" s="15">
        <v>1.0</v>
      </c>
      <c r="J309" s="15">
        <v>1.0</v>
      </c>
      <c r="K309" s="15">
        <v>1.0</v>
      </c>
      <c r="L309" s="29">
        <v>1.0</v>
      </c>
      <c r="M309" s="29" t="s">
        <v>805</v>
      </c>
      <c r="N309" s="29" t="s">
        <v>805</v>
      </c>
      <c r="O309" s="29">
        <v>1.0</v>
      </c>
      <c r="P309" s="35"/>
    </row>
    <row r="310" ht="14.25" customHeight="1">
      <c r="A310" s="31" t="s">
        <v>22</v>
      </c>
      <c r="B310" s="32" t="s">
        <v>23</v>
      </c>
      <c r="C310" s="33" t="s">
        <v>21</v>
      </c>
      <c r="D310" s="34">
        <v>1.0</v>
      </c>
      <c r="E310" s="15">
        <v>1.0</v>
      </c>
      <c r="F310" s="15" t="s">
        <v>805</v>
      </c>
      <c r="G310" s="15" t="s">
        <v>805</v>
      </c>
      <c r="H310" s="15">
        <v>1.0</v>
      </c>
      <c r="I310" s="15">
        <v>1.0</v>
      </c>
      <c r="J310" s="15">
        <v>1.0</v>
      </c>
      <c r="K310" s="15">
        <v>1.0</v>
      </c>
      <c r="L310" s="29">
        <v>1.0</v>
      </c>
      <c r="M310" s="29" t="s">
        <v>805</v>
      </c>
      <c r="N310" s="29" t="s">
        <v>805</v>
      </c>
      <c r="O310" s="29">
        <v>1.0</v>
      </c>
      <c r="P310" s="35"/>
    </row>
    <row r="311" ht="14.25" customHeight="1">
      <c r="A311" s="31" t="s">
        <v>279</v>
      </c>
      <c r="B311" s="32" t="s">
        <v>280</v>
      </c>
      <c r="C311" s="33" t="s">
        <v>21</v>
      </c>
      <c r="D311" s="34">
        <v>1.0</v>
      </c>
      <c r="E311" s="15">
        <v>1.0</v>
      </c>
      <c r="F311" s="15">
        <v>1.0</v>
      </c>
      <c r="G311" s="15">
        <v>1.0</v>
      </c>
      <c r="H311" s="15">
        <v>1.0</v>
      </c>
      <c r="I311" s="15">
        <v>1.0</v>
      </c>
      <c r="J311" s="15">
        <v>1.0</v>
      </c>
      <c r="K311" s="15">
        <v>1.0</v>
      </c>
      <c r="L311" s="29" t="s">
        <v>805</v>
      </c>
      <c r="M311" s="29" t="s">
        <v>805</v>
      </c>
      <c r="N311" s="29" t="s">
        <v>805</v>
      </c>
      <c r="O311" s="29" t="s">
        <v>805</v>
      </c>
      <c r="P311" s="35"/>
    </row>
    <row r="312" ht="14.25" customHeight="1">
      <c r="A312" s="31" t="s">
        <v>113</v>
      </c>
      <c r="B312" s="32" t="s">
        <v>114</v>
      </c>
      <c r="C312" s="33" t="s">
        <v>21</v>
      </c>
      <c r="D312" s="34">
        <v>1.0</v>
      </c>
      <c r="E312" s="15">
        <v>1.0</v>
      </c>
      <c r="F312" s="15">
        <v>1.0</v>
      </c>
      <c r="G312" s="15" t="s">
        <v>805</v>
      </c>
      <c r="H312" s="15">
        <v>1.0</v>
      </c>
      <c r="I312" s="15">
        <v>1.0</v>
      </c>
      <c r="J312" s="15">
        <v>1.0</v>
      </c>
      <c r="K312" s="15">
        <v>1.0</v>
      </c>
      <c r="L312" s="29">
        <v>1.0</v>
      </c>
      <c r="M312" s="29" t="s">
        <v>805</v>
      </c>
      <c r="N312" s="29" t="s">
        <v>805</v>
      </c>
      <c r="O312" s="29" t="s">
        <v>805</v>
      </c>
      <c r="P312" s="35"/>
    </row>
    <row r="313" ht="14.25" customHeight="1">
      <c r="A313" s="31" t="s">
        <v>246</v>
      </c>
      <c r="B313" s="32" t="s">
        <v>247</v>
      </c>
      <c r="C313" s="33" t="s">
        <v>21</v>
      </c>
      <c r="D313" s="34">
        <v>1.0</v>
      </c>
      <c r="E313" s="15">
        <v>1.0</v>
      </c>
      <c r="F313" s="15">
        <v>1.0</v>
      </c>
      <c r="G313" s="15" t="s">
        <v>805</v>
      </c>
      <c r="H313" s="15">
        <v>1.0</v>
      </c>
      <c r="I313" s="15">
        <v>1.0</v>
      </c>
      <c r="J313" s="15">
        <v>1.0</v>
      </c>
      <c r="K313" s="15">
        <v>1.0</v>
      </c>
      <c r="L313" s="29">
        <v>1.0</v>
      </c>
      <c r="M313" s="29" t="s">
        <v>805</v>
      </c>
      <c r="N313" s="29" t="s">
        <v>805</v>
      </c>
      <c r="O313" s="29" t="s">
        <v>805</v>
      </c>
      <c r="P313" s="35"/>
    </row>
    <row r="314" ht="14.25" customHeight="1">
      <c r="A314" s="31" t="s">
        <v>343</v>
      </c>
      <c r="B314" s="32" t="s">
        <v>344</v>
      </c>
      <c r="C314" s="33" t="s">
        <v>21</v>
      </c>
      <c r="D314" s="34" t="s">
        <v>805</v>
      </c>
      <c r="E314" s="15" t="s">
        <v>805</v>
      </c>
      <c r="F314" s="15" t="s">
        <v>805</v>
      </c>
      <c r="G314" s="15" t="s">
        <v>805</v>
      </c>
      <c r="H314" s="15" t="s">
        <v>805</v>
      </c>
      <c r="I314" s="15">
        <v>1.0</v>
      </c>
      <c r="J314" s="15">
        <v>1.0</v>
      </c>
      <c r="K314" s="15" t="s">
        <v>805</v>
      </c>
      <c r="L314" s="29" t="s">
        <v>805</v>
      </c>
      <c r="M314" s="29" t="s">
        <v>805</v>
      </c>
      <c r="N314" s="29" t="s">
        <v>805</v>
      </c>
      <c r="O314" s="29" t="s">
        <v>805</v>
      </c>
      <c r="P314" s="35"/>
    </row>
    <row r="315" ht="14.25" customHeight="1">
      <c r="A315" s="31" t="s">
        <v>634</v>
      </c>
      <c r="B315" s="38" t="s">
        <v>635</v>
      </c>
      <c r="C315" s="33" t="s">
        <v>21</v>
      </c>
      <c r="D315" s="34" t="s">
        <v>805</v>
      </c>
      <c r="E315" s="15" t="s">
        <v>805</v>
      </c>
      <c r="F315" s="15" t="s">
        <v>805</v>
      </c>
      <c r="G315" s="15" t="s">
        <v>805</v>
      </c>
      <c r="H315" s="15" t="s">
        <v>805</v>
      </c>
      <c r="I315" s="15">
        <v>1.0</v>
      </c>
      <c r="J315" s="15">
        <v>1.0</v>
      </c>
      <c r="K315" s="15" t="s">
        <v>805</v>
      </c>
      <c r="L315" s="29" t="s">
        <v>805</v>
      </c>
      <c r="M315" s="29" t="s">
        <v>805</v>
      </c>
      <c r="N315" s="29" t="s">
        <v>805</v>
      </c>
      <c r="O315" s="29" t="s">
        <v>805</v>
      </c>
      <c r="P315" s="35"/>
    </row>
    <row r="316" ht="14.25" customHeight="1">
      <c r="A316" s="31" t="s">
        <v>763</v>
      </c>
      <c r="B316" s="32" t="s">
        <v>764</v>
      </c>
      <c r="C316" s="33" t="s">
        <v>21</v>
      </c>
      <c r="D316" s="34" t="s">
        <v>805</v>
      </c>
      <c r="E316" s="15" t="s">
        <v>805</v>
      </c>
      <c r="F316" s="15" t="s">
        <v>805</v>
      </c>
      <c r="G316" s="15" t="s">
        <v>805</v>
      </c>
      <c r="H316" s="15" t="s">
        <v>805</v>
      </c>
      <c r="I316" s="15" t="s">
        <v>805</v>
      </c>
      <c r="J316" s="15" t="s">
        <v>805</v>
      </c>
      <c r="K316" s="15" t="s">
        <v>805</v>
      </c>
      <c r="L316" s="29">
        <v>1.0</v>
      </c>
      <c r="M316" s="29">
        <v>1.0</v>
      </c>
      <c r="N316" s="29">
        <v>1.0</v>
      </c>
      <c r="O316" s="29">
        <v>1.0</v>
      </c>
      <c r="P316" s="35"/>
    </row>
    <row r="317" ht="14.25" customHeight="1">
      <c r="A317" s="31" t="s">
        <v>40</v>
      </c>
      <c r="B317" s="32" t="s">
        <v>41</v>
      </c>
      <c r="C317" s="33" t="s">
        <v>21</v>
      </c>
      <c r="D317" s="34">
        <v>1.0</v>
      </c>
      <c r="E317" s="15">
        <v>1.0</v>
      </c>
      <c r="F317" s="15" t="s">
        <v>805</v>
      </c>
      <c r="G317" s="15" t="s">
        <v>805</v>
      </c>
      <c r="H317" s="15">
        <v>1.0</v>
      </c>
      <c r="I317" s="15">
        <v>1.0</v>
      </c>
      <c r="J317" s="15">
        <v>1.0</v>
      </c>
      <c r="K317" s="15">
        <v>1.0</v>
      </c>
      <c r="L317" s="29">
        <v>1.0</v>
      </c>
      <c r="M317" s="29" t="s">
        <v>805</v>
      </c>
      <c r="N317" s="29">
        <v>1.0</v>
      </c>
      <c r="O317" s="29">
        <v>1.0</v>
      </c>
      <c r="P317" s="35"/>
    </row>
    <row r="318" ht="14.25" customHeight="1">
      <c r="A318" s="31" t="s">
        <v>695</v>
      </c>
      <c r="B318" s="32" t="s">
        <v>696</v>
      </c>
      <c r="C318" s="33" t="s">
        <v>21</v>
      </c>
      <c r="D318" s="34">
        <v>1.0</v>
      </c>
      <c r="E318" s="15">
        <v>1.0</v>
      </c>
      <c r="F318" s="15" t="s">
        <v>805</v>
      </c>
      <c r="G318" s="15" t="s">
        <v>805</v>
      </c>
      <c r="H318" s="15">
        <v>1.0</v>
      </c>
      <c r="I318" s="15">
        <v>1.0</v>
      </c>
      <c r="J318" s="15">
        <v>1.0</v>
      </c>
      <c r="K318" s="15">
        <v>1.0</v>
      </c>
      <c r="L318" s="29" t="s">
        <v>805</v>
      </c>
      <c r="M318" s="29" t="s">
        <v>805</v>
      </c>
      <c r="N318" s="29" t="s">
        <v>805</v>
      </c>
      <c r="O318" s="29" t="s">
        <v>805</v>
      </c>
      <c r="P318" s="35"/>
    </row>
    <row r="319" ht="14.25" customHeight="1">
      <c r="A319" s="31" t="s">
        <v>608</v>
      </c>
      <c r="B319" s="32" t="s">
        <v>609</v>
      </c>
      <c r="C319" s="33" t="s">
        <v>21</v>
      </c>
      <c r="D319" s="34">
        <v>1.0</v>
      </c>
      <c r="E319" s="15">
        <v>1.0</v>
      </c>
      <c r="F319" s="15">
        <v>1.0</v>
      </c>
      <c r="G319" s="15" t="s">
        <v>805</v>
      </c>
      <c r="H319" s="15">
        <v>1.0</v>
      </c>
      <c r="I319" s="15">
        <v>1.0</v>
      </c>
      <c r="J319" s="15">
        <v>1.0</v>
      </c>
      <c r="K319" s="15">
        <v>1.0</v>
      </c>
      <c r="L319" s="29">
        <v>1.0</v>
      </c>
      <c r="M319" s="29" t="s">
        <v>805</v>
      </c>
      <c r="N319" s="29" t="s">
        <v>805</v>
      </c>
      <c r="O319" s="29" t="s">
        <v>805</v>
      </c>
      <c r="P319" s="35"/>
    </row>
    <row r="320" ht="14.25" customHeight="1">
      <c r="A320" s="31" t="s">
        <v>703</v>
      </c>
      <c r="B320" s="32" t="s">
        <v>704</v>
      </c>
      <c r="C320" s="33" t="s">
        <v>21</v>
      </c>
      <c r="D320" s="34">
        <v>1.0</v>
      </c>
      <c r="E320" s="15">
        <v>1.0</v>
      </c>
      <c r="F320" s="15" t="s">
        <v>805</v>
      </c>
      <c r="G320" s="15" t="s">
        <v>805</v>
      </c>
      <c r="H320" s="15">
        <v>1.0</v>
      </c>
      <c r="I320" s="15">
        <v>1.0</v>
      </c>
      <c r="J320" s="15">
        <v>1.0</v>
      </c>
      <c r="K320" s="15">
        <v>1.0</v>
      </c>
      <c r="L320" s="29" t="s">
        <v>805</v>
      </c>
      <c r="M320" s="29" t="s">
        <v>805</v>
      </c>
      <c r="N320" s="29" t="s">
        <v>805</v>
      </c>
      <c r="O320" s="29" t="s">
        <v>805</v>
      </c>
      <c r="P320" s="35"/>
    </row>
    <row r="321" ht="14.25" customHeight="1">
      <c r="A321" s="31" t="s">
        <v>500</v>
      </c>
      <c r="B321" s="32" t="s">
        <v>852</v>
      </c>
      <c r="C321" s="33" t="s">
        <v>135</v>
      </c>
      <c r="D321" s="34">
        <v>1.0</v>
      </c>
      <c r="E321" s="15">
        <v>1.0</v>
      </c>
      <c r="F321" s="15">
        <v>1.0</v>
      </c>
      <c r="G321" s="15">
        <v>1.0</v>
      </c>
      <c r="H321" s="15">
        <v>1.0</v>
      </c>
      <c r="I321" s="15">
        <v>1.0</v>
      </c>
      <c r="J321" s="15">
        <v>1.0</v>
      </c>
      <c r="K321" s="15">
        <v>1.0</v>
      </c>
      <c r="L321" s="29" t="s">
        <v>805</v>
      </c>
      <c r="M321" s="29" t="s">
        <v>805</v>
      </c>
      <c r="N321" s="29" t="s">
        <v>805</v>
      </c>
      <c r="O321" s="29" t="s">
        <v>805</v>
      </c>
      <c r="P321" s="35"/>
    </row>
    <row r="322" ht="14.25" customHeight="1">
      <c r="A322" s="31" t="s">
        <v>271</v>
      </c>
      <c r="B322" s="32" t="s">
        <v>272</v>
      </c>
      <c r="C322" s="33" t="s">
        <v>135</v>
      </c>
      <c r="D322" s="34" t="s">
        <v>805</v>
      </c>
      <c r="E322" s="15" t="s">
        <v>805</v>
      </c>
      <c r="F322" s="15" t="s">
        <v>805</v>
      </c>
      <c r="G322" s="15" t="s">
        <v>805</v>
      </c>
      <c r="H322" s="15" t="s">
        <v>805</v>
      </c>
      <c r="I322" s="15">
        <v>1.0</v>
      </c>
      <c r="J322" s="15">
        <v>1.0</v>
      </c>
      <c r="K322" s="15" t="s">
        <v>805</v>
      </c>
      <c r="L322" s="29" t="s">
        <v>805</v>
      </c>
      <c r="M322" s="29" t="s">
        <v>805</v>
      </c>
      <c r="N322" s="29" t="s">
        <v>805</v>
      </c>
      <c r="O322" s="29" t="s">
        <v>805</v>
      </c>
      <c r="P322" s="35"/>
    </row>
    <row r="323" ht="14.25" customHeight="1">
      <c r="A323" s="31" t="s">
        <v>136</v>
      </c>
      <c r="B323" s="32" t="s">
        <v>137</v>
      </c>
      <c r="C323" s="33" t="s">
        <v>135</v>
      </c>
      <c r="D323" s="34">
        <v>1.0</v>
      </c>
      <c r="E323" s="15">
        <v>1.0</v>
      </c>
      <c r="F323" s="15">
        <v>1.0</v>
      </c>
      <c r="G323" s="15">
        <v>1.0</v>
      </c>
      <c r="H323" s="15">
        <v>1.0</v>
      </c>
      <c r="I323" s="15">
        <v>1.0</v>
      </c>
      <c r="J323" s="15">
        <v>1.0</v>
      </c>
      <c r="K323" s="15">
        <v>1.0</v>
      </c>
      <c r="L323" s="29">
        <v>1.0</v>
      </c>
      <c r="M323" s="29" t="s">
        <v>805</v>
      </c>
      <c r="N323" s="29" t="s">
        <v>805</v>
      </c>
      <c r="O323" s="29">
        <v>1.0</v>
      </c>
      <c r="P323" s="35"/>
    </row>
    <row r="324" ht="14.25" customHeight="1">
      <c r="A324" s="31" t="s">
        <v>719</v>
      </c>
      <c r="B324" s="32" t="s">
        <v>720</v>
      </c>
      <c r="C324" s="33" t="s">
        <v>135</v>
      </c>
      <c r="D324" s="34" t="s">
        <v>805</v>
      </c>
      <c r="E324" s="15" t="s">
        <v>805</v>
      </c>
      <c r="F324" s="15" t="s">
        <v>805</v>
      </c>
      <c r="G324" s="15" t="s">
        <v>805</v>
      </c>
      <c r="H324" s="15" t="s">
        <v>805</v>
      </c>
      <c r="I324" s="15" t="s">
        <v>805</v>
      </c>
      <c r="J324" s="15" t="s">
        <v>805</v>
      </c>
      <c r="K324" s="15" t="s">
        <v>805</v>
      </c>
      <c r="L324" s="29">
        <v>1.0</v>
      </c>
      <c r="M324" s="29">
        <v>1.0</v>
      </c>
      <c r="N324" s="29">
        <v>1.0</v>
      </c>
      <c r="O324" s="29">
        <v>1.0</v>
      </c>
      <c r="P324" s="35"/>
    </row>
    <row r="325" ht="14.25" customHeight="1">
      <c r="A325" s="31" t="s">
        <v>415</v>
      </c>
      <c r="B325" s="32" t="s">
        <v>416</v>
      </c>
      <c r="C325" s="33" t="s">
        <v>135</v>
      </c>
      <c r="D325" s="34" t="s">
        <v>805</v>
      </c>
      <c r="E325" s="15" t="s">
        <v>805</v>
      </c>
      <c r="F325" s="15" t="s">
        <v>805</v>
      </c>
      <c r="G325" s="15" t="s">
        <v>805</v>
      </c>
      <c r="H325" s="15" t="s">
        <v>805</v>
      </c>
      <c r="I325" s="15" t="s">
        <v>805</v>
      </c>
      <c r="J325" s="15">
        <v>1.0</v>
      </c>
      <c r="K325" s="15" t="s">
        <v>805</v>
      </c>
      <c r="L325" s="29" t="s">
        <v>805</v>
      </c>
      <c r="M325" s="29" t="s">
        <v>805</v>
      </c>
      <c r="N325" s="29" t="s">
        <v>805</v>
      </c>
      <c r="O325" s="29" t="s">
        <v>805</v>
      </c>
      <c r="P325" s="35"/>
    </row>
    <row r="326" ht="14.25" customHeight="1">
      <c r="A326" s="31" t="s">
        <v>142</v>
      </c>
      <c r="B326" s="32" t="s">
        <v>143</v>
      </c>
      <c r="C326" s="33" t="s">
        <v>135</v>
      </c>
      <c r="D326" s="34">
        <v>1.0</v>
      </c>
      <c r="E326" s="15">
        <v>1.0</v>
      </c>
      <c r="F326" s="15">
        <v>1.0</v>
      </c>
      <c r="G326" s="15" t="s">
        <v>805</v>
      </c>
      <c r="H326" s="15">
        <v>1.0</v>
      </c>
      <c r="I326" s="15">
        <v>1.0</v>
      </c>
      <c r="J326" s="15">
        <v>1.0</v>
      </c>
      <c r="K326" s="15">
        <v>1.0</v>
      </c>
      <c r="L326" s="29">
        <v>1.0</v>
      </c>
      <c r="M326" s="29" t="s">
        <v>805</v>
      </c>
      <c r="N326" s="29" t="s">
        <v>805</v>
      </c>
      <c r="O326" s="29">
        <v>1.0</v>
      </c>
      <c r="P326" s="35"/>
    </row>
    <row r="327" ht="14.25" customHeight="1">
      <c r="A327" s="31" t="s">
        <v>610</v>
      </c>
      <c r="B327" s="32" t="s">
        <v>611</v>
      </c>
      <c r="C327" s="33" t="s">
        <v>135</v>
      </c>
      <c r="D327" s="34">
        <v>1.0</v>
      </c>
      <c r="E327" s="15">
        <v>1.0</v>
      </c>
      <c r="F327" s="15">
        <v>1.0</v>
      </c>
      <c r="G327" s="15">
        <v>1.0</v>
      </c>
      <c r="H327" s="15">
        <v>1.0</v>
      </c>
      <c r="I327" s="15">
        <v>1.0</v>
      </c>
      <c r="J327" s="15">
        <v>1.0</v>
      </c>
      <c r="K327" s="15">
        <v>1.0</v>
      </c>
      <c r="L327" s="29">
        <v>1.0</v>
      </c>
      <c r="M327" s="29" t="s">
        <v>805</v>
      </c>
      <c r="N327" s="29" t="s">
        <v>805</v>
      </c>
      <c r="O327" s="29">
        <v>1.0</v>
      </c>
      <c r="P327" s="35"/>
    </row>
    <row r="328" ht="14.25" customHeight="1">
      <c r="A328" s="31" t="s">
        <v>318</v>
      </c>
      <c r="B328" s="32" t="s">
        <v>319</v>
      </c>
      <c r="C328" s="33" t="s">
        <v>93</v>
      </c>
      <c r="D328" s="34">
        <v>1.0</v>
      </c>
      <c r="E328" s="15">
        <v>1.0</v>
      </c>
      <c r="F328" s="15">
        <v>1.0</v>
      </c>
      <c r="G328" s="15">
        <v>1.0</v>
      </c>
      <c r="H328" s="15">
        <v>1.0</v>
      </c>
      <c r="I328" s="15">
        <v>1.0</v>
      </c>
      <c r="J328" s="15">
        <v>1.0</v>
      </c>
      <c r="K328" s="15" t="s">
        <v>805</v>
      </c>
      <c r="L328" s="29" t="s">
        <v>805</v>
      </c>
      <c r="M328" s="29" t="s">
        <v>805</v>
      </c>
      <c r="N328" s="29" t="s">
        <v>805</v>
      </c>
      <c r="O328" s="29" t="s">
        <v>805</v>
      </c>
      <c r="P328" s="35"/>
    </row>
    <row r="329" ht="14.25" customHeight="1">
      <c r="A329" s="31" t="s">
        <v>448</v>
      </c>
      <c r="B329" s="32" t="s">
        <v>449</v>
      </c>
      <c r="C329" s="33" t="s">
        <v>93</v>
      </c>
      <c r="D329" s="34">
        <v>1.0</v>
      </c>
      <c r="E329" s="15">
        <v>1.0</v>
      </c>
      <c r="F329" s="15">
        <v>1.0</v>
      </c>
      <c r="G329" s="15" t="s">
        <v>805</v>
      </c>
      <c r="H329" s="15">
        <v>1.0</v>
      </c>
      <c r="I329" s="15">
        <v>1.0</v>
      </c>
      <c r="J329" s="15">
        <v>1.0</v>
      </c>
      <c r="K329" s="15" t="s">
        <v>805</v>
      </c>
      <c r="L329" s="29">
        <v>1.0</v>
      </c>
      <c r="M329" s="29" t="s">
        <v>805</v>
      </c>
      <c r="N329" s="29" t="s">
        <v>805</v>
      </c>
      <c r="O329" s="29">
        <v>1.0</v>
      </c>
      <c r="P329" s="35"/>
    </row>
    <row r="330" ht="14.25" customHeight="1">
      <c r="A330" s="31" t="s">
        <v>196</v>
      </c>
      <c r="B330" s="32" t="s">
        <v>197</v>
      </c>
      <c r="C330" s="33" t="s">
        <v>93</v>
      </c>
      <c r="D330" s="34">
        <v>1.0</v>
      </c>
      <c r="E330" s="15">
        <v>1.0</v>
      </c>
      <c r="F330" s="15" t="s">
        <v>805</v>
      </c>
      <c r="G330" s="15" t="s">
        <v>805</v>
      </c>
      <c r="H330" s="15">
        <v>1.0</v>
      </c>
      <c r="I330" s="15">
        <v>1.0</v>
      </c>
      <c r="J330" s="15">
        <v>1.0</v>
      </c>
      <c r="K330" s="15" t="s">
        <v>805</v>
      </c>
      <c r="L330" s="29">
        <v>1.0</v>
      </c>
      <c r="M330" s="29" t="s">
        <v>805</v>
      </c>
      <c r="N330" s="29" t="s">
        <v>805</v>
      </c>
      <c r="O330" s="29">
        <v>1.0</v>
      </c>
      <c r="P330" s="35"/>
    </row>
    <row r="331" ht="14.25" customHeight="1">
      <c r="A331" s="31" t="s">
        <v>355</v>
      </c>
      <c r="B331" s="32" t="s">
        <v>356</v>
      </c>
      <c r="C331" s="33" t="s">
        <v>93</v>
      </c>
      <c r="D331" s="34">
        <v>1.0</v>
      </c>
      <c r="E331" s="15">
        <v>1.0</v>
      </c>
      <c r="F331" s="15">
        <v>1.0</v>
      </c>
      <c r="G331" s="15" t="s">
        <v>805</v>
      </c>
      <c r="H331" s="15">
        <v>1.0</v>
      </c>
      <c r="I331" s="15">
        <v>1.0</v>
      </c>
      <c r="J331" s="15">
        <v>1.0</v>
      </c>
      <c r="K331" s="15" t="s">
        <v>805</v>
      </c>
      <c r="L331" s="29">
        <v>1.0</v>
      </c>
      <c r="M331" s="29" t="s">
        <v>805</v>
      </c>
      <c r="N331" s="29" t="s">
        <v>805</v>
      </c>
      <c r="O331" s="29">
        <v>1.0</v>
      </c>
      <c r="P331" s="35"/>
    </row>
    <row r="332" ht="14.25" customHeight="1">
      <c r="A332" s="31" t="s">
        <v>771</v>
      </c>
      <c r="B332" s="32" t="s">
        <v>772</v>
      </c>
      <c r="C332" s="33" t="s">
        <v>93</v>
      </c>
      <c r="D332" s="34" t="s">
        <v>805</v>
      </c>
      <c r="E332" s="15" t="s">
        <v>805</v>
      </c>
      <c r="F332" s="15" t="s">
        <v>805</v>
      </c>
      <c r="G332" s="15" t="s">
        <v>805</v>
      </c>
      <c r="H332" s="15" t="s">
        <v>805</v>
      </c>
      <c r="I332" s="15" t="s">
        <v>805</v>
      </c>
      <c r="J332" s="15" t="s">
        <v>805</v>
      </c>
      <c r="K332" s="15" t="s">
        <v>805</v>
      </c>
      <c r="L332" s="29">
        <v>1.0</v>
      </c>
      <c r="M332" s="29">
        <v>1.0</v>
      </c>
      <c r="N332" s="29">
        <v>1.0</v>
      </c>
      <c r="O332" s="29">
        <v>1.0</v>
      </c>
      <c r="P332" s="35"/>
    </row>
    <row r="333" ht="14.25" customHeight="1">
      <c r="A333" s="31" t="s">
        <v>707</v>
      </c>
      <c r="B333" s="32" t="s">
        <v>708</v>
      </c>
      <c r="C333" s="33" t="s">
        <v>93</v>
      </c>
      <c r="D333" s="34">
        <v>1.0</v>
      </c>
      <c r="E333" s="15">
        <v>1.0</v>
      </c>
      <c r="F333" s="15" t="s">
        <v>805</v>
      </c>
      <c r="G333" s="15" t="s">
        <v>805</v>
      </c>
      <c r="H333" s="15">
        <v>1.0</v>
      </c>
      <c r="I333" s="15">
        <v>1.0</v>
      </c>
      <c r="J333" s="15">
        <v>1.0</v>
      </c>
      <c r="K333" s="15" t="s">
        <v>805</v>
      </c>
      <c r="L333" s="29">
        <v>1.0</v>
      </c>
      <c r="M333" s="29" t="s">
        <v>805</v>
      </c>
      <c r="N333" s="29" t="s">
        <v>805</v>
      </c>
      <c r="O333" s="29" t="s">
        <v>805</v>
      </c>
      <c r="P333" s="35"/>
    </row>
    <row r="334" ht="14.25" customHeight="1">
      <c r="A334" s="31" t="s">
        <v>310</v>
      </c>
      <c r="B334" s="32" t="s">
        <v>311</v>
      </c>
      <c r="C334" s="33" t="s">
        <v>93</v>
      </c>
      <c r="D334" s="34">
        <v>1.0</v>
      </c>
      <c r="E334" s="15">
        <v>1.0</v>
      </c>
      <c r="F334" s="15">
        <v>1.0</v>
      </c>
      <c r="G334" s="15" t="s">
        <v>805</v>
      </c>
      <c r="H334" s="15">
        <v>1.0</v>
      </c>
      <c r="I334" s="15">
        <v>1.0</v>
      </c>
      <c r="J334" s="15">
        <v>1.0</v>
      </c>
      <c r="K334" s="15" t="s">
        <v>805</v>
      </c>
      <c r="L334" s="29">
        <v>1.0</v>
      </c>
      <c r="M334" s="29" t="s">
        <v>805</v>
      </c>
      <c r="N334" s="29" t="s">
        <v>805</v>
      </c>
      <c r="O334" s="29">
        <v>1.0</v>
      </c>
      <c r="P334" s="35"/>
    </row>
    <row r="335" ht="14.25" customHeight="1">
      <c r="A335" s="31" t="s">
        <v>275</v>
      </c>
      <c r="B335" s="32" t="s">
        <v>276</v>
      </c>
      <c r="C335" s="33" t="s">
        <v>93</v>
      </c>
      <c r="D335" s="34">
        <v>1.0</v>
      </c>
      <c r="E335" s="15">
        <v>1.0</v>
      </c>
      <c r="F335" s="15">
        <v>1.0</v>
      </c>
      <c r="G335" s="15" t="s">
        <v>805</v>
      </c>
      <c r="H335" s="15">
        <v>1.0</v>
      </c>
      <c r="I335" s="15">
        <v>1.0</v>
      </c>
      <c r="J335" s="15">
        <v>1.0</v>
      </c>
      <c r="K335" s="15" t="s">
        <v>805</v>
      </c>
      <c r="L335" s="29">
        <v>1.0</v>
      </c>
      <c r="M335" s="29" t="s">
        <v>805</v>
      </c>
      <c r="N335" s="29" t="s">
        <v>805</v>
      </c>
      <c r="O335" s="29" t="s">
        <v>805</v>
      </c>
      <c r="P335" s="35"/>
    </row>
    <row r="336" ht="14.25" customHeight="1">
      <c r="A336" s="31" t="s">
        <v>94</v>
      </c>
      <c r="B336" s="32" t="s">
        <v>95</v>
      </c>
      <c r="C336" s="33" t="s">
        <v>93</v>
      </c>
      <c r="D336" s="34">
        <v>1.0</v>
      </c>
      <c r="E336" s="15">
        <v>1.0</v>
      </c>
      <c r="F336" s="15">
        <v>1.0</v>
      </c>
      <c r="G336" s="15" t="s">
        <v>805</v>
      </c>
      <c r="H336" s="15">
        <v>1.0</v>
      </c>
      <c r="I336" s="15">
        <v>1.0</v>
      </c>
      <c r="J336" s="15">
        <v>1.0</v>
      </c>
      <c r="K336" s="15">
        <v>1.0</v>
      </c>
      <c r="L336" s="29">
        <v>1.0</v>
      </c>
      <c r="M336" s="29" t="s">
        <v>805</v>
      </c>
      <c r="N336" s="29" t="s">
        <v>805</v>
      </c>
      <c r="O336" s="29" t="s">
        <v>805</v>
      </c>
      <c r="P336" s="35"/>
    </row>
    <row r="337" ht="14.25" customHeight="1">
      <c r="A337" s="31" t="s">
        <v>384</v>
      </c>
      <c r="B337" s="32" t="s">
        <v>385</v>
      </c>
      <c r="C337" s="33" t="s">
        <v>93</v>
      </c>
      <c r="D337" s="34">
        <v>1.0</v>
      </c>
      <c r="E337" s="15">
        <v>1.0</v>
      </c>
      <c r="F337" s="15">
        <v>1.0</v>
      </c>
      <c r="G337" s="15" t="s">
        <v>805</v>
      </c>
      <c r="H337" s="15">
        <v>1.0</v>
      </c>
      <c r="I337" s="15">
        <v>1.0</v>
      </c>
      <c r="J337" s="15">
        <v>1.0</v>
      </c>
      <c r="K337" s="15" t="s">
        <v>805</v>
      </c>
      <c r="L337" s="29">
        <v>1.0</v>
      </c>
      <c r="M337" s="29" t="s">
        <v>805</v>
      </c>
      <c r="N337" s="29" t="s">
        <v>805</v>
      </c>
      <c r="O337" s="29">
        <v>1.0</v>
      </c>
      <c r="P337" s="35"/>
    </row>
    <row r="338" ht="14.25" customHeight="1">
      <c r="A338" s="31" t="s">
        <v>470</v>
      </c>
      <c r="B338" s="32" t="s">
        <v>471</v>
      </c>
      <c r="C338" s="33" t="s">
        <v>93</v>
      </c>
      <c r="D338" s="34">
        <v>1.0</v>
      </c>
      <c r="E338" s="15">
        <v>1.0</v>
      </c>
      <c r="F338" s="15">
        <v>1.0</v>
      </c>
      <c r="G338" s="15">
        <v>1.0</v>
      </c>
      <c r="H338" s="15">
        <v>1.0</v>
      </c>
      <c r="I338" s="15">
        <v>1.0</v>
      </c>
      <c r="J338" s="15">
        <v>1.0</v>
      </c>
      <c r="K338" s="15">
        <v>1.0</v>
      </c>
      <c r="L338" s="29">
        <v>1.0</v>
      </c>
      <c r="M338" s="29" t="s">
        <v>805</v>
      </c>
      <c r="N338" s="29" t="s">
        <v>805</v>
      </c>
      <c r="O338" s="29">
        <v>1.0</v>
      </c>
      <c r="P338" s="35"/>
    </row>
    <row r="339" ht="14.25" customHeight="1">
      <c r="A339" s="31" t="s">
        <v>285</v>
      </c>
      <c r="B339" s="32" t="s">
        <v>286</v>
      </c>
      <c r="C339" s="33" t="s">
        <v>93</v>
      </c>
      <c r="D339" s="34">
        <v>1.0</v>
      </c>
      <c r="E339" s="15">
        <v>1.0</v>
      </c>
      <c r="F339" s="15" t="s">
        <v>805</v>
      </c>
      <c r="G339" s="15" t="s">
        <v>805</v>
      </c>
      <c r="H339" s="15">
        <v>1.0</v>
      </c>
      <c r="I339" s="15">
        <v>1.0</v>
      </c>
      <c r="J339" s="15">
        <v>1.0</v>
      </c>
      <c r="K339" s="15" t="s">
        <v>805</v>
      </c>
      <c r="L339" s="29" t="s">
        <v>805</v>
      </c>
      <c r="M339" s="29" t="s">
        <v>805</v>
      </c>
      <c r="N339" s="29" t="s">
        <v>805</v>
      </c>
      <c r="O339" s="29" t="s">
        <v>805</v>
      </c>
      <c r="P339" s="35"/>
    </row>
    <row r="340" ht="14.25" customHeight="1">
      <c r="A340" s="31" t="s">
        <v>9</v>
      </c>
      <c r="B340" s="32" t="s">
        <v>10</v>
      </c>
      <c r="C340" s="33" t="s">
        <v>7</v>
      </c>
      <c r="D340" s="34">
        <v>1.0</v>
      </c>
      <c r="E340" s="15">
        <v>1.0</v>
      </c>
      <c r="F340" s="15">
        <v>1.0</v>
      </c>
      <c r="G340" s="15" t="s">
        <v>805</v>
      </c>
      <c r="H340" s="15">
        <v>1.0</v>
      </c>
      <c r="I340" s="15">
        <v>1.0</v>
      </c>
      <c r="J340" s="15">
        <v>1.0</v>
      </c>
      <c r="K340" s="15">
        <v>1.0</v>
      </c>
      <c r="L340" s="29">
        <v>1.0</v>
      </c>
      <c r="M340" s="29" t="s">
        <v>805</v>
      </c>
      <c r="N340" s="29" t="s">
        <v>805</v>
      </c>
      <c r="O340" s="29" t="s">
        <v>805</v>
      </c>
      <c r="P340" s="35"/>
    </row>
    <row r="341" ht="14.25" customHeight="1">
      <c r="A341" s="31" t="s">
        <v>624</v>
      </c>
      <c r="B341" s="32" t="s">
        <v>625</v>
      </c>
      <c r="C341" s="33" t="s">
        <v>7</v>
      </c>
      <c r="D341" s="34">
        <v>1.0</v>
      </c>
      <c r="E341" s="15">
        <v>1.0</v>
      </c>
      <c r="F341" s="15">
        <v>1.0</v>
      </c>
      <c r="G341" s="15">
        <v>1.0</v>
      </c>
      <c r="H341" s="15">
        <v>1.0</v>
      </c>
      <c r="I341" s="15">
        <v>1.0</v>
      </c>
      <c r="J341" s="15">
        <v>1.0</v>
      </c>
      <c r="K341" s="15">
        <v>1.0</v>
      </c>
      <c r="L341" s="29" t="s">
        <v>805</v>
      </c>
      <c r="M341" s="29" t="s">
        <v>805</v>
      </c>
      <c r="N341" s="29" t="s">
        <v>805</v>
      </c>
      <c r="O341" s="29" t="s">
        <v>805</v>
      </c>
      <c r="P341" s="35"/>
    </row>
    <row r="342" ht="14.25" customHeight="1">
      <c r="A342" s="31" t="s">
        <v>733</v>
      </c>
      <c r="B342" s="32" t="s">
        <v>853</v>
      </c>
      <c r="C342" s="33" t="s">
        <v>7</v>
      </c>
      <c r="D342" s="34" t="s">
        <v>805</v>
      </c>
      <c r="E342" s="15" t="s">
        <v>805</v>
      </c>
      <c r="F342" s="15" t="s">
        <v>805</v>
      </c>
      <c r="G342" s="15" t="s">
        <v>805</v>
      </c>
      <c r="H342" s="15" t="s">
        <v>805</v>
      </c>
      <c r="I342" s="15" t="s">
        <v>805</v>
      </c>
      <c r="J342" s="15" t="s">
        <v>805</v>
      </c>
      <c r="K342" s="15" t="s">
        <v>805</v>
      </c>
      <c r="L342" s="29" t="s">
        <v>805</v>
      </c>
      <c r="M342" s="29" t="s">
        <v>805</v>
      </c>
      <c r="N342" s="29" t="s">
        <v>805</v>
      </c>
      <c r="O342" s="29" t="s">
        <v>805</v>
      </c>
      <c r="P342" s="35"/>
    </row>
    <row r="343" ht="14.25" customHeight="1">
      <c r="A343" s="31" t="s">
        <v>854</v>
      </c>
      <c r="B343" s="32" t="s">
        <v>855</v>
      </c>
      <c r="C343" s="33" t="s">
        <v>7</v>
      </c>
      <c r="D343" s="34">
        <v>1.0</v>
      </c>
      <c r="E343" s="15">
        <v>1.0</v>
      </c>
      <c r="F343" s="15" t="s">
        <v>805</v>
      </c>
      <c r="G343" s="15" t="s">
        <v>805</v>
      </c>
      <c r="H343" s="15">
        <v>1.0</v>
      </c>
      <c r="I343" s="15">
        <v>1.0</v>
      </c>
      <c r="J343" s="15">
        <v>1.0</v>
      </c>
      <c r="K343" s="15">
        <v>1.0</v>
      </c>
      <c r="L343" s="29">
        <v>1.0</v>
      </c>
      <c r="M343" s="29" t="s">
        <v>805</v>
      </c>
      <c r="N343" s="29" t="s">
        <v>805</v>
      </c>
      <c r="O343" s="29">
        <v>1.0</v>
      </c>
      <c r="P343" s="35"/>
    </row>
    <row r="344" ht="14.25" customHeight="1">
      <c r="A344" s="31" t="s">
        <v>572</v>
      </c>
      <c r="B344" s="32" t="s">
        <v>573</v>
      </c>
      <c r="C344" s="33" t="s">
        <v>7</v>
      </c>
      <c r="D344" s="34">
        <v>1.0</v>
      </c>
      <c r="E344" s="15">
        <v>1.0</v>
      </c>
      <c r="F344" s="15">
        <v>1.0</v>
      </c>
      <c r="G344" s="15" t="s">
        <v>805</v>
      </c>
      <c r="H344" s="15">
        <v>1.0</v>
      </c>
      <c r="I344" s="15">
        <v>1.0</v>
      </c>
      <c r="J344" s="15">
        <v>1.0</v>
      </c>
      <c r="K344" s="15">
        <v>1.0</v>
      </c>
      <c r="L344" s="29">
        <v>1.0</v>
      </c>
      <c r="M344" s="29" t="s">
        <v>805</v>
      </c>
      <c r="N344" s="29" t="s">
        <v>805</v>
      </c>
      <c r="O344" s="29">
        <v>1.0</v>
      </c>
      <c r="P344" s="35"/>
    </row>
    <row r="345" ht="14.25" customHeight="1">
      <c r="A345" s="31" t="s">
        <v>413</v>
      </c>
      <c r="B345" s="32" t="s">
        <v>414</v>
      </c>
      <c r="C345" s="33" t="s">
        <v>7</v>
      </c>
      <c r="D345" s="34" t="s">
        <v>805</v>
      </c>
      <c r="E345" s="15" t="s">
        <v>805</v>
      </c>
      <c r="F345" s="15" t="s">
        <v>805</v>
      </c>
      <c r="G345" s="15" t="s">
        <v>805</v>
      </c>
      <c r="H345" s="15" t="s">
        <v>805</v>
      </c>
      <c r="I345" s="15">
        <v>1.0</v>
      </c>
      <c r="J345" s="15">
        <v>1.0</v>
      </c>
      <c r="K345" s="15" t="s">
        <v>805</v>
      </c>
      <c r="L345" s="29">
        <v>1.0</v>
      </c>
      <c r="M345" s="29" t="s">
        <v>805</v>
      </c>
      <c r="N345" s="29" t="s">
        <v>805</v>
      </c>
      <c r="O345" s="29">
        <v>1.0</v>
      </c>
      <c r="P345" s="35"/>
    </row>
    <row r="346" ht="14.25" customHeight="1">
      <c r="A346" s="31" t="s">
        <v>578</v>
      </c>
      <c r="B346" s="32" t="s">
        <v>579</v>
      </c>
      <c r="C346" s="33" t="s">
        <v>7</v>
      </c>
      <c r="D346" s="34">
        <v>1.0</v>
      </c>
      <c r="E346" s="15">
        <v>1.0</v>
      </c>
      <c r="F346" s="15">
        <v>1.0</v>
      </c>
      <c r="G346" s="15" t="s">
        <v>805</v>
      </c>
      <c r="H346" s="15">
        <v>1.0</v>
      </c>
      <c r="I346" s="15">
        <v>1.0</v>
      </c>
      <c r="J346" s="15">
        <v>1.0</v>
      </c>
      <c r="K346" s="15">
        <v>1.0</v>
      </c>
      <c r="L346" s="29" t="s">
        <v>805</v>
      </c>
      <c r="M346" s="29" t="s">
        <v>805</v>
      </c>
      <c r="N346" s="29" t="s">
        <v>805</v>
      </c>
      <c r="O346" s="29" t="s">
        <v>805</v>
      </c>
      <c r="P346" s="35"/>
    </row>
    <row r="347" ht="14.25" customHeight="1">
      <c r="A347" s="31" t="s">
        <v>75</v>
      </c>
      <c r="B347" s="32" t="s">
        <v>76</v>
      </c>
      <c r="C347" s="33" t="s">
        <v>7</v>
      </c>
      <c r="D347" s="34">
        <v>1.0</v>
      </c>
      <c r="E347" s="15">
        <v>1.0</v>
      </c>
      <c r="F347" s="15">
        <v>1.0</v>
      </c>
      <c r="G347" s="15" t="s">
        <v>805</v>
      </c>
      <c r="H347" s="15">
        <v>1.0</v>
      </c>
      <c r="I347" s="15">
        <v>1.0</v>
      </c>
      <c r="J347" s="15">
        <v>1.0</v>
      </c>
      <c r="K347" s="15">
        <v>1.0</v>
      </c>
      <c r="L347" s="29">
        <v>1.0</v>
      </c>
      <c r="M347" s="29" t="s">
        <v>805</v>
      </c>
      <c r="N347" s="29" t="s">
        <v>805</v>
      </c>
      <c r="O347" s="29">
        <v>1.0</v>
      </c>
      <c r="P347" s="35"/>
    </row>
    <row r="348" ht="14.25" customHeight="1">
      <c r="A348" s="31" t="s">
        <v>480</v>
      </c>
      <c r="B348" s="32" t="s">
        <v>481</v>
      </c>
      <c r="C348" s="33" t="s">
        <v>7</v>
      </c>
      <c r="D348" s="34" t="s">
        <v>805</v>
      </c>
      <c r="E348" s="15" t="s">
        <v>805</v>
      </c>
      <c r="F348" s="15" t="s">
        <v>805</v>
      </c>
      <c r="G348" s="15" t="s">
        <v>805</v>
      </c>
      <c r="H348" s="15" t="s">
        <v>805</v>
      </c>
      <c r="I348" s="15">
        <v>1.0</v>
      </c>
      <c r="J348" s="15">
        <v>1.0</v>
      </c>
      <c r="K348" s="15">
        <v>1.0</v>
      </c>
      <c r="L348" s="29">
        <v>1.0</v>
      </c>
      <c r="M348" s="29" t="s">
        <v>805</v>
      </c>
      <c r="N348" s="29" t="s">
        <v>805</v>
      </c>
      <c r="O348" s="29">
        <v>1.0</v>
      </c>
      <c r="P348" s="35"/>
    </row>
    <row r="349" ht="14.25" customHeight="1">
      <c r="A349" s="31" t="s">
        <v>70</v>
      </c>
      <c r="B349" s="32" t="s">
        <v>71</v>
      </c>
      <c r="C349" s="33" t="s">
        <v>42</v>
      </c>
      <c r="D349" s="34">
        <v>1.0</v>
      </c>
      <c r="E349" s="15">
        <v>1.0</v>
      </c>
      <c r="F349" s="15">
        <v>1.0</v>
      </c>
      <c r="G349" s="15" t="s">
        <v>805</v>
      </c>
      <c r="H349" s="15">
        <v>1.0</v>
      </c>
      <c r="I349" s="15">
        <v>1.0</v>
      </c>
      <c r="J349" s="15">
        <v>1.0</v>
      </c>
      <c r="K349" s="15">
        <v>1.0</v>
      </c>
      <c r="L349" s="29">
        <v>1.0</v>
      </c>
      <c r="M349" s="29" t="s">
        <v>805</v>
      </c>
      <c r="N349" s="29" t="s">
        <v>805</v>
      </c>
      <c r="O349" s="29">
        <v>1.0</v>
      </c>
      <c r="P349" s="35"/>
    </row>
    <row r="350" ht="14.25" customHeight="1">
      <c r="A350" s="31" t="s">
        <v>482</v>
      </c>
      <c r="B350" s="32" t="s">
        <v>483</v>
      </c>
      <c r="C350" s="33" t="s">
        <v>42</v>
      </c>
      <c r="D350" s="34">
        <v>1.0</v>
      </c>
      <c r="E350" s="15">
        <v>1.0</v>
      </c>
      <c r="F350" s="15">
        <v>1.0</v>
      </c>
      <c r="G350" s="15" t="s">
        <v>805</v>
      </c>
      <c r="H350" s="15">
        <v>1.0</v>
      </c>
      <c r="I350" s="15">
        <v>1.0</v>
      </c>
      <c r="J350" s="15">
        <v>1.0</v>
      </c>
      <c r="K350" s="15">
        <v>1.0</v>
      </c>
      <c r="L350" s="29">
        <v>1.0</v>
      </c>
      <c r="M350" s="29" t="s">
        <v>805</v>
      </c>
      <c r="N350" s="29" t="s">
        <v>805</v>
      </c>
      <c r="O350" s="29">
        <v>1.0</v>
      </c>
      <c r="P350" s="35"/>
    </row>
    <row r="351" ht="14.25" customHeight="1">
      <c r="A351" s="31" t="s">
        <v>194</v>
      </c>
      <c r="B351" s="32" t="s">
        <v>195</v>
      </c>
      <c r="C351" s="33" t="s">
        <v>42</v>
      </c>
      <c r="D351" s="34">
        <v>1.0</v>
      </c>
      <c r="E351" s="15">
        <v>1.0</v>
      </c>
      <c r="F351" s="15" t="s">
        <v>805</v>
      </c>
      <c r="G351" s="15" t="s">
        <v>805</v>
      </c>
      <c r="H351" s="15">
        <v>1.0</v>
      </c>
      <c r="I351" s="15">
        <v>1.0</v>
      </c>
      <c r="J351" s="15">
        <v>1.0</v>
      </c>
      <c r="K351" s="15">
        <v>1.0</v>
      </c>
      <c r="L351" s="29">
        <v>1.0</v>
      </c>
      <c r="M351" s="29" t="s">
        <v>805</v>
      </c>
      <c r="N351" s="29" t="s">
        <v>805</v>
      </c>
      <c r="O351" s="29">
        <v>1.0</v>
      </c>
      <c r="P351" s="35"/>
    </row>
    <row r="352" ht="14.25" customHeight="1">
      <c r="A352" s="31" t="s">
        <v>353</v>
      </c>
      <c r="B352" s="32" t="s">
        <v>354</v>
      </c>
      <c r="C352" s="33" t="s">
        <v>42</v>
      </c>
      <c r="D352" s="34">
        <v>1.0</v>
      </c>
      <c r="E352" s="15">
        <v>1.0</v>
      </c>
      <c r="F352" s="15">
        <v>1.0</v>
      </c>
      <c r="G352" s="15">
        <v>1.0</v>
      </c>
      <c r="H352" s="15">
        <v>1.0</v>
      </c>
      <c r="I352" s="15">
        <v>1.0</v>
      </c>
      <c r="J352" s="15">
        <v>1.0</v>
      </c>
      <c r="K352" s="15">
        <v>1.0</v>
      </c>
      <c r="L352" s="29" t="s">
        <v>805</v>
      </c>
      <c r="M352" s="29" t="s">
        <v>805</v>
      </c>
      <c r="N352" s="29" t="s">
        <v>805</v>
      </c>
      <c r="O352" s="29">
        <v>1.0</v>
      </c>
      <c r="P352" s="35"/>
    </row>
    <row r="353" ht="14.25" customHeight="1">
      <c r="A353" s="31" t="s">
        <v>427</v>
      </c>
      <c r="B353" s="32" t="s">
        <v>428</v>
      </c>
      <c r="C353" s="33" t="s">
        <v>42</v>
      </c>
      <c r="D353" s="34">
        <v>1.0</v>
      </c>
      <c r="E353" s="15">
        <v>1.0</v>
      </c>
      <c r="F353" s="15">
        <v>1.0</v>
      </c>
      <c r="G353" s="15">
        <v>1.0</v>
      </c>
      <c r="H353" s="15">
        <v>1.0</v>
      </c>
      <c r="I353" s="15">
        <v>1.0</v>
      </c>
      <c r="J353" s="15">
        <v>1.0</v>
      </c>
      <c r="K353" s="15">
        <v>1.0</v>
      </c>
      <c r="L353" s="29" t="s">
        <v>805</v>
      </c>
      <c r="M353" s="29" t="s">
        <v>805</v>
      </c>
      <c r="N353" s="29" t="s">
        <v>805</v>
      </c>
      <c r="O353" s="29" t="s">
        <v>805</v>
      </c>
      <c r="P353" s="35"/>
    </row>
    <row r="354" ht="14.25" customHeight="1">
      <c r="A354" s="31" t="s">
        <v>43</v>
      </c>
      <c r="B354" s="32" t="s">
        <v>44</v>
      </c>
      <c r="C354" s="33" t="s">
        <v>42</v>
      </c>
      <c r="D354" s="34">
        <v>1.0</v>
      </c>
      <c r="E354" s="15">
        <v>1.0</v>
      </c>
      <c r="F354" s="15">
        <v>1.0</v>
      </c>
      <c r="G354" s="15" t="s">
        <v>805</v>
      </c>
      <c r="H354" s="15">
        <v>1.0</v>
      </c>
      <c r="I354" s="15">
        <v>1.0</v>
      </c>
      <c r="J354" s="15">
        <v>1.0</v>
      </c>
      <c r="K354" s="15">
        <v>1.0</v>
      </c>
      <c r="L354" s="29">
        <v>1.0</v>
      </c>
      <c r="M354" s="29" t="s">
        <v>805</v>
      </c>
      <c r="N354" s="29" t="s">
        <v>805</v>
      </c>
      <c r="O354" s="29">
        <v>1.0</v>
      </c>
      <c r="P354" s="35"/>
    </row>
    <row r="355" ht="14.25" customHeight="1">
      <c r="A355" s="31" t="s">
        <v>781</v>
      </c>
      <c r="B355" s="32" t="s">
        <v>782</v>
      </c>
      <c r="C355" s="33" t="s">
        <v>42</v>
      </c>
      <c r="D355" s="34" t="s">
        <v>805</v>
      </c>
      <c r="E355" s="15" t="s">
        <v>805</v>
      </c>
      <c r="F355" s="15" t="s">
        <v>805</v>
      </c>
      <c r="G355" s="15" t="s">
        <v>805</v>
      </c>
      <c r="H355" s="15" t="s">
        <v>805</v>
      </c>
      <c r="I355" s="15" t="s">
        <v>805</v>
      </c>
      <c r="J355" s="15" t="s">
        <v>805</v>
      </c>
      <c r="K355" s="15" t="s">
        <v>805</v>
      </c>
      <c r="L355" s="29">
        <v>1.0</v>
      </c>
      <c r="M355" s="29">
        <v>1.0</v>
      </c>
      <c r="N355" s="29">
        <v>1.0</v>
      </c>
      <c r="O355" s="29">
        <v>1.0</v>
      </c>
      <c r="P355" s="35"/>
    </row>
    <row r="356" ht="14.25" customHeight="1">
      <c r="A356" s="31" t="s">
        <v>681</v>
      </c>
      <c r="B356" s="32" t="s">
        <v>682</v>
      </c>
      <c r="C356" s="33" t="s">
        <v>42</v>
      </c>
      <c r="D356" s="34">
        <v>1.0</v>
      </c>
      <c r="E356" s="15">
        <v>1.0</v>
      </c>
      <c r="F356" s="15">
        <v>1.0</v>
      </c>
      <c r="G356" s="15" t="s">
        <v>805</v>
      </c>
      <c r="H356" s="15">
        <v>1.0</v>
      </c>
      <c r="I356" s="15">
        <v>1.0</v>
      </c>
      <c r="J356" s="15">
        <v>1.0</v>
      </c>
      <c r="K356" s="15">
        <v>1.0</v>
      </c>
      <c r="L356" s="29">
        <v>1.0</v>
      </c>
      <c r="M356" s="29" t="s">
        <v>805</v>
      </c>
      <c r="N356" s="29" t="s">
        <v>805</v>
      </c>
      <c r="O356" s="29">
        <v>1.0</v>
      </c>
      <c r="P356" s="35"/>
    </row>
    <row r="357" ht="14.25" customHeight="1">
      <c r="A357" s="31" t="s">
        <v>693</v>
      </c>
      <c r="B357" s="32" t="s">
        <v>694</v>
      </c>
      <c r="C357" s="33" t="s">
        <v>42</v>
      </c>
      <c r="D357" s="34">
        <v>1.0</v>
      </c>
      <c r="E357" s="15">
        <v>1.0</v>
      </c>
      <c r="F357" s="15" t="s">
        <v>805</v>
      </c>
      <c r="G357" s="15" t="s">
        <v>805</v>
      </c>
      <c r="H357" s="15">
        <v>1.0</v>
      </c>
      <c r="I357" s="15">
        <v>1.0</v>
      </c>
      <c r="J357" s="15">
        <v>1.0</v>
      </c>
      <c r="K357" s="15">
        <v>1.0</v>
      </c>
      <c r="L357" s="29">
        <v>1.0</v>
      </c>
      <c r="M357" s="29" t="s">
        <v>805</v>
      </c>
      <c r="N357" s="29" t="s">
        <v>805</v>
      </c>
      <c r="O357" s="29">
        <v>1.0</v>
      </c>
      <c r="P357" s="35"/>
    </row>
    <row r="358" ht="14.25" customHeight="1">
      <c r="A358" s="31" t="s">
        <v>140</v>
      </c>
      <c r="B358" s="32" t="s">
        <v>141</v>
      </c>
      <c r="C358" s="33" t="s">
        <v>65</v>
      </c>
      <c r="D358" s="34">
        <v>1.0</v>
      </c>
      <c r="E358" s="15">
        <v>1.0</v>
      </c>
      <c r="F358" s="15" t="s">
        <v>805</v>
      </c>
      <c r="G358" s="15" t="s">
        <v>805</v>
      </c>
      <c r="H358" s="15">
        <v>1.0</v>
      </c>
      <c r="I358" s="15">
        <v>1.0</v>
      </c>
      <c r="J358" s="15">
        <v>1.0</v>
      </c>
      <c r="K358" s="15">
        <v>1.0</v>
      </c>
      <c r="L358" s="29" t="s">
        <v>805</v>
      </c>
      <c r="M358" s="29" t="s">
        <v>805</v>
      </c>
      <c r="N358" s="29" t="s">
        <v>805</v>
      </c>
      <c r="O358" s="29" t="s">
        <v>805</v>
      </c>
      <c r="P358" s="35"/>
    </row>
    <row r="359" ht="14.25" customHeight="1">
      <c r="A359" s="31" t="s">
        <v>302</v>
      </c>
      <c r="B359" s="32" t="s">
        <v>303</v>
      </c>
      <c r="C359" s="33" t="s">
        <v>65</v>
      </c>
      <c r="D359" s="34">
        <v>1.0</v>
      </c>
      <c r="E359" s="15">
        <v>1.0</v>
      </c>
      <c r="F359" s="15">
        <v>1.0</v>
      </c>
      <c r="G359" s="15" t="s">
        <v>805</v>
      </c>
      <c r="H359" s="15">
        <v>1.0</v>
      </c>
      <c r="I359" s="15">
        <v>1.0</v>
      </c>
      <c r="J359" s="15">
        <v>1.0</v>
      </c>
      <c r="K359" s="15">
        <v>1.0</v>
      </c>
      <c r="L359" s="29">
        <v>1.0</v>
      </c>
      <c r="M359" s="29" t="s">
        <v>805</v>
      </c>
      <c r="N359" s="29" t="s">
        <v>805</v>
      </c>
      <c r="O359" s="29">
        <v>1.0</v>
      </c>
      <c r="P359" s="35"/>
    </row>
    <row r="360" ht="14.25" customHeight="1">
      <c r="A360" s="31" t="s">
        <v>365</v>
      </c>
      <c r="B360" s="32" t="s">
        <v>366</v>
      </c>
      <c r="C360" s="33" t="s">
        <v>84</v>
      </c>
      <c r="D360" s="34">
        <v>1.0</v>
      </c>
      <c r="E360" s="15">
        <v>1.0</v>
      </c>
      <c r="F360" s="15">
        <v>1.0</v>
      </c>
      <c r="G360" s="15" t="s">
        <v>805</v>
      </c>
      <c r="H360" s="15">
        <v>1.0</v>
      </c>
      <c r="I360" s="15">
        <v>1.0</v>
      </c>
      <c r="J360" s="15">
        <v>1.0</v>
      </c>
      <c r="K360" s="15" t="s">
        <v>805</v>
      </c>
      <c r="L360" s="29">
        <v>1.0</v>
      </c>
      <c r="M360" s="29" t="s">
        <v>805</v>
      </c>
      <c r="N360" s="29" t="s">
        <v>805</v>
      </c>
      <c r="O360" s="29" t="s">
        <v>805</v>
      </c>
      <c r="P360" s="35"/>
    </row>
    <row r="361" ht="14.25" customHeight="1">
      <c r="A361" s="31" t="s">
        <v>697</v>
      </c>
      <c r="B361" s="32" t="s">
        <v>698</v>
      </c>
      <c r="C361" s="33" t="s">
        <v>84</v>
      </c>
      <c r="D361" s="34">
        <v>1.0</v>
      </c>
      <c r="E361" s="15">
        <v>1.0</v>
      </c>
      <c r="F361" s="15" t="s">
        <v>805</v>
      </c>
      <c r="G361" s="15" t="s">
        <v>805</v>
      </c>
      <c r="H361" s="15">
        <v>1.0</v>
      </c>
      <c r="I361" s="15">
        <v>1.0</v>
      </c>
      <c r="J361" s="15">
        <v>1.0</v>
      </c>
      <c r="K361" s="15">
        <v>1.0</v>
      </c>
      <c r="L361" s="29">
        <v>1.0</v>
      </c>
      <c r="M361" s="29" t="s">
        <v>805</v>
      </c>
      <c r="N361" s="29" t="s">
        <v>805</v>
      </c>
      <c r="O361" s="29">
        <v>1.0</v>
      </c>
      <c r="P361" s="35"/>
    </row>
    <row r="362" ht="14.25" customHeight="1">
      <c r="A362" s="31" t="s">
        <v>363</v>
      </c>
      <c r="B362" s="32" t="s">
        <v>364</v>
      </c>
      <c r="C362" s="33" t="s">
        <v>84</v>
      </c>
      <c r="D362" s="34">
        <v>1.0</v>
      </c>
      <c r="E362" s="15">
        <v>1.0</v>
      </c>
      <c r="F362" s="15">
        <v>1.0</v>
      </c>
      <c r="G362" s="15">
        <v>1.0</v>
      </c>
      <c r="H362" s="15">
        <v>1.0</v>
      </c>
      <c r="I362" s="15">
        <v>1.0</v>
      </c>
      <c r="J362" s="15">
        <v>1.0</v>
      </c>
      <c r="K362" s="15" t="s">
        <v>805</v>
      </c>
      <c r="L362" s="29" t="s">
        <v>805</v>
      </c>
      <c r="M362" s="29" t="s">
        <v>805</v>
      </c>
      <c r="N362" s="29" t="s">
        <v>805</v>
      </c>
      <c r="O362" s="29" t="s">
        <v>805</v>
      </c>
      <c r="P362" s="35"/>
    </row>
    <row r="363" ht="14.25" customHeight="1">
      <c r="A363" s="31" t="s">
        <v>85</v>
      </c>
      <c r="B363" s="32" t="s">
        <v>86</v>
      </c>
      <c r="C363" s="33" t="s">
        <v>84</v>
      </c>
      <c r="D363" s="34">
        <v>1.0</v>
      </c>
      <c r="E363" s="15">
        <v>1.0</v>
      </c>
      <c r="F363" s="15" t="s">
        <v>805</v>
      </c>
      <c r="G363" s="15" t="s">
        <v>805</v>
      </c>
      <c r="H363" s="15">
        <v>1.0</v>
      </c>
      <c r="I363" s="15">
        <v>1.0</v>
      </c>
      <c r="J363" s="15">
        <v>1.0</v>
      </c>
      <c r="K363" s="15">
        <v>1.0</v>
      </c>
      <c r="L363" s="29">
        <v>1.0</v>
      </c>
      <c r="M363" s="29" t="s">
        <v>805</v>
      </c>
      <c r="N363" s="29" t="s">
        <v>805</v>
      </c>
      <c r="O363" s="29" t="s">
        <v>805</v>
      </c>
      <c r="P363" s="35"/>
    </row>
    <row r="364" ht="14.25" customHeight="1">
      <c r="A364" s="31" t="s">
        <v>741</v>
      </c>
      <c r="B364" s="32" t="s">
        <v>742</v>
      </c>
      <c r="C364" s="33" t="s">
        <v>84</v>
      </c>
      <c r="D364" s="34" t="s">
        <v>805</v>
      </c>
      <c r="E364" s="15" t="s">
        <v>805</v>
      </c>
      <c r="F364" s="15" t="s">
        <v>805</v>
      </c>
      <c r="G364" s="15" t="s">
        <v>805</v>
      </c>
      <c r="H364" s="15" t="s">
        <v>805</v>
      </c>
      <c r="I364" s="15" t="s">
        <v>805</v>
      </c>
      <c r="J364" s="15" t="s">
        <v>805</v>
      </c>
      <c r="K364" s="15" t="s">
        <v>805</v>
      </c>
      <c r="L364" s="29">
        <v>1.0</v>
      </c>
      <c r="M364" s="29">
        <v>1.0</v>
      </c>
      <c r="N364" s="29">
        <v>1.0</v>
      </c>
      <c r="O364" s="29">
        <v>1.0</v>
      </c>
      <c r="P364" s="35"/>
    </row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P$364"/>
  <conditionalFormatting sqref="D2:P364">
    <cfRule type="containsText" dxfId="1" priority="1" operator="containsText" text="NA">
      <formula>NOT(ISERROR(SEARCH(("NA"),(D2))))</formula>
    </cfRule>
  </conditionalFormatting>
  <conditionalFormatting sqref="D2:P364">
    <cfRule type="cellIs" dxfId="2" priority="2" operator="equal">
      <formula>1</formula>
    </cfRule>
  </conditionalFormatting>
  <dataValidations>
    <dataValidation type="list" allowBlank="1" showInputMessage="1" showErrorMessage="1" prompt="Cellule ARV - Veuillez selectionner dans la liste SVP" sqref="B252:B262 B264:B294">
      <formula1>CENTRES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 ht="14.25" customHeight="1"/>
    <row r="2" ht="14.25" customHeight="1"/>
    <row r="3" ht="14.25" customHeight="1">
      <c r="D3" s="6">
        <v>1.0</v>
      </c>
      <c r="E3" s="6" t="s">
        <v>856</v>
      </c>
      <c r="F3" s="6">
        <v>1.0</v>
      </c>
    </row>
    <row r="4" ht="14.25" customHeight="1">
      <c r="D4" s="6">
        <v>2.0</v>
      </c>
      <c r="E4" s="6" t="s">
        <v>857</v>
      </c>
      <c r="F4" s="6">
        <v>2.0</v>
      </c>
    </row>
    <row r="5" ht="14.25" customHeight="1">
      <c r="D5" s="6">
        <v>3.0</v>
      </c>
      <c r="E5" s="6" t="s">
        <v>858</v>
      </c>
      <c r="F5" s="6">
        <v>3.0</v>
      </c>
    </row>
    <row r="6" ht="14.25" customHeight="1">
      <c r="D6" s="6">
        <v>4.0</v>
      </c>
      <c r="E6" s="6" t="s">
        <v>859</v>
      </c>
      <c r="F6" s="6">
        <v>4.0</v>
      </c>
    </row>
    <row r="7" ht="14.25" customHeight="1">
      <c r="D7" s="6">
        <v>5.0</v>
      </c>
      <c r="E7" s="6" t="s">
        <v>860</v>
      </c>
      <c r="F7" s="6">
        <v>5.0</v>
      </c>
    </row>
    <row r="8" ht="14.25" customHeight="1">
      <c r="D8" s="6">
        <v>6.0</v>
      </c>
      <c r="E8" s="6" t="s">
        <v>861</v>
      </c>
      <c r="F8" s="6">
        <v>6.0</v>
      </c>
    </row>
    <row r="9" ht="14.25" customHeight="1">
      <c r="D9" s="6">
        <v>7.0</v>
      </c>
      <c r="E9" s="6" t="s">
        <v>862</v>
      </c>
      <c r="F9" s="6">
        <v>7.0</v>
      </c>
    </row>
    <row r="10" ht="14.25" customHeight="1">
      <c r="D10" s="6">
        <v>8.0</v>
      </c>
      <c r="E10" s="6" t="s">
        <v>863</v>
      </c>
      <c r="F10" s="6">
        <v>8.0</v>
      </c>
    </row>
    <row r="11" ht="14.25" customHeight="1">
      <c r="D11" s="6">
        <v>9.0</v>
      </c>
      <c r="E11" s="6" t="s">
        <v>864</v>
      </c>
      <c r="F11" s="6">
        <v>9.0</v>
      </c>
    </row>
    <row r="12" ht="14.25" customHeight="1">
      <c r="D12" s="6">
        <v>10.0</v>
      </c>
      <c r="E12" s="6" t="s">
        <v>865</v>
      </c>
      <c r="F12" s="6">
        <v>10.0</v>
      </c>
    </row>
    <row r="13" ht="14.25" customHeight="1">
      <c r="D13" s="6">
        <v>11.0</v>
      </c>
      <c r="E13" s="6" t="s">
        <v>866</v>
      </c>
      <c r="F13" s="6">
        <v>11.0</v>
      </c>
    </row>
    <row r="14" ht="14.25" customHeight="1">
      <c r="D14" s="6">
        <v>12.0</v>
      </c>
      <c r="E14" s="6" t="s">
        <v>867</v>
      </c>
      <c r="F14" s="6">
        <v>12.0</v>
      </c>
    </row>
    <row r="15" ht="14.25" customHeight="1">
      <c r="E15" s="6" t="s">
        <v>868</v>
      </c>
      <c r="F15" s="6">
        <v>3.0</v>
      </c>
    </row>
    <row r="16" ht="14.25" customHeight="1">
      <c r="E16" s="6" t="s">
        <v>869</v>
      </c>
      <c r="F16" s="6">
        <v>6.0</v>
      </c>
    </row>
    <row r="17" ht="14.25" customHeight="1">
      <c r="E17" s="6" t="s">
        <v>870</v>
      </c>
      <c r="F17" s="6">
        <v>9.0</v>
      </c>
    </row>
    <row r="18" ht="14.25" customHeight="1">
      <c r="E18" s="6" t="s">
        <v>871</v>
      </c>
      <c r="F18" s="6">
        <v>12.0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1.43"/>
    <col customWidth="1" min="2" max="2" width="55.71"/>
    <col customWidth="1" min="3" max="3" width="19.29"/>
    <col customWidth="1" min="4" max="11" width="11.43"/>
    <col customWidth="1" min="12" max="20" width="16.57"/>
    <col customWidth="1" min="21" max="29" width="11.43"/>
  </cols>
  <sheetData>
    <row r="1" ht="60.0" customHeight="1">
      <c r="A1" s="39" t="s">
        <v>789</v>
      </c>
      <c r="B1" s="39" t="s">
        <v>790</v>
      </c>
      <c r="C1" s="39" t="s">
        <v>791</v>
      </c>
      <c r="D1" s="39" t="s">
        <v>792</v>
      </c>
      <c r="E1" s="39" t="s">
        <v>793</v>
      </c>
      <c r="F1" s="39" t="s">
        <v>794</v>
      </c>
      <c r="G1" s="39" t="s">
        <v>795</v>
      </c>
      <c r="H1" s="39" t="s">
        <v>797</v>
      </c>
      <c r="I1" s="39" t="s">
        <v>798</v>
      </c>
      <c r="J1" s="39" t="s">
        <v>799</v>
      </c>
      <c r="K1" s="40" t="s">
        <v>803</v>
      </c>
      <c r="L1" s="41" t="s">
        <v>872</v>
      </c>
      <c r="M1" s="41" t="s">
        <v>873</v>
      </c>
      <c r="N1" s="41" t="s">
        <v>874</v>
      </c>
      <c r="O1" s="41" t="s">
        <v>875</v>
      </c>
      <c r="P1" s="42" t="s">
        <v>876</v>
      </c>
      <c r="Q1" s="42" t="s">
        <v>877</v>
      </c>
      <c r="R1" s="42" t="s">
        <v>878</v>
      </c>
      <c r="S1" s="42" t="s">
        <v>879</v>
      </c>
      <c r="T1" s="43" t="s">
        <v>880</v>
      </c>
      <c r="U1" s="44" t="s">
        <v>881</v>
      </c>
      <c r="V1" s="45" t="s">
        <v>882</v>
      </c>
      <c r="W1" s="24"/>
      <c r="X1" s="24"/>
      <c r="Y1" s="24"/>
      <c r="Z1" s="24"/>
      <c r="AA1" s="24"/>
      <c r="AB1" s="24"/>
      <c r="AC1" s="24"/>
    </row>
    <row r="2" ht="34.5" customHeight="1">
      <c r="A2" s="46" t="str">
        <f>SiteAttendu!$A2</f>
        <v>C1010</v>
      </c>
      <c r="B2" s="47" t="str">
        <f>VLOOKUP($A2,SiteAttendu!$A$2:$C$366,2,0)</f>
        <v>CSU COM ABOBO BANCO SUD</v>
      </c>
      <c r="C2" s="48" t="str">
        <f>VLOOKUP($A2,SiteAttendu!$A$2:$C$366,3,0)</f>
        <v>ABIDJAN 1</v>
      </c>
      <c r="D2" s="49" t="str">
        <f>IF(VLOOKUP($A2,SiteAttendu!$A$2:$P$366,4,0)="NA","NA",COUNTIFS(soccode,A2,socprog,"PNLS/ANTIRETROVIRAUX ET IO",soctrans,"OUI"))</f>
        <v>NA</v>
      </c>
      <c r="E2" s="49" t="str">
        <f>IF(VLOOKUP($A2,SiteAttendu!$A$2:$P$366,5,0)="NA","NA",COUNTIFS(soccode,A2,socprog,"PNLS/TESTS RAPIDES ET CONSOMMABLES",soctrans,"OUI"))</f>
        <v>NA</v>
      </c>
      <c r="F2" s="49" t="str">
        <f>IF(VLOOKUP($A2,SiteAttendu!$A$2:$P$366,6,0)="NA","NA",COUNTIFS(soccode,A2,socprog,"PNLS/PRODUITS DE LABORATOIRE",soctrans,"OUI"))</f>
        <v>NA</v>
      </c>
      <c r="G2" s="49" t="str">
        <f>IF(VLOOKUP($A2,SiteAttendu!$A$2:$P$366,7,0)="NA","NA",COUNTIFS(soccode,A2,socprog,"PNLS/CHARGES VIRALES",soctrans,"OUI"))</f>
        <v>NA</v>
      </c>
      <c r="H2" s="49">
        <f>IF(VLOOKUP($A2,SiteAttendu!$A$2:$P$366,9,0)="NA","NA",COUNTIFS(soccode,A2,socprog,"PNLP/MEDICAMENTS ET INTRANTS",soctrans,"OUI"))</f>
        <v>1</v>
      </c>
      <c r="I2" s="50">
        <f>IF(VLOOKUP($A2,SiteAttendu!$A$2:$P$366,10,0)="NA","NA",COUNTIFS(soccode,$A2,socprog,"PNSME/MEDICAMENTS ET INTRANTS",soctrans,"OUI"))</f>
        <v>1</v>
      </c>
      <c r="J2" s="49" t="str">
        <f>IF(VLOOKUP($A2,SiteAttendu!$A$2:$P$366,11,0)="NA","NA",COUNTIFS(soccode,$A2,socprog,"PNN/MEDICAMENTS ET INTRANTS",soctrans,"OUI"))</f>
        <v>NA</v>
      </c>
      <c r="K2" s="49" t="str">
        <f>IF(VLOOKUP($A2,SiteAttendu!$A$2:$O$366,15,0)="NA","NA",IF(COUNTIF(socprog,"PNLT/SENSIBLE MEDICAMENTS ET INTRANTS")=0,"NA",COUNTIFS(soccode,$A2,socprog,"PNLT/SENSIBLE MEDICAMENTS ET INTRANTS",soctrans,"OUI")))</f>
        <v>NA</v>
      </c>
      <c r="L2" s="51">
        <f t="shared" ref="L2:S2" si="1">IFERROR(SUMIFS(D$2:D$364,$C$2:$C$364,$C2)/COUNTIFS(D$2:D$364,"&lt;&gt;NA",$C$2:$C$364,$C2),"")</f>
        <v>1</v>
      </c>
      <c r="M2" s="51">
        <f t="shared" si="1"/>
        <v>1</v>
      </c>
      <c r="N2" s="51">
        <f t="shared" si="1"/>
        <v>0.8888888889</v>
      </c>
      <c r="O2" s="51">
        <f t="shared" si="1"/>
        <v>0.6666666667</v>
      </c>
      <c r="P2" s="51">
        <f t="shared" si="1"/>
        <v>0.9285714286</v>
      </c>
      <c r="Q2" s="51">
        <f t="shared" si="1"/>
        <v>0.6956521739</v>
      </c>
      <c r="R2" s="51">
        <f t="shared" si="1"/>
        <v>1</v>
      </c>
      <c r="S2" s="51">
        <f t="shared" si="1"/>
        <v>0.7692307692</v>
      </c>
      <c r="T2" s="52">
        <f t="shared" ref="T2:T292" si="3">SUM(COUNTIFS($C:$C,$C2,D:D,1),COUNTIFS($C:$C,$C2,E:E,1),COUNTIFS($C:$C,$C2,F:F,1),COUNTIFS($C:$C,$C2,G:G,1))/SUM(COUNTIFS($C:$C,$C2,D:D,"&lt;&gt;NA"),COUNTIFS($C:$C,$C2,E:E,"&lt;&gt;NA"),COUNTIFS($C:$C,$C2,F:F,"&lt;&gt;NA"),COUNTIFS($C:$C,$C2,G:G,"&lt;&gt;NA"))</f>
        <v>0.9333333333</v>
      </c>
      <c r="U2" s="53">
        <f t="shared" ref="U2:U364" si="4">SUM(D2:G2)</f>
        <v>0</v>
      </c>
      <c r="V2" s="54">
        <f t="shared" ref="V2:V364" si="5">COUNTIF(D2:G2,"&lt;&gt;NA")</f>
        <v>0</v>
      </c>
    </row>
    <row r="3" ht="15.75" customHeight="1">
      <c r="A3" s="55" t="str">
        <f>SiteAttendu!$A3</f>
        <v>C1011</v>
      </c>
      <c r="B3" s="56" t="str">
        <f>VLOOKUP($A3,SiteAttendu!$A$2:$C$366,2,0)</f>
        <v>CSU COM ABOBO BC</v>
      </c>
      <c r="C3" s="57" t="str">
        <f>VLOOKUP($A3,SiteAttendu!$A$2:$C$366,3,0)</f>
        <v>ABIDJAN 1</v>
      </c>
      <c r="D3" s="58" t="str">
        <f>IF(VLOOKUP($A3,SiteAttendu!$A$2:$P$366,4,0)="NA","NA",COUNTIFS(soccode,A3,socprog,"PNLS/ANTIRETROVIRAUX ET IO",soctrans,"OUI"))</f>
        <v>NA</v>
      </c>
      <c r="E3" s="58" t="str">
        <f>IF(VLOOKUP($A3,SiteAttendu!$A$2:$P$366,5,0)="NA","NA",COUNTIFS(soccode,A3,socprog,"PNLS/TESTS RAPIDES ET CONSOMMABLES",soctrans,"OUI"))</f>
        <v>NA</v>
      </c>
      <c r="F3" s="58" t="str">
        <f>IF(VLOOKUP($A3,SiteAttendu!$A$2:$P$366,6,0)="NA","NA",COUNTIFS(soccode,A3,socprog,"PNLS/PRODUITS DE LABORATOIRE",soctrans,"OUI"))</f>
        <v>NA</v>
      </c>
      <c r="G3" s="58" t="str">
        <f>IF(VLOOKUP($A3,SiteAttendu!$A$2:$P$366,7,0)="NA","NA",COUNTIFS(soccode,A3,socprog,"PNLS/CHARGES VIRALES",soctrans,"OUI"))</f>
        <v>NA</v>
      </c>
      <c r="H3" s="58">
        <f>IF(VLOOKUP($A3,SiteAttendu!$A$2:$P$366,9,0)="NA","NA",COUNTIFS(soccode,A3,socprog,"PNLP/MEDICAMENTS ET INTRANTS",soctrans,"OUI"))</f>
        <v>1</v>
      </c>
      <c r="I3" s="59">
        <f>IF(VLOOKUP($A3,SiteAttendu!$A$2:$P$366,10,0)="NA","NA",COUNTIFS(soccode,$A3,socprog,"PNSME/MEDICAMENTS ET INTRANTS",soctrans,"OUI"))</f>
        <v>1</v>
      </c>
      <c r="J3" s="58" t="str">
        <f>IF(VLOOKUP($A3,SiteAttendu!$A$2:$P$366,11,0)="NA","NA",COUNTIFS(soccode,$A3,socprog,"PNN/MEDICAMENTS ET INTRANTS",soctrans,"OUI"))</f>
        <v>NA</v>
      </c>
      <c r="K3" s="58" t="str">
        <f>IF(VLOOKUP($A3,SiteAttendu!$A$2:$O$366,15,0)="NA","NA",IF(COUNTIF(socprog,"PNLT/SENSIBLE MEDICAMENTS ET INTRANTS")=0,"NA",COUNTIFS(soccode,$A3,socprog,"PNLT/SENSIBLE MEDICAMENTS ET INTRANTS",soctrans,"OUI")))</f>
        <v>NA</v>
      </c>
      <c r="L3" s="60"/>
      <c r="M3" s="60">
        <f t="shared" ref="M3:S3" si="2">IFERROR(SUMIFS(E$2:E$364,$C$2:$C$364,$C3)/COUNTIFS(E$2:E$364,"&lt;&gt;NA",$C$2:$C$364,$C3),"")</f>
        <v>1</v>
      </c>
      <c r="N3" s="60">
        <f t="shared" si="2"/>
        <v>0.8888888889</v>
      </c>
      <c r="O3" s="60">
        <f t="shared" si="2"/>
        <v>0.6666666667</v>
      </c>
      <c r="P3" s="60">
        <f t="shared" si="2"/>
        <v>0.9285714286</v>
      </c>
      <c r="Q3" s="60">
        <f t="shared" si="2"/>
        <v>0.6956521739</v>
      </c>
      <c r="R3" s="60">
        <f t="shared" si="2"/>
        <v>1</v>
      </c>
      <c r="S3" s="60">
        <f t="shared" si="2"/>
        <v>0.7692307692</v>
      </c>
      <c r="T3" s="61">
        <f t="shared" si="3"/>
        <v>0.9333333333</v>
      </c>
      <c r="U3" s="53">
        <f t="shared" si="4"/>
        <v>0</v>
      </c>
      <c r="V3" s="54">
        <f t="shared" si="5"/>
        <v>0</v>
      </c>
    </row>
    <row r="4" ht="15.75" customHeight="1">
      <c r="A4" s="55" t="str">
        <f>SiteAttendu!$A4</f>
        <v>C1012</v>
      </c>
      <c r="B4" s="56" t="str">
        <f>VLOOKUP($A4,SiteAttendu!$A$2:$C$366,2,0)</f>
        <v>CSU COM ABOBO TE</v>
      </c>
      <c r="C4" s="57" t="str">
        <f>VLOOKUP($A4,SiteAttendu!$A$2:$C$366,3,0)</f>
        <v>ABIDJAN 1</v>
      </c>
      <c r="D4" s="58" t="str">
        <f>IF(VLOOKUP($A4,SiteAttendu!$A$2:$P$366,4,0)="NA","NA",COUNTIFS(soccode,A4,socprog,"PNLS/ANTIRETROVIRAUX ET IO",soctrans,"OUI"))</f>
        <v>NA</v>
      </c>
      <c r="E4" s="58" t="str">
        <f>IF(VLOOKUP($A4,SiteAttendu!$A$2:$P$366,5,0)="NA","NA",COUNTIFS(soccode,A4,socprog,"PNLS/TESTS RAPIDES ET CONSOMMABLES",soctrans,"OUI"))</f>
        <v>NA</v>
      </c>
      <c r="F4" s="58" t="str">
        <f>IF(VLOOKUP($A4,SiteAttendu!$A$2:$P$366,6,0)="NA","NA",COUNTIFS(soccode,A4,socprog,"PNLS/PRODUITS DE LABORATOIRE",soctrans,"OUI"))</f>
        <v>NA</v>
      </c>
      <c r="G4" s="58" t="str">
        <f>IF(VLOOKUP($A4,SiteAttendu!$A$2:$P$366,7,0)="NA","NA",COUNTIFS(soccode,A4,socprog,"PNLS/CHARGES VIRALES",soctrans,"OUI"))</f>
        <v>NA</v>
      </c>
      <c r="H4" s="58">
        <f>IF(VLOOKUP($A4,SiteAttendu!$A$2:$P$366,9,0)="NA","NA",COUNTIFS(soccode,A4,socprog,"PNLP/MEDICAMENTS ET INTRANTS",soctrans,"OUI"))</f>
        <v>1</v>
      </c>
      <c r="I4" s="59" t="str">
        <f>IF(VLOOKUP($A4,SiteAttendu!$A$2:$P$366,10,0)="NA","NA",COUNTIFS(soccode,$A4,socprog,"PNSME/MEDICAMENTS ET INTRANTS",soctrans,"OUI"))</f>
        <v>NA</v>
      </c>
      <c r="J4" s="58" t="str">
        <f>IF(VLOOKUP($A4,SiteAttendu!$A$2:$P$366,11,0)="NA","NA",COUNTIFS(soccode,$A4,socprog,"PNN/MEDICAMENTS ET INTRANTS",soctrans,"OUI"))</f>
        <v>NA</v>
      </c>
      <c r="K4" s="58" t="str">
        <f>IF(VLOOKUP($A4,SiteAttendu!$A$2:$O$366,15,0)="NA","NA",IF(COUNTIF(socprog,"PNLT/SENSIBLE MEDICAMENTS ET INTRANTS")=0,"NA",COUNTIFS(soccode,$A4,socprog,"PNLT/SENSIBLE MEDICAMENTS ET INTRANTS",soctrans,"OUI")))</f>
        <v>NA</v>
      </c>
      <c r="L4" s="60"/>
      <c r="M4" s="60">
        <f t="shared" ref="M4:S4" si="6">IFERROR(SUMIFS(E$2:E$364,$C$2:$C$364,$C4)/COUNTIFS(E$2:E$364,"&lt;&gt;NA",$C$2:$C$364,$C4),"")</f>
        <v>1</v>
      </c>
      <c r="N4" s="60">
        <f t="shared" si="6"/>
        <v>0.8888888889</v>
      </c>
      <c r="O4" s="60">
        <f t="shared" si="6"/>
        <v>0.6666666667</v>
      </c>
      <c r="P4" s="60">
        <f t="shared" si="6"/>
        <v>0.9285714286</v>
      </c>
      <c r="Q4" s="60">
        <f t="shared" si="6"/>
        <v>0.6956521739</v>
      </c>
      <c r="R4" s="60">
        <f t="shared" si="6"/>
        <v>1</v>
      </c>
      <c r="S4" s="60">
        <f t="shared" si="6"/>
        <v>0.7692307692</v>
      </c>
      <c r="T4" s="61">
        <f t="shared" si="3"/>
        <v>0.9333333333</v>
      </c>
      <c r="U4" s="53">
        <f t="shared" si="4"/>
        <v>0</v>
      </c>
      <c r="V4" s="54">
        <f t="shared" si="5"/>
        <v>0</v>
      </c>
    </row>
    <row r="5" ht="15.75" customHeight="1">
      <c r="A5" s="55" t="str">
        <f>SiteAttendu!$A5</f>
        <v>C1026</v>
      </c>
      <c r="B5" s="56" t="str">
        <f>VLOOKUP($A5,SiteAttendu!$A$2:$C$366,2,0)</f>
        <v>CSU COM KENNEDY</v>
      </c>
      <c r="C5" s="57" t="str">
        <f>VLOOKUP($A5,SiteAttendu!$A$2:$C$366,3,0)</f>
        <v>ABIDJAN 1</v>
      </c>
      <c r="D5" s="58">
        <f>IF(VLOOKUP($A5,SiteAttendu!$A$2:$P$366,4,0)="NA","NA",COUNTIFS(soccode,A5,socprog,"PNLS/ANTIRETROVIRAUX ET IO",soctrans,"OUI"))</f>
        <v>1</v>
      </c>
      <c r="E5" s="58">
        <f>IF(VLOOKUP($A5,SiteAttendu!$A$2:$P$366,5,0)="NA","NA",COUNTIFS(soccode,A5,socprog,"PNLS/TESTS RAPIDES ET CONSOMMABLES",soctrans,"OUI"))</f>
        <v>1</v>
      </c>
      <c r="F5" s="58">
        <f>IF(VLOOKUP($A5,SiteAttendu!$A$2:$P$366,6,0)="NA","NA",COUNTIFS(soccode,A5,socprog,"PNLS/PRODUITS DE LABORATOIRE",soctrans,"OUI"))</f>
        <v>1</v>
      </c>
      <c r="G5" s="58" t="str">
        <f>IF(VLOOKUP($A5,SiteAttendu!$A$2:$P$366,7,0)="NA","NA",COUNTIFS(soccode,A5,socprog,"PNLS/CHARGES VIRALES",soctrans,"OUI"))</f>
        <v>NA</v>
      </c>
      <c r="H5" s="58">
        <f>IF(VLOOKUP($A5,SiteAttendu!$A$2:$P$366,9,0)="NA","NA",COUNTIFS(soccode,A5,socprog,"PNLP/MEDICAMENTS ET INTRANTS",soctrans,"OUI"))</f>
        <v>1</v>
      </c>
      <c r="I5" s="59">
        <f>IF(VLOOKUP($A5,SiteAttendu!$A$2:$P$366,10,0)="NA","NA",COUNTIFS(soccode,$A5,socprog,"PNSME/MEDICAMENTS ET INTRANTS",soctrans,"OUI"))</f>
        <v>1</v>
      </c>
      <c r="J5" s="58" t="str">
        <f>IF(VLOOKUP($A5,SiteAttendu!$A$2:$P$366,11,0)="NA","NA",COUNTIFS(soccode,$A5,socprog,"PNN/MEDICAMENTS ET INTRANTS",soctrans,"OUI"))</f>
        <v>NA</v>
      </c>
      <c r="K5" s="58" t="str">
        <f>IF(VLOOKUP($A5,SiteAttendu!$A$2:$O$366,15,0)="NA","NA",IF(COUNTIF(socprog,"PNLT/SENSIBLE MEDICAMENTS ET INTRANTS")=0,"NA",COUNTIFS(soccode,$A5,socprog,"PNLT/SENSIBLE MEDICAMENTS ET INTRANTS",soctrans,"OUI")))</f>
        <v>NA</v>
      </c>
      <c r="L5" s="60"/>
      <c r="M5" s="60">
        <f t="shared" ref="M5:S5" si="7">IFERROR(SUMIFS(E$2:E$364,$C$2:$C$364,$C5)/COUNTIFS(E$2:E$364,"&lt;&gt;NA",$C$2:$C$364,$C5),"")</f>
        <v>1</v>
      </c>
      <c r="N5" s="60">
        <f t="shared" si="7"/>
        <v>0.8888888889</v>
      </c>
      <c r="O5" s="60">
        <f t="shared" si="7"/>
        <v>0.6666666667</v>
      </c>
      <c r="P5" s="60">
        <f t="shared" si="7"/>
        <v>0.9285714286</v>
      </c>
      <c r="Q5" s="60">
        <f t="shared" si="7"/>
        <v>0.6956521739</v>
      </c>
      <c r="R5" s="60">
        <f t="shared" si="7"/>
        <v>1</v>
      </c>
      <c r="S5" s="60">
        <f t="shared" si="7"/>
        <v>0.7692307692</v>
      </c>
      <c r="T5" s="61">
        <f t="shared" si="3"/>
        <v>0.9333333333</v>
      </c>
      <c r="U5" s="53">
        <f t="shared" si="4"/>
        <v>3</v>
      </c>
      <c r="V5" s="54">
        <f t="shared" si="5"/>
        <v>3</v>
      </c>
    </row>
    <row r="6" ht="15.75" customHeight="1">
      <c r="A6" s="55" t="str">
        <f>SiteAttendu!$A6</f>
        <v>C1063</v>
      </c>
      <c r="B6" s="56" t="str">
        <f>VLOOKUP($A6,SiteAttendu!$A$2:$C$366,2,0)</f>
        <v>FSU COM ABOBO AKEIKOI</v>
      </c>
      <c r="C6" s="57" t="str">
        <f>VLOOKUP($A6,SiteAttendu!$A$2:$C$366,3,0)</f>
        <v>ABIDJAN 1</v>
      </c>
      <c r="D6" s="58" t="str">
        <f>IF(VLOOKUP($A6,SiteAttendu!$A$2:$P$366,4,0)="NA","NA",COUNTIFS(soccode,A6,socprog,"PNLS/ANTIRETROVIRAUX ET IO",soctrans,"OUI"))</f>
        <v>NA</v>
      </c>
      <c r="E6" s="58" t="str">
        <f>IF(VLOOKUP($A6,SiteAttendu!$A$2:$P$366,5,0)="NA","NA",COUNTIFS(soccode,A6,socprog,"PNLS/TESTS RAPIDES ET CONSOMMABLES",soctrans,"OUI"))</f>
        <v>NA</v>
      </c>
      <c r="F6" s="58" t="str">
        <f>IF(VLOOKUP($A6,SiteAttendu!$A$2:$P$366,6,0)="NA","NA",COUNTIFS(soccode,A6,socprog,"PNLS/PRODUITS DE LABORATOIRE",soctrans,"OUI"))</f>
        <v>NA</v>
      </c>
      <c r="G6" s="58" t="str">
        <f>IF(VLOOKUP($A6,SiteAttendu!$A$2:$P$366,7,0)="NA","NA",COUNTIFS(soccode,A6,socprog,"PNLS/CHARGES VIRALES",soctrans,"OUI"))</f>
        <v>NA</v>
      </c>
      <c r="H6" s="58">
        <f>IF(VLOOKUP($A6,SiteAttendu!$A$2:$P$366,9,0)="NA","NA",COUNTIFS(soccode,A6,socprog,"PNLP/MEDICAMENTS ET INTRANTS",soctrans,"OUI"))</f>
        <v>1</v>
      </c>
      <c r="I6" s="59">
        <f>IF(VLOOKUP($A6,SiteAttendu!$A$2:$P$366,10,0)="NA","NA",COUNTIFS(soccode,$A6,socprog,"PNSME/MEDICAMENTS ET INTRANTS",soctrans,"OUI"))</f>
        <v>1</v>
      </c>
      <c r="J6" s="58" t="str">
        <f>IF(VLOOKUP($A6,SiteAttendu!$A$2:$P$366,11,0)="NA","NA",COUNTIFS(soccode,$A6,socprog,"PNN/MEDICAMENTS ET INTRANTS",soctrans,"OUI"))</f>
        <v>NA</v>
      </c>
      <c r="K6" s="58" t="str">
        <f>IF(VLOOKUP($A6,SiteAttendu!$A$2:$O$366,15,0)="NA","NA",IF(COUNTIF(socprog,"PNLT/SENSIBLE MEDICAMENTS ET INTRANTS")=0,"NA",COUNTIFS(soccode,$A6,socprog,"PNLT/SENSIBLE MEDICAMENTS ET INTRANTS",soctrans,"OUI")))</f>
        <v>NA</v>
      </c>
      <c r="L6" s="60"/>
      <c r="M6" s="60">
        <f t="shared" ref="M6:S6" si="8">IFERROR(SUMIFS(E$2:E$364,$C$2:$C$364,$C6)/COUNTIFS(E$2:E$364,"&lt;&gt;NA",$C$2:$C$364,$C6),"")</f>
        <v>1</v>
      </c>
      <c r="N6" s="60">
        <f t="shared" si="8"/>
        <v>0.8888888889</v>
      </c>
      <c r="O6" s="60">
        <f t="shared" si="8"/>
        <v>0.6666666667</v>
      </c>
      <c r="P6" s="60">
        <f t="shared" si="8"/>
        <v>0.9285714286</v>
      </c>
      <c r="Q6" s="60">
        <f t="shared" si="8"/>
        <v>0.6956521739</v>
      </c>
      <c r="R6" s="60">
        <f t="shared" si="8"/>
        <v>1</v>
      </c>
      <c r="S6" s="60">
        <f t="shared" si="8"/>
        <v>0.7692307692</v>
      </c>
      <c r="T6" s="61">
        <f t="shared" si="3"/>
        <v>0.9333333333</v>
      </c>
      <c r="U6" s="53">
        <f t="shared" si="4"/>
        <v>0</v>
      </c>
      <c r="V6" s="54">
        <f t="shared" si="5"/>
        <v>0</v>
      </c>
    </row>
    <row r="7" ht="15.75" customHeight="1">
      <c r="A7" s="55" t="str">
        <f>SiteAttendu!$A7</f>
        <v>C1064</v>
      </c>
      <c r="B7" s="56" t="str">
        <f>VLOOKUP($A7,SiteAttendu!$A$2:$C$366,2,0)</f>
        <v>FSU COM ABOBO AVOCATIER</v>
      </c>
      <c r="C7" s="57" t="str">
        <f>VLOOKUP($A7,SiteAttendu!$A$2:$C$366,3,0)</f>
        <v>ABIDJAN 1</v>
      </c>
      <c r="D7" s="58">
        <f>IF(VLOOKUP($A7,SiteAttendu!$A$2:$P$366,4,0)="NA","NA",COUNTIFS(soccode,A7,socprog,"PNLS/ANTIRETROVIRAUX ET IO",soctrans,"OUI"))</f>
        <v>1</v>
      </c>
      <c r="E7" s="58">
        <f>IF(VLOOKUP($A7,SiteAttendu!$A$2:$P$366,5,0)="NA","NA",COUNTIFS(soccode,A7,socprog,"PNLS/TESTS RAPIDES ET CONSOMMABLES",soctrans,"OUI"))</f>
        <v>1</v>
      </c>
      <c r="F7" s="58">
        <f>IF(VLOOKUP($A7,SiteAttendu!$A$2:$P$366,6,0)="NA","NA",COUNTIFS(soccode,A7,socprog,"PNLS/PRODUITS DE LABORATOIRE",soctrans,"OUI"))</f>
        <v>1</v>
      </c>
      <c r="G7" s="58">
        <f>IF(VLOOKUP($A7,SiteAttendu!$A$2:$P$366,7,0)="NA","NA",COUNTIFS(soccode,A7,socprog,"PNLS/CHARGES VIRALES",soctrans,"OUI"))</f>
        <v>1</v>
      </c>
      <c r="H7" s="58">
        <f>IF(VLOOKUP($A7,SiteAttendu!$A$2:$P$366,9,0)="NA","NA",COUNTIFS(soccode,A7,socprog,"PNLP/MEDICAMENTS ET INTRANTS",soctrans,"OUI"))</f>
        <v>1</v>
      </c>
      <c r="I7" s="59" t="str">
        <f>IF(VLOOKUP($A7,SiteAttendu!$A$2:$P$366,10,0)="NA","NA",COUNTIFS(soccode,$A7,socprog,"PNSME/MEDICAMENTS ET INTRANTS",soctrans,"OUI"))</f>
        <v>NA</v>
      </c>
      <c r="J7" s="58" t="str">
        <f>IF(VLOOKUP($A7,SiteAttendu!$A$2:$P$366,11,0)="NA","NA",COUNTIFS(soccode,$A7,socprog,"PNN/MEDICAMENTS ET INTRANTS",soctrans,"OUI"))</f>
        <v>NA</v>
      </c>
      <c r="K7" s="58">
        <f>IF(VLOOKUP($A7,SiteAttendu!$A$2:$O$366,15,0)="NA","NA",IF(COUNTIF(socprog,"PNLT/SENSIBLE MEDICAMENTS ET INTRANTS")=0,"NA",COUNTIFS(soccode,$A7,socprog,"PNLT/SENSIBLE MEDICAMENTS ET INTRANTS",soctrans,"OUI")))</f>
        <v>1</v>
      </c>
      <c r="L7" s="60"/>
      <c r="M7" s="60">
        <f t="shared" ref="M7:S7" si="9">IFERROR(SUMIFS(E$2:E$364,$C$2:$C$364,$C7)/COUNTIFS(E$2:E$364,"&lt;&gt;NA",$C$2:$C$364,$C7),"")</f>
        <v>1</v>
      </c>
      <c r="N7" s="60">
        <f t="shared" si="9"/>
        <v>0.8888888889</v>
      </c>
      <c r="O7" s="60">
        <f t="shared" si="9"/>
        <v>0.6666666667</v>
      </c>
      <c r="P7" s="60">
        <f t="shared" si="9"/>
        <v>0.9285714286</v>
      </c>
      <c r="Q7" s="60">
        <f t="shared" si="9"/>
        <v>0.6956521739</v>
      </c>
      <c r="R7" s="60">
        <f t="shared" si="9"/>
        <v>1</v>
      </c>
      <c r="S7" s="60">
        <f t="shared" si="9"/>
        <v>0.7692307692</v>
      </c>
      <c r="T7" s="61">
        <f t="shared" si="3"/>
        <v>0.9333333333</v>
      </c>
      <c r="U7" s="53">
        <f t="shared" si="4"/>
        <v>4</v>
      </c>
      <c r="V7" s="54">
        <f t="shared" si="5"/>
        <v>4</v>
      </c>
    </row>
    <row r="8" ht="15.75" customHeight="1">
      <c r="A8" s="55" t="str">
        <f>SiteAttendu!$A8</f>
        <v>C1066</v>
      </c>
      <c r="B8" s="56" t="str">
        <f>VLOOKUP($A8,SiteAttendu!$A$2:$C$366,2,0)</f>
        <v>FSU COM ABOBO-BAOULE</v>
      </c>
      <c r="C8" s="57" t="str">
        <f>VLOOKUP($A8,SiteAttendu!$A$2:$C$366,3,0)</f>
        <v>ABIDJAN 1</v>
      </c>
      <c r="D8" s="58" t="str">
        <f>IF(VLOOKUP($A8,SiteAttendu!$A$2:$P$366,4,0)="NA","NA",COUNTIFS(soccode,A8,socprog,"PNLS/ANTIRETROVIRAUX ET IO",soctrans,"OUI"))</f>
        <v>NA</v>
      </c>
      <c r="E8" s="58" t="str">
        <f>IF(VLOOKUP($A8,SiteAttendu!$A$2:$P$366,5,0)="NA","NA",COUNTIFS(soccode,A8,socprog,"PNLS/TESTS RAPIDES ET CONSOMMABLES",soctrans,"OUI"))</f>
        <v>NA</v>
      </c>
      <c r="F8" s="58" t="str">
        <f>IF(VLOOKUP($A8,SiteAttendu!$A$2:$P$366,6,0)="NA","NA",COUNTIFS(soccode,A8,socprog,"PNLS/PRODUITS DE LABORATOIRE",soctrans,"OUI"))</f>
        <v>NA</v>
      </c>
      <c r="G8" s="58" t="str">
        <f>IF(VLOOKUP($A8,SiteAttendu!$A$2:$P$366,7,0)="NA","NA",COUNTIFS(soccode,A8,socprog,"PNLS/CHARGES VIRALES",soctrans,"OUI"))</f>
        <v>NA</v>
      </c>
      <c r="H8" s="58">
        <f>IF(VLOOKUP($A8,SiteAttendu!$A$2:$P$366,9,0)="NA","NA",COUNTIFS(soccode,A8,socprog,"PNLP/MEDICAMENTS ET INTRANTS",soctrans,"OUI"))</f>
        <v>0</v>
      </c>
      <c r="I8" s="59">
        <f>IF(VLOOKUP($A8,SiteAttendu!$A$2:$P$366,10,0)="NA","NA",COUNTIFS(soccode,$A8,socprog,"PNSME/MEDICAMENTS ET INTRANTS",soctrans,"OUI"))</f>
        <v>0</v>
      </c>
      <c r="J8" s="58" t="str">
        <f>IF(VLOOKUP($A8,SiteAttendu!$A$2:$P$366,11,0)="NA","NA",COUNTIFS(soccode,$A8,socprog,"PNN/MEDICAMENTS ET INTRANTS",soctrans,"OUI"))</f>
        <v>NA</v>
      </c>
      <c r="K8" s="58">
        <f>IF(VLOOKUP($A8,SiteAttendu!$A$2:$O$366,15,0)="NA","NA",IF(COUNTIF(socprog,"PNLT/SENSIBLE MEDICAMENTS ET INTRANTS")=0,"NA",COUNTIFS(soccode,$A8,socprog,"PNLT/SENSIBLE MEDICAMENTS ET INTRANTS",soctrans,"OUI")))</f>
        <v>0</v>
      </c>
      <c r="L8" s="60"/>
      <c r="M8" s="60">
        <f t="shared" ref="M8:S8" si="10">IFERROR(SUMIFS(E$2:E$364,$C$2:$C$364,$C8)/COUNTIFS(E$2:E$364,"&lt;&gt;NA",$C$2:$C$364,$C8),"")</f>
        <v>1</v>
      </c>
      <c r="N8" s="60">
        <f t="shared" si="10"/>
        <v>0.8888888889</v>
      </c>
      <c r="O8" s="60">
        <f t="shared" si="10"/>
        <v>0.6666666667</v>
      </c>
      <c r="P8" s="60">
        <f t="shared" si="10"/>
        <v>0.9285714286</v>
      </c>
      <c r="Q8" s="60">
        <f t="shared" si="10"/>
        <v>0.6956521739</v>
      </c>
      <c r="R8" s="60">
        <f t="shared" si="10"/>
        <v>1</v>
      </c>
      <c r="S8" s="60">
        <f t="shared" si="10"/>
        <v>0.7692307692</v>
      </c>
      <c r="T8" s="61">
        <f t="shared" si="3"/>
        <v>0.9333333333</v>
      </c>
      <c r="U8" s="53">
        <f t="shared" si="4"/>
        <v>0</v>
      </c>
      <c r="V8" s="54">
        <f t="shared" si="5"/>
        <v>0</v>
      </c>
    </row>
    <row r="9" ht="15.75" customHeight="1">
      <c r="A9" s="55" t="str">
        <f>SiteAttendu!$A9</f>
        <v>C1080</v>
      </c>
      <c r="B9" s="56" t="str">
        <f>VLOOKUP($A9,SiteAttendu!$A$2:$C$366,2,0)</f>
        <v>CHR ABOBO</v>
      </c>
      <c r="C9" s="57" t="str">
        <f>VLOOKUP($A9,SiteAttendu!$A$2:$C$366,3,0)</f>
        <v>ABIDJAN 1</v>
      </c>
      <c r="D9" s="58">
        <f>IF(VLOOKUP($A9,SiteAttendu!$A$2:$P$366,4,0)="NA","NA",COUNTIFS(soccode,A9,socprog,"PNLS/ANTIRETROVIRAUX ET IO",soctrans,"OUI"))</f>
        <v>1</v>
      </c>
      <c r="E9" s="58">
        <f>IF(VLOOKUP($A9,SiteAttendu!$A$2:$P$366,5,0)="NA","NA",COUNTIFS(soccode,A9,socprog,"PNLS/TESTS RAPIDES ET CONSOMMABLES",soctrans,"OUI"))</f>
        <v>1</v>
      </c>
      <c r="F9" s="58">
        <f>IF(VLOOKUP($A9,SiteAttendu!$A$2:$P$366,6,0)="NA","NA",COUNTIFS(soccode,A9,socprog,"PNLS/PRODUITS DE LABORATOIRE",soctrans,"OUI"))</f>
        <v>1</v>
      </c>
      <c r="G9" s="58" t="str">
        <f>IF(VLOOKUP($A9,SiteAttendu!$A$2:$P$366,7,0)="NA","NA",COUNTIFS(soccode,A9,socprog,"PNLS/CHARGES VIRALES",soctrans,"OUI"))</f>
        <v>NA</v>
      </c>
      <c r="H9" s="58">
        <f>IF(VLOOKUP($A9,SiteAttendu!$A$2:$P$366,9,0)="NA","NA",COUNTIFS(soccode,A9,socprog,"PNLP/MEDICAMENTS ET INTRANTS",soctrans,"OUI"))</f>
        <v>1</v>
      </c>
      <c r="I9" s="59">
        <f>IF(VLOOKUP($A9,SiteAttendu!$A$2:$P$366,10,0)="NA","NA",COUNTIFS(soccode,$A9,socprog,"PNSME/MEDICAMENTS ET INTRANTS",soctrans,"OUI"))</f>
        <v>1</v>
      </c>
      <c r="J9" s="58">
        <f>IF(VLOOKUP($A9,SiteAttendu!$A$2:$P$366,11,0)="NA","NA",COUNTIFS(soccode,$A9,socprog,"PNN/MEDICAMENTS ET INTRANTS",soctrans,"OUI"))</f>
        <v>1</v>
      </c>
      <c r="K9" s="58" t="str">
        <f>IF(VLOOKUP($A9,SiteAttendu!$A$2:$O$366,15,0)="NA","NA",IF(COUNTIF(socprog,"PNLT/SENSIBLE MEDICAMENTS ET INTRANTS")=0,"NA",COUNTIFS(soccode,$A9,socprog,"PNLT/SENSIBLE MEDICAMENTS ET INTRANTS",soctrans,"OUI")))</f>
        <v>NA</v>
      </c>
      <c r="L9" s="60"/>
      <c r="M9" s="60">
        <f t="shared" ref="M9:S9" si="11">IFERROR(SUMIFS(E$2:E$364,$C$2:$C$364,$C9)/COUNTIFS(E$2:E$364,"&lt;&gt;NA",$C$2:$C$364,$C9),"")</f>
        <v>1</v>
      </c>
      <c r="N9" s="60">
        <f t="shared" si="11"/>
        <v>0.8888888889</v>
      </c>
      <c r="O9" s="60">
        <f t="shared" si="11"/>
        <v>0.6666666667</v>
      </c>
      <c r="P9" s="60">
        <f t="shared" si="11"/>
        <v>0.9285714286</v>
      </c>
      <c r="Q9" s="60">
        <f t="shared" si="11"/>
        <v>0.6956521739</v>
      </c>
      <c r="R9" s="60">
        <f t="shared" si="11"/>
        <v>1</v>
      </c>
      <c r="S9" s="60">
        <f t="shared" si="11"/>
        <v>0.7692307692</v>
      </c>
      <c r="T9" s="61">
        <f t="shared" si="3"/>
        <v>0.9333333333</v>
      </c>
      <c r="U9" s="53">
        <f t="shared" si="4"/>
        <v>3</v>
      </c>
      <c r="V9" s="54">
        <f t="shared" si="5"/>
        <v>3</v>
      </c>
    </row>
    <row r="10" ht="15.75" customHeight="1">
      <c r="A10" s="55" t="str">
        <f>SiteAttendu!$A10</f>
        <v>C1398</v>
      </c>
      <c r="B10" s="56" t="str">
        <f>VLOOKUP($A10,SiteAttendu!$A$2:$C$366,2,0)</f>
        <v>DISTRICT SANITAIRE ABOBO EST</v>
      </c>
      <c r="C10" s="57" t="str">
        <f>VLOOKUP($A10,SiteAttendu!$A$2:$C$366,3,0)</f>
        <v>ABIDJAN 1</v>
      </c>
      <c r="D10" s="58">
        <f>IF(VLOOKUP($A10,SiteAttendu!$A$2:$P$366,4,0)="NA","NA",COUNTIFS(soccode,A10,socprog,"PNLS/ANTIRETROVIRAUX ET IO",soctrans,"OUI"))</f>
        <v>1</v>
      </c>
      <c r="E10" s="58">
        <f>IF(VLOOKUP($A10,SiteAttendu!$A$2:$P$366,5,0)="NA","NA",COUNTIFS(soccode,A10,socprog,"PNLS/TESTS RAPIDES ET CONSOMMABLES",soctrans,"OUI"))</f>
        <v>1</v>
      </c>
      <c r="F10" s="58">
        <f>IF(VLOOKUP($A10,SiteAttendu!$A$2:$P$366,6,0)="NA","NA",COUNTIFS(soccode,A10,socprog,"PNLS/PRODUITS DE LABORATOIRE",soctrans,"OUI"))</f>
        <v>1</v>
      </c>
      <c r="G10" s="58" t="str">
        <f>IF(VLOOKUP($A10,SiteAttendu!$A$2:$P$366,7,0)="NA","NA",COUNTIFS(soccode,A10,socprog,"PNLS/CHARGES VIRALES",soctrans,"OUI"))</f>
        <v>NA</v>
      </c>
      <c r="H10" s="58">
        <f>IF(VLOOKUP($A10,SiteAttendu!$A$2:$P$366,9,0)="NA","NA",COUNTIFS(soccode,A10,socprog,"PNLP/MEDICAMENTS ET INTRANTS",soctrans,"OUI"))</f>
        <v>0</v>
      </c>
      <c r="I10" s="59">
        <f>IF(VLOOKUP($A10,SiteAttendu!$A$2:$P$366,10,0)="NA","NA",COUNTIFS(soccode,$A10,socprog,"PNSME/MEDICAMENTS ET INTRANTS",soctrans,"OUI"))</f>
        <v>0</v>
      </c>
      <c r="J10" s="58">
        <f>IF(VLOOKUP($A10,SiteAttendu!$A$2:$P$366,11,0)="NA","NA",COUNTIFS(soccode,$A10,socprog,"PNN/MEDICAMENTS ET INTRANTS",soctrans,"OUI"))</f>
        <v>1</v>
      </c>
      <c r="K10" s="58" t="str">
        <f>IF(VLOOKUP($A10,SiteAttendu!$A$2:$O$366,15,0)="NA","NA",IF(COUNTIF(socprog,"PNLT/SENSIBLE MEDICAMENTS ET INTRANTS")=0,"NA",COUNTIFS(soccode,$A10,socprog,"PNLT/SENSIBLE MEDICAMENTS ET INTRANTS",soctrans,"OUI")))</f>
        <v>NA</v>
      </c>
      <c r="L10" s="60"/>
      <c r="M10" s="60">
        <f t="shared" ref="M10:S10" si="12">IFERROR(SUMIFS(E$2:E$364,$C$2:$C$364,$C10)/COUNTIFS(E$2:E$364,"&lt;&gt;NA",$C$2:$C$364,$C10),"")</f>
        <v>1</v>
      </c>
      <c r="N10" s="60">
        <f t="shared" si="12"/>
        <v>0.8888888889</v>
      </c>
      <c r="O10" s="60">
        <f t="shared" si="12"/>
        <v>0.6666666667</v>
      </c>
      <c r="P10" s="60">
        <f t="shared" si="12"/>
        <v>0.9285714286</v>
      </c>
      <c r="Q10" s="60">
        <f t="shared" si="12"/>
        <v>0.6956521739</v>
      </c>
      <c r="R10" s="60">
        <f t="shared" si="12"/>
        <v>1</v>
      </c>
      <c r="S10" s="60">
        <f t="shared" si="12"/>
        <v>0.7692307692</v>
      </c>
      <c r="T10" s="61">
        <f t="shared" si="3"/>
        <v>0.9333333333</v>
      </c>
      <c r="U10" s="53">
        <f t="shared" si="4"/>
        <v>3</v>
      </c>
      <c r="V10" s="54">
        <f t="shared" si="5"/>
        <v>3</v>
      </c>
    </row>
    <row r="11" ht="15.75" customHeight="1">
      <c r="A11" s="55" t="str">
        <f>SiteAttendu!$A11</f>
        <v>C1405</v>
      </c>
      <c r="B11" s="56" t="str">
        <f>VLOOKUP($A11,SiteAttendu!$A$2:$C$366,2,0)</f>
        <v>CENTRE SOCIO-SANI SR ANGE GARDIEN</v>
      </c>
      <c r="C11" s="57" t="str">
        <f>VLOOKUP($A11,SiteAttendu!$A$2:$C$366,3,0)</f>
        <v>ABIDJAN 1</v>
      </c>
      <c r="D11" s="58" t="str">
        <f>IF(VLOOKUP($A11,SiteAttendu!$A$2:$P$366,4,0)="NA","NA",COUNTIFS(soccode,A11,socprog,"PNLS/ANTIRETROVIRAUX ET IO",soctrans,"OUI"))</f>
        <v>NA</v>
      </c>
      <c r="E11" s="58" t="str">
        <f>IF(VLOOKUP($A11,SiteAttendu!$A$2:$P$366,5,0)="NA","NA",COUNTIFS(soccode,A11,socprog,"PNLS/TESTS RAPIDES ET CONSOMMABLES",soctrans,"OUI"))</f>
        <v>NA</v>
      </c>
      <c r="F11" s="58" t="str">
        <f>IF(VLOOKUP($A11,SiteAttendu!$A$2:$P$366,6,0)="NA","NA",COUNTIFS(soccode,A11,socprog,"PNLS/PRODUITS DE LABORATOIRE",soctrans,"OUI"))</f>
        <v>NA</v>
      </c>
      <c r="G11" s="58" t="str">
        <f>IF(VLOOKUP($A11,SiteAttendu!$A$2:$P$366,7,0)="NA","NA",COUNTIFS(soccode,A11,socprog,"PNLS/CHARGES VIRALES",soctrans,"OUI"))</f>
        <v>NA</v>
      </c>
      <c r="H11" s="58">
        <f>IF(VLOOKUP($A11,SiteAttendu!$A$2:$P$366,9,0)="NA","NA",COUNTIFS(soccode,A11,socprog,"PNLP/MEDICAMENTS ET INTRANTS",soctrans,"OUI"))</f>
        <v>1</v>
      </c>
      <c r="I11" s="59" t="str">
        <f>IF(VLOOKUP($A11,SiteAttendu!$A$2:$P$366,10,0)="NA","NA",COUNTIFS(soccode,$A11,socprog,"PNSME/MEDICAMENTS ET INTRANTS",soctrans,"OUI"))</f>
        <v>NA</v>
      </c>
      <c r="J11" s="58" t="str">
        <f>IF(VLOOKUP($A11,SiteAttendu!$A$2:$P$366,11,0)="NA","NA",COUNTIFS(soccode,$A11,socprog,"PNN/MEDICAMENTS ET INTRANTS",soctrans,"OUI"))</f>
        <v>NA</v>
      </c>
      <c r="K11" s="58" t="str">
        <f>IF(VLOOKUP($A11,SiteAttendu!$A$2:$O$366,15,0)="NA","NA",IF(COUNTIF(socprog,"PNLT/SENSIBLE MEDICAMENTS ET INTRANTS")=0,"NA",COUNTIFS(soccode,$A11,socprog,"PNLT/SENSIBLE MEDICAMENTS ET INTRANTS",soctrans,"OUI")))</f>
        <v>NA</v>
      </c>
      <c r="L11" s="60"/>
      <c r="M11" s="60">
        <f t="shared" ref="M11:S11" si="13">IFERROR(SUMIFS(E$2:E$364,$C$2:$C$364,$C11)/COUNTIFS(E$2:E$364,"&lt;&gt;NA",$C$2:$C$364,$C11),"")</f>
        <v>1</v>
      </c>
      <c r="N11" s="60">
        <f t="shared" si="13"/>
        <v>0.8888888889</v>
      </c>
      <c r="O11" s="60">
        <f t="shared" si="13"/>
        <v>0.6666666667</v>
      </c>
      <c r="P11" s="60">
        <f t="shared" si="13"/>
        <v>0.9285714286</v>
      </c>
      <c r="Q11" s="60">
        <f t="shared" si="13"/>
        <v>0.6956521739</v>
      </c>
      <c r="R11" s="60">
        <f t="shared" si="13"/>
        <v>1</v>
      </c>
      <c r="S11" s="60">
        <f t="shared" si="13"/>
        <v>0.7692307692</v>
      </c>
      <c r="T11" s="61">
        <f t="shared" si="3"/>
        <v>0.9333333333</v>
      </c>
      <c r="U11" s="53">
        <f t="shared" si="4"/>
        <v>0</v>
      </c>
      <c r="V11" s="54">
        <f t="shared" si="5"/>
        <v>0</v>
      </c>
    </row>
    <row r="12" ht="15.75" customHeight="1">
      <c r="A12" s="55" t="str">
        <f>SiteAttendu!$A12</f>
        <v>C1423</v>
      </c>
      <c r="B12" s="56" t="str">
        <f>VLOOKUP($A12,SiteAttendu!$A$2:$C$366,2,0)</f>
        <v>CENTRE MEDICO-SOCIAL SAINT COEUR ABOBOTE</v>
      </c>
      <c r="C12" s="57" t="str">
        <f>VLOOKUP($A12,SiteAttendu!$A$2:$C$366,3,0)</f>
        <v>ABIDJAN 1</v>
      </c>
      <c r="D12" s="58">
        <f>IF(VLOOKUP($A12,SiteAttendu!$A$2:$P$366,4,0)="NA","NA",COUNTIFS(soccode,A12,socprog,"PNLS/ANTIRETROVIRAUX ET IO",soctrans,"OUI"))</f>
        <v>1</v>
      </c>
      <c r="E12" s="58">
        <f>IF(VLOOKUP($A12,SiteAttendu!$A$2:$P$366,5,0)="NA","NA",COUNTIFS(soccode,A12,socprog,"PNLS/TESTS RAPIDES ET CONSOMMABLES",soctrans,"OUI"))</f>
        <v>1</v>
      </c>
      <c r="F12" s="58">
        <f>IF(VLOOKUP($A12,SiteAttendu!$A$2:$P$366,6,0)="NA","NA",COUNTIFS(soccode,A12,socprog,"PNLS/PRODUITS DE LABORATOIRE",soctrans,"OUI"))</f>
        <v>1</v>
      </c>
      <c r="G12" s="58" t="str">
        <f>IF(VLOOKUP($A12,SiteAttendu!$A$2:$P$366,7,0)="NA","NA",COUNTIFS(soccode,A12,socprog,"PNLS/CHARGES VIRALES",soctrans,"OUI"))</f>
        <v>NA</v>
      </c>
      <c r="H12" s="58" t="str">
        <f>IF(VLOOKUP($A12,SiteAttendu!$A$2:$P$366,9,0)="NA","NA",COUNTIFS(soccode,A12,socprog,"PNLP/MEDICAMENTS ET INTRANTS",soctrans,"OUI"))</f>
        <v>NA</v>
      </c>
      <c r="I12" s="59" t="str">
        <f>IF(VLOOKUP($A12,SiteAttendu!$A$2:$P$366,10,0)="NA","NA",COUNTIFS(soccode,$A12,socprog,"PNSME/MEDICAMENTS ET INTRANTS",soctrans,"OUI"))</f>
        <v>NA</v>
      </c>
      <c r="J12" s="58" t="str">
        <f>IF(VLOOKUP($A12,SiteAttendu!$A$2:$P$366,11,0)="NA","NA",COUNTIFS(soccode,$A12,socprog,"PNN/MEDICAMENTS ET INTRANTS",soctrans,"OUI"))</f>
        <v>NA</v>
      </c>
      <c r="K12" s="58" t="str">
        <f>IF(VLOOKUP($A12,SiteAttendu!$A$2:$O$366,15,0)="NA","NA",IF(COUNTIF(socprog,"PNLT/SENSIBLE MEDICAMENTS ET INTRANTS")=0,"NA",COUNTIFS(soccode,$A12,socprog,"PNLT/SENSIBLE MEDICAMENTS ET INTRANTS",soctrans,"OUI")))</f>
        <v>NA</v>
      </c>
      <c r="L12" s="60"/>
      <c r="M12" s="60">
        <f t="shared" ref="M12:S12" si="14">IFERROR(SUMIFS(E$2:E$364,$C$2:$C$364,$C12)/COUNTIFS(E$2:E$364,"&lt;&gt;NA",$C$2:$C$364,$C12),"")</f>
        <v>1</v>
      </c>
      <c r="N12" s="60">
        <f t="shared" si="14"/>
        <v>0.8888888889</v>
      </c>
      <c r="O12" s="60">
        <f t="shared" si="14"/>
        <v>0.6666666667</v>
      </c>
      <c r="P12" s="60">
        <f t="shared" si="14"/>
        <v>0.9285714286</v>
      </c>
      <c r="Q12" s="60">
        <f t="shared" si="14"/>
        <v>0.6956521739</v>
      </c>
      <c r="R12" s="60">
        <f t="shared" si="14"/>
        <v>1</v>
      </c>
      <c r="S12" s="60">
        <f t="shared" si="14"/>
        <v>0.7692307692</v>
      </c>
      <c r="T12" s="61">
        <f t="shared" si="3"/>
        <v>0.9333333333</v>
      </c>
      <c r="U12" s="53">
        <f t="shared" si="4"/>
        <v>3</v>
      </c>
      <c r="V12" s="54">
        <f t="shared" si="5"/>
        <v>3</v>
      </c>
    </row>
    <row r="13" ht="15.75" customHeight="1">
      <c r="A13" s="55" t="str">
        <f>SiteAttendu!$A13</f>
        <v>C1680</v>
      </c>
      <c r="B13" s="56" t="str">
        <f>VLOOKUP($A13,SiteAttendu!$A$2:$C$366,2,0)</f>
        <v>CENTRE ANTITUBERCULEUX ABOBO</v>
      </c>
      <c r="C13" s="57" t="str">
        <f>VLOOKUP($A13,SiteAttendu!$A$2:$C$366,3,0)</f>
        <v>ABIDJAN 1</v>
      </c>
      <c r="D13" s="58">
        <f>IF(VLOOKUP($A13,SiteAttendu!$A$2:$P$366,4,0)="NA","NA",COUNTIFS(soccode,A13,socprog,"PNLS/ANTIRETROVIRAUX ET IO",soctrans,"OUI"))</f>
        <v>1</v>
      </c>
      <c r="E13" s="58">
        <f>IF(VLOOKUP($A13,SiteAttendu!$A$2:$P$366,5,0)="NA","NA",COUNTIFS(soccode,A13,socprog,"PNLS/TESTS RAPIDES ET CONSOMMABLES",soctrans,"OUI"))</f>
        <v>1</v>
      </c>
      <c r="F13" s="58">
        <f>IF(VLOOKUP($A13,SiteAttendu!$A$2:$P$366,6,0)="NA","NA",COUNTIFS(soccode,A13,socprog,"PNLS/PRODUITS DE LABORATOIRE",soctrans,"OUI"))</f>
        <v>0</v>
      </c>
      <c r="G13" s="58">
        <f>IF(VLOOKUP($A13,SiteAttendu!$A$2:$P$366,7,0)="NA","NA",COUNTIFS(soccode,A13,socprog,"PNLS/CHARGES VIRALES",soctrans,"OUI"))</f>
        <v>0</v>
      </c>
      <c r="H13" s="58" t="str">
        <f>IF(VLOOKUP($A13,SiteAttendu!$A$2:$P$366,9,0)="NA","NA",COUNTIFS(soccode,A13,socprog,"PNLP/MEDICAMENTS ET INTRANTS",soctrans,"OUI"))</f>
        <v>NA</v>
      </c>
      <c r="I13" s="59" t="str">
        <f>IF(VLOOKUP($A13,SiteAttendu!$A$2:$P$366,10,0)="NA","NA",COUNTIFS(soccode,$A13,socprog,"PNSME/MEDICAMENTS ET INTRANTS",soctrans,"OUI"))</f>
        <v>NA</v>
      </c>
      <c r="J13" s="58" t="str">
        <f>IF(VLOOKUP($A13,SiteAttendu!$A$2:$P$366,11,0)="NA","NA",COUNTIFS(soccode,$A13,socprog,"PNN/MEDICAMENTS ET INTRANTS",soctrans,"OUI"))</f>
        <v>NA</v>
      </c>
      <c r="K13" s="58">
        <f>IF(VLOOKUP($A13,SiteAttendu!$A$2:$O$366,15,0)="NA","NA",IF(COUNTIF(socprog,"PNLT/SENSIBLE MEDICAMENTS ET INTRANTS")=0,"NA",COUNTIFS(soccode,$A13,socprog,"PNLT/SENSIBLE MEDICAMENTS ET INTRANTS",soctrans,"OUI")))</f>
        <v>1</v>
      </c>
      <c r="L13" s="60"/>
      <c r="M13" s="60">
        <f t="shared" ref="M13:S13" si="15">IFERROR(SUMIFS(E$2:E$364,$C$2:$C$364,$C13)/COUNTIFS(E$2:E$364,"&lt;&gt;NA",$C$2:$C$364,$C13),"")</f>
        <v>1</v>
      </c>
      <c r="N13" s="60">
        <f t="shared" si="15"/>
        <v>0.8888888889</v>
      </c>
      <c r="O13" s="60">
        <f t="shared" si="15"/>
        <v>0.6666666667</v>
      </c>
      <c r="P13" s="60">
        <f t="shared" si="15"/>
        <v>0.9285714286</v>
      </c>
      <c r="Q13" s="60">
        <f t="shared" si="15"/>
        <v>0.6956521739</v>
      </c>
      <c r="R13" s="60">
        <f t="shared" si="15"/>
        <v>1</v>
      </c>
      <c r="S13" s="60">
        <f t="shared" si="15"/>
        <v>0.7692307692</v>
      </c>
      <c r="T13" s="61">
        <f t="shared" si="3"/>
        <v>0.9333333333</v>
      </c>
      <c r="U13" s="53">
        <f t="shared" si="4"/>
        <v>2</v>
      </c>
      <c r="V13" s="54">
        <f t="shared" si="5"/>
        <v>4</v>
      </c>
    </row>
    <row r="14" ht="15.75" customHeight="1">
      <c r="A14" s="55" t="str">
        <f>SiteAttendu!$A14</f>
        <v>C1021</v>
      </c>
      <c r="B14" s="56" t="str">
        <f>VLOOKUP($A14,SiteAttendu!$A$2:$C$366,2,0)</f>
        <v>CSU COM BOCABO</v>
      </c>
      <c r="C14" s="57" t="str">
        <f>VLOOKUP($A14,SiteAttendu!$A$2:$C$366,3,0)</f>
        <v>ABIDJAN 1</v>
      </c>
      <c r="D14" s="58" t="str">
        <f>IF(VLOOKUP($A14,SiteAttendu!$A$2:$P$366,4,0)="NA","NA",COUNTIFS(soccode,A14,socprog,"PNLS/ANTIRETROVIRAUX ET IO",soctrans,"OUI"))</f>
        <v>NA</v>
      </c>
      <c r="E14" s="58" t="str">
        <f>IF(VLOOKUP($A14,SiteAttendu!$A$2:$P$366,5,0)="NA","NA",COUNTIFS(soccode,A14,socprog,"PNLS/TESTS RAPIDES ET CONSOMMABLES",soctrans,"OUI"))</f>
        <v>NA</v>
      </c>
      <c r="F14" s="58" t="str">
        <f>IF(VLOOKUP($A14,SiteAttendu!$A$2:$P$366,6,0)="NA","NA",COUNTIFS(soccode,A14,socprog,"PNLS/PRODUITS DE LABORATOIRE",soctrans,"OUI"))</f>
        <v>NA</v>
      </c>
      <c r="G14" s="58" t="str">
        <f>IF(VLOOKUP($A14,SiteAttendu!$A$2:$P$366,7,0)="NA","NA",COUNTIFS(soccode,A14,socprog,"PNLS/CHARGES VIRALES",soctrans,"OUI"))</f>
        <v>NA</v>
      </c>
      <c r="H14" s="58">
        <f>IF(VLOOKUP($A14,SiteAttendu!$A$2:$P$366,9,0)="NA","NA",COUNTIFS(soccode,A14,socprog,"PNLP/MEDICAMENTS ET INTRANTS",soctrans,"OUI"))</f>
        <v>1</v>
      </c>
      <c r="I14" s="59" t="str">
        <f>IF(VLOOKUP($A14,SiteAttendu!$A$2:$P$366,10,0)="NA","NA",COUNTIFS(soccode,$A14,socprog,"PNSME/MEDICAMENTS ET INTRANTS",soctrans,"OUI"))</f>
        <v>NA</v>
      </c>
      <c r="J14" s="58" t="str">
        <f>IF(VLOOKUP($A14,SiteAttendu!$A$2:$P$366,11,0)="NA","NA",COUNTIFS(soccode,$A14,socprog,"PNN/MEDICAMENTS ET INTRANTS",soctrans,"OUI"))</f>
        <v>NA</v>
      </c>
      <c r="K14" s="58" t="str">
        <f>IF(VLOOKUP($A14,SiteAttendu!$A$2:$O$366,15,0)="NA","NA",IF(COUNTIF(socprog,"PNLT/SENSIBLE MEDICAMENTS ET INTRANTS")=0,"NA",COUNTIFS(soccode,$A14,socprog,"PNLT/SENSIBLE MEDICAMENTS ET INTRANTS",soctrans,"OUI")))</f>
        <v>NA</v>
      </c>
      <c r="L14" s="60"/>
      <c r="M14" s="60">
        <f t="shared" ref="M14:S14" si="16">IFERROR(SUMIFS(E$2:E$364,$C$2:$C$364,$C14)/COUNTIFS(E$2:E$364,"&lt;&gt;NA",$C$2:$C$364,$C14),"")</f>
        <v>1</v>
      </c>
      <c r="N14" s="60">
        <f t="shared" si="16"/>
        <v>0.8888888889</v>
      </c>
      <c r="O14" s="60">
        <f t="shared" si="16"/>
        <v>0.6666666667</v>
      </c>
      <c r="P14" s="60">
        <f t="shared" si="16"/>
        <v>0.9285714286</v>
      </c>
      <c r="Q14" s="60">
        <f t="shared" si="16"/>
        <v>0.6956521739</v>
      </c>
      <c r="R14" s="60">
        <f t="shared" si="16"/>
        <v>1</v>
      </c>
      <c r="S14" s="60">
        <f t="shared" si="16"/>
        <v>0.7692307692</v>
      </c>
      <c r="T14" s="61">
        <f t="shared" si="3"/>
        <v>0.9333333333</v>
      </c>
      <c r="U14" s="53">
        <f t="shared" si="4"/>
        <v>0</v>
      </c>
      <c r="V14" s="54">
        <f t="shared" si="5"/>
        <v>0</v>
      </c>
    </row>
    <row r="15" ht="15.75" customHeight="1">
      <c r="A15" s="55" t="str">
        <f>SiteAttendu!$A15</f>
        <v>C1022</v>
      </c>
      <c r="B15" s="56" t="str">
        <f>VLOOKUP($A15,SiteAttendu!$A$2:$C$366,2,0)</f>
        <v>CSU COM CARREFOUR PK 18 AGOUETO</v>
      </c>
      <c r="C15" s="57" t="str">
        <f>VLOOKUP($A15,SiteAttendu!$A$2:$C$366,3,0)</f>
        <v>ABIDJAN 1</v>
      </c>
      <c r="D15" s="58" t="str">
        <f>IF(VLOOKUP($A15,SiteAttendu!$A$2:$P$366,4,0)="NA","NA",COUNTIFS(soccode,A15,socprog,"PNLS/ANTIRETROVIRAUX ET IO",soctrans,"OUI"))</f>
        <v>NA</v>
      </c>
      <c r="E15" s="58" t="str">
        <f>IF(VLOOKUP($A15,SiteAttendu!$A$2:$P$366,5,0)="NA","NA",COUNTIFS(soccode,A15,socprog,"PNLS/TESTS RAPIDES ET CONSOMMABLES",soctrans,"OUI"))</f>
        <v>NA</v>
      </c>
      <c r="F15" s="58" t="str">
        <f>IF(VLOOKUP($A15,SiteAttendu!$A$2:$P$366,6,0)="NA","NA",COUNTIFS(soccode,A15,socprog,"PNLS/PRODUITS DE LABORATOIRE",soctrans,"OUI"))</f>
        <v>NA</v>
      </c>
      <c r="G15" s="58" t="str">
        <f>IF(VLOOKUP($A15,SiteAttendu!$A$2:$P$366,7,0)="NA","NA",COUNTIFS(soccode,A15,socprog,"PNLS/CHARGES VIRALES",soctrans,"OUI"))</f>
        <v>NA</v>
      </c>
      <c r="H15" s="58">
        <f>IF(VLOOKUP($A15,SiteAttendu!$A$2:$P$366,9,0)="NA","NA",COUNTIFS(soccode,A15,socprog,"PNLP/MEDICAMENTS ET INTRANTS",soctrans,"OUI"))</f>
        <v>1</v>
      </c>
      <c r="I15" s="59" t="str">
        <f>IF(VLOOKUP($A15,SiteAttendu!$A$2:$P$366,10,0)="NA","NA",COUNTIFS(soccode,$A15,socprog,"PNSME/MEDICAMENTS ET INTRANTS",soctrans,"OUI"))</f>
        <v>NA</v>
      </c>
      <c r="J15" s="58" t="str">
        <f>IF(VLOOKUP($A15,SiteAttendu!$A$2:$P$366,11,0)="NA","NA",COUNTIFS(soccode,$A15,socprog,"PNN/MEDICAMENTS ET INTRANTS",soctrans,"OUI"))</f>
        <v>NA</v>
      </c>
      <c r="K15" s="58" t="str">
        <f>IF(VLOOKUP($A15,SiteAttendu!$A$2:$O$366,15,0)="NA","NA",IF(COUNTIF(socprog,"PNLT/SENSIBLE MEDICAMENTS ET INTRANTS")=0,"NA",COUNTIFS(soccode,$A15,socprog,"PNLT/SENSIBLE MEDICAMENTS ET INTRANTS",soctrans,"OUI")))</f>
        <v>NA</v>
      </c>
      <c r="L15" s="60"/>
      <c r="M15" s="60">
        <f t="shared" ref="M15:S15" si="17">IFERROR(SUMIFS(E$2:E$364,$C$2:$C$364,$C15)/COUNTIFS(E$2:E$364,"&lt;&gt;NA",$C$2:$C$364,$C15),"")</f>
        <v>1</v>
      </c>
      <c r="N15" s="60">
        <f t="shared" si="17"/>
        <v>0.8888888889</v>
      </c>
      <c r="O15" s="60">
        <f t="shared" si="17"/>
        <v>0.6666666667</v>
      </c>
      <c r="P15" s="60">
        <f t="shared" si="17"/>
        <v>0.9285714286</v>
      </c>
      <c r="Q15" s="60">
        <f t="shared" si="17"/>
        <v>0.6956521739</v>
      </c>
      <c r="R15" s="60">
        <f t="shared" si="17"/>
        <v>1</v>
      </c>
      <c r="S15" s="60">
        <f t="shared" si="17"/>
        <v>0.7692307692</v>
      </c>
      <c r="T15" s="61">
        <f t="shared" si="3"/>
        <v>0.9333333333</v>
      </c>
      <c r="U15" s="53">
        <f t="shared" si="4"/>
        <v>0</v>
      </c>
      <c r="V15" s="54">
        <f t="shared" si="5"/>
        <v>0</v>
      </c>
    </row>
    <row r="16" ht="15.75" customHeight="1">
      <c r="A16" s="55" t="str">
        <f>SiteAttendu!$A16</f>
        <v>C1031</v>
      </c>
      <c r="B16" s="56" t="str">
        <f>VLOOKUP($A16,SiteAttendu!$A$2:$C$366,2,0)</f>
        <v>CSU COM  ASSOMIN</v>
      </c>
      <c r="C16" s="57" t="str">
        <f>VLOOKUP($A16,SiteAttendu!$A$2:$C$366,3,0)</f>
        <v>ABIDJAN 1</v>
      </c>
      <c r="D16" s="58" t="str">
        <f>IF(VLOOKUP($A16,SiteAttendu!$A$2:$P$366,4,0)="NA","NA",COUNTIFS(soccode,A16,socprog,"PNLS/ANTIRETROVIRAUX ET IO",soctrans,"OUI"))</f>
        <v>NA</v>
      </c>
      <c r="E16" s="58" t="str">
        <f>IF(VLOOKUP($A16,SiteAttendu!$A$2:$P$366,5,0)="NA","NA",COUNTIFS(soccode,A16,socprog,"PNLS/TESTS RAPIDES ET CONSOMMABLES",soctrans,"OUI"))</f>
        <v>NA</v>
      </c>
      <c r="F16" s="58" t="str">
        <f>IF(VLOOKUP($A16,SiteAttendu!$A$2:$P$366,6,0)="NA","NA",COUNTIFS(soccode,A16,socprog,"PNLS/PRODUITS DE LABORATOIRE",soctrans,"OUI"))</f>
        <v>NA</v>
      </c>
      <c r="G16" s="58" t="str">
        <f>IF(VLOOKUP($A16,SiteAttendu!$A$2:$P$366,7,0)="NA","NA",COUNTIFS(soccode,A16,socprog,"PNLS/CHARGES VIRALES",soctrans,"OUI"))</f>
        <v>NA</v>
      </c>
      <c r="H16" s="58">
        <f>IF(VLOOKUP($A16,SiteAttendu!$A$2:$P$366,9,0)="NA","NA",COUNTIFS(soccode,A16,socprog,"PNLP/MEDICAMENTS ET INTRANTS",soctrans,"OUI"))</f>
        <v>1</v>
      </c>
      <c r="I16" s="59">
        <f>IF(VLOOKUP($A16,SiteAttendu!$A$2:$P$366,10,0)="NA","NA",COUNTIFS(soccode,$A16,socprog,"PNSME/MEDICAMENTS ET INTRANTS",soctrans,"OUI"))</f>
        <v>1</v>
      </c>
      <c r="J16" s="58" t="str">
        <f>IF(VLOOKUP($A16,SiteAttendu!$A$2:$P$366,11,0)="NA","NA",COUNTIFS(soccode,$A16,socprog,"PNN/MEDICAMENTS ET INTRANTS",soctrans,"OUI"))</f>
        <v>NA</v>
      </c>
      <c r="K16" s="58" t="str">
        <f>IF(VLOOKUP($A16,SiteAttendu!$A$2:$O$366,15,0)="NA","NA",IF(COUNTIF(socprog,"PNLT/SENSIBLE MEDICAMENTS ET INTRANTS")=0,"NA",COUNTIFS(soccode,$A16,socprog,"PNLT/SENSIBLE MEDICAMENTS ET INTRANTS",soctrans,"OUI")))</f>
        <v>NA</v>
      </c>
      <c r="L16" s="60"/>
      <c r="M16" s="60">
        <f t="shared" ref="M16:S16" si="18">IFERROR(SUMIFS(E$2:E$364,$C$2:$C$364,$C16)/COUNTIFS(E$2:E$364,"&lt;&gt;NA",$C$2:$C$364,$C16),"")</f>
        <v>1</v>
      </c>
      <c r="N16" s="60">
        <f t="shared" si="18"/>
        <v>0.8888888889</v>
      </c>
      <c r="O16" s="60">
        <f t="shared" si="18"/>
        <v>0.6666666667</v>
      </c>
      <c r="P16" s="60">
        <f t="shared" si="18"/>
        <v>0.9285714286</v>
      </c>
      <c r="Q16" s="60">
        <f t="shared" si="18"/>
        <v>0.6956521739</v>
      </c>
      <c r="R16" s="60">
        <f t="shared" si="18"/>
        <v>1</v>
      </c>
      <c r="S16" s="60">
        <f t="shared" si="18"/>
        <v>0.7692307692</v>
      </c>
      <c r="T16" s="61">
        <f t="shared" si="3"/>
        <v>0.9333333333</v>
      </c>
      <c r="U16" s="53">
        <f t="shared" si="4"/>
        <v>0</v>
      </c>
      <c r="V16" s="54">
        <f t="shared" si="5"/>
        <v>0</v>
      </c>
    </row>
    <row r="17" ht="15.75" customHeight="1">
      <c r="A17" s="55" t="str">
        <f>SiteAttendu!$A17</f>
        <v>C1065</v>
      </c>
      <c r="B17" s="56" t="str">
        <f>VLOOKUP($A17,SiteAttendu!$A$2:$C$366,2,0)</f>
        <v>FSU COM ABOBO SAGBE</v>
      </c>
      <c r="C17" s="57" t="str">
        <f>VLOOKUP($A17,SiteAttendu!$A$2:$C$366,3,0)</f>
        <v>ABIDJAN 1</v>
      </c>
      <c r="D17" s="58">
        <f>IF(VLOOKUP($A17,SiteAttendu!$A$2:$P$366,4,0)="NA","NA",COUNTIFS(soccode,A17,socprog,"PNLS/ANTIRETROVIRAUX ET IO",soctrans,"OUI"))</f>
        <v>1</v>
      </c>
      <c r="E17" s="58">
        <f>IF(VLOOKUP($A17,SiteAttendu!$A$2:$P$366,5,0)="NA","NA",COUNTIFS(soccode,A17,socprog,"PNLS/TESTS RAPIDES ET CONSOMMABLES",soctrans,"OUI"))</f>
        <v>1</v>
      </c>
      <c r="F17" s="58">
        <f>IF(VLOOKUP($A17,SiteAttendu!$A$2:$P$366,6,0)="NA","NA",COUNTIFS(soccode,A17,socprog,"PNLS/PRODUITS DE LABORATOIRE",soctrans,"OUI"))</f>
        <v>1</v>
      </c>
      <c r="G17" s="58" t="str">
        <f>IF(VLOOKUP($A17,SiteAttendu!$A$2:$P$366,7,0)="NA","NA",COUNTIFS(soccode,A17,socprog,"PNLS/CHARGES VIRALES",soctrans,"OUI"))</f>
        <v>NA</v>
      </c>
      <c r="H17" s="58">
        <f>IF(VLOOKUP($A17,SiteAttendu!$A$2:$P$366,9,0)="NA","NA",COUNTIFS(soccode,A17,socprog,"PNLP/MEDICAMENTS ET INTRANTS",soctrans,"OUI"))</f>
        <v>1</v>
      </c>
      <c r="I17" s="59" t="str">
        <f>IF(VLOOKUP($A17,SiteAttendu!$A$2:$P$366,10,0)="NA","NA",COUNTIFS(soccode,$A17,socprog,"PNSME/MEDICAMENTS ET INTRANTS",soctrans,"OUI"))</f>
        <v>NA</v>
      </c>
      <c r="J17" s="58" t="str">
        <f>IF(VLOOKUP($A17,SiteAttendu!$A$2:$P$366,11,0)="NA","NA",COUNTIFS(soccode,$A17,socprog,"PNN/MEDICAMENTS ET INTRANTS",soctrans,"OUI"))</f>
        <v>NA</v>
      </c>
      <c r="K17" s="58" t="str">
        <f>IF(VLOOKUP($A17,SiteAttendu!$A$2:$O$366,15,0)="NA","NA",IF(COUNTIF(socprog,"PNLT/SENSIBLE MEDICAMENTS ET INTRANTS")=0,"NA",COUNTIFS(soccode,$A17,socprog,"PNLT/SENSIBLE MEDICAMENTS ET INTRANTS",soctrans,"OUI")))</f>
        <v>NA</v>
      </c>
      <c r="L17" s="60"/>
      <c r="M17" s="60">
        <f t="shared" ref="M17:S17" si="19">IFERROR(SUMIFS(E$2:E$364,$C$2:$C$364,$C17)/COUNTIFS(E$2:E$364,"&lt;&gt;NA",$C$2:$C$364,$C17),"")</f>
        <v>1</v>
      </c>
      <c r="N17" s="60">
        <f t="shared" si="19"/>
        <v>0.8888888889</v>
      </c>
      <c r="O17" s="60">
        <f t="shared" si="19"/>
        <v>0.6666666667</v>
      </c>
      <c r="P17" s="60">
        <f t="shared" si="19"/>
        <v>0.9285714286</v>
      </c>
      <c r="Q17" s="60">
        <f t="shared" si="19"/>
        <v>0.6956521739</v>
      </c>
      <c r="R17" s="60">
        <f t="shared" si="19"/>
        <v>1</v>
      </c>
      <c r="S17" s="60">
        <f t="shared" si="19"/>
        <v>0.7692307692</v>
      </c>
      <c r="T17" s="61">
        <f t="shared" si="3"/>
        <v>0.9333333333</v>
      </c>
      <c r="U17" s="53">
        <f t="shared" si="4"/>
        <v>3</v>
      </c>
      <c r="V17" s="54">
        <f t="shared" si="5"/>
        <v>3</v>
      </c>
    </row>
    <row r="18" ht="15.75" customHeight="1">
      <c r="A18" s="55" t="str">
        <f>SiteAttendu!$A18</f>
        <v>C1068</v>
      </c>
      <c r="B18" s="56" t="str">
        <f>VLOOKUP($A18,SiteAttendu!$A$2:$C$366,2,0)</f>
        <v>FSU COM ANONKOUA-KOUTE</v>
      </c>
      <c r="C18" s="57" t="str">
        <f>VLOOKUP($A18,SiteAttendu!$A$2:$C$366,3,0)</f>
        <v>ABIDJAN 1</v>
      </c>
      <c r="D18" s="58">
        <f>IF(VLOOKUP($A18,SiteAttendu!$A$2:$P$366,4,0)="NA","NA",COUNTIFS(soccode,A18,socprog,"PNLS/ANTIRETROVIRAUX ET IO",soctrans,"OUI"))</f>
        <v>1</v>
      </c>
      <c r="E18" s="58">
        <f>IF(VLOOKUP($A18,SiteAttendu!$A$2:$P$366,5,0)="NA","NA",COUNTIFS(soccode,A18,socprog,"PNLS/TESTS RAPIDES ET CONSOMMABLES",soctrans,"OUI"))</f>
        <v>1</v>
      </c>
      <c r="F18" s="58">
        <f>IF(VLOOKUP($A18,SiteAttendu!$A$2:$P$366,6,0)="NA","NA",COUNTIFS(soccode,A18,socprog,"PNLS/PRODUITS DE LABORATOIRE",soctrans,"OUI"))</f>
        <v>1</v>
      </c>
      <c r="G18" s="58">
        <f>IF(VLOOKUP($A18,SiteAttendu!$A$2:$P$366,7,0)="NA","NA",COUNTIFS(soccode,A18,socprog,"PNLS/CHARGES VIRALES",soctrans,"OUI"))</f>
        <v>1</v>
      </c>
      <c r="H18" s="58">
        <f>IF(VLOOKUP($A18,SiteAttendu!$A$2:$P$366,9,0)="NA","NA",COUNTIFS(soccode,A18,socprog,"PNLP/MEDICAMENTS ET INTRANTS",soctrans,"OUI"))</f>
        <v>1</v>
      </c>
      <c r="I18" s="59" t="str">
        <f>IF(VLOOKUP($A18,SiteAttendu!$A$2:$P$366,10,0)="NA","NA",COUNTIFS(soccode,$A18,socprog,"PNSME/MEDICAMENTS ET INTRANTS",soctrans,"OUI"))</f>
        <v>NA</v>
      </c>
      <c r="J18" s="58" t="str">
        <f>IF(VLOOKUP($A18,SiteAttendu!$A$2:$P$366,11,0)="NA","NA",COUNTIFS(soccode,$A18,socprog,"PNN/MEDICAMENTS ET INTRANTS",soctrans,"OUI"))</f>
        <v>NA</v>
      </c>
      <c r="K18" s="58">
        <f>IF(VLOOKUP($A18,SiteAttendu!$A$2:$O$366,15,0)="NA","NA",IF(COUNTIF(socprog,"PNLT/SENSIBLE MEDICAMENTS ET INTRANTS")=0,"NA",COUNTIFS(soccode,$A18,socprog,"PNLT/SENSIBLE MEDICAMENTS ET INTRANTS",soctrans,"OUI")))</f>
        <v>1</v>
      </c>
      <c r="L18" s="60"/>
      <c r="M18" s="60">
        <f t="shared" ref="M18:S18" si="20">IFERROR(SUMIFS(E$2:E$364,$C$2:$C$364,$C18)/COUNTIFS(E$2:E$364,"&lt;&gt;NA",$C$2:$C$364,$C18),"")</f>
        <v>1</v>
      </c>
      <c r="N18" s="60">
        <f t="shared" si="20"/>
        <v>0.8888888889</v>
      </c>
      <c r="O18" s="60">
        <f t="shared" si="20"/>
        <v>0.6666666667</v>
      </c>
      <c r="P18" s="60">
        <f t="shared" si="20"/>
        <v>0.9285714286</v>
      </c>
      <c r="Q18" s="60">
        <f t="shared" si="20"/>
        <v>0.6956521739</v>
      </c>
      <c r="R18" s="60">
        <f t="shared" si="20"/>
        <v>1</v>
      </c>
      <c r="S18" s="60">
        <f t="shared" si="20"/>
        <v>0.7692307692</v>
      </c>
      <c r="T18" s="61">
        <f t="shared" si="3"/>
        <v>0.9333333333</v>
      </c>
      <c r="U18" s="53">
        <f t="shared" si="4"/>
        <v>4</v>
      </c>
      <c r="V18" s="54">
        <f t="shared" si="5"/>
        <v>4</v>
      </c>
    </row>
    <row r="19" ht="15.75" customHeight="1">
      <c r="A19" s="55" t="str">
        <f>SiteAttendu!$A19</f>
        <v>C1397</v>
      </c>
      <c r="B19" s="56" t="str">
        <f>VLOOKUP($A19,SiteAttendu!$A$2:$C$366,2,0)</f>
        <v>DISTRICT SANITAIRE ABOBO OUEST</v>
      </c>
      <c r="C19" s="57" t="str">
        <f>VLOOKUP($A19,SiteAttendu!$A$2:$C$366,3,0)</f>
        <v>ABIDJAN 1</v>
      </c>
      <c r="D19" s="58">
        <f>IF(VLOOKUP($A19,SiteAttendu!$A$2:$P$366,4,0)="NA","NA",COUNTIFS(soccode,A19,socprog,"PNLS/ANTIRETROVIRAUX ET IO",soctrans,"OUI"))</f>
        <v>1</v>
      </c>
      <c r="E19" s="58">
        <f>IF(VLOOKUP($A19,SiteAttendu!$A$2:$P$366,5,0)="NA","NA",COUNTIFS(soccode,A19,socprog,"PNLS/TESTS RAPIDES ET CONSOMMABLES",soctrans,"OUI"))</f>
        <v>1</v>
      </c>
      <c r="F19" s="58">
        <f>IF(VLOOKUP($A19,SiteAttendu!$A$2:$P$366,6,0)="NA","NA",COUNTIFS(soccode,A19,socprog,"PNLS/PRODUITS DE LABORATOIRE",soctrans,"OUI"))</f>
        <v>1</v>
      </c>
      <c r="G19" s="58" t="str">
        <f>IF(VLOOKUP($A19,SiteAttendu!$A$2:$P$366,7,0)="NA","NA",COUNTIFS(soccode,A19,socprog,"PNLS/CHARGES VIRALES",soctrans,"OUI"))</f>
        <v>NA</v>
      </c>
      <c r="H19" s="58">
        <f>IF(VLOOKUP($A19,SiteAttendu!$A$2:$P$366,9,0)="NA","NA",COUNTIFS(soccode,A19,socprog,"PNLP/MEDICAMENTS ET INTRANTS",soctrans,"OUI"))</f>
        <v>1</v>
      </c>
      <c r="I19" s="59">
        <f>IF(VLOOKUP($A19,SiteAttendu!$A$2:$P$366,10,0)="NA","NA",COUNTIFS(soccode,$A19,socprog,"PNSME/MEDICAMENTS ET INTRANTS",soctrans,"OUI"))</f>
        <v>0</v>
      </c>
      <c r="J19" s="58" t="str">
        <f>IF(VLOOKUP($A19,SiteAttendu!$A$2:$P$366,11,0)="NA","NA",COUNTIFS(soccode,$A19,socprog,"PNN/MEDICAMENTS ET INTRANTS",soctrans,"OUI"))</f>
        <v>NA</v>
      </c>
      <c r="K19" s="58" t="str">
        <f>IF(VLOOKUP($A19,SiteAttendu!$A$2:$O$366,15,0)="NA","NA",IF(COUNTIF(socprog,"PNLT/SENSIBLE MEDICAMENTS ET INTRANTS")=0,"NA",COUNTIFS(soccode,$A19,socprog,"PNLT/SENSIBLE MEDICAMENTS ET INTRANTS",soctrans,"OUI")))</f>
        <v>NA</v>
      </c>
      <c r="L19" s="60"/>
      <c r="M19" s="60">
        <f t="shared" ref="M19:S19" si="21">IFERROR(SUMIFS(E$2:E$364,$C$2:$C$364,$C19)/COUNTIFS(E$2:E$364,"&lt;&gt;NA",$C$2:$C$364,$C19),"")</f>
        <v>1</v>
      </c>
      <c r="N19" s="60">
        <f t="shared" si="21"/>
        <v>0.8888888889</v>
      </c>
      <c r="O19" s="60">
        <f t="shared" si="21"/>
        <v>0.6666666667</v>
      </c>
      <c r="P19" s="60">
        <f t="shared" si="21"/>
        <v>0.9285714286</v>
      </c>
      <c r="Q19" s="60">
        <f t="shared" si="21"/>
        <v>0.6956521739</v>
      </c>
      <c r="R19" s="60">
        <f t="shared" si="21"/>
        <v>1</v>
      </c>
      <c r="S19" s="60">
        <f t="shared" si="21"/>
        <v>0.7692307692</v>
      </c>
      <c r="T19" s="61">
        <f t="shared" si="3"/>
        <v>0.9333333333</v>
      </c>
      <c r="U19" s="53">
        <f t="shared" si="4"/>
        <v>3</v>
      </c>
      <c r="V19" s="54">
        <f t="shared" si="5"/>
        <v>3</v>
      </c>
    </row>
    <row r="20" ht="15.75" customHeight="1">
      <c r="A20" s="55" t="str">
        <f>SiteAttendu!$A20</f>
        <v>C1023</v>
      </c>
      <c r="B20" s="56" t="str">
        <f>VLOOKUP($A20,SiteAttendu!$A$2:$C$366,2,0)</f>
        <v>CENTRE MEDICO-SOCIAL EL RAPHA</v>
      </c>
      <c r="C20" s="57" t="str">
        <f>VLOOKUP($A20,SiteAttendu!$A$2:$C$366,3,0)</f>
        <v>ABIDJAN 1</v>
      </c>
      <c r="D20" s="58">
        <f>IF(VLOOKUP($A20,SiteAttendu!$A$2:$P$366,4,0)="NA","NA",COUNTIFS(soccode,A20,socprog,"PNLS/ANTIRETROVIRAUX ET IO",soctrans,"OUI"))</f>
        <v>1</v>
      </c>
      <c r="E20" s="58">
        <f>IF(VLOOKUP($A20,SiteAttendu!$A$2:$P$366,5,0)="NA","NA",COUNTIFS(soccode,A20,socprog,"PNLS/TESTS RAPIDES ET CONSOMMABLES",soctrans,"OUI"))</f>
        <v>1</v>
      </c>
      <c r="F20" s="58">
        <f>IF(VLOOKUP($A20,SiteAttendu!$A$2:$P$366,6,0)="NA","NA",COUNTIFS(soccode,A20,socprog,"PNLS/PRODUITS DE LABORATOIRE",soctrans,"OUI"))</f>
        <v>1</v>
      </c>
      <c r="G20" s="58">
        <f>IF(VLOOKUP($A20,SiteAttendu!$A$2:$P$366,7,0)="NA","NA",COUNTIFS(soccode,A20,socprog,"PNLS/CHARGES VIRALES",soctrans,"OUI"))</f>
        <v>0</v>
      </c>
      <c r="H20" s="58" t="str">
        <f>IF(VLOOKUP($A20,SiteAttendu!$A$2:$P$366,9,0)="NA","NA",COUNTIFS(soccode,A20,socprog,"PNLP/MEDICAMENTS ET INTRANTS",soctrans,"OUI"))</f>
        <v>NA</v>
      </c>
      <c r="I20" s="59" t="str">
        <f>IF(VLOOKUP($A20,SiteAttendu!$A$2:$P$366,10,0)="NA","NA",COUNTIFS(soccode,$A20,socprog,"PNSME/MEDICAMENTS ET INTRANTS",soctrans,"OUI"))</f>
        <v>NA</v>
      </c>
      <c r="J20" s="58" t="str">
        <f>IF(VLOOKUP($A20,SiteAttendu!$A$2:$P$366,11,0)="NA","NA",COUNTIFS(soccode,$A20,socprog,"PNN/MEDICAMENTS ET INTRANTS",soctrans,"OUI"))</f>
        <v>NA</v>
      </c>
      <c r="K20" s="58" t="str">
        <f>IF(VLOOKUP($A20,SiteAttendu!$A$2:$O$366,15,0)="NA","NA",IF(COUNTIF(socprog,"PNLT/SENSIBLE MEDICAMENTS ET INTRANTS")=0,"NA",COUNTIFS(soccode,$A20,socprog,"PNLT/SENSIBLE MEDICAMENTS ET INTRANTS",soctrans,"OUI")))</f>
        <v>NA</v>
      </c>
      <c r="L20" s="60"/>
      <c r="M20" s="60">
        <f t="shared" ref="M20:S20" si="22">IFERROR(SUMIFS(E$2:E$364,$C$2:$C$364,$C20)/COUNTIFS(E$2:E$364,"&lt;&gt;NA",$C$2:$C$364,$C20),"")</f>
        <v>1</v>
      </c>
      <c r="N20" s="60">
        <f t="shared" si="22"/>
        <v>0.8888888889</v>
      </c>
      <c r="O20" s="60">
        <f t="shared" si="22"/>
        <v>0.6666666667</v>
      </c>
      <c r="P20" s="60">
        <f t="shared" si="22"/>
        <v>0.9285714286</v>
      </c>
      <c r="Q20" s="60">
        <f t="shared" si="22"/>
        <v>0.6956521739</v>
      </c>
      <c r="R20" s="60">
        <f t="shared" si="22"/>
        <v>1</v>
      </c>
      <c r="S20" s="60">
        <f t="shared" si="22"/>
        <v>0.7692307692</v>
      </c>
      <c r="T20" s="61">
        <f t="shared" si="3"/>
        <v>0.9333333333</v>
      </c>
      <c r="U20" s="53">
        <f t="shared" si="4"/>
        <v>3</v>
      </c>
      <c r="V20" s="54">
        <f t="shared" si="5"/>
        <v>4</v>
      </c>
    </row>
    <row r="21" ht="15.75" customHeight="1">
      <c r="A21" s="55" t="str">
        <f>SiteAttendu!$A21</f>
        <v>C1084</v>
      </c>
      <c r="B21" s="56" t="str">
        <f>VLOOKUP($A21,SiteAttendu!$A$2:$C$366,2,0)</f>
        <v>HOPITAL GENERAL ANYAMA</v>
      </c>
      <c r="C21" s="57" t="str">
        <f>VLOOKUP($A21,SiteAttendu!$A$2:$C$366,3,0)</f>
        <v>ABIDJAN 1</v>
      </c>
      <c r="D21" s="58">
        <f>IF(VLOOKUP($A21,SiteAttendu!$A$2:$P$366,4,0)="NA","NA",COUNTIFS(soccode,A21,socprog,"PNLS/ANTIRETROVIRAUX ET IO",soctrans,"OUI"))</f>
        <v>1</v>
      </c>
      <c r="E21" s="58">
        <f>IF(VLOOKUP($A21,SiteAttendu!$A$2:$P$366,5,0)="NA","NA",COUNTIFS(soccode,A21,socprog,"PNLS/TESTS RAPIDES ET CONSOMMABLES",soctrans,"OUI"))</f>
        <v>1</v>
      </c>
      <c r="F21" s="58">
        <f>IF(VLOOKUP($A21,SiteAttendu!$A$2:$P$366,6,0)="NA","NA",COUNTIFS(soccode,A21,socprog,"PNLS/PRODUITS DE LABORATOIRE",soctrans,"OUI"))</f>
        <v>1</v>
      </c>
      <c r="G21" s="58" t="str">
        <f>IF(VLOOKUP($A21,SiteAttendu!$A$2:$P$366,7,0)="NA","NA",COUNTIFS(soccode,A21,socprog,"PNLS/CHARGES VIRALES",soctrans,"OUI"))</f>
        <v>NA</v>
      </c>
      <c r="H21" s="58">
        <f>IF(VLOOKUP($A21,SiteAttendu!$A$2:$P$366,9,0)="NA","NA",COUNTIFS(soccode,A21,socprog,"PNLP/MEDICAMENTS ET INTRANTS",soctrans,"OUI"))</f>
        <v>1</v>
      </c>
      <c r="I21" s="59">
        <f>IF(VLOOKUP($A21,SiteAttendu!$A$2:$P$366,10,0)="NA","NA",COUNTIFS(soccode,$A21,socprog,"PNSME/MEDICAMENTS ET INTRANTS",soctrans,"OUI"))</f>
        <v>1</v>
      </c>
      <c r="J21" s="58">
        <f>IF(VLOOKUP($A21,SiteAttendu!$A$2:$P$366,11,0)="NA","NA",COUNTIFS(soccode,$A21,socprog,"PNN/MEDICAMENTS ET INTRANTS",soctrans,"OUI"))</f>
        <v>1</v>
      </c>
      <c r="K21" s="58">
        <f>IF(VLOOKUP($A21,SiteAttendu!$A$2:$O$366,15,0)="NA","NA",IF(COUNTIF(socprog,"PNLT/SENSIBLE MEDICAMENTS ET INTRANTS")=0,"NA",COUNTIFS(soccode,$A21,socprog,"PNLT/SENSIBLE MEDICAMENTS ET INTRANTS",soctrans,"OUI")))</f>
        <v>1</v>
      </c>
      <c r="L21" s="60"/>
      <c r="M21" s="60">
        <f t="shared" ref="M21:S21" si="23">IFERROR(SUMIFS(E$2:E$364,$C$2:$C$364,$C21)/COUNTIFS(E$2:E$364,"&lt;&gt;NA",$C$2:$C$364,$C21),"")</f>
        <v>1</v>
      </c>
      <c r="N21" s="60">
        <f t="shared" si="23"/>
        <v>0.8888888889</v>
      </c>
      <c r="O21" s="60">
        <f t="shared" si="23"/>
        <v>0.6666666667</v>
      </c>
      <c r="P21" s="60">
        <f t="shared" si="23"/>
        <v>0.9285714286</v>
      </c>
      <c r="Q21" s="60">
        <f t="shared" si="23"/>
        <v>0.6956521739</v>
      </c>
      <c r="R21" s="60">
        <f t="shared" si="23"/>
        <v>1</v>
      </c>
      <c r="S21" s="60">
        <f t="shared" si="23"/>
        <v>0.7692307692</v>
      </c>
      <c r="T21" s="61">
        <f t="shared" si="3"/>
        <v>0.9333333333</v>
      </c>
      <c r="U21" s="53">
        <f t="shared" si="4"/>
        <v>3</v>
      </c>
      <c r="V21" s="54">
        <f t="shared" si="5"/>
        <v>3</v>
      </c>
    </row>
    <row r="22" ht="15.75" customHeight="1">
      <c r="A22" s="55" t="str">
        <f>SiteAttendu!$A22</f>
        <v>C1412</v>
      </c>
      <c r="B22" s="56" t="str">
        <f>VLOOKUP($A22,SiteAttendu!$A$2:$C$366,2,0)</f>
        <v>DISTRICT SANITAIRE ANYAMA</v>
      </c>
      <c r="C22" s="57" t="str">
        <f>VLOOKUP($A22,SiteAttendu!$A$2:$C$366,3,0)</f>
        <v>ABIDJAN 1</v>
      </c>
      <c r="D22" s="58">
        <f>IF(VLOOKUP($A22,SiteAttendu!$A$2:$P$366,4,0)="NA","NA",COUNTIFS(soccode,A22,socprog,"PNLS/ANTIRETROVIRAUX ET IO",soctrans,"OUI"))</f>
        <v>1</v>
      </c>
      <c r="E22" s="58">
        <f>IF(VLOOKUP($A22,SiteAttendu!$A$2:$P$366,5,0)="NA","NA",COUNTIFS(soccode,A22,socprog,"PNLS/TESTS RAPIDES ET CONSOMMABLES",soctrans,"OUI"))</f>
        <v>1</v>
      </c>
      <c r="F22" s="58" t="str">
        <f>IF(VLOOKUP($A22,SiteAttendu!$A$2:$P$366,6,0)="NA","NA",COUNTIFS(soccode,A22,socprog,"PNLS/PRODUITS DE LABORATOIRE",soctrans,"OUI"))</f>
        <v>NA</v>
      </c>
      <c r="G22" s="58" t="str">
        <f>IF(VLOOKUP($A22,SiteAttendu!$A$2:$P$366,7,0)="NA","NA",COUNTIFS(soccode,A22,socprog,"PNLS/CHARGES VIRALES",soctrans,"OUI"))</f>
        <v>NA</v>
      </c>
      <c r="H22" s="58">
        <f>IF(VLOOKUP($A22,SiteAttendu!$A$2:$P$366,9,0)="NA","NA",COUNTIFS(soccode,A22,socprog,"PNLP/MEDICAMENTS ET INTRANTS",soctrans,"OUI"))</f>
        <v>1</v>
      </c>
      <c r="I22" s="59">
        <f>IF(VLOOKUP($A22,SiteAttendu!$A$2:$P$366,10,0)="NA","NA",COUNTIFS(soccode,$A22,socprog,"PNSME/MEDICAMENTS ET INTRANTS",soctrans,"OUI"))</f>
        <v>1</v>
      </c>
      <c r="J22" s="58">
        <f>IF(VLOOKUP($A22,SiteAttendu!$A$2:$P$366,11,0)="NA","NA",COUNTIFS(soccode,$A22,socprog,"PNN/MEDICAMENTS ET INTRANTS",soctrans,"OUI"))</f>
        <v>1</v>
      </c>
      <c r="K22" s="58" t="str">
        <f>IF(VLOOKUP($A22,SiteAttendu!$A$2:$O$366,15,0)="NA","NA",IF(COUNTIF(socprog,"PNLT/SENSIBLE MEDICAMENTS ET INTRANTS")=0,"NA",COUNTIFS(soccode,$A22,socprog,"PNLT/SENSIBLE MEDICAMENTS ET INTRANTS",soctrans,"OUI")))</f>
        <v>NA</v>
      </c>
      <c r="L22" s="60"/>
      <c r="M22" s="60">
        <f t="shared" ref="M22:S22" si="24">IFERROR(SUMIFS(E$2:E$364,$C$2:$C$364,$C22)/COUNTIFS(E$2:E$364,"&lt;&gt;NA",$C$2:$C$364,$C22),"")</f>
        <v>1</v>
      </c>
      <c r="N22" s="60">
        <f t="shared" si="24"/>
        <v>0.8888888889</v>
      </c>
      <c r="O22" s="60">
        <f t="shared" si="24"/>
        <v>0.6666666667</v>
      </c>
      <c r="P22" s="60">
        <f t="shared" si="24"/>
        <v>0.9285714286</v>
      </c>
      <c r="Q22" s="60">
        <f t="shared" si="24"/>
        <v>0.6956521739</v>
      </c>
      <c r="R22" s="60">
        <f t="shared" si="24"/>
        <v>1</v>
      </c>
      <c r="S22" s="60">
        <f t="shared" si="24"/>
        <v>0.7692307692</v>
      </c>
      <c r="T22" s="61">
        <f t="shared" si="3"/>
        <v>0.9333333333</v>
      </c>
      <c r="U22" s="53">
        <f t="shared" si="4"/>
        <v>2</v>
      </c>
      <c r="V22" s="54">
        <f t="shared" si="5"/>
        <v>2</v>
      </c>
    </row>
    <row r="23" ht="15.75" customHeight="1">
      <c r="A23" s="55" t="str">
        <f>SiteAttendu!$A23</f>
        <v>C1017</v>
      </c>
      <c r="B23" s="56" t="str">
        <f>VLOOKUP($A23,SiteAttendu!$A$2:$C$366,2,0)</f>
        <v>FSU COM ANDOKOI</v>
      </c>
      <c r="C23" s="57" t="str">
        <f>VLOOKUP($A23,SiteAttendu!$A$2:$C$366,3,0)</f>
        <v>ABIDJAN 1</v>
      </c>
      <c r="D23" s="58" t="str">
        <f>IF(VLOOKUP($A23,SiteAttendu!$A$2:$P$366,4,0)="NA","NA",COUNTIFS(soccode,A23,socprog,"PNLS/ANTIRETROVIRAUX ET IO",soctrans,"OUI"))</f>
        <v>NA</v>
      </c>
      <c r="E23" s="58" t="str">
        <f>IF(VLOOKUP($A23,SiteAttendu!$A$2:$P$366,5,0)="NA","NA",COUNTIFS(soccode,A23,socprog,"PNLS/TESTS RAPIDES ET CONSOMMABLES",soctrans,"OUI"))</f>
        <v>NA</v>
      </c>
      <c r="F23" s="58" t="str">
        <f>IF(VLOOKUP($A23,SiteAttendu!$A$2:$P$366,6,0)="NA","NA",COUNTIFS(soccode,A23,socprog,"PNLS/PRODUITS DE LABORATOIRE",soctrans,"OUI"))</f>
        <v>NA</v>
      </c>
      <c r="G23" s="58" t="str">
        <f>IF(VLOOKUP($A23,SiteAttendu!$A$2:$P$366,7,0)="NA","NA",COUNTIFS(soccode,A23,socprog,"PNLS/CHARGES VIRALES",soctrans,"OUI"))</f>
        <v>NA</v>
      </c>
      <c r="H23" s="58">
        <f>IF(VLOOKUP($A23,SiteAttendu!$A$2:$P$366,9,0)="NA","NA",COUNTIFS(soccode,A23,socprog,"PNLP/MEDICAMENTS ET INTRANTS",soctrans,"OUI"))</f>
        <v>1</v>
      </c>
      <c r="I23" s="59">
        <f>IF(VLOOKUP($A23,SiteAttendu!$A$2:$P$366,10,0)="NA","NA",COUNTIFS(soccode,$A23,socprog,"PNSME/MEDICAMENTS ET INTRANTS",soctrans,"OUI"))</f>
        <v>1</v>
      </c>
      <c r="J23" s="58" t="str">
        <f>IF(VLOOKUP($A23,SiteAttendu!$A$2:$P$366,11,0)="NA","NA",COUNTIFS(soccode,$A23,socprog,"PNN/MEDICAMENTS ET INTRANTS",soctrans,"OUI"))</f>
        <v>NA</v>
      </c>
      <c r="K23" s="58">
        <f>IF(VLOOKUP($A23,SiteAttendu!$A$2:$O$366,15,0)="NA","NA",IF(COUNTIF(socprog,"PNLT/SENSIBLE MEDICAMENTS ET INTRANTS")=0,"NA",COUNTIFS(soccode,$A23,socprog,"PNLT/SENSIBLE MEDICAMENTS ET INTRANTS",soctrans,"OUI")))</f>
        <v>1</v>
      </c>
      <c r="L23" s="60"/>
      <c r="M23" s="60">
        <f t="shared" ref="M23:S23" si="25">IFERROR(SUMIFS(E$2:E$364,$C$2:$C$364,$C23)/COUNTIFS(E$2:E$364,"&lt;&gt;NA",$C$2:$C$364,$C23),"")</f>
        <v>1</v>
      </c>
      <c r="N23" s="60">
        <f t="shared" si="25"/>
        <v>0.8888888889</v>
      </c>
      <c r="O23" s="60">
        <f t="shared" si="25"/>
        <v>0.6666666667</v>
      </c>
      <c r="P23" s="60">
        <f t="shared" si="25"/>
        <v>0.9285714286</v>
      </c>
      <c r="Q23" s="60">
        <f t="shared" si="25"/>
        <v>0.6956521739</v>
      </c>
      <c r="R23" s="60">
        <f t="shared" si="25"/>
        <v>1</v>
      </c>
      <c r="S23" s="60">
        <f t="shared" si="25"/>
        <v>0.7692307692</v>
      </c>
      <c r="T23" s="61">
        <f t="shared" si="3"/>
        <v>0.9333333333</v>
      </c>
      <c r="U23" s="53">
        <f t="shared" si="4"/>
        <v>0</v>
      </c>
      <c r="V23" s="54">
        <f t="shared" si="5"/>
        <v>0</v>
      </c>
    </row>
    <row r="24" ht="15.75" customHeight="1">
      <c r="A24" s="55" t="str">
        <f>SiteAttendu!$A24</f>
        <v>C1070</v>
      </c>
      <c r="B24" s="56" t="str">
        <f>VLOOKUP($A24,SiteAttendu!$A$2:$C$366,2,0)</f>
        <v>FSU COM KOWEIT</v>
      </c>
      <c r="C24" s="57" t="str">
        <f>VLOOKUP($A24,SiteAttendu!$A$2:$C$366,3,0)</f>
        <v>ABIDJAN 1</v>
      </c>
      <c r="D24" s="58" t="str">
        <f>IF(VLOOKUP($A24,SiteAttendu!$A$2:$P$366,4,0)="NA","NA",COUNTIFS(soccode,A24,socprog,"PNLS/ANTIRETROVIRAUX ET IO",soctrans,"OUI"))</f>
        <v>NA</v>
      </c>
      <c r="E24" s="58" t="str">
        <f>IF(VLOOKUP($A24,SiteAttendu!$A$2:$P$366,5,0)="NA","NA",COUNTIFS(soccode,A24,socprog,"PNLS/TESTS RAPIDES ET CONSOMMABLES",soctrans,"OUI"))</f>
        <v>NA</v>
      </c>
      <c r="F24" s="58" t="str">
        <f>IF(VLOOKUP($A24,SiteAttendu!$A$2:$P$366,6,0)="NA","NA",COUNTIFS(soccode,A24,socprog,"PNLS/PRODUITS DE LABORATOIRE",soctrans,"OUI"))</f>
        <v>NA</v>
      </c>
      <c r="G24" s="58" t="str">
        <f>IF(VLOOKUP($A24,SiteAttendu!$A$2:$P$366,7,0)="NA","NA",COUNTIFS(soccode,A24,socprog,"PNLS/CHARGES VIRALES",soctrans,"OUI"))</f>
        <v>NA</v>
      </c>
      <c r="H24" s="58">
        <f>IF(VLOOKUP($A24,SiteAttendu!$A$2:$P$366,9,0)="NA","NA",COUNTIFS(soccode,A24,socprog,"PNLP/MEDICAMENTS ET INTRANTS",soctrans,"OUI"))</f>
        <v>1</v>
      </c>
      <c r="I24" s="59">
        <f>IF(VLOOKUP($A24,SiteAttendu!$A$2:$P$366,10,0)="NA","NA",COUNTIFS(soccode,$A24,socprog,"PNSME/MEDICAMENTS ET INTRANTS",soctrans,"OUI"))</f>
        <v>1</v>
      </c>
      <c r="J24" s="58" t="str">
        <f>IF(VLOOKUP($A24,SiteAttendu!$A$2:$P$366,11,0)="NA","NA",COUNTIFS(soccode,$A24,socprog,"PNN/MEDICAMENTS ET INTRANTS",soctrans,"OUI"))</f>
        <v>NA</v>
      </c>
      <c r="K24" s="58" t="str">
        <f>IF(VLOOKUP($A24,SiteAttendu!$A$2:$O$366,15,0)="NA","NA",IF(COUNTIF(socprog,"PNLT/SENSIBLE MEDICAMENTS ET INTRANTS")=0,"NA",COUNTIFS(soccode,$A24,socprog,"PNLT/SENSIBLE MEDICAMENTS ET INTRANTS",soctrans,"OUI")))</f>
        <v>NA</v>
      </c>
      <c r="L24" s="60"/>
      <c r="M24" s="60">
        <f t="shared" ref="M24:S24" si="26">IFERROR(SUMIFS(E$2:E$364,$C$2:$C$364,$C24)/COUNTIFS(E$2:E$364,"&lt;&gt;NA",$C$2:$C$364,$C24),"")</f>
        <v>1</v>
      </c>
      <c r="N24" s="60">
        <f t="shared" si="26"/>
        <v>0.8888888889</v>
      </c>
      <c r="O24" s="60">
        <f t="shared" si="26"/>
        <v>0.6666666667</v>
      </c>
      <c r="P24" s="60">
        <f t="shared" si="26"/>
        <v>0.9285714286</v>
      </c>
      <c r="Q24" s="60">
        <f t="shared" si="26"/>
        <v>0.6956521739</v>
      </c>
      <c r="R24" s="60">
        <f t="shared" si="26"/>
        <v>1</v>
      </c>
      <c r="S24" s="60">
        <f t="shared" si="26"/>
        <v>0.7692307692</v>
      </c>
      <c r="T24" s="61">
        <f t="shared" si="3"/>
        <v>0.9333333333</v>
      </c>
      <c r="U24" s="53">
        <f t="shared" si="4"/>
        <v>0</v>
      </c>
      <c r="V24" s="54">
        <f t="shared" si="5"/>
        <v>0</v>
      </c>
    </row>
    <row r="25" ht="15.75" customHeight="1">
      <c r="A25" s="55" t="str">
        <f>SiteAttendu!$A25</f>
        <v>C1073</v>
      </c>
      <c r="B25" s="56" t="str">
        <f>VLOOKUP($A25,SiteAttendu!$A$2:$C$366,2,0)</f>
        <v>FSU COM YOPOUGON ATTIE-OUASSAKARA</v>
      </c>
      <c r="C25" s="57" t="str">
        <f>VLOOKUP($A25,SiteAttendu!$A$2:$C$366,3,0)</f>
        <v>ABIDJAN 1</v>
      </c>
      <c r="D25" s="58">
        <f>IF(VLOOKUP($A25,SiteAttendu!$A$2:$P$366,4,0)="NA","NA",COUNTIFS(soccode,A25,socprog,"PNLS/ANTIRETROVIRAUX ET IO",soctrans,"OUI"))</f>
        <v>1</v>
      </c>
      <c r="E25" s="58">
        <f>IF(VLOOKUP($A25,SiteAttendu!$A$2:$P$366,5,0)="NA","NA",COUNTIFS(soccode,A25,socprog,"PNLS/TESTS RAPIDES ET CONSOMMABLES",soctrans,"OUI"))</f>
        <v>1</v>
      </c>
      <c r="F25" s="58" t="str">
        <f>IF(VLOOKUP($A25,SiteAttendu!$A$2:$P$366,6,0)="NA","NA",COUNTIFS(soccode,A25,socprog,"PNLS/PRODUITS DE LABORATOIRE",soctrans,"OUI"))</f>
        <v>NA</v>
      </c>
      <c r="G25" s="58" t="str">
        <f>IF(VLOOKUP($A25,SiteAttendu!$A$2:$P$366,7,0)="NA","NA",COUNTIFS(soccode,A25,socprog,"PNLS/CHARGES VIRALES",soctrans,"OUI"))</f>
        <v>NA</v>
      </c>
      <c r="H25" s="58">
        <f>IF(VLOOKUP($A25,SiteAttendu!$A$2:$P$366,9,0)="NA","NA",COUNTIFS(soccode,A25,socprog,"PNLP/MEDICAMENTS ET INTRANTS",soctrans,"OUI"))</f>
        <v>1</v>
      </c>
      <c r="I25" s="59">
        <f>IF(VLOOKUP($A25,SiteAttendu!$A$2:$P$366,10,0)="NA","NA",COUNTIFS(soccode,$A25,socprog,"PNSME/MEDICAMENTS ET INTRANTS",soctrans,"OUI"))</f>
        <v>1</v>
      </c>
      <c r="J25" s="58" t="str">
        <f>IF(VLOOKUP($A25,SiteAttendu!$A$2:$P$366,11,0)="NA","NA",COUNTIFS(soccode,$A25,socprog,"PNN/MEDICAMENTS ET INTRANTS",soctrans,"OUI"))</f>
        <v>NA</v>
      </c>
      <c r="K25" s="58">
        <f>IF(VLOOKUP($A25,SiteAttendu!$A$2:$O$366,15,0)="NA","NA",IF(COUNTIF(socprog,"PNLT/SENSIBLE MEDICAMENTS ET INTRANTS")=0,"NA",COUNTIFS(soccode,$A25,socprog,"PNLT/SENSIBLE MEDICAMENTS ET INTRANTS",soctrans,"OUI")))</f>
        <v>1</v>
      </c>
      <c r="L25" s="60"/>
      <c r="M25" s="60">
        <f t="shared" ref="M25:S25" si="27">IFERROR(SUMIFS(E$2:E$364,$C$2:$C$364,$C25)/COUNTIFS(E$2:E$364,"&lt;&gt;NA",$C$2:$C$364,$C25),"")</f>
        <v>1</v>
      </c>
      <c r="N25" s="60">
        <f t="shared" si="27"/>
        <v>0.8888888889</v>
      </c>
      <c r="O25" s="60">
        <f t="shared" si="27"/>
        <v>0.6666666667</v>
      </c>
      <c r="P25" s="60">
        <f t="shared" si="27"/>
        <v>0.9285714286</v>
      </c>
      <c r="Q25" s="60">
        <f t="shared" si="27"/>
        <v>0.6956521739</v>
      </c>
      <c r="R25" s="60">
        <f t="shared" si="27"/>
        <v>1</v>
      </c>
      <c r="S25" s="60">
        <f t="shared" si="27"/>
        <v>0.7692307692</v>
      </c>
      <c r="T25" s="61">
        <f t="shared" si="3"/>
        <v>0.9333333333</v>
      </c>
      <c r="U25" s="53">
        <f t="shared" si="4"/>
        <v>2</v>
      </c>
      <c r="V25" s="54">
        <f t="shared" si="5"/>
        <v>2</v>
      </c>
    </row>
    <row r="26" ht="15.75" customHeight="1">
      <c r="A26" s="55" t="str">
        <f>SiteAttendu!$A26</f>
        <v>C1075</v>
      </c>
      <c r="B26" s="56" t="str">
        <f>VLOOKUP($A26,SiteAttendu!$A$2:$C$366,2,0)</f>
        <v>FSU COM YOPOUGON KOUTE</v>
      </c>
      <c r="C26" s="57" t="str">
        <f>VLOOKUP($A26,SiteAttendu!$A$2:$C$366,3,0)</f>
        <v>ABIDJAN 1</v>
      </c>
      <c r="D26" s="58" t="str">
        <f>IF(VLOOKUP($A26,SiteAttendu!$A$2:$P$366,4,0)="NA","NA",COUNTIFS(soccode,A26,socprog,"PNLS/ANTIRETROVIRAUX ET IO",soctrans,"OUI"))</f>
        <v>NA</v>
      </c>
      <c r="E26" s="58" t="str">
        <f>IF(VLOOKUP($A26,SiteAttendu!$A$2:$P$366,5,0)="NA","NA",COUNTIFS(soccode,A26,socprog,"PNLS/TESTS RAPIDES ET CONSOMMABLES",soctrans,"OUI"))</f>
        <v>NA</v>
      </c>
      <c r="F26" s="58" t="str">
        <f>IF(VLOOKUP($A26,SiteAttendu!$A$2:$P$366,6,0)="NA","NA",COUNTIFS(soccode,A26,socprog,"PNLS/PRODUITS DE LABORATOIRE",soctrans,"OUI"))</f>
        <v>NA</v>
      </c>
      <c r="G26" s="58" t="str">
        <f>IF(VLOOKUP($A26,SiteAttendu!$A$2:$P$366,7,0)="NA","NA",COUNTIFS(soccode,A26,socprog,"PNLS/CHARGES VIRALES",soctrans,"OUI"))</f>
        <v>NA</v>
      </c>
      <c r="H26" s="58">
        <f>IF(VLOOKUP($A26,SiteAttendu!$A$2:$P$366,9,0)="NA","NA",COUNTIFS(soccode,A26,socprog,"PNLP/MEDICAMENTS ET INTRANTS",soctrans,"OUI"))</f>
        <v>1</v>
      </c>
      <c r="I26" s="59" t="str">
        <f>IF(VLOOKUP($A26,SiteAttendu!$A$2:$P$366,10,0)="NA","NA",COUNTIFS(soccode,$A26,socprog,"PNSME/MEDICAMENTS ET INTRANTS",soctrans,"OUI"))</f>
        <v>NA</v>
      </c>
      <c r="J26" s="58" t="str">
        <f>IF(VLOOKUP($A26,SiteAttendu!$A$2:$P$366,11,0)="NA","NA",COUNTIFS(soccode,$A26,socprog,"PNN/MEDICAMENTS ET INTRANTS",soctrans,"OUI"))</f>
        <v>NA</v>
      </c>
      <c r="K26" s="58" t="str">
        <f>IF(VLOOKUP($A26,SiteAttendu!$A$2:$O$366,15,0)="NA","NA",IF(COUNTIF(socprog,"PNLT/SENSIBLE MEDICAMENTS ET INTRANTS")=0,"NA",COUNTIFS(soccode,$A26,socprog,"PNLT/SENSIBLE MEDICAMENTS ET INTRANTS",soctrans,"OUI")))</f>
        <v>NA</v>
      </c>
      <c r="L26" s="60"/>
      <c r="M26" s="60">
        <f t="shared" ref="M26:S26" si="28">IFERROR(SUMIFS(E$2:E$364,$C$2:$C$364,$C26)/COUNTIFS(E$2:E$364,"&lt;&gt;NA",$C$2:$C$364,$C26),"")</f>
        <v>1</v>
      </c>
      <c r="N26" s="60">
        <f t="shared" si="28"/>
        <v>0.8888888889</v>
      </c>
      <c r="O26" s="60">
        <f t="shared" si="28"/>
        <v>0.6666666667</v>
      </c>
      <c r="P26" s="60">
        <f t="shared" si="28"/>
        <v>0.9285714286</v>
      </c>
      <c r="Q26" s="60">
        <f t="shared" si="28"/>
        <v>0.6956521739</v>
      </c>
      <c r="R26" s="60">
        <f t="shared" si="28"/>
        <v>1</v>
      </c>
      <c r="S26" s="60">
        <f t="shared" si="28"/>
        <v>0.7692307692</v>
      </c>
      <c r="T26" s="61">
        <f t="shared" si="3"/>
        <v>0.9333333333</v>
      </c>
      <c r="U26" s="53">
        <f t="shared" si="4"/>
        <v>0</v>
      </c>
      <c r="V26" s="54">
        <f t="shared" si="5"/>
        <v>0</v>
      </c>
    </row>
    <row r="27" ht="15.75" customHeight="1">
      <c r="A27" s="55" t="str">
        <f>SiteAttendu!$A27</f>
        <v>C1078</v>
      </c>
      <c r="B27" s="56" t="str">
        <f>VLOOKUP($A27,SiteAttendu!$A$2:$C$366,2,0)</f>
        <v>FSU COM YOPOUGON TOIT ROUGE</v>
      </c>
      <c r="C27" s="57" t="str">
        <f>VLOOKUP($A27,SiteAttendu!$A$2:$C$366,3,0)</f>
        <v>ABIDJAN 1</v>
      </c>
      <c r="D27" s="58">
        <f>IF(VLOOKUP($A27,SiteAttendu!$A$2:$P$366,4,0)="NA","NA",COUNTIFS(soccode,A27,socprog,"PNLS/ANTIRETROVIRAUX ET IO",soctrans,"OUI"))</f>
        <v>1</v>
      </c>
      <c r="E27" s="58">
        <f>IF(VLOOKUP($A27,SiteAttendu!$A$2:$P$366,5,0)="NA","NA",COUNTIFS(soccode,A27,socprog,"PNLS/TESTS RAPIDES ET CONSOMMABLES",soctrans,"OUI"))</f>
        <v>1</v>
      </c>
      <c r="F27" s="58" t="str">
        <f>IF(VLOOKUP($A27,SiteAttendu!$A$2:$P$366,6,0)="NA","NA",COUNTIFS(soccode,A27,socprog,"PNLS/PRODUITS DE LABORATOIRE",soctrans,"OUI"))</f>
        <v>NA</v>
      </c>
      <c r="G27" s="58">
        <f>IF(VLOOKUP($A27,SiteAttendu!$A$2:$P$366,7,0)="NA","NA",COUNTIFS(soccode,A27,socprog,"PNLS/CHARGES VIRALES",soctrans,"OUI"))</f>
        <v>1</v>
      </c>
      <c r="H27" s="58">
        <f>IF(VLOOKUP($A27,SiteAttendu!$A$2:$P$366,9,0)="NA","NA",COUNTIFS(soccode,A27,socprog,"PNLP/MEDICAMENTS ET INTRANTS",soctrans,"OUI"))</f>
        <v>1</v>
      </c>
      <c r="I27" s="59">
        <f>IF(VLOOKUP($A27,SiteAttendu!$A$2:$P$366,10,0)="NA","NA",COUNTIFS(soccode,$A27,socprog,"PNSME/MEDICAMENTS ET INTRANTS",soctrans,"OUI"))</f>
        <v>1</v>
      </c>
      <c r="J27" s="58" t="str">
        <f>IF(VLOOKUP($A27,SiteAttendu!$A$2:$P$366,11,0)="NA","NA",COUNTIFS(soccode,$A27,socprog,"PNN/MEDICAMENTS ET INTRANTS",soctrans,"OUI"))</f>
        <v>NA</v>
      </c>
      <c r="K27" s="58">
        <f>IF(VLOOKUP($A27,SiteAttendu!$A$2:$O$366,15,0)="NA","NA",IF(COUNTIF(socprog,"PNLT/SENSIBLE MEDICAMENTS ET INTRANTS")=0,"NA",COUNTIFS(soccode,$A27,socprog,"PNLT/SENSIBLE MEDICAMENTS ET INTRANTS",soctrans,"OUI")))</f>
        <v>1</v>
      </c>
      <c r="L27" s="60"/>
      <c r="M27" s="60">
        <f t="shared" ref="M27:S27" si="29">IFERROR(SUMIFS(E$2:E$364,$C$2:$C$364,$C27)/COUNTIFS(E$2:E$364,"&lt;&gt;NA",$C$2:$C$364,$C27),"")</f>
        <v>1</v>
      </c>
      <c r="N27" s="60">
        <f t="shared" si="29"/>
        <v>0.8888888889</v>
      </c>
      <c r="O27" s="60">
        <f t="shared" si="29"/>
        <v>0.6666666667</v>
      </c>
      <c r="P27" s="60">
        <f t="shared" si="29"/>
        <v>0.9285714286</v>
      </c>
      <c r="Q27" s="60">
        <f t="shared" si="29"/>
        <v>0.6956521739</v>
      </c>
      <c r="R27" s="60">
        <f t="shared" si="29"/>
        <v>1</v>
      </c>
      <c r="S27" s="60">
        <f t="shared" si="29"/>
        <v>0.7692307692</v>
      </c>
      <c r="T27" s="61">
        <f t="shared" si="3"/>
        <v>0.9333333333</v>
      </c>
      <c r="U27" s="53">
        <f t="shared" si="4"/>
        <v>3</v>
      </c>
      <c r="V27" s="54">
        <f t="shared" si="5"/>
        <v>3</v>
      </c>
    </row>
    <row r="28" ht="15.75" customHeight="1">
      <c r="A28" s="55" t="str">
        <f>SiteAttendu!$A28</f>
        <v>C1415</v>
      </c>
      <c r="B28" s="56" t="str">
        <f>VLOOKUP($A28,SiteAttendu!$A$2:$C$366,2,0)</f>
        <v>DISTRICT SANITAIRE YOPOUGON EST</v>
      </c>
      <c r="C28" s="57" t="str">
        <f>VLOOKUP($A28,SiteAttendu!$A$2:$C$366,3,0)</f>
        <v>ABIDJAN 1</v>
      </c>
      <c r="D28" s="58">
        <f>IF(VLOOKUP($A28,SiteAttendu!$A$2:$P$366,4,0)="NA","NA",COUNTIFS(soccode,A28,socprog,"PNLS/ANTIRETROVIRAUX ET IO",soctrans,"OUI"))</f>
        <v>1</v>
      </c>
      <c r="E28" s="58">
        <f>IF(VLOOKUP($A28,SiteAttendu!$A$2:$P$366,5,0)="NA","NA",COUNTIFS(soccode,A28,socprog,"PNLS/TESTS RAPIDES ET CONSOMMABLES",soctrans,"OUI"))</f>
        <v>1</v>
      </c>
      <c r="F28" s="58">
        <f>IF(VLOOKUP($A28,SiteAttendu!$A$2:$P$366,6,0)="NA","NA",COUNTIFS(soccode,A28,socprog,"PNLS/PRODUITS DE LABORATOIRE",soctrans,"OUI"))</f>
        <v>1</v>
      </c>
      <c r="G28" s="58" t="str">
        <f>IF(VLOOKUP($A28,SiteAttendu!$A$2:$P$366,7,0)="NA","NA",COUNTIFS(soccode,A28,socprog,"PNLS/CHARGES VIRALES",soctrans,"OUI"))</f>
        <v>NA</v>
      </c>
      <c r="H28" s="58">
        <f>IF(VLOOKUP($A28,SiteAttendu!$A$2:$P$366,9,0)="NA","NA",COUNTIFS(soccode,A28,socprog,"PNLP/MEDICAMENTS ET INTRANTS",soctrans,"OUI"))</f>
        <v>1</v>
      </c>
      <c r="I28" s="59">
        <f>IF(VLOOKUP($A28,SiteAttendu!$A$2:$P$366,10,0)="NA","NA",COUNTIFS(soccode,$A28,socprog,"PNSME/MEDICAMENTS ET INTRANTS",soctrans,"OUI"))</f>
        <v>1</v>
      </c>
      <c r="J28" s="58">
        <f>IF(VLOOKUP($A28,SiteAttendu!$A$2:$P$366,11,0)="NA","NA",COUNTIFS(soccode,$A28,socprog,"PNN/MEDICAMENTS ET INTRANTS",soctrans,"OUI"))</f>
        <v>1</v>
      </c>
      <c r="K28" s="58">
        <f>IF(VLOOKUP($A28,SiteAttendu!$A$2:$O$366,15,0)="NA","NA",IF(COUNTIF(socprog,"PNLT/SENSIBLE MEDICAMENTS ET INTRANTS")=0,"NA",COUNTIFS(soccode,$A28,socprog,"PNLT/SENSIBLE MEDICAMENTS ET INTRANTS",soctrans,"OUI")))</f>
        <v>1</v>
      </c>
      <c r="L28" s="60"/>
      <c r="M28" s="60">
        <f t="shared" ref="M28:S28" si="30">IFERROR(SUMIFS(E$2:E$364,$C$2:$C$364,$C28)/COUNTIFS(E$2:E$364,"&lt;&gt;NA",$C$2:$C$364,$C28),"")</f>
        <v>1</v>
      </c>
      <c r="N28" s="60">
        <f t="shared" si="30"/>
        <v>0.8888888889</v>
      </c>
      <c r="O28" s="60">
        <f t="shared" si="30"/>
        <v>0.6666666667</v>
      </c>
      <c r="P28" s="60">
        <f t="shared" si="30"/>
        <v>0.9285714286</v>
      </c>
      <c r="Q28" s="60">
        <f t="shared" si="30"/>
        <v>0.6956521739</v>
      </c>
      <c r="R28" s="60">
        <f t="shared" si="30"/>
        <v>1</v>
      </c>
      <c r="S28" s="60">
        <f t="shared" si="30"/>
        <v>0.7692307692</v>
      </c>
      <c r="T28" s="61">
        <f t="shared" si="3"/>
        <v>0.9333333333</v>
      </c>
      <c r="U28" s="53">
        <f t="shared" si="4"/>
        <v>3</v>
      </c>
      <c r="V28" s="54">
        <f t="shared" si="5"/>
        <v>3</v>
      </c>
    </row>
    <row r="29" ht="15.75" customHeight="1">
      <c r="A29" s="55" t="str">
        <f>SiteAttendu!$A29</f>
        <v>C1007</v>
      </c>
      <c r="B29" s="56" t="str">
        <f>VLOOKUP($A29,SiteAttendu!$A$2:$C$366,2,0)</f>
        <v>CHU YOPOUGON</v>
      </c>
      <c r="C29" s="57" t="str">
        <f>VLOOKUP($A29,SiteAttendu!$A$2:$C$366,3,0)</f>
        <v>ABIDJAN 1</v>
      </c>
      <c r="D29" s="58">
        <f>IF(VLOOKUP($A29,SiteAttendu!$A$2:$P$366,4,0)="NA","NA",COUNTIFS(soccode,A29,socprog,"PNLS/ANTIRETROVIRAUX ET IO",soctrans,"OUI"))</f>
        <v>1</v>
      </c>
      <c r="E29" s="58">
        <f>IF(VLOOKUP($A29,SiteAttendu!$A$2:$P$366,5,0)="NA","NA",COUNTIFS(soccode,A29,socprog,"PNLS/TESTS RAPIDES ET CONSOMMABLES",soctrans,"OUI"))</f>
        <v>1</v>
      </c>
      <c r="F29" s="58" t="str">
        <f>IF(VLOOKUP($A29,SiteAttendu!$A$2:$P$366,6,0)="NA","NA",COUNTIFS(soccode,A29,socprog,"PNLS/PRODUITS DE LABORATOIRE",soctrans,"OUI"))</f>
        <v>NA</v>
      </c>
      <c r="G29" s="58" t="str">
        <f>IF(VLOOKUP($A29,SiteAttendu!$A$2:$P$366,7,0)="NA","NA",COUNTIFS(soccode,A29,socprog,"PNLS/CHARGES VIRALES",soctrans,"OUI"))</f>
        <v>NA</v>
      </c>
      <c r="H29" s="58" t="str">
        <f>IF(VLOOKUP($A29,SiteAttendu!$A$2:$P$366,9,0)="NA","NA",COUNTIFS(soccode,A29,socprog,"PNLP/MEDICAMENTS ET INTRANTS",soctrans,"OUI"))</f>
        <v>NA</v>
      </c>
      <c r="I29" s="59" t="str">
        <f>IF(VLOOKUP($A29,SiteAttendu!$A$2:$P$366,10,0)="NA","NA",COUNTIFS(soccode,$A29,socprog,"PNSME/MEDICAMENTS ET INTRANTS",soctrans,"OUI"))</f>
        <v>NA</v>
      </c>
      <c r="J29" s="58" t="str">
        <f>IF(VLOOKUP($A29,SiteAttendu!$A$2:$P$366,11,0)="NA","NA",COUNTIFS(soccode,$A29,socprog,"PNN/MEDICAMENTS ET INTRANTS",soctrans,"OUI"))</f>
        <v>NA</v>
      </c>
      <c r="K29" s="58">
        <f>IF(VLOOKUP($A29,SiteAttendu!$A$2:$O$366,15,0)="NA","NA",IF(COUNTIF(socprog,"PNLT/SENSIBLE MEDICAMENTS ET INTRANTS")=0,"NA",COUNTIFS(soccode,$A29,socprog,"PNLT/SENSIBLE MEDICAMENTS ET INTRANTS",soctrans,"OUI")))</f>
        <v>0</v>
      </c>
      <c r="L29" s="60"/>
      <c r="M29" s="60">
        <f t="shared" ref="M29:S29" si="31">IFERROR(SUMIFS(E$2:E$364,$C$2:$C$364,$C29)/COUNTIFS(E$2:E$364,"&lt;&gt;NA",$C$2:$C$364,$C29),"")</f>
        <v>1</v>
      </c>
      <c r="N29" s="60">
        <f t="shared" si="31"/>
        <v>0.8888888889</v>
      </c>
      <c r="O29" s="60">
        <f t="shared" si="31"/>
        <v>0.6666666667</v>
      </c>
      <c r="P29" s="60">
        <f t="shared" si="31"/>
        <v>0.9285714286</v>
      </c>
      <c r="Q29" s="60">
        <f t="shared" si="31"/>
        <v>0.6956521739</v>
      </c>
      <c r="R29" s="60">
        <f t="shared" si="31"/>
        <v>1</v>
      </c>
      <c r="S29" s="60">
        <f t="shared" si="31"/>
        <v>0.7692307692</v>
      </c>
      <c r="T29" s="61">
        <f t="shared" si="3"/>
        <v>0.9333333333</v>
      </c>
      <c r="U29" s="53">
        <f t="shared" si="4"/>
        <v>2</v>
      </c>
      <c r="V29" s="54">
        <f t="shared" si="5"/>
        <v>2</v>
      </c>
    </row>
    <row r="30" ht="15.75" customHeight="1">
      <c r="A30" s="55" t="str">
        <f>SiteAttendu!$A30</f>
        <v>C1364</v>
      </c>
      <c r="B30" s="56" t="str">
        <f>VLOOKUP($A30,SiteAttendu!$A$2:$C$366,2,0)</f>
        <v>RUBAN ROUGE</v>
      </c>
      <c r="C30" s="57" t="str">
        <f>VLOOKUP($A30,SiteAttendu!$A$2:$C$366,3,0)</f>
        <v>ABIDJAN 1</v>
      </c>
      <c r="D30" s="58">
        <f>IF(VLOOKUP($A30,SiteAttendu!$A$2:$P$366,4,0)="NA","NA",COUNTIFS(soccode,A30,socprog,"PNLS/ANTIRETROVIRAUX ET IO",soctrans,"OUI"))</f>
        <v>1</v>
      </c>
      <c r="E30" s="58">
        <f>IF(VLOOKUP($A30,SiteAttendu!$A$2:$P$366,5,0)="NA","NA",COUNTIFS(soccode,A30,socprog,"PNLS/TESTS RAPIDES ET CONSOMMABLES",soctrans,"OUI"))</f>
        <v>1</v>
      </c>
      <c r="F30" s="58">
        <f>IF(VLOOKUP($A30,SiteAttendu!$A$2:$P$366,6,0)="NA","NA",COUNTIFS(soccode,A30,socprog,"PNLS/PRODUITS DE LABORATOIRE",soctrans,"OUI"))</f>
        <v>1</v>
      </c>
      <c r="G30" s="58" t="str">
        <f>IF(VLOOKUP($A30,SiteAttendu!$A$2:$P$366,7,0)="NA","NA",COUNTIFS(soccode,A30,socprog,"PNLS/CHARGES VIRALES",soctrans,"OUI"))</f>
        <v>NA</v>
      </c>
      <c r="H30" s="58" t="str">
        <f>IF(VLOOKUP($A30,SiteAttendu!$A$2:$P$366,9,0)="NA","NA",COUNTIFS(soccode,A30,socprog,"PNLP/MEDICAMENTS ET INTRANTS",soctrans,"OUI"))</f>
        <v>NA</v>
      </c>
      <c r="I30" s="59" t="str">
        <f>IF(VLOOKUP($A30,SiteAttendu!$A$2:$P$366,10,0)="NA","NA",COUNTIFS(soccode,$A30,socprog,"PNSME/MEDICAMENTS ET INTRANTS",soctrans,"OUI"))</f>
        <v>NA</v>
      </c>
      <c r="J30" s="58" t="str">
        <f>IF(VLOOKUP($A30,SiteAttendu!$A$2:$P$366,11,0)="NA","NA",COUNTIFS(soccode,$A30,socprog,"PNN/MEDICAMENTS ET INTRANTS",soctrans,"OUI"))</f>
        <v>NA</v>
      </c>
      <c r="K30" s="58" t="str">
        <f>IF(VLOOKUP($A30,SiteAttendu!$A$2:$O$366,15,0)="NA","NA",IF(COUNTIF(socprog,"PNLT/SENSIBLE MEDICAMENTS ET INTRANTS")=0,"NA",COUNTIFS(soccode,$A30,socprog,"PNLT/SENSIBLE MEDICAMENTS ET INTRANTS",soctrans,"OUI")))</f>
        <v>NA</v>
      </c>
      <c r="L30" s="60"/>
      <c r="M30" s="60">
        <f t="shared" ref="M30:S30" si="32">IFERROR(SUMIFS(E$2:E$364,$C$2:$C$364,$C30)/COUNTIFS(E$2:E$364,"&lt;&gt;NA",$C$2:$C$364,$C30),"")</f>
        <v>1</v>
      </c>
      <c r="N30" s="60">
        <f t="shared" si="32"/>
        <v>0.8888888889</v>
      </c>
      <c r="O30" s="60">
        <f t="shared" si="32"/>
        <v>0.6666666667</v>
      </c>
      <c r="P30" s="60">
        <f t="shared" si="32"/>
        <v>0.9285714286</v>
      </c>
      <c r="Q30" s="60">
        <f t="shared" si="32"/>
        <v>0.6956521739</v>
      </c>
      <c r="R30" s="60">
        <f t="shared" si="32"/>
        <v>1</v>
      </c>
      <c r="S30" s="60">
        <f t="shared" si="32"/>
        <v>0.7692307692</v>
      </c>
      <c r="T30" s="61">
        <f t="shared" si="3"/>
        <v>0.9333333333</v>
      </c>
      <c r="U30" s="53">
        <f t="shared" si="4"/>
        <v>3</v>
      </c>
      <c r="V30" s="54">
        <f t="shared" si="5"/>
        <v>3</v>
      </c>
    </row>
    <row r="31" ht="15.75" customHeight="1">
      <c r="A31" s="55" t="str">
        <f>SiteAttendu!$A31</f>
        <v>C1409</v>
      </c>
      <c r="B31" s="56" t="str">
        <f>VLOOKUP($A31,SiteAttendu!$A$2:$C$366,2,0)</f>
        <v>CS NAZAREEN</v>
      </c>
      <c r="C31" s="57" t="str">
        <f>VLOOKUP($A31,SiteAttendu!$A$2:$C$366,3,0)</f>
        <v>ABIDJAN 1</v>
      </c>
      <c r="D31" s="58">
        <f>IF(VLOOKUP($A31,SiteAttendu!$A$2:$P$366,4,0)="NA","NA",COUNTIFS(soccode,A31,socprog,"PNLS/ANTIRETROVIRAUX ET IO",soctrans,"OUI"))</f>
        <v>1</v>
      </c>
      <c r="E31" s="58">
        <f>IF(VLOOKUP($A31,SiteAttendu!$A$2:$P$366,5,0)="NA","NA",COUNTIFS(soccode,A31,socprog,"PNLS/TESTS RAPIDES ET CONSOMMABLES",soctrans,"OUI"))</f>
        <v>1</v>
      </c>
      <c r="F31" s="58">
        <f>IF(VLOOKUP($A31,SiteAttendu!$A$2:$P$366,6,0)="NA","NA",COUNTIFS(soccode,A31,socprog,"PNLS/PRODUITS DE LABORATOIRE",soctrans,"OUI"))</f>
        <v>1</v>
      </c>
      <c r="G31" s="58" t="str">
        <f>IF(VLOOKUP($A31,SiteAttendu!$A$2:$P$366,7,0)="NA","NA",COUNTIFS(soccode,A31,socprog,"PNLS/CHARGES VIRALES",soctrans,"OUI"))</f>
        <v>NA</v>
      </c>
      <c r="H31" s="58" t="str">
        <f>IF(VLOOKUP($A31,SiteAttendu!$A$2:$P$366,9,0)="NA","NA",COUNTIFS(soccode,A31,socprog,"PNLP/MEDICAMENTS ET INTRANTS",soctrans,"OUI"))</f>
        <v>NA</v>
      </c>
      <c r="I31" s="59" t="str">
        <f>IF(VLOOKUP($A31,SiteAttendu!$A$2:$P$366,10,0)="NA","NA",COUNTIFS(soccode,$A31,socprog,"PNSME/MEDICAMENTS ET INTRANTS",soctrans,"OUI"))</f>
        <v>NA</v>
      </c>
      <c r="J31" s="58" t="str">
        <f>IF(VLOOKUP($A31,SiteAttendu!$A$2:$P$366,11,0)="NA","NA",COUNTIFS(soccode,$A31,socprog,"PNN/MEDICAMENTS ET INTRANTS",soctrans,"OUI"))</f>
        <v>NA</v>
      </c>
      <c r="K31" s="58" t="str">
        <f>IF(VLOOKUP($A31,SiteAttendu!$A$2:$O$366,15,0)="NA","NA",IF(COUNTIF(socprog,"PNLT/SENSIBLE MEDICAMENTS ET INTRANTS")=0,"NA",COUNTIFS(soccode,$A31,socprog,"PNLT/SENSIBLE MEDICAMENTS ET INTRANTS",soctrans,"OUI")))</f>
        <v>NA</v>
      </c>
      <c r="L31" s="60"/>
      <c r="M31" s="60">
        <f t="shared" ref="M31:S31" si="33">IFERROR(SUMIFS(E$2:E$364,$C$2:$C$364,$C31)/COUNTIFS(E$2:E$364,"&lt;&gt;NA",$C$2:$C$364,$C31),"")</f>
        <v>1</v>
      </c>
      <c r="N31" s="60">
        <f t="shared" si="33"/>
        <v>0.8888888889</v>
      </c>
      <c r="O31" s="60">
        <f t="shared" si="33"/>
        <v>0.6666666667</v>
      </c>
      <c r="P31" s="60">
        <f t="shared" si="33"/>
        <v>0.9285714286</v>
      </c>
      <c r="Q31" s="60">
        <f t="shared" si="33"/>
        <v>0.6956521739</v>
      </c>
      <c r="R31" s="60">
        <f t="shared" si="33"/>
        <v>1</v>
      </c>
      <c r="S31" s="60">
        <f t="shared" si="33"/>
        <v>0.7692307692</v>
      </c>
      <c r="T31" s="61">
        <f t="shared" si="3"/>
        <v>0.9333333333</v>
      </c>
      <c r="U31" s="53">
        <f t="shared" si="4"/>
        <v>3</v>
      </c>
      <c r="V31" s="54">
        <f t="shared" si="5"/>
        <v>3</v>
      </c>
    </row>
    <row r="32" ht="15.75" customHeight="1">
      <c r="A32" s="55" t="str">
        <f>SiteAttendu!$A32</f>
        <v>C1020</v>
      </c>
      <c r="B32" s="56" t="str">
        <f>VLOOKUP($A32,SiteAttendu!$A$2:$C$366,2,0)</f>
        <v>CSU COM AZITO</v>
      </c>
      <c r="C32" s="57" t="str">
        <f>VLOOKUP($A32,SiteAttendu!$A$2:$C$366,3,0)</f>
        <v>ABIDJAN 1</v>
      </c>
      <c r="D32" s="58" t="str">
        <f>IF(VLOOKUP($A32,SiteAttendu!$A$2:$P$366,4,0)="NA","NA",COUNTIFS(soccode,A32,socprog,"PNLS/ANTIRETROVIRAUX ET IO",soctrans,"OUI"))</f>
        <v>NA</v>
      </c>
      <c r="E32" s="58" t="str">
        <f>IF(VLOOKUP($A32,SiteAttendu!$A$2:$P$366,5,0)="NA","NA",COUNTIFS(soccode,A32,socprog,"PNLS/TESTS RAPIDES ET CONSOMMABLES",soctrans,"OUI"))</f>
        <v>NA</v>
      </c>
      <c r="F32" s="58" t="str">
        <f>IF(VLOOKUP($A32,SiteAttendu!$A$2:$P$366,6,0)="NA","NA",COUNTIFS(soccode,A32,socprog,"PNLS/PRODUITS DE LABORATOIRE",soctrans,"OUI"))</f>
        <v>NA</v>
      </c>
      <c r="G32" s="58" t="str">
        <f>IF(VLOOKUP($A32,SiteAttendu!$A$2:$P$366,7,0)="NA","NA",COUNTIFS(soccode,A32,socprog,"PNLS/CHARGES VIRALES",soctrans,"OUI"))</f>
        <v>NA</v>
      </c>
      <c r="H32" s="58">
        <f>IF(VLOOKUP($A32,SiteAttendu!$A$2:$P$366,9,0)="NA","NA",COUNTIFS(soccode,A32,socprog,"PNLP/MEDICAMENTS ET INTRANTS",soctrans,"OUI"))</f>
        <v>1</v>
      </c>
      <c r="I32" s="59" t="str">
        <f>IF(VLOOKUP($A32,SiteAttendu!$A$2:$P$366,10,0)="NA","NA",COUNTIFS(soccode,$A32,socprog,"PNSME/MEDICAMENTS ET INTRANTS",soctrans,"OUI"))</f>
        <v>NA</v>
      </c>
      <c r="J32" s="58" t="str">
        <f>IF(VLOOKUP($A32,SiteAttendu!$A$2:$P$366,11,0)="NA","NA",COUNTIFS(soccode,$A32,socprog,"PNN/MEDICAMENTS ET INTRANTS",soctrans,"OUI"))</f>
        <v>NA</v>
      </c>
      <c r="K32" s="58">
        <f>IF(VLOOKUP($A32,SiteAttendu!$A$2:$O$366,15,0)="NA","NA",IF(COUNTIF(socprog,"PNLT/SENSIBLE MEDICAMENTS ET INTRANTS")=0,"NA",COUNTIFS(soccode,$A32,socprog,"PNLT/SENSIBLE MEDICAMENTS ET INTRANTS",soctrans,"OUI")))</f>
        <v>1</v>
      </c>
      <c r="L32" s="60"/>
      <c r="M32" s="60">
        <f t="shared" ref="M32:S32" si="34">IFERROR(SUMIFS(E$2:E$364,$C$2:$C$364,$C32)/COUNTIFS(E$2:E$364,"&lt;&gt;NA",$C$2:$C$364,$C32),"")</f>
        <v>1</v>
      </c>
      <c r="N32" s="60">
        <f t="shared" si="34"/>
        <v>0.8888888889</v>
      </c>
      <c r="O32" s="60">
        <f t="shared" si="34"/>
        <v>0.6666666667</v>
      </c>
      <c r="P32" s="60">
        <f t="shared" si="34"/>
        <v>0.9285714286</v>
      </c>
      <c r="Q32" s="60">
        <f t="shared" si="34"/>
        <v>0.6956521739</v>
      </c>
      <c r="R32" s="60">
        <f t="shared" si="34"/>
        <v>1</v>
      </c>
      <c r="S32" s="60">
        <f t="shared" si="34"/>
        <v>0.7692307692</v>
      </c>
      <c r="T32" s="61">
        <f t="shared" si="3"/>
        <v>0.9333333333</v>
      </c>
      <c r="U32" s="53">
        <f t="shared" si="4"/>
        <v>0</v>
      </c>
      <c r="V32" s="54">
        <f t="shared" si="5"/>
        <v>0</v>
      </c>
    </row>
    <row r="33" ht="15.75" customHeight="1">
      <c r="A33" s="55" t="str">
        <f>SiteAttendu!$A33</f>
        <v>C1099</v>
      </c>
      <c r="B33" s="56" t="str">
        <f>VLOOKUP($A33,SiteAttendu!$A$2:$C$366,2,0)</f>
        <v>HOPITAL GENERAL YOPOUGON ATTIE</v>
      </c>
      <c r="C33" s="57" t="str">
        <f>VLOOKUP($A33,SiteAttendu!$A$2:$C$366,3,0)</f>
        <v>ABIDJAN 1</v>
      </c>
      <c r="D33" s="58">
        <f>IF(VLOOKUP($A33,SiteAttendu!$A$2:$P$366,4,0)="NA","NA",COUNTIFS(soccode,A33,socprog,"PNLS/ANTIRETROVIRAUX ET IO",soctrans,"OUI"))</f>
        <v>1</v>
      </c>
      <c r="E33" s="58">
        <f>IF(VLOOKUP($A33,SiteAttendu!$A$2:$P$366,5,0)="NA","NA",COUNTIFS(soccode,A33,socprog,"PNLS/TESTS RAPIDES ET CONSOMMABLES",soctrans,"OUI"))</f>
        <v>1</v>
      </c>
      <c r="F33" s="58" t="str">
        <f>IF(VLOOKUP($A33,SiteAttendu!$A$2:$P$366,6,0)="NA","NA",COUNTIFS(soccode,A33,socprog,"PNLS/PRODUITS DE LABORATOIRE",soctrans,"OUI"))</f>
        <v>NA</v>
      </c>
      <c r="G33" s="58" t="str">
        <f>IF(VLOOKUP($A33,SiteAttendu!$A$2:$P$366,7,0)="NA","NA",COUNTIFS(soccode,A33,socprog,"PNLS/CHARGES VIRALES",soctrans,"OUI"))</f>
        <v>NA</v>
      </c>
      <c r="H33" s="58">
        <f>IF(VLOOKUP($A33,SiteAttendu!$A$2:$P$366,9,0)="NA","NA",COUNTIFS(soccode,A33,socprog,"PNLP/MEDICAMENTS ET INTRANTS",soctrans,"OUI"))</f>
        <v>1</v>
      </c>
      <c r="I33" s="59">
        <f>IF(VLOOKUP($A33,SiteAttendu!$A$2:$P$366,10,0)="NA","NA",COUNTIFS(soccode,$A33,socprog,"PNSME/MEDICAMENTS ET INTRANTS",soctrans,"OUI"))</f>
        <v>0</v>
      </c>
      <c r="J33" s="58" t="str">
        <f>IF(VLOOKUP($A33,SiteAttendu!$A$2:$P$366,11,0)="NA","NA",COUNTIFS(soccode,$A33,socprog,"PNN/MEDICAMENTS ET INTRANTS",soctrans,"OUI"))</f>
        <v>NA</v>
      </c>
      <c r="K33" s="58" t="str">
        <f>IF(VLOOKUP($A33,SiteAttendu!$A$2:$O$366,15,0)="NA","NA",IF(COUNTIF(socprog,"PNLT/SENSIBLE MEDICAMENTS ET INTRANTS")=0,"NA",COUNTIFS(soccode,$A33,socprog,"PNLT/SENSIBLE MEDICAMENTS ET INTRANTS",soctrans,"OUI")))</f>
        <v>NA</v>
      </c>
      <c r="L33" s="60"/>
      <c r="M33" s="60">
        <f t="shared" ref="M33:S33" si="35">IFERROR(SUMIFS(E$2:E$364,$C$2:$C$364,$C33)/COUNTIFS(E$2:E$364,"&lt;&gt;NA",$C$2:$C$364,$C33),"")</f>
        <v>1</v>
      </c>
      <c r="N33" s="60">
        <f t="shared" si="35"/>
        <v>0.8888888889</v>
      </c>
      <c r="O33" s="60">
        <f t="shared" si="35"/>
        <v>0.6666666667</v>
      </c>
      <c r="P33" s="60">
        <f t="shared" si="35"/>
        <v>0.9285714286</v>
      </c>
      <c r="Q33" s="60">
        <f t="shared" si="35"/>
        <v>0.6956521739</v>
      </c>
      <c r="R33" s="60">
        <f t="shared" si="35"/>
        <v>1</v>
      </c>
      <c r="S33" s="60">
        <f t="shared" si="35"/>
        <v>0.7692307692</v>
      </c>
      <c r="T33" s="61">
        <f t="shared" si="3"/>
        <v>0.9333333333</v>
      </c>
      <c r="U33" s="53">
        <f t="shared" si="4"/>
        <v>2</v>
      </c>
      <c r="V33" s="54">
        <f t="shared" si="5"/>
        <v>2</v>
      </c>
    </row>
    <row r="34" ht="15.75" customHeight="1">
      <c r="A34" s="55" t="str">
        <f>SiteAttendu!$A34</f>
        <v>C1416</v>
      </c>
      <c r="B34" s="56" t="str">
        <f>VLOOKUP($A34,SiteAttendu!$A$2:$C$366,2,0)</f>
        <v>DISTRICT SANITAIRE YOPOUGON OUEST SONGON</v>
      </c>
      <c r="C34" s="57" t="str">
        <f>VLOOKUP($A34,SiteAttendu!$A$2:$C$366,3,0)</f>
        <v>ABIDJAN 1</v>
      </c>
      <c r="D34" s="58">
        <f>IF(VLOOKUP($A34,SiteAttendu!$A$2:$P$366,4,0)="NA","NA",COUNTIFS(soccode,A34,socprog,"PNLS/ANTIRETROVIRAUX ET IO",soctrans,"OUI"))</f>
        <v>1</v>
      </c>
      <c r="E34" s="58">
        <f>IF(VLOOKUP($A34,SiteAttendu!$A$2:$P$366,5,0)="NA","NA",COUNTIFS(soccode,A34,socprog,"PNLS/TESTS RAPIDES ET CONSOMMABLES",soctrans,"OUI"))</f>
        <v>1</v>
      </c>
      <c r="F34" s="58">
        <f>IF(VLOOKUP($A34,SiteAttendu!$A$2:$P$366,6,0)="NA","NA",COUNTIFS(soccode,A34,socprog,"PNLS/PRODUITS DE LABORATOIRE",soctrans,"OUI"))</f>
        <v>1</v>
      </c>
      <c r="G34" s="58" t="str">
        <f>IF(VLOOKUP($A34,SiteAttendu!$A$2:$P$366,7,0)="NA","NA",COUNTIFS(soccode,A34,socprog,"PNLS/CHARGES VIRALES",soctrans,"OUI"))</f>
        <v>NA</v>
      </c>
      <c r="H34" s="58">
        <f>IF(VLOOKUP($A34,SiteAttendu!$A$2:$P$366,9,0)="NA","NA",COUNTIFS(soccode,A34,socprog,"PNLP/MEDICAMENTS ET INTRANTS",soctrans,"OUI"))</f>
        <v>1</v>
      </c>
      <c r="I34" s="59">
        <f>IF(VLOOKUP($A34,SiteAttendu!$A$2:$P$366,10,0)="NA","NA",COUNTIFS(soccode,$A34,socprog,"PNSME/MEDICAMENTS ET INTRANTS",soctrans,"OUI"))</f>
        <v>1</v>
      </c>
      <c r="J34" s="58">
        <f>IF(VLOOKUP($A34,SiteAttendu!$A$2:$P$366,11,0)="NA","NA",COUNTIFS(soccode,$A34,socprog,"PNN/MEDICAMENTS ET INTRANTS",soctrans,"OUI"))</f>
        <v>1</v>
      </c>
      <c r="K34" s="58" t="str">
        <f>IF(VLOOKUP($A34,SiteAttendu!$A$2:$O$366,15,0)="NA","NA",IF(COUNTIF(socprog,"PNLT/SENSIBLE MEDICAMENTS ET INTRANTS")=0,"NA",COUNTIFS(soccode,$A34,socprog,"PNLT/SENSIBLE MEDICAMENTS ET INTRANTS",soctrans,"OUI")))</f>
        <v>NA</v>
      </c>
      <c r="L34" s="60"/>
      <c r="M34" s="60">
        <f t="shared" ref="M34:S34" si="36">IFERROR(SUMIFS(E$2:E$364,$C$2:$C$364,$C34)/COUNTIFS(E$2:E$364,"&lt;&gt;NA",$C$2:$C$364,$C34),"")</f>
        <v>1</v>
      </c>
      <c r="N34" s="60">
        <f t="shared" si="36"/>
        <v>0.8888888889</v>
      </c>
      <c r="O34" s="60">
        <f t="shared" si="36"/>
        <v>0.6666666667</v>
      </c>
      <c r="P34" s="60">
        <f t="shared" si="36"/>
        <v>0.9285714286</v>
      </c>
      <c r="Q34" s="60">
        <f t="shared" si="36"/>
        <v>0.6956521739</v>
      </c>
      <c r="R34" s="60">
        <f t="shared" si="36"/>
        <v>1</v>
      </c>
      <c r="S34" s="60">
        <f t="shared" si="36"/>
        <v>0.7692307692</v>
      </c>
      <c r="T34" s="61">
        <f t="shared" si="3"/>
        <v>0.9333333333</v>
      </c>
      <c r="U34" s="53">
        <f t="shared" si="4"/>
        <v>3</v>
      </c>
      <c r="V34" s="54">
        <f t="shared" si="5"/>
        <v>3</v>
      </c>
    </row>
    <row r="35" ht="15.75" customHeight="1">
      <c r="A35" s="55" t="str">
        <f>SiteAttendu!$A35</f>
        <v>C1905</v>
      </c>
      <c r="B35" s="56" t="str">
        <f>VLOOKUP($A35,SiteAttendu!$A$2:$C$366,2,0)</f>
        <v>CSU SONGON KASSEMBLE</v>
      </c>
      <c r="C35" s="57" t="str">
        <f>VLOOKUP($A35,SiteAttendu!$A$2:$C$366,3,0)</f>
        <v>ABIDJAN 1</v>
      </c>
      <c r="D35" s="58">
        <f>IF(VLOOKUP($A35,SiteAttendu!$A$2:$P$366,4,0)="NA","NA",COUNTIFS(soccode,A35,socprog,"PNLS/ANTIRETROVIRAUX ET IO",soctrans,"OUI"))</f>
        <v>1</v>
      </c>
      <c r="E35" s="58">
        <f>IF(VLOOKUP($A35,SiteAttendu!$A$2:$P$366,5,0)="NA","NA",COUNTIFS(soccode,A35,socprog,"PNLS/TESTS RAPIDES ET CONSOMMABLES",soctrans,"OUI"))</f>
        <v>1</v>
      </c>
      <c r="F35" s="58" t="str">
        <f>IF(VLOOKUP($A35,SiteAttendu!$A$2:$P$366,6,0)="NA","NA",COUNTIFS(soccode,A35,socprog,"PNLS/PRODUITS DE LABORATOIRE",soctrans,"OUI"))</f>
        <v>NA</v>
      </c>
      <c r="G35" s="58">
        <f>IF(VLOOKUP($A35,SiteAttendu!$A$2:$P$366,7,0)="NA","NA",COUNTIFS(soccode,A35,socprog,"PNLS/CHARGES VIRALES",soctrans,"OUI"))</f>
        <v>1</v>
      </c>
      <c r="H35" s="58">
        <f>IF(VLOOKUP($A35,SiteAttendu!$A$2:$P$366,9,0)="NA","NA",COUNTIFS(soccode,A35,socprog,"PNLP/MEDICAMENTS ET INTRANTS",soctrans,"OUI"))</f>
        <v>1</v>
      </c>
      <c r="I35" s="59">
        <f>IF(VLOOKUP($A35,SiteAttendu!$A$2:$P$366,10,0)="NA","NA",COUNTIFS(soccode,$A35,socprog,"PNSME/MEDICAMENTS ET INTRANTS",soctrans,"OUI"))</f>
        <v>0</v>
      </c>
      <c r="J35" s="58" t="str">
        <f>IF(VLOOKUP($A35,SiteAttendu!$A$2:$P$366,11,0)="NA","NA",COUNTIFS(soccode,$A35,socprog,"PNN/MEDICAMENTS ET INTRANTS",soctrans,"OUI"))</f>
        <v>NA</v>
      </c>
      <c r="K35" s="58" t="str">
        <f>IF(VLOOKUP($A35,SiteAttendu!$A$2:$O$366,15,0)="NA","NA",IF(COUNTIF(socprog,"PNLT/SENSIBLE MEDICAMENTS ET INTRANTS")=0,"NA",COUNTIFS(soccode,$A35,socprog,"PNLT/SENSIBLE MEDICAMENTS ET INTRANTS",soctrans,"OUI")))</f>
        <v>NA</v>
      </c>
      <c r="L35" s="60"/>
      <c r="M35" s="60">
        <f t="shared" ref="M35:S35" si="37">IFERROR(SUMIFS(E$2:E$364,$C$2:$C$364,$C35)/COUNTIFS(E$2:E$364,"&lt;&gt;NA",$C$2:$C$364,$C35),"")</f>
        <v>1</v>
      </c>
      <c r="N35" s="60">
        <f t="shared" si="37"/>
        <v>0.8888888889</v>
      </c>
      <c r="O35" s="60">
        <f t="shared" si="37"/>
        <v>0.6666666667</v>
      </c>
      <c r="P35" s="60">
        <f t="shared" si="37"/>
        <v>0.9285714286</v>
      </c>
      <c r="Q35" s="60">
        <f t="shared" si="37"/>
        <v>0.6956521739</v>
      </c>
      <c r="R35" s="60">
        <f t="shared" si="37"/>
        <v>1</v>
      </c>
      <c r="S35" s="60">
        <f t="shared" si="37"/>
        <v>0.7692307692</v>
      </c>
      <c r="T35" s="61">
        <f t="shared" si="3"/>
        <v>0.9333333333</v>
      </c>
      <c r="U35" s="53">
        <f t="shared" si="4"/>
        <v>3</v>
      </c>
      <c r="V35" s="54">
        <f t="shared" si="5"/>
        <v>3</v>
      </c>
    </row>
    <row r="36" ht="15.75" customHeight="1">
      <c r="A36" s="55" t="str">
        <f>SiteAttendu!$A36</f>
        <v>C1076</v>
      </c>
      <c r="B36" s="56" t="str">
        <f>VLOOKUP($A36,SiteAttendu!$A$2:$C$366,2,0)</f>
        <v>FSU COM YOPOUGON NIANGON</v>
      </c>
      <c r="C36" s="57" t="str">
        <f>VLOOKUP($A36,SiteAttendu!$A$2:$C$366,3,0)</f>
        <v>ABIDJAN 1</v>
      </c>
      <c r="D36" s="58">
        <f>IF(VLOOKUP($A36,SiteAttendu!$A$2:$P$366,4,0)="NA","NA",COUNTIFS(soccode,A36,socprog,"PNLS/ANTIRETROVIRAUX ET IO",soctrans,"OUI"))</f>
        <v>1</v>
      </c>
      <c r="E36" s="58">
        <f>IF(VLOOKUP($A36,SiteAttendu!$A$2:$P$366,5,0)="NA","NA",COUNTIFS(soccode,A36,socprog,"PNLS/TESTS RAPIDES ET CONSOMMABLES",soctrans,"OUI"))</f>
        <v>1</v>
      </c>
      <c r="F36" s="58">
        <f>IF(VLOOKUP($A36,SiteAttendu!$A$2:$P$366,6,0)="NA","NA",COUNTIFS(soccode,A36,socprog,"PNLS/PRODUITS DE LABORATOIRE",soctrans,"OUI"))</f>
        <v>0</v>
      </c>
      <c r="G36" s="58">
        <f>IF(VLOOKUP($A36,SiteAttendu!$A$2:$P$366,7,0)="NA","NA",COUNTIFS(soccode,A36,socprog,"PNLS/CHARGES VIRALES",soctrans,"OUI"))</f>
        <v>1</v>
      </c>
      <c r="H36" s="58" t="str">
        <f>IF(VLOOKUP($A36,SiteAttendu!$A$2:$P$366,9,0)="NA","NA",COUNTIFS(soccode,A36,socprog,"PNLP/MEDICAMENTS ET INTRANTS",soctrans,"OUI"))</f>
        <v>NA</v>
      </c>
      <c r="I36" s="59" t="str">
        <f>IF(VLOOKUP($A36,SiteAttendu!$A$2:$P$366,10,0)="NA","NA",COUNTIFS(soccode,$A36,socprog,"PNSME/MEDICAMENTS ET INTRANTS",soctrans,"OUI"))</f>
        <v>NA</v>
      </c>
      <c r="J36" s="58" t="str">
        <f>IF(VLOOKUP($A36,SiteAttendu!$A$2:$P$366,11,0)="NA","NA",COUNTIFS(soccode,$A36,socprog,"PNN/MEDICAMENTS ET INTRANTS",soctrans,"OUI"))</f>
        <v>NA</v>
      </c>
      <c r="K36" s="58" t="str">
        <f>IF(VLOOKUP($A36,SiteAttendu!$A$2:$O$366,15,0)="NA","NA",IF(COUNTIF(socprog,"PNLT/SENSIBLE MEDICAMENTS ET INTRANTS")=0,"NA",COUNTIFS(soccode,$A36,socprog,"PNLT/SENSIBLE MEDICAMENTS ET INTRANTS",soctrans,"OUI")))</f>
        <v>NA</v>
      </c>
      <c r="L36" s="60"/>
      <c r="M36" s="60">
        <f t="shared" ref="M36:S36" si="38">IFERROR(SUMIFS(E$2:E$364,$C$2:$C$364,$C36)/COUNTIFS(E$2:E$364,"&lt;&gt;NA",$C$2:$C$364,$C36),"")</f>
        <v>1</v>
      </c>
      <c r="N36" s="60">
        <f t="shared" si="38"/>
        <v>0.8888888889</v>
      </c>
      <c r="O36" s="60">
        <f t="shared" si="38"/>
        <v>0.6666666667</v>
      </c>
      <c r="P36" s="60">
        <f t="shared" si="38"/>
        <v>0.9285714286</v>
      </c>
      <c r="Q36" s="60">
        <f t="shared" si="38"/>
        <v>0.6956521739</v>
      </c>
      <c r="R36" s="60">
        <f t="shared" si="38"/>
        <v>1</v>
      </c>
      <c r="S36" s="60">
        <f t="shared" si="38"/>
        <v>0.7692307692</v>
      </c>
      <c r="T36" s="61">
        <f t="shared" si="3"/>
        <v>0.9333333333</v>
      </c>
      <c r="U36" s="53">
        <f t="shared" si="4"/>
        <v>3</v>
      </c>
      <c r="V36" s="54">
        <f t="shared" si="5"/>
        <v>4</v>
      </c>
    </row>
    <row r="37" ht="15.75" customHeight="1">
      <c r="A37" s="55" t="str">
        <f>SiteAttendu!$A37</f>
        <v>C1077</v>
      </c>
      <c r="B37" s="56" t="str">
        <f>VLOOKUP($A37,SiteAttendu!$A$2:$C$366,2,0)</f>
        <v>FSU COM YOPOUGON PORT-BOUET 2</v>
      </c>
      <c r="C37" s="57" t="str">
        <f>VLOOKUP($A37,SiteAttendu!$A$2:$C$366,3,0)</f>
        <v>ABIDJAN 1</v>
      </c>
      <c r="D37" s="58">
        <f>IF(VLOOKUP($A37,SiteAttendu!$A$2:$P$366,4,0)="NA","NA",COUNTIFS(soccode,A37,socprog,"PNLS/ANTIRETROVIRAUX ET IO",soctrans,"OUI"))</f>
        <v>1</v>
      </c>
      <c r="E37" s="58">
        <f>IF(VLOOKUP($A37,SiteAttendu!$A$2:$P$366,5,0)="NA","NA",COUNTIFS(soccode,A37,socprog,"PNLS/TESTS RAPIDES ET CONSOMMABLES",soctrans,"OUI"))</f>
        <v>1</v>
      </c>
      <c r="F37" s="58">
        <f>IF(VLOOKUP($A37,SiteAttendu!$A$2:$P$366,6,0)="NA","NA",COUNTIFS(soccode,A37,socprog,"PNLS/PRODUITS DE LABORATOIRE",soctrans,"OUI"))</f>
        <v>1</v>
      </c>
      <c r="G37" s="58">
        <f>IF(VLOOKUP($A37,SiteAttendu!$A$2:$P$366,7,0)="NA","NA",COUNTIFS(soccode,A37,socprog,"PNLS/CHARGES VIRALES",soctrans,"OUI"))</f>
        <v>0</v>
      </c>
      <c r="H37" s="58" t="str">
        <f>IF(VLOOKUP($A37,SiteAttendu!$A$2:$P$366,9,0)="NA","NA",COUNTIFS(soccode,A37,socprog,"PNLP/MEDICAMENTS ET INTRANTS",soctrans,"OUI"))</f>
        <v>NA</v>
      </c>
      <c r="I37" s="59">
        <f>IF(VLOOKUP($A37,SiteAttendu!$A$2:$P$366,10,0)="NA","NA",COUNTIFS(soccode,$A37,socprog,"PNSME/MEDICAMENTS ET INTRANTS",soctrans,"OUI"))</f>
        <v>0</v>
      </c>
      <c r="J37" s="58" t="str">
        <f>IF(VLOOKUP($A37,SiteAttendu!$A$2:$P$366,11,0)="NA","NA",COUNTIFS(soccode,$A37,socprog,"PNN/MEDICAMENTS ET INTRANTS",soctrans,"OUI"))</f>
        <v>NA</v>
      </c>
      <c r="K37" s="58" t="str">
        <f>IF(VLOOKUP($A37,SiteAttendu!$A$2:$O$366,15,0)="NA","NA",IF(COUNTIF(socprog,"PNLT/SENSIBLE MEDICAMENTS ET INTRANTS")=0,"NA",COUNTIFS(soccode,$A37,socprog,"PNLT/SENSIBLE MEDICAMENTS ET INTRANTS",soctrans,"OUI")))</f>
        <v>NA</v>
      </c>
      <c r="L37" s="60"/>
      <c r="M37" s="60">
        <f t="shared" ref="M37:S37" si="39">IFERROR(SUMIFS(E$2:E$364,$C$2:$C$364,$C37)/COUNTIFS(E$2:E$364,"&lt;&gt;NA",$C$2:$C$364,$C37),"")</f>
        <v>1</v>
      </c>
      <c r="N37" s="60">
        <f t="shared" si="39"/>
        <v>0.8888888889</v>
      </c>
      <c r="O37" s="60">
        <f t="shared" si="39"/>
        <v>0.6666666667</v>
      </c>
      <c r="P37" s="60">
        <f t="shared" si="39"/>
        <v>0.9285714286</v>
      </c>
      <c r="Q37" s="60">
        <f t="shared" si="39"/>
        <v>0.6956521739</v>
      </c>
      <c r="R37" s="60">
        <f t="shared" si="39"/>
        <v>1</v>
      </c>
      <c r="S37" s="60">
        <f t="shared" si="39"/>
        <v>0.7692307692</v>
      </c>
      <c r="T37" s="61">
        <f t="shared" si="3"/>
        <v>0.9333333333</v>
      </c>
      <c r="U37" s="53">
        <f t="shared" si="4"/>
        <v>3</v>
      </c>
      <c r="V37" s="54">
        <f t="shared" si="5"/>
        <v>4</v>
      </c>
    </row>
    <row r="38" ht="15.75" customHeight="1">
      <c r="A38" s="55" t="str">
        <f>SiteAttendu!$A38</f>
        <v>C1404</v>
      </c>
      <c r="B38" s="56" t="str">
        <f>VLOOKUP($A38,SiteAttendu!$A$2:$C$366,2,0)</f>
        <v>CEPREF</v>
      </c>
      <c r="C38" s="57" t="str">
        <f>VLOOKUP($A38,SiteAttendu!$A$2:$C$366,3,0)</f>
        <v>ABIDJAN 1</v>
      </c>
      <c r="D38" s="58">
        <f>IF(VLOOKUP($A38,SiteAttendu!$A$2:$P$366,4,0)="NA","NA",COUNTIFS(soccode,A38,socprog,"PNLS/ANTIRETROVIRAUX ET IO",soctrans,"OUI"))</f>
        <v>1</v>
      </c>
      <c r="E38" s="58">
        <f>IF(VLOOKUP($A38,SiteAttendu!$A$2:$P$366,5,0)="NA","NA",COUNTIFS(soccode,A38,socprog,"PNLS/TESTS RAPIDES ET CONSOMMABLES",soctrans,"OUI"))</f>
        <v>1</v>
      </c>
      <c r="F38" s="58">
        <f>IF(VLOOKUP($A38,SiteAttendu!$A$2:$P$366,6,0)="NA","NA",COUNTIFS(soccode,A38,socprog,"PNLS/PRODUITS DE LABORATOIRE",soctrans,"OUI"))</f>
        <v>1</v>
      </c>
      <c r="G38" s="58">
        <f>IF(VLOOKUP($A38,SiteAttendu!$A$2:$P$366,7,0)="NA","NA",COUNTIFS(soccode,A38,socprog,"PNLS/CHARGES VIRALES",soctrans,"OUI"))</f>
        <v>1</v>
      </c>
      <c r="H38" s="58" t="str">
        <f>IF(VLOOKUP($A38,SiteAttendu!$A$2:$P$366,9,0)="NA","NA",COUNTIFS(soccode,A38,socprog,"PNLP/MEDICAMENTS ET INTRANTS",soctrans,"OUI"))</f>
        <v>NA</v>
      </c>
      <c r="I38" s="59" t="str">
        <f>IF(VLOOKUP($A38,SiteAttendu!$A$2:$P$366,10,0)="NA","NA",COUNTIFS(soccode,$A38,socprog,"PNSME/MEDICAMENTS ET INTRANTS",soctrans,"OUI"))</f>
        <v>NA</v>
      </c>
      <c r="J38" s="58" t="str">
        <f>IF(VLOOKUP($A38,SiteAttendu!$A$2:$P$366,11,0)="NA","NA",COUNTIFS(soccode,$A38,socprog,"PNN/MEDICAMENTS ET INTRANTS",soctrans,"OUI"))</f>
        <v>NA</v>
      </c>
      <c r="K38" s="58" t="str">
        <f>IF(VLOOKUP($A38,SiteAttendu!$A$2:$O$366,15,0)="NA","NA",IF(COUNTIF(socprog,"PNLT/SENSIBLE MEDICAMENTS ET INTRANTS")=0,"NA",COUNTIFS(soccode,$A38,socprog,"PNLT/SENSIBLE MEDICAMENTS ET INTRANTS",soctrans,"OUI")))</f>
        <v>NA</v>
      </c>
      <c r="L38" s="60"/>
      <c r="M38" s="60">
        <f t="shared" ref="M38:S38" si="40">IFERROR(SUMIFS(E$2:E$364,$C$2:$C$364,$C38)/COUNTIFS(E$2:E$364,"&lt;&gt;NA",$C$2:$C$364,$C38),"")</f>
        <v>1</v>
      </c>
      <c r="N38" s="60">
        <f t="shared" si="40"/>
        <v>0.8888888889</v>
      </c>
      <c r="O38" s="60">
        <f t="shared" si="40"/>
        <v>0.6666666667</v>
      </c>
      <c r="P38" s="60">
        <f t="shared" si="40"/>
        <v>0.9285714286</v>
      </c>
      <c r="Q38" s="60">
        <f t="shared" si="40"/>
        <v>0.6956521739</v>
      </c>
      <c r="R38" s="60">
        <f t="shared" si="40"/>
        <v>1</v>
      </c>
      <c r="S38" s="60">
        <f t="shared" si="40"/>
        <v>0.7692307692</v>
      </c>
      <c r="T38" s="61">
        <f t="shared" si="3"/>
        <v>0.9333333333</v>
      </c>
      <c r="U38" s="53">
        <f t="shared" si="4"/>
        <v>4</v>
      </c>
      <c r="V38" s="54">
        <f t="shared" si="5"/>
        <v>4</v>
      </c>
    </row>
    <row r="39" ht="15.75" customHeight="1">
      <c r="A39" s="55" t="str">
        <f>SiteAttendu!$A39</f>
        <v>C1074</v>
      </c>
      <c r="B39" s="56" t="str">
        <f>VLOOKUP($A39,SiteAttendu!$A$2:$C$366,2,0)</f>
        <v>FSU COM YOPOUGON GESCO</v>
      </c>
      <c r="C39" s="57" t="str">
        <f>VLOOKUP($A39,SiteAttendu!$A$2:$C$366,3,0)</f>
        <v>ABIDJAN 1</v>
      </c>
      <c r="D39" s="58" t="str">
        <f>IF(VLOOKUP($A39,SiteAttendu!$A$2:$P$366,4,0)="NA","NA",COUNTIFS(soccode,A39,socprog,"PNLS/ANTIRETROVIRAUX ET IO",soctrans,"OUI"))</f>
        <v>NA</v>
      </c>
      <c r="E39" s="58" t="str">
        <f>IF(VLOOKUP($A39,SiteAttendu!$A$2:$P$366,5,0)="NA","NA",COUNTIFS(soccode,A39,socprog,"PNLS/TESTS RAPIDES ET CONSOMMABLES",soctrans,"OUI"))</f>
        <v>NA</v>
      </c>
      <c r="F39" s="58" t="str">
        <f>IF(VLOOKUP($A39,SiteAttendu!$A$2:$P$366,6,0)="NA","NA",COUNTIFS(soccode,A39,socprog,"PNLS/PRODUITS DE LABORATOIRE",soctrans,"OUI"))</f>
        <v>NA</v>
      </c>
      <c r="G39" s="58" t="str">
        <f>IF(VLOOKUP($A39,SiteAttendu!$A$2:$P$366,7,0)="NA","NA",COUNTIFS(soccode,A39,socprog,"PNLS/CHARGES VIRALES",soctrans,"OUI"))</f>
        <v>NA</v>
      </c>
      <c r="H39" s="58" t="str">
        <f>IF(VLOOKUP($A39,SiteAttendu!$A$2:$P$366,9,0)="NA","NA",COUNTIFS(soccode,A39,socprog,"PNLP/MEDICAMENTS ET INTRANTS",soctrans,"OUI"))</f>
        <v>NA</v>
      </c>
      <c r="I39" s="59">
        <f>IF(VLOOKUP($A39,SiteAttendu!$A$2:$P$366,10,0)="NA","NA",COUNTIFS(soccode,$A39,socprog,"PNSME/MEDICAMENTS ET INTRANTS",soctrans,"OUI"))</f>
        <v>1</v>
      </c>
      <c r="J39" s="58" t="str">
        <f>IF(VLOOKUP($A39,SiteAttendu!$A$2:$P$366,11,0)="NA","NA",COUNTIFS(soccode,$A39,socprog,"PNN/MEDICAMENTS ET INTRANTS",soctrans,"OUI"))</f>
        <v>NA</v>
      </c>
      <c r="K39" s="58">
        <f>IF(VLOOKUP($A39,SiteAttendu!$A$2:$O$366,15,0)="NA","NA",IF(COUNTIF(socprog,"PNLT/SENSIBLE MEDICAMENTS ET INTRANTS")=0,"NA",COUNTIFS(soccode,$A39,socprog,"PNLT/SENSIBLE MEDICAMENTS ET INTRANTS",soctrans,"OUI")))</f>
        <v>1</v>
      </c>
      <c r="L39" s="60"/>
      <c r="M39" s="60">
        <f t="shared" ref="M39:S39" si="41">IFERROR(SUMIFS(E$2:E$364,$C$2:$C$364,$C39)/COUNTIFS(E$2:E$364,"&lt;&gt;NA",$C$2:$C$364,$C39),"")</f>
        <v>1</v>
      </c>
      <c r="N39" s="60">
        <f t="shared" si="41"/>
        <v>0.8888888889</v>
      </c>
      <c r="O39" s="60">
        <f t="shared" si="41"/>
        <v>0.6666666667</v>
      </c>
      <c r="P39" s="60">
        <f t="shared" si="41"/>
        <v>0.9285714286</v>
      </c>
      <c r="Q39" s="60">
        <f t="shared" si="41"/>
        <v>0.6956521739</v>
      </c>
      <c r="R39" s="60">
        <f t="shared" si="41"/>
        <v>1</v>
      </c>
      <c r="S39" s="60">
        <f t="shared" si="41"/>
        <v>0.7692307692</v>
      </c>
      <c r="T39" s="61">
        <f t="shared" si="3"/>
        <v>0.9333333333</v>
      </c>
      <c r="U39" s="53">
        <f t="shared" si="4"/>
        <v>0</v>
      </c>
      <c r="V39" s="54">
        <f t="shared" si="5"/>
        <v>0</v>
      </c>
    </row>
    <row r="40" ht="16.5" customHeight="1">
      <c r="A40" s="55" t="str">
        <f>SiteAttendu!$A40</f>
        <v>C1686</v>
      </c>
      <c r="B40" s="56" t="str">
        <f>VLOOKUP($A40,SiteAttendu!$A$2:$C$366,2,0)</f>
        <v>CENTRE ANTITUBERCULEUX YOPOUGON</v>
      </c>
      <c r="C40" s="57" t="str">
        <f>VLOOKUP($A40,SiteAttendu!$A$2:$C$366,3,0)</f>
        <v>ABIDJAN 1</v>
      </c>
      <c r="D40" s="58" t="str">
        <f>IF(VLOOKUP($A40,SiteAttendu!$A$2:$P$366,4,0)="NA","NA",COUNTIFS(soccode,A40,socprog,"PNLS/ANTIRETROVIRAUX ET IO",soctrans,"OUI"))</f>
        <v>NA</v>
      </c>
      <c r="E40" s="58" t="str">
        <f>IF(VLOOKUP($A40,SiteAttendu!$A$2:$P$366,5,0)="NA","NA",COUNTIFS(soccode,A40,socprog,"PNLS/TESTS RAPIDES ET CONSOMMABLES",soctrans,"OUI"))</f>
        <v>NA</v>
      </c>
      <c r="F40" s="58" t="str">
        <f>IF(VLOOKUP($A40,SiteAttendu!$A$2:$P$366,6,0)="NA","NA",COUNTIFS(soccode,A40,socprog,"PNLS/PRODUITS DE LABORATOIRE",soctrans,"OUI"))</f>
        <v>NA</v>
      </c>
      <c r="G40" s="58" t="str">
        <f>IF(VLOOKUP($A40,SiteAttendu!$A$2:$P$366,7,0)="NA","NA",COUNTIFS(soccode,A40,socprog,"PNLS/CHARGES VIRALES",soctrans,"OUI"))</f>
        <v>NA</v>
      </c>
      <c r="H40" s="58" t="str">
        <f>IF(VLOOKUP($A40,SiteAttendu!$A$2:$P$366,9,0)="NA","NA",COUNTIFS(soccode,A40,socprog,"PNLP/MEDICAMENTS ET INTRANTS",soctrans,"OUI"))</f>
        <v>NA</v>
      </c>
      <c r="I40" s="59" t="str">
        <f>IF(VLOOKUP($A40,SiteAttendu!$A$2:$P$366,10,0)="NA","NA",COUNTIFS(soccode,$A40,socprog,"PNSME/MEDICAMENTS ET INTRANTS",soctrans,"OUI"))</f>
        <v>NA</v>
      </c>
      <c r="J40" s="58" t="str">
        <f>IF(VLOOKUP($A40,SiteAttendu!$A$2:$P$366,11,0)="NA","NA",COUNTIFS(soccode,$A40,socprog,"PNN/MEDICAMENTS ET INTRANTS",soctrans,"OUI"))</f>
        <v>NA</v>
      </c>
      <c r="K40" s="58">
        <f>IF(VLOOKUP($A40,SiteAttendu!$A$2:$O$366,15,0)="NA","NA",IF(COUNTIF(socprog,"PNLT/SENSIBLE MEDICAMENTS ET INTRANTS")=0,"NA",COUNTIFS(soccode,$A40,socprog,"PNLT/SENSIBLE MEDICAMENTS ET INTRANTS",soctrans,"OUI")))</f>
        <v>0</v>
      </c>
      <c r="L40" s="60"/>
      <c r="M40" s="60">
        <f t="shared" ref="M40:S40" si="42">IFERROR(SUMIFS(E$2:E$364,$C$2:$C$364,$C40)/COUNTIFS(E$2:E$364,"&lt;&gt;NA",$C$2:$C$364,$C40),"")</f>
        <v>1</v>
      </c>
      <c r="N40" s="60">
        <f t="shared" si="42"/>
        <v>0.8888888889</v>
      </c>
      <c r="O40" s="60">
        <f t="shared" si="42"/>
        <v>0.6666666667</v>
      </c>
      <c r="P40" s="60">
        <f t="shared" si="42"/>
        <v>0.9285714286</v>
      </c>
      <c r="Q40" s="60">
        <f t="shared" si="42"/>
        <v>0.6956521739</v>
      </c>
      <c r="R40" s="60">
        <f t="shared" si="42"/>
        <v>1</v>
      </c>
      <c r="S40" s="60">
        <f t="shared" si="42"/>
        <v>0.7692307692</v>
      </c>
      <c r="T40" s="61">
        <f t="shared" si="3"/>
        <v>0.9333333333</v>
      </c>
      <c r="U40" s="53">
        <f t="shared" si="4"/>
        <v>0</v>
      </c>
      <c r="V40" s="54">
        <f t="shared" si="5"/>
        <v>0</v>
      </c>
    </row>
    <row r="41" ht="15.75" customHeight="1">
      <c r="A41" s="55" t="str">
        <f>SiteAttendu!$A41</f>
        <v>C1028</v>
      </c>
      <c r="B41" s="56" t="str">
        <f>VLOOKUP($A41,SiteAttendu!$A$2:$C$366,2,0)</f>
        <v>CSU COM NIANGON LOKOA</v>
      </c>
      <c r="C41" s="57" t="str">
        <f>VLOOKUP($A41,SiteAttendu!$A$2:$C$366,3,0)</f>
        <v>ABIDJAN 1</v>
      </c>
      <c r="D41" s="58" t="str">
        <f>IF(VLOOKUP($A41,SiteAttendu!$A$2:$P$366,4,0)="NA","NA",COUNTIFS(soccode,A41,socprog,"PNLS/ANTIRETROVIRAUX ET IO",soctrans,"OUI"))</f>
        <v>NA</v>
      </c>
      <c r="E41" s="58" t="str">
        <f>IF(VLOOKUP($A41,SiteAttendu!$A$2:$P$366,5,0)="NA","NA",COUNTIFS(soccode,A41,socprog,"PNLS/TESTS RAPIDES ET CONSOMMABLES",soctrans,"OUI"))</f>
        <v>NA</v>
      </c>
      <c r="F41" s="58" t="str">
        <f>IF(VLOOKUP($A41,SiteAttendu!$A$2:$P$366,6,0)="NA","NA",COUNTIFS(soccode,A41,socprog,"PNLS/PRODUITS DE LABORATOIRE",soctrans,"OUI"))</f>
        <v>NA</v>
      </c>
      <c r="G41" s="58" t="str">
        <f>IF(VLOOKUP($A41,SiteAttendu!$A$2:$P$366,7,0)="NA","NA",COUNTIFS(soccode,A41,socprog,"PNLS/CHARGES VIRALES",soctrans,"OUI"))</f>
        <v>NA</v>
      </c>
      <c r="H41" s="58" t="str">
        <f>IF(VLOOKUP($A41,SiteAttendu!$A$2:$P$366,9,0)="NA","NA",COUNTIFS(soccode,A41,socprog,"PNLP/MEDICAMENTS ET INTRANTS",soctrans,"OUI"))</f>
        <v>NA</v>
      </c>
      <c r="I41" s="59">
        <f>IF(VLOOKUP($A41,SiteAttendu!$A$2:$P$366,10,0)="NA","NA",COUNTIFS(soccode,$A41,socprog,"PNSME/MEDICAMENTS ET INTRANTS",soctrans,"OUI"))</f>
        <v>1</v>
      </c>
      <c r="J41" s="58" t="str">
        <f>IF(VLOOKUP($A41,SiteAttendu!$A$2:$P$366,11,0)="NA","NA",COUNTIFS(soccode,$A41,socprog,"PNN/MEDICAMENTS ET INTRANTS",soctrans,"OUI"))</f>
        <v>NA</v>
      </c>
      <c r="K41" s="58" t="str">
        <f>IF(VLOOKUP($A41,SiteAttendu!$A$2:$O$366,15,0)="NA","NA",IF(COUNTIF(socprog,"PNLT/SENSIBLE MEDICAMENTS ET INTRANTS")=0,"NA",COUNTIFS(soccode,$A41,socprog,"PNLT/SENSIBLE MEDICAMENTS ET INTRANTS",soctrans,"OUI")))</f>
        <v>NA</v>
      </c>
      <c r="L41" s="60"/>
      <c r="M41" s="60">
        <f t="shared" ref="M41:S41" si="43">IFERROR(SUMIFS(E$2:E$364,$C$2:$C$364,$C41)/COUNTIFS(E$2:E$364,"&lt;&gt;NA",$C$2:$C$364,$C41),"")</f>
        <v>1</v>
      </c>
      <c r="N41" s="60">
        <f t="shared" si="43"/>
        <v>0.8888888889</v>
      </c>
      <c r="O41" s="60">
        <f t="shared" si="43"/>
        <v>0.6666666667</v>
      </c>
      <c r="P41" s="60">
        <f t="shared" si="43"/>
        <v>0.9285714286</v>
      </c>
      <c r="Q41" s="60">
        <f t="shared" si="43"/>
        <v>0.6956521739</v>
      </c>
      <c r="R41" s="60">
        <f t="shared" si="43"/>
        <v>1</v>
      </c>
      <c r="S41" s="60">
        <f t="shared" si="43"/>
        <v>0.7692307692</v>
      </c>
      <c r="T41" s="61">
        <f t="shared" si="3"/>
        <v>0.9333333333</v>
      </c>
      <c r="U41" s="53">
        <f t="shared" si="4"/>
        <v>0</v>
      </c>
      <c r="V41" s="54">
        <f t="shared" si="5"/>
        <v>0</v>
      </c>
    </row>
    <row r="42" ht="15.75" customHeight="1">
      <c r="A42" s="62" t="str">
        <f>SiteAttendu!$A42</f>
        <v>C1067</v>
      </c>
      <c r="B42" s="63" t="str">
        <f>VLOOKUP($A42,SiteAttendu!$A$2:$C$366,2,0)</f>
        <v>FSU COM ADIOPODOUME</v>
      </c>
      <c r="C42" s="64" t="str">
        <f>VLOOKUP($A42,SiteAttendu!$A$2:$C$366,3,0)</f>
        <v>ABIDJAN 1</v>
      </c>
      <c r="D42" s="65" t="str">
        <f>IF(VLOOKUP($A42,SiteAttendu!$A$2:$P$366,4,0)="NA","NA",COUNTIFS(soccode,A42,socprog,"PNLS/ANTIRETROVIRAUX ET IO",soctrans,"OUI"))</f>
        <v>NA</v>
      </c>
      <c r="E42" s="65" t="str">
        <f>IF(VLOOKUP($A42,SiteAttendu!$A$2:$P$366,5,0)="NA","NA",COUNTIFS(soccode,A42,socprog,"PNLS/TESTS RAPIDES ET CONSOMMABLES",soctrans,"OUI"))</f>
        <v>NA</v>
      </c>
      <c r="F42" s="65" t="str">
        <f>IF(VLOOKUP($A42,SiteAttendu!$A$2:$P$366,6,0)="NA","NA",COUNTIFS(soccode,A42,socprog,"PNLS/PRODUITS DE LABORATOIRE",soctrans,"OUI"))</f>
        <v>NA</v>
      </c>
      <c r="G42" s="65" t="str">
        <f>IF(VLOOKUP($A42,SiteAttendu!$A$2:$P$366,7,0)="NA","NA",COUNTIFS(soccode,A42,socprog,"PNLS/CHARGES VIRALES",soctrans,"OUI"))</f>
        <v>NA</v>
      </c>
      <c r="H42" s="65" t="str">
        <f>IF(VLOOKUP($A42,SiteAttendu!$A$2:$P$366,9,0)="NA","NA",COUNTIFS(soccode,A42,socprog,"PNLP/MEDICAMENTS ET INTRANTS",soctrans,"OUI"))</f>
        <v>NA</v>
      </c>
      <c r="I42" s="66">
        <f>IF(VLOOKUP($A42,SiteAttendu!$A$2:$P$366,10,0)="NA","NA",COUNTIFS(soccode,$A42,socprog,"PNSME/MEDICAMENTS ET INTRANTS",soctrans,"OUI"))</f>
        <v>0</v>
      </c>
      <c r="J42" s="65" t="str">
        <f>IF(VLOOKUP($A42,SiteAttendu!$A$2:$P$366,11,0)="NA","NA",COUNTIFS(soccode,$A42,socprog,"PNN/MEDICAMENTS ET INTRANTS",soctrans,"OUI"))</f>
        <v>NA</v>
      </c>
      <c r="K42" s="65" t="str">
        <f>IF(VLOOKUP($A42,SiteAttendu!$A$2:$O$366,15,0)="NA","NA",IF(COUNTIF(socprog,"PNLT/SENSIBLE MEDICAMENTS ET INTRANTS")=0,"NA",COUNTIFS(soccode,$A42,socprog,"PNLT/SENSIBLE MEDICAMENTS ET INTRANTS",soctrans,"OUI")))</f>
        <v>NA</v>
      </c>
      <c r="L42" s="67"/>
      <c r="M42" s="67">
        <f t="shared" ref="M42:S42" si="44">IFERROR(SUMIFS(E$2:E$364,$C$2:$C$364,$C42)/COUNTIFS(E$2:E$364,"&lt;&gt;NA",$C$2:$C$364,$C42),"")</f>
        <v>1</v>
      </c>
      <c r="N42" s="67">
        <f t="shared" si="44"/>
        <v>0.8888888889</v>
      </c>
      <c r="O42" s="67">
        <f t="shared" si="44"/>
        <v>0.6666666667</v>
      </c>
      <c r="P42" s="67">
        <f t="shared" si="44"/>
        <v>0.9285714286</v>
      </c>
      <c r="Q42" s="67">
        <f t="shared" si="44"/>
        <v>0.6956521739</v>
      </c>
      <c r="R42" s="67">
        <f t="shared" si="44"/>
        <v>1</v>
      </c>
      <c r="S42" s="67">
        <f t="shared" si="44"/>
        <v>0.7692307692</v>
      </c>
      <c r="T42" s="68">
        <f t="shared" si="3"/>
        <v>0.9333333333</v>
      </c>
      <c r="U42" s="53">
        <f t="shared" si="4"/>
        <v>0</v>
      </c>
      <c r="V42" s="54">
        <f t="shared" si="5"/>
        <v>0</v>
      </c>
    </row>
    <row r="43" ht="15.75" customHeight="1">
      <c r="A43" s="46" t="str">
        <f>SiteAttendu!$A43</f>
        <v>C1014</v>
      </c>
      <c r="B43" s="47" t="str">
        <f>VLOOKUP($A43,SiteAttendu!$A$2:$C$366,2,0)</f>
        <v>CSU COM AGBAN VILLAGE</v>
      </c>
      <c r="C43" s="48" t="str">
        <f>VLOOKUP($A43,SiteAttendu!$A$2:$C$366,3,0)</f>
        <v>ABIDJAN 2</v>
      </c>
      <c r="D43" s="49" t="str">
        <f>IF(VLOOKUP($A43,SiteAttendu!$A$2:$P$366,4,0)="NA","NA",COUNTIFS(soccode,A43,socprog,"PNLS/ANTIRETROVIRAUX ET IO",soctrans,"OUI"))</f>
        <v>NA</v>
      </c>
      <c r="E43" s="49" t="str">
        <f>IF(VLOOKUP($A43,SiteAttendu!$A$2:$P$366,5,0)="NA","NA",COUNTIFS(soccode,A43,socprog,"PNLS/TESTS RAPIDES ET CONSOMMABLES",soctrans,"OUI"))</f>
        <v>NA</v>
      </c>
      <c r="F43" s="49" t="str">
        <f>IF(VLOOKUP($A43,SiteAttendu!$A$2:$P$366,6,0)="NA","NA",COUNTIFS(soccode,A43,socprog,"PNLS/PRODUITS DE LABORATOIRE",soctrans,"OUI"))</f>
        <v>NA</v>
      </c>
      <c r="G43" s="49" t="str">
        <f>IF(VLOOKUP($A43,SiteAttendu!$A$2:$P$366,7,0)="NA","NA",COUNTIFS(soccode,A43,socprog,"PNLS/CHARGES VIRALES",soctrans,"OUI"))</f>
        <v>NA</v>
      </c>
      <c r="H43" s="49">
        <f>IF(VLOOKUP($A43,SiteAttendu!$A$2:$P$366,9,0)="NA","NA",COUNTIFS(soccode,A43,socprog,"PNLP/MEDICAMENTS ET INTRANTS",soctrans,"OUI"))</f>
        <v>1</v>
      </c>
      <c r="I43" s="50">
        <f>IF(VLOOKUP($A43,SiteAttendu!$A$2:$P$366,10,0)="NA","NA",COUNTIFS(soccode,$A43,socprog,"PNSME/MEDICAMENTS ET INTRANTS",soctrans,"OUI"))</f>
        <v>1</v>
      </c>
      <c r="J43" s="49" t="str">
        <f>IF(VLOOKUP($A43,SiteAttendu!$A$2:$P$366,11,0)="NA","NA",COUNTIFS(soccode,$A43,socprog,"PNN/MEDICAMENTS ET INTRANTS",soctrans,"OUI"))</f>
        <v>NA</v>
      </c>
      <c r="K43" s="49" t="str">
        <f>IF(VLOOKUP($A43,SiteAttendu!$A$2:$O$366,15,0)="NA","NA",IF(COUNTIF(socprog,"PNLT/SENSIBLE MEDICAMENTS ET INTRANTS")=0,"NA",COUNTIFS(soccode,$A43,socprog,"PNLT/SENSIBLE MEDICAMENTS ET INTRANTS",soctrans,"OUI")))</f>
        <v>NA</v>
      </c>
      <c r="L43" s="51">
        <f t="shared" ref="L43:S43" si="45">IFERROR(SUMIFS(D$2:D$364,$C$2:$C$364,$C43)/COUNTIFS(D$2:D$364,"&lt;&gt;NA",$C$2:$C$364,$C43),"")</f>
        <v>0.8461538462</v>
      </c>
      <c r="M43" s="51">
        <f t="shared" si="45"/>
        <v>0.8888888889</v>
      </c>
      <c r="N43" s="51">
        <f t="shared" si="45"/>
        <v>0.8636363636</v>
      </c>
      <c r="O43" s="51">
        <f t="shared" si="45"/>
        <v>0.6923076923</v>
      </c>
      <c r="P43" s="51">
        <f t="shared" si="45"/>
        <v>0.7804878049</v>
      </c>
      <c r="Q43" s="51">
        <f t="shared" si="45"/>
        <v>0.8285714286</v>
      </c>
      <c r="R43" s="51">
        <f t="shared" si="45"/>
        <v>0.625</v>
      </c>
      <c r="S43" s="51">
        <f t="shared" si="45"/>
        <v>0.8947368421</v>
      </c>
      <c r="T43" s="52">
        <f t="shared" si="3"/>
        <v>0.8409090909</v>
      </c>
      <c r="U43" s="53">
        <f t="shared" si="4"/>
        <v>0</v>
      </c>
      <c r="V43" s="54">
        <f t="shared" si="5"/>
        <v>0</v>
      </c>
    </row>
    <row r="44" ht="15.75" customHeight="1">
      <c r="A44" s="55" t="str">
        <f>SiteAttendu!$A44</f>
        <v>C1034</v>
      </c>
      <c r="B44" s="56" t="str">
        <f>VLOOKUP($A44,SiteAttendu!$A$2:$C$366,2,0)</f>
        <v>CSU COM WILLIAMSVILLE</v>
      </c>
      <c r="C44" s="57" t="str">
        <f>VLOOKUP($A44,SiteAttendu!$A$2:$C$366,3,0)</f>
        <v>ABIDJAN 2</v>
      </c>
      <c r="D44" s="58" t="str">
        <f>IF(VLOOKUP($A44,SiteAttendu!$A$2:$P$366,4,0)="NA","NA",COUNTIFS(soccode,A44,socprog,"PNLS/ANTIRETROVIRAUX ET IO",soctrans,"OUI"))</f>
        <v>NA</v>
      </c>
      <c r="E44" s="58" t="str">
        <f>IF(VLOOKUP($A44,SiteAttendu!$A$2:$P$366,5,0)="NA","NA",COUNTIFS(soccode,A44,socprog,"PNLS/TESTS RAPIDES ET CONSOMMABLES",soctrans,"OUI"))</f>
        <v>NA</v>
      </c>
      <c r="F44" s="58" t="str">
        <f>IF(VLOOKUP($A44,SiteAttendu!$A$2:$P$366,6,0)="NA","NA",COUNTIFS(soccode,A44,socprog,"PNLS/PRODUITS DE LABORATOIRE",soctrans,"OUI"))</f>
        <v>NA</v>
      </c>
      <c r="G44" s="58" t="str">
        <f>IF(VLOOKUP($A44,SiteAttendu!$A$2:$P$366,7,0)="NA","NA",COUNTIFS(soccode,A44,socprog,"PNLS/CHARGES VIRALES",soctrans,"OUI"))</f>
        <v>NA</v>
      </c>
      <c r="H44" s="58">
        <f>IF(VLOOKUP($A44,SiteAttendu!$A$2:$P$366,9,0)="NA","NA",COUNTIFS(soccode,A44,socprog,"PNLP/MEDICAMENTS ET INTRANTS",soctrans,"OUI"))</f>
        <v>0</v>
      </c>
      <c r="I44" s="59">
        <f>IF(VLOOKUP($A44,SiteAttendu!$A$2:$P$366,10,0)="NA","NA",COUNTIFS(soccode,$A44,socprog,"PNSME/MEDICAMENTS ET INTRANTS",soctrans,"OUI"))</f>
        <v>0</v>
      </c>
      <c r="J44" s="58" t="str">
        <f>IF(VLOOKUP($A44,SiteAttendu!$A$2:$P$366,11,0)="NA","NA",COUNTIFS(soccode,$A44,socprog,"PNN/MEDICAMENTS ET INTRANTS",soctrans,"OUI"))</f>
        <v>NA</v>
      </c>
      <c r="K44" s="58" t="str">
        <f>IF(VLOOKUP($A44,SiteAttendu!$A$2:$O$366,15,0)="NA","NA",IF(COUNTIF(socprog,"PNLT/SENSIBLE MEDICAMENTS ET INTRANTS")=0,"NA",COUNTIFS(soccode,$A44,socprog,"PNLT/SENSIBLE MEDICAMENTS ET INTRANTS",soctrans,"OUI")))</f>
        <v>NA</v>
      </c>
      <c r="L44" s="60"/>
      <c r="M44" s="60">
        <f t="shared" ref="M44:S44" si="46">IFERROR(SUMIFS(E$2:E$364,$C$2:$C$364,$C44)/COUNTIFS(E$2:E$364,"&lt;&gt;NA",$C$2:$C$364,$C44),"")</f>
        <v>0.8888888889</v>
      </c>
      <c r="N44" s="60">
        <f t="shared" si="46"/>
        <v>0.8636363636</v>
      </c>
      <c r="O44" s="60">
        <f t="shared" si="46"/>
        <v>0.6923076923</v>
      </c>
      <c r="P44" s="60">
        <f t="shared" si="46"/>
        <v>0.7804878049</v>
      </c>
      <c r="Q44" s="60">
        <f t="shared" si="46"/>
        <v>0.8285714286</v>
      </c>
      <c r="R44" s="60">
        <f t="shared" si="46"/>
        <v>0.625</v>
      </c>
      <c r="S44" s="60">
        <f t="shared" si="46"/>
        <v>0.8947368421</v>
      </c>
      <c r="T44" s="61">
        <f t="shared" si="3"/>
        <v>0.8409090909</v>
      </c>
      <c r="U44" s="53">
        <f t="shared" si="4"/>
        <v>0</v>
      </c>
      <c r="V44" s="54">
        <f t="shared" si="5"/>
        <v>0</v>
      </c>
    </row>
    <row r="45" ht="15.75" customHeight="1">
      <c r="A45" s="55" t="str">
        <f>SiteAttendu!$A45</f>
        <v>C1051</v>
      </c>
      <c r="B45" s="56" t="str">
        <f>VLOOKUP($A45,SiteAttendu!$A$2:$C$366,2,0)</f>
        <v>FSU ABOBO DOUME</v>
      </c>
      <c r="C45" s="57" t="str">
        <f>VLOOKUP($A45,SiteAttendu!$A$2:$C$366,3,0)</f>
        <v>ABIDJAN 2</v>
      </c>
      <c r="D45" s="58" t="str">
        <f>IF(VLOOKUP($A45,SiteAttendu!$A$2:$P$366,4,0)="NA","NA",COUNTIFS(soccode,A45,socprog,"PNLS/ANTIRETROVIRAUX ET IO",soctrans,"OUI"))</f>
        <v>NA</v>
      </c>
      <c r="E45" s="58" t="str">
        <f>IF(VLOOKUP($A45,SiteAttendu!$A$2:$P$366,5,0)="NA","NA",COUNTIFS(soccode,A45,socprog,"PNLS/TESTS RAPIDES ET CONSOMMABLES",soctrans,"OUI"))</f>
        <v>NA</v>
      </c>
      <c r="F45" s="58" t="str">
        <f>IF(VLOOKUP($A45,SiteAttendu!$A$2:$P$366,6,0)="NA","NA",COUNTIFS(soccode,A45,socprog,"PNLS/PRODUITS DE LABORATOIRE",soctrans,"OUI"))</f>
        <v>NA</v>
      </c>
      <c r="G45" s="58" t="str">
        <f>IF(VLOOKUP($A45,SiteAttendu!$A$2:$P$366,7,0)="NA","NA",COUNTIFS(soccode,A45,socprog,"PNLS/CHARGES VIRALES",soctrans,"OUI"))</f>
        <v>NA</v>
      </c>
      <c r="H45" s="58">
        <f>IF(VLOOKUP($A45,SiteAttendu!$A$2:$P$366,9,0)="NA","NA",COUNTIFS(soccode,A45,socprog,"PNLP/MEDICAMENTS ET INTRANTS",soctrans,"OUI"))</f>
        <v>1</v>
      </c>
      <c r="I45" s="59">
        <f>IF(VLOOKUP($A45,SiteAttendu!$A$2:$P$366,10,0)="NA","NA",COUNTIFS(soccode,$A45,socprog,"PNSME/MEDICAMENTS ET INTRANTS",soctrans,"OUI"))</f>
        <v>1</v>
      </c>
      <c r="J45" s="58" t="str">
        <f>IF(VLOOKUP($A45,SiteAttendu!$A$2:$P$366,11,0)="NA","NA",COUNTIFS(soccode,$A45,socprog,"PNN/MEDICAMENTS ET INTRANTS",soctrans,"OUI"))</f>
        <v>NA</v>
      </c>
      <c r="K45" s="58">
        <f>IF(VLOOKUP($A45,SiteAttendu!$A$2:$O$366,15,0)="NA","NA",IF(COUNTIF(socprog,"PNLT/SENSIBLE MEDICAMENTS ET INTRANTS")=0,"NA",COUNTIFS(soccode,$A45,socprog,"PNLT/SENSIBLE MEDICAMENTS ET INTRANTS",soctrans,"OUI")))</f>
        <v>1</v>
      </c>
      <c r="L45" s="60"/>
      <c r="M45" s="60">
        <f t="shared" ref="M45:S45" si="47">IFERROR(SUMIFS(E$2:E$364,$C$2:$C$364,$C45)/COUNTIFS(E$2:E$364,"&lt;&gt;NA",$C$2:$C$364,$C45),"")</f>
        <v>0.8888888889</v>
      </c>
      <c r="N45" s="60">
        <f t="shared" si="47"/>
        <v>0.8636363636</v>
      </c>
      <c r="O45" s="60">
        <f t="shared" si="47"/>
        <v>0.6923076923</v>
      </c>
      <c r="P45" s="60">
        <f t="shared" si="47"/>
        <v>0.7804878049</v>
      </c>
      <c r="Q45" s="60">
        <f t="shared" si="47"/>
        <v>0.8285714286</v>
      </c>
      <c r="R45" s="60">
        <f t="shared" si="47"/>
        <v>0.625</v>
      </c>
      <c r="S45" s="60">
        <f t="shared" si="47"/>
        <v>0.8947368421</v>
      </c>
      <c r="T45" s="61">
        <f t="shared" si="3"/>
        <v>0.8409090909</v>
      </c>
      <c r="U45" s="53">
        <f t="shared" si="4"/>
        <v>0</v>
      </c>
      <c r="V45" s="54">
        <f t="shared" si="5"/>
        <v>0</v>
      </c>
    </row>
    <row r="46" ht="15.75" customHeight="1">
      <c r="A46" s="55" t="str">
        <f>SiteAttendu!$A46</f>
        <v>C1052</v>
      </c>
      <c r="B46" s="56" t="str">
        <f>VLOOKUP($A46,SiteAttendu!$A$2:$C$366,2,0)</f>
        <v>FSU ADJAME 220 LOGEMENTS</v>
      </c>
      <c r="C46" s="57" t="str">
        <f>VLOOKUP($A46,SiteAttendu!$A$2:$C$366,3,0)</f>
        <v>ABIDJAN 2</v>
      </c>
      <c r="D46" s="58" t="str">
        <f>IF(VLOOKUP($A46,SiteAttendu!$A$2:$P$366,4,0)="NA","NA",COUNTIFS(soccode,A46,socprog,"PNLS/ANTIRETROVIRAUX ET IO",soctrans,"OUI"))</f>
        <v>NA</v>
      </c>
      <c r="E46" s="58" t="str">
        <f>IF(VLOOKUP($A46,SiteAttendu!$A$2:$P$366,5,0)="NA","NA",COUNTIFS(soccode,A46,socprog,"PNLS/TESTS RAPIDES ET CONSOMMABLES",soctrans,"OUI"))</f>
        <v>NA</v>
      </c>
      <c r="F46" s="58" t="str">
        <f>IF(VLOOKUP($A46,SiteAttendu!$A$2:$P$366,6,0)="NA","NA",COUNTIFS(soccode,A46,socprog,"PNLS/PRODUITS DE LABORATOIRE",soctrans,"OUI"))</f>
        <v>NA</v>
      </c>
      <c r="G46" s="58" t="str">
        <f>IF(VLOOKUP($A46,SiteAttendu!$A$2:$P$366,7,0)="NA","NA",COUNTIFS(soccode,A46,socprog,"PNLS/CHARGES VIRALES",soctrans,"OUI"))</f>
        <v>NA</v>
      </c>
      <c r="H46" s="58">
        <f>IF(VLOOKUP($A46,SiteAttendu!$A$2:$P$366,9,0)="NA","NA",COUNTIFS(soccode,A46,socprog,"PNLP/MEDICAMENTS ET INTRANTS",soctrans,"OUI"))</f>
        <v>1</v>
      </c>
      <c r="I46" s="59" t="str">
        <f>IF(VLOOKUP($A46,SiteAttendu!$A$2:$P$366,10,0)="NA","NA",COUNTIFS(soccode,$A46,socprog,"PNSME/MEDICAMENTS ET INTRANTS",soctrans,"OUI"))</f>
        <v>NA</v>
      </c>
      <c r="J46" s="58" t="str">
        <f>IF(VLOOKUP($A46,SiteAttendu!$A$2:$P$366,11,0)="NA","NA",COUNTIFS(soccode,$A46,socprog,"PNN/MEDICAMENTS ET INTRANTS",soctrans,"OUI"))</f>
        <v>NA</v>
      </c>
      <c r="K46" s="58" t="str">
        <f>IF(VLOOKUP($A46,SiteAttendu!$A$2:$O$366,15,0)="NA","NA",IF(COUNTIF(socprog,"PNLT/SENSIBLE MEDICAMENTS ET INTRANTS")=0,"NA",COUNTIFS(soccode,$A46,socprog,"PNLT/SENSIBLE MEDICAMENTS ET INTRANTS",soctrans,"OUI")))</f>
        <v>NA</v>
      </c>
      <c r="L46" s="60"/>
      <c r="M46" s="60">
        <f t="shared" ref="M46:S46" si="48">IFERROR(SUMIFS(E$2:E$364,$C$2:$C$364,$C46)/COUNTIFS(E$2:E$364,"&lt;&gt;NA",$C$2:$C$364,$C46),"")</f>
        <v>0.8888888889</v>
      </c>
      <c r="N46" s="60">
        <f t="shared" si="48"/>
        <v>0.8636363636</v>
      </c>
      <c r="O46" s="60">
        <f t="shared" si="48"/>
        <v>0.6923076923</v>
      </c>
      <c r="P46" s="60">
        <f t="shared" si="48"/>
        <v>0.7804878049</v>
      </c>
      <c r="Q46" s="60">
        <f t="shared" si="48"/>
        <v>0.8285714286</v>
      </c>
      <c r="R46" s="60">
        <f t="shared" si="48"/>
        <v>0.625</v>
      </c>
      <c r="S46" s="60">
        <f t="shared" si="48"/>
        <v>0.8947368421</v>
      </c>
      <c r="T46" s="61">
        <f t="shared" si="3"/>
        <v>0.8409090909</v>
      </c>
      <c r="U46" s="53">
        <f t="shared" si="4"/>
        <v>0</v>
      </c>
      <c r="V46" s="54">
        <f t="shared" si="5"/>
        <v>0</v>
      </c>
    </row>
    <row r="47" ht="15.75" customHeight="1">
      <c r="A47" s="55" t="str">
        <f>SiteAttendu!$A47</f>
        <v>C1054</v>
      </c>
      <c r="B47" s="56" t="str">
        <f>VLOOKUP($A47,SiteAttendu!$A$2:$C$366,2,0)</f>
        <v>FSU ATTECOUBE CENTRE</v>
      </c>
      <c r="C47" s="57" t="str">
        <f>VLOOKUP($A47,SiteAttendu!$A$2:$C$366,3,0)</f>
        <v>ABIDJAN 2</v>
      </c>
      <c r="D47" s="58" t="str">
        <f>IF(VLOOKUP($A47,SiteAttendu!$A$2:$P$366,4,0)="NA","NA",COUNTIFS(soccode,A47,socprog,"PNLS/ANTIRETROVIRAUX ET IO",soctrans,"OUI"))</f>
        <v>NA</v>
      </c>
      <c r="E47" s="58" t="str">
        <f>IF(VLOOKUP($A47,SiteAttendu!$A$2:$P$366,5,0)="NA","NA",COUNTIFS(soccode,A47,socprog,"PNLS/TESTS RAPIDES ET CONSOMMABLES",soctrans,"OUI"))</f>
        <v>NA</v>
      </c>
      <c r="F47" s="58" t="str">
        <f>IF(VLOOKUP($A47,SiteAttendu!$A$2:$P$366,6,0)="NA","NA",COUNTIFS(soccode,A47,socprog,"PNLS/PRODUITS DE LABORATOIRE",soctrans,"OUI"))</f>
        <v>NA</v>
      </c>
      <c r="G47" s="58" t="str">
        <f>IF(VLOOKUP($A47,SiteAttendu!$A$2:$P$366,7,0)="NA","NA",COUNTIFS(soccode,A47,socprog,"PNLS/CHARGES VIRALES",soctrans,"OUI"))</f>
        <v>NA</v>
      </c>
      <c r="H47" s="58">
        <f>IF(VLOOKUP($A47,SiteAttendu!$A$2:$P$366,9,0)="NA","NA",COUNTIFS(soccode,A47,socprog,"PNLP/MEDICAMENTS ET INTRANTS",soctrans,"OUI"))</f>
        <v>1</v>
      </c>
      <c r="I47" s="59">
        <f>IF(VLOOKUP($A47,SiteAttendu!$A$2:$P$366,10,0)="NA","NA",COUNTIFS(soccode,$A47,socprog,"PNSME/MEDICAMENTS ET INTRANTS",soctrans,"OUI"))</f>
        <v>1</v>
      </c>
      <c r="J47" s="58" t="str">
        <f>IF(VLOOKUP($A47,SiteAttendu!$A$2:$P$366,11,0)="NA","NA",COUNTIFS(soccode,$A47,socprog,"PNN/MEDICAMENTS ET INTRANTS",soctrans,"OUI"))</f>
        <v>NA</v>
      </c>
      <c r="K47" s="58">
        <f>IF(VLOOKUP($A47,SiteAttendu!$A$2:$O$366,15,0)="NA","NA",IF(COUNTIF(socprog,"PNLT/SENSIBLE MEDICAMENTS ET INTRANTS")=0,"NA",COUNTIFS(soccode,$A47,socprog,"PNLT/SENSIBLE MEDICAMENTS ET INTRANTS",soctrans,"OUI")))</f>
        <v>1</v>
      </c>
      <c r="L47" s="60"/>
      <c r="M47" s="60">
        <f t="shared" ref="M47:S47" si="49">IFERROR(SUMIFS(E$2:E$364,$C$2:$C$364,$C47)/COUNTIFS(E$2:E$364,"&lt;&gt;NA",$C$2:$C$364,$C47),"")</f>
        <v>0.8888888889</v>
      </c>
      <c r="N47" s="60">
        <f t="shared" si="49"/>
        <v>0.8636363636</v>
      </c>
      <c r="O47" s="60">
        <f t="shared" si="49"/>
        <v>0.6923076923</v>
      </c>
      <c r="P47" s="60">
        <f t="shared" si="49"/>
        <v>0.7804878049</v>
      </c>
      <c r="Q47" s="60">
        <f t="shared" si="49"/>
        <v>0.8285714286</v>
      </c>
      <c r="R47" s="60">
        <f t="shared" si="49"/>
        <v>0.625</v>
      </c>
      <c r="S47" s="60">
        <f t="shared" si="49"/>
        <v>0.8947368421</v>
      </c>
      <c r="T47" s="61">
        <f t="shared" si="3"/>
        <v>0.8409090909</v>
      </c>
      <c r="U47" s="53">
        <f t="shared" si="4"/>
        <v>0</v>
      </c>
      <c r="V47" s="54">
        <f t="shared" si="5"/>
        <v>0</v>
      </c>
    </row>
    <row r="48" ht="15.75" customHeight="1">
      <c r="A48" s="55" t="str">
        <f>SiteAttendu!$A48</f>
        <v>C1059</v>
      </c>
      <c r="B48" s="56" t="str">
        <f>VLOOKUP($A48,SiteAttendu!$A$2:$C$366,2,0)</f>
        <v>FSU LOCODJORO</v>
      </c>
      <c r="C48" s="57" t="str">
        <f>VLOOKUP($A48,SiteAttendu!$A$2:$C$366,3,0)</f>
        <v>ABIDJAN 2</v>
      </c>
      <c r="D48" s="58" t="str">
        <f>IF(VLOOKUP($A48,SiteAttendu!$A$2:$P$366,4,0)="NA","NA",COUNTIFS(soccode,A48,socprog,"PNLS/ANTIRETROVIRAUX ET IO",soctrans,"OUI"))</f>
        <v>NA</v>
      </c>
      <c r="E48" s="58" t="str">
        <f>IF(VLOOKUP($A48,SiteAttendu!$A$2:$P$366,5,0)="NA","NA",COUNTIFS(soccode,A48,socprog,"PNLS/TESTS RAPIDES ET CONSOMMABLES",soctrans,"OUI"))</f>
        <v>NA</v>
      </c>
      <c r="F48" s="58" t="str">
        <f>IF(VLOOKUP($A48,SiteAttendu!$A$2:$P$366,6,0)="NA","NA",COUNTIFS(soccode,A48,socprog,"PNLS/PRODUITS DE LABORATOIRE",soctrans,"OUI"))</f>
        <v>NA</v>
      </c>
      <c r="G48" s="58" t="str">
        <f>IF(VLOOKUP($A48,SiteAttendu!$A$2:$P$366,7,0)="NA","NA",COUNTIFS(soccode,A48,socprog,"PNLS/CHARGES VIRALES",soctrans,"OUI"))</f>
        <v>NA</v>
      </c>
      <c r="H48" s="58">
        <f>IF(VLOOKUP($A48,SiteAttendu!$A$2:$P$366,9,0)="NA","NA",COUNTIFS(soccode,A48,socprog,"PNLP/MEDICAMENTS ET INTRANTS",soctrans,"OUI"))</f>
        <v>1</v>
      </c>
      <c r="I48" s="59">
        <f>IF(VLOOKUP($A48,SiteAttendu!$A$2:$P$366,10,0)="NA","NA",COUNTIFS(soccode,$A48,socprog,"PNSME/MEDICAMENTS ET INTRANTS",soctrans,"OUI"))</f>
        <v>1</v>
      </c>
      <c r="J48" s="58" t="str">
        <f>IF(VLOOKUP($A48,SiteAttendu!$A$2:$P$366,11,0)="NA","NA",COUNTIFS(soccode,$A48,socprog,"PNN/MEDICAMENTS ET INTRANTS",soctrans,"OUI"))</f>
        <v>NA</v>
      </c>
      <c r="K48" s="58" t="str">
        <f>IF(VLOOKUP($A48,SiteAttendu!$A$2:$O$366,15,0)="NA","NA",IF(COUNTIF(socprog,"PNLT/SENSIBLE MEDICAMENTS ET INTRANTS")=0,"NA",COUNTIFS(soccode,$A48,socprog,"PNLT/SENSIBLE MEDICAMENTS ET INTRANTS",soctrans,"OUI")))</f>
        <v>NA</v>
      </c>
      <c r="L48" s="60"/>
      <c r="M48" s="60">
        <f t="shared" ref="M48:S48" si="50">IFERROR(SUMIFS(E$2:E$364,$C$2:$C$364,$C48)/COUNTIFS(E$2:E$364,"&lt;&gt;NA",$C$2:$C$364,$C48),"")</f>
        <v>0.8888888889</v>
      </c>
      <c r="N48" s="60">
        <f t="shared" si="50"/>
        <v>0.8636363636</v>
      </c>
      <c r="O48" s="60">
        <f t="shared" si="50"/>
        <v>0.6923076923</v>
      </c>
      <c r="P48" s="60">
        <f t="shared" si="50"/>
        <v>0.7804878049</v>
      </c>
      <c r="Q48" s="60">
        <f t="shared" si="50"/>
        <v>0.8285714286</v>
      </c>
      <c r="R48" s="60">
        <f t="shared" si="50"/>
        <v>0.625</v>
      </c>
      <c r="S48" s="60">
        <f t="shared" si="50"/>
        <v>0.8947368421</v>
      </c>
      <c r="T48" s="61">
        <f t="shared" si="3"/>
        <v>0.8409090909</v>
      </c>
      <c r="U48" s="53">
        <f t="shared" si="4"/>
        <v>0</v>
      </c>
      <c r="V48" s="54">
        <f t="shared" si="5"/>
        <v>0</v>
      </c>
    </row>
    <row r="49" ht="15.75" customHeight="1">
      <c r="A49" s="55" t="str">
        <f>SiteAttendu!$A49</f>
        <v>C1062</v>
      </c>
      <c r="B49" s="56" t="str">
        <f>VLOOKUP($A49,SiteAttendu!$A$2:$C$366,2,0)</f>
        <v>FSU WILLIAMSVILLE</v>
      </c>
      <c r="C49" s="57" t="str">
        <f>VLOOKUP($A49,SiteAttendu!$A$2:$C$366,3,0)</f>
        <v>ABIDJAN 2</v>
      </c>
      <c r="D49" s="58" t="str">
        <f>IF(VLOOKUP($A49,SiteAttendu!$A$2:$P$366,4,0)="NA","NA",COUNTIFS(soccode,A49,socprog,"PNLS/ANTIRETROVIRAUX ET IO",soctrans,"OUI"))</f>
        <v>NA</v>
      </c>
      <c r="E49" s="58" t="str">
        <f>IF(VLOOKUP($A49,SiteAttendu!$A$2:$P$366,5,0)="NA","NA",COUNTIFS(soccode,A49,socprog,"PNLS/TESTS RAPIDES ET CONSOMMABLES",soctrans,"OUI"))</f>
        <v>NA</v>
      </c>
      <c r="F49" s="58" t="str">
        <f>IF(VLOOKUP($A49,SiteAttendu!$A$2:$P$366,6,0)="NA","NA",COUNTIFS(soccode,A49,socprog,"PNLS/PRODUITS DE LABORATOIRE",soctrans,"OUI"))</f>
        <v>NA</v>
      </c>
      <c r="G49" s="58" t="str">
        <f>IF(VLOOKUP($A49,SiteAttendu!$A$2:$P$366,7,0)="NA","NA",COUNTIFS(soccode,A49,socprog,"PNLS/CHARGES VIRALES",soctrans,"OUI"))</f>
        <v>NA</v>
      </c>
      <c r="H49" s="58">
        <f>IF(VLOOKUP($A49,SiteAttendu!$A$2:$P$366,9,0)="NA","NA",COUNTIFS(soccode,A49,socprog,"PNLP/MEDICAMENTS ET INTRANTS",soctrans,"OUI"))</f>
        <v>1</v>
      </c>
      <c r="I49" s="59">
        <f>IF(VLOOKUP($A49,SiteAttendu!$A$2:$P$366,10,0)="NA","NA",COUNTIFS(soccode,$A49,socprog,"PNSME/MEDICAMENTS ET INTRANTS",soctrans,"OUI"))</f>
        <v>1</v>
      </c>
      <c r="J49" s="58" t="str">
        <f>IF(VLOOKUP($A49,SiteAttendu!$A$2:$P$366,11,0)="NA","NA",COUNTIFS(soccode,$A49,socprog,"PNN/MEDICAMENTS ET INTRANTS",soctrans,"OUI"))</f>
        <v>NA</v>
      </c>
      <c r="K49" s="58">
        <f>IF(VLOOKUP($A49,SiteAttendu!$A$2:$O$366,15,0)="NA","NA",IF(COUNTIF(socprog,"PNLT/SENSIBLE MEDICAMENTS ET INTRANTS")=0,"NA",COUNTIFS(soccode,$A49,socprog,"PNLT/SENSIBLE MEDICAMENTS ET INTRANTS",soctrans,"OUI")))</f>
        <v>1</v>
      </c>
      <c r="L49" s="60"/>
      <c r="M49" s="60">
        <f t="shared" ref="M49:S49" si="51">IFERROR(SUMIFS(E$2:E$364,$C$2:$C$364,$C49)/COUNTIFS(E$2:E$364,"&lt;&gt;NA",$C$2:$C$364,$C49),"")</f>
        <v>0.8888888889</v>
      </c>
      <c r="N49" s="60">
        <f t="shared" si="51"/>
        <v>0.8636363636</v>
      </c>
      <c r="O49" s="60">
        <f t="shared" si="51"/>
        <v>0.6923076923</v>
      </c>
      <c r="P49" s="60">
        <f t="shared" si="51"/>
        <v>0.7804878049</v>
      </c>
      <c r="Q49" s="60">
        <f t="shared" si="51"/>
        <v>0.8285714286</v>
      </c>
      <c r="R49" s="60">
        <f t="shared" si="51"/>
        <v>0.625</v>
      </c>
      <c r="S49" s="60">
        <f t="shared" si="51"/>
        <v>0.8947368421</v>
      </c>
      <c r="T49" s="61">
        <f t="shared" si="3"/>
        <v>0.8409090909</v>
      </c>
      <c r="U49" s="53">
        <f t="shared" si="4"/>
        <v>0</v>
      </c>
      <c r="V49" s="54">
        <f t="shared" si="5"/>
        <v>0</v>
      </c>
    </row>
    <row r="50" ht="15.75" customHeight="1">
      <c r="A50" s="55" t="str">
        <f>SiteAttendu!$A50</f>
        <v>C1106</v>
      </c>
      <c r="B50" s="56" t="str">
        <f>VLOOKUP($A50,SiteAttendu!$A$2:$C$366,2,0)</f>
        <v>INSTITUT NATIONAL DE LA SANTE PUBLIQUE</v>
      </c>
      <c r="C50" s="57" t="str">
        <f>VLOOKUP($A50,SiteAttendu!$A$2:$C$366,3,0)</f>
        <v>ABIDJAN 2</v>
      </c>
      <c r="D50" s="58">
        <f>IF(VLOOKUP($A50,SiteAttendu!$A$2:$P$366,4,0)="NA","NA",COUNTIFS(soccode,A50,socprog,"PNLS/ANTIRETROVIRAUX ET IO",soctrans,"OUI"))</f>
        <v>1</v>
      </c>
      <c r="E50" s="58" t="str">
        <f>IF(VLOOKUP($A50,SiteAttendu!$A$2:$P$366,5,0)="NA","NA",COUNTIFS(soccode,A50,socprog,"PNLS/TESTS RAPIDES ET CONSOMMABLES",soctrans,"OUI"))</f>
        <v>NA</v>
      </c>
      <c r="F50" s="58" t="str">
        <f>IF(VLOOKUP($A50,SiteAttendu!$A$2:$P$366,6,0)="NA","NA",COUNTIFS(soccode,A50,socprog,"PNLS/PRODUITS DE LABORATOIRE",soctrans,"OUI"))</f>
        <v>NA</v>
      </c>
      <c r="G50" s="58">
        <f>IF(VLOOKUP($A50,SiteAttendu!$A$2:$P$366,7,0)="NA","NA",COUNTIFS(soccode,A50,socprog,"PNLS/CHARGES VIRALES",soctrans,"OUI"))</f>
        <v>1</v>
      </c>
      <c r="H50" s="58">
        <f>IF(VLOOKUP($A50,SiteAttendu!$A$2:$P$366,9,0)="NA","NA",COUNTIFS(soccode,A50,socprog,"PNLP/MEDICAMENTS ET INTRANTS",soctrans,"OUI"))</f>
        <v>1</v>
      </c>
      <c r="I50" s="59">
        <f>IF(VLOOKUP($A50,SiteAttendu!$A$2:$P$366,10,0)="NA","NA",COUNTIFS(soccode,$A50,socprog,"PNSME/MEDICAMENTS ET INTRANTS",soctrans,"OUI"))</f>
        <v>1</v>
      </c>
      <c r="J50" s="58" t="str">
        <f>IF(VLOOKUP($A50,SiteAttendu!$A$2:$P$366,11,0)="NA","NA",COUNTIFS(soccode,$A50,socprog,"PNN/MEDICAMENTS ET INTRANTS",soctrans,"OUI"))</f>
        <v>NA</v>
      </c>
      <c r="K50" s="58" t="str">
        <f>IF(VLOOKUP($A50,SiteAttendu!$A$2:$O$366,15,0)="NA","NA",IF(COUNTIF(socprog,"PNLT/SENSIBLE MEDICAMENTS ET INTRANTS")=0,"NA",COUNTIFS(soccode,$A50,socprog,"PNLT/SENSIBLE MEDICAMENTS ET INTRANTS",soctrans,"OUI")))</f>
        <v>NA</v>
      </c>
      <c r="L50" s="60"/>
      <c r="M50" s="60">
        <f t="shared" ref="M50:S50" si="52">IFERROR(SUMIFS(E$2:E$364,$C$2:$C$364,$C50)/COUNTIFS(E$2:E$364,"&lt;&gt;NA",$C$2:$C$364,$C50),"")</f>
        <v>0.8888888889</v>
      </c>
      <c r="N50" s="60">
        <f t="shared" si="52"/>
        <v>0.8636363636</v>
      </c>
      <c r="O50" s="60">
        <f t="shared" si="52"/>
        <v>0.6923076923</v>
      </c>
      <c r="P50" s="60">
        <f t="shared" si="52"/>
        <v>0.7804878049</v>
      </c>
      <c r="Q50" s="60">
        <f t="shared" si="52"/>
        <v>0.8285714286</v>
      </c>
      <c r="R50" s="60">
        <f t="shared" si="52"/>
        <v>0.625</v>
      </c>
      <c r="S50" s="60">
        <f t="shared" si="52"/>
        <v>0.8947368421</v>
      </c>
      <c r="T50" s="61">
        <f t="shared" si="3"/>
        <v>0.8409090909</v>
      </c>
      <c r="U50" s="53">
        <f t="shared" si="4"/>
        <v>2</v>
      </c>
      <c r="V50" s="54">
        <f t="shared" si="5"/>
        <v>2</v>
      </c>
    </row>
    <row r="51" ht="15.75" customHeight="1">
      <c r="A51" s="55" t="str">
        <f>SiteAttendu!$A51</f>
        <v>C1413</v>
      </c>
      <c r="B51" s="56" t="str">
        <f>VLOOKUP($A51,SiteAttendu!$A$2:$C$366,2,0)</f>
        <v>FSU EDMOND BASQUE ( PLATEAU)</v>
      </c>
      <c r="C51" s="57" t="str">
        <f>VLOOKUP($A51,SiteAttendu!$A$2:$C$366,3,0)</f>
        <v>ABIDJAN 2</v>
      </c>
      <c r="D51" s="58" t="str">
        <f>IF(VLOOKUP($A51,SiteAttendu!$A$2:$P$366,4,0)="NA","NA",COUNTIFS(soccode,A51,socprog,"PNLS/ANTIRETROVIRAUX ET IO",soctrans,"OUI"))</f>
        <v>NA</v>
      </c>
      <c r="E51" s="58" t="str">
        <f>IF(VLOOKUP($A51,SiteAttendu!$A$2:$P$366,5,0)="NA","NA",COUNTIFS(soccode,A51,socprog,"PNLS/TESTS RAPIDES ET CONSOMMABLES",soctrans,"OUI"))</f>
        <v>NA</v>
      </c>
      <c r="F51" s="58" t="str">
        <f>IF(VLOOKUP($A51,SiteAttendu!$A$2:$P$366,6,0)="NA","NA",COUNTIFS(soccode,A51,socprog,"PNLS/PRODUITS DE LABORATOIRE",soctrans,"OUI"))</f>
        <v>NA</v>
      </c>
      <c r="G51" s="58" t="str">
        <f>IF(VLOOKUP($A51,SiteAttendu!$A$2:$P$366,7,0)="NA","NA",COUNTIFS(soccode,A51,socprog,"PNLS/CHARGES VIRALES",soctrans,"OUI"))</f>
        <v>NA</v>
      </c>
      <c r="H51" s="58">
        <f>IF(VLOOKUP($A51,SiteAttendu!$A$2:$P$366,9,0)="NA","NA",COUNTIFS(soccode,A51,socprog,"PNLP/MEDICAMENTS ET INTRANTS",soctrans,"OUI"))</f>
        <v>1</v>
      </c>
      <c r="I51" s="59">
        <f>IF(VLOOKUP($A51,SiteAttendu!$A$2:$P$366,10,0)="NA","NA",COUNTIFS(soccode,$A51,socprog,"PNSME/MEDICAMENTS ET INTRANTS",soctrans,"OUI"))</f>
        <v>1</v>
      </c>
      <c r="J51" s="58" t="str">
        <f>IF(VLOOKUP($A51,SiteAttendu!$A$2:$P$366,11,0)="NA","NA",COUNTIFS(soccode,$A51,socprog,"PNN/MEDICAMENTS ET INTRANTS",soctrans,"OUI"))</f>
        <v>NA</v>
      </c>
      <c r="K51" s="58" t="str">
        <f>IF(VLOOKUP($A51,SiteAttendu!$A$2:$O$366,15,0)="NA","NA",IF(COUNTIF(socprog,"PNLT/SENSIBLE MEDICAMENTS ET INTRANTS")=0,"NA",COUNTIFS(soccode,$A51,socprog,"PNLT/SENSIBLE MEDICAMENTS ET INTRANTS",soctrans,"OUI")))</f>
        <v>NA</v>
      </c>
      <c r="L51" s="60"/>
      <c r="M51" s="60">
        <f t="shared" ref="M51:S51" si="53">IFERROR(SUMIFS(E$2:E$364,$C$2:$C$364,$C51)/COUNTIFS(E$2:E$364,"&lt;&gt;NA",$C$2:$C$364,$C51),"")</f>
        <v>0.8888888889</v>
      </c>
      <c r="N51" s="60">
        <f t="shared" si="53"/>
        <v>0.8636363636</v>
      </c>
      <c r="O51" s="60">
        <f t="shared" si="53"/>
        <v>0.6923076923</v>
      </c>
      <c r="P51" s="60">
        <f t="shared" si="53"/>
        <v>0.7804878049</v>
      </c>
      <c r="Q51" s="60">
        <f t="shared" si="53"/>
        <v>0.8285714286</v>
      </c>
      <c r="R51" s="60">
        <f t="shared" si="53"/>
        <v>0.625</v>
      </c>
      <c r="S51" s="60">
        <f t="shared" si="53"/>
        <v>0.8947368421</v>
      </c>
      <c r="T51" s="61">
        <f t="shared" si="3"/>
        <v>0.8409090909</v>
      </c>
      <c r="U51" s="53">
        <f t="shared" si="4"/>
        <v>0</v>
      </c>
      <c r="V51" s="54">
        <f t="shared" si="5"/>
        <v>0</v>
      </c>
    </row>
    <row r="52" ht="15.75" customHeight="1">
      <c r="A52" s="55" t="str">
        <f>SiteAttendu!$A52</f>
        <v>C1414</v>
      </c>
      <c r="B52" s="56" t="str">
        <f>VLOOKUP($A52,SiteAttendu!$A$2:$C$366,2,0)</f>
        <v>DISTRICT SANITAIRE ADJAME PLATEAU ATTECOUBE</v>
      </c>
      <c r="C52" s="57" t="str">
        <f>VLOOKUP($A52,SiteAttendu!$A$2:$C$366,3,0)</f>
        <v>ABIDJAN 2</v>
      </c>
      <c r="D52" s="58">
        <f>IF(VLOOKUP($A52,SiteAttendu!$A$2:$P$366,4,0)="NA","NA",COUNTIFS(soccode,A52,socprog,"PNLS/ANTIRETROVIRAUX ET IO",soctrans,"OUI"))</f>
        <v>1</v>
      </c>
      <c r="E52" s="58">
        <f>IF(VLOOKUP($A52,SiteAttendu!$A$2:$P$366,5,0)="NA","NA",COUNTIFS(soccode,A52,socprog,"PNLS/TESTS RAPIDES ET CONSOMMABLES",soctrans,"OUI"))</f>
        <v>1</v>
      </c>
      <c r="F52" s="58">
        <f>IF(VLOOKUP($A52,SiteAttendu!$A$2:$P$366,6,0)="NA","NA",COUNTIFS(soccode,A52,socprog,"PNLS/PRODUITS DE LABORATOIRE",soctrans,"OUI"))</f>
        <v>1</v>
      </c>
      <c r="G52" s="58" t="str">
        <f>IF(VLOOKUP($A52,SiteAttendu!$A$2:$P$366,7,0)="NA","NA",COUNTIFS(soccode,A52,socprog,"PNLS/CHARGES VIRALES",soctrans,"OUI"))</f>
        <v>NA</v>
      </c>
      <c r="H52" s="58">
        <f>IF(VLOOKUP($A52,SiteAttendu!$A$2:$P$366,9,0)="NA","NA",COUNTIFS(soccode,A52,socprog,"PNLP/MEDICAMENTS ET INTRANTS",soctrans,"OUI"))</f>
        <v>1</v>
      </c>
      <c r="I52" s="59">
        <f>IF(VLOOKUP($A52,SiteAttendu!$A$2:$P$366,10,0)="NA","NA",COUNTIFS(soccode,$A52,socprog,"PNSME/MEDICAMENTS ET INTRANTS",soctrans,"OUI"))</f>
        <v>1</v>
      </c>
      <c r="J52" s="58">
        <f>IF(VLOOKUP($A52,SiteAttendu!$A$2:$P$366,11,0)="NA","NA",COUNTIFS(soccode,$A52,socprog,"PNN/MEDICAMENTS ET INTRANTS",soctrans,"OUI"))</f>
        <v>1</v>
      </c>
      <c r="K52" s="58" t="str">
        <f>IF(VLOOKUP($A52,SiteAttendu!$A$2:$O$366,15,0)="NA","NA",IF(COUNTIF(socprog,"PNLT/SENSIBLE MEDICAMENTS ET INTRANTS")=0,"NA",COUNTIFS(soccode,$A52,socprog,"PNLT/SENSIBLE MEDICAMENTS ET INTRANTS",soctrans,"OUI")))</f>
        <v>NA</v>
      </c>
      <c r="L52" s="60"/>
      <c r="M52" s="60">
        <f t="shared" ref="M52:S52" si="54">IFERROR(SUMIFS(E$2:E$364,$C$2:$C$364,$C52)/COUNTIFS(E$2:E$364,"&lt;&gt;NA",$C$2:$C$364,$C52),"")</f>
        <v>0.8888888889</v>
      </c>
      <c r="N52" s="60">
        <f t="shared" si="54"/>
        <v>0.8636363636</v>
      </c>
      <c r="O52" s="60">
        <f t="shared" si="54"/>
        <v>0.6923076923</v>
      </c>
      <c r="P52" s="60">
        <f t="shared" si="54"/>
        <v>0.7804878049</v>
      </c>
      <c r="Q52" s="60">
        <f t="shared" si="54"/>
        <v>0.8285714286</v>
      </c>
      <c r="R52" s="60">
        <f t="shared" si="54"/>
        <v>0.625</v>
      </c>
      <c r="S52" s="60">
        <f t="shared" si="54"/>
        <v>0.8947368421</v>
      </c>
      <c r="T52" s="61">
        <f t="shared" si="3"/>
        <v>0.8409090909</v>
      </c>
      <c r="U52" s="53">
        <f t="shared" si="4"/>
        <v>3</v>
      </c>
      <c r="V52" s="54">
        <f t="shared" si="5"/>
        <v>3</v>
      </c>
    </row>
    <row r="53" ht="15.75" customHeight="1">
      <c r="A53" s="55" t="str">
        <f>SiteAttendu!$A53</f>
        <v>C1681</v>
      </c>
      <c r="B53" s="56" t="str">
        <f>VLOOKUP($A53,SiteAttendu!$A$2:$C$366,2,0)</f>
        <v>HOPITAL GENERAL ADJAME</v>
      </c>
      <c r="C53" s="57" t="str">
        <f>VLOOKUP($A53,SiteAttendu!$A$2:$C$366,3,0)</f>
        <v>ABIDJAN 2</v>
      </c>
      <c r="D53" s="58">
        <f>IF(VLOOKUP($A53,SiteAttendu!$A$2:$P$366,4,0)="NA","NA",COUNTIFS(soccode,A53,socprog,"PNLS/ANTIRETROVIRAUX ET IO",soctrans,"OUI"))</f>
        <v>0</v>
      </c>
      <c r="E53" s="58">
        <f>IF(VLOOKUP($A53,SiteAttendu!$A$2:$P$366,5,0)="NA","NA",COUNTIFS(soccode,A53,socprog,"PNLS/TESTS RAPIDES ET CONSOMMABLES",soctrans,"OUI"))</f>
        <v>0</v>
      </c>
      <c r="F53" s="58" t="str">
        <f>IF(VLOOKUP($A53,SiteAttendu!$A$2:$P$366,6,0)="NA","NA",COUNTIFS(soccode,A53,socprog,"PNLS/PRODUITS DE LABORATOIRE",soctrans,"OUI"))</f>
        <v>NA</v>
      </c>
      <c r="G53" s="58" t="str">
        <f>IF(VLOOKUP($A53,SiteAttendu!$A$2:$P$366,7,0)="NA","NA",COUNTIFS(soccode,A53,socprog,"PNLS/CHARGES VIRALES",soctrans,"OUI"))</f>
        <v>NA</v>
      </c>
      <c r="H53" s="58">
        <f>IF(VLOOKUP($A53,SiteAttendu!$A$2:$P$366,9,0)="NA","NA",COUNTIFS(soccode,A53,socprog,"PNLP/MEDICAMENTS ET INTRANTS",soctrans,"OUI"))</f>
        <v>0</v>
      </c>
      <c r="I53" s="59">
        <f>IF(VLOOKUP($A53,SiteAttendu!$A$2:$P$366,10,0)="NA","NA",COUNTIFS(soccode,$A53,socprog,"PNSME/MEDICAMENTS ET INTRANTS",soctrans,"OUI"))</f>
        <v>0</v>
      </c>
      <c r="J53" s="58" t="str">
        <f>IF(VLOOKUP($A53,SiteAttendu!$A$2:$P$366,11,0)="NA","NA",COUNTIFS(soccode,$A53,socprog,"PNN/MEDICAMENTS ET INTRANTS",soctrans,"OUI"))</f>
        <v>NA</v>
      </c>
      <c r="K53" s="58" t="str">
        <f>IF(VLOOKUP($A53,SiteAttendu!$A$2:$O$366,15,0)="NA","NA",IF(COUNTIF(socprog,"PNLT/SENSIBLE MEDICAMENTS ET INTRANTS")=0,"NA",COUNTIFS(soccode,$A53,socprog,"PNLT/SENSIBLE MEDICAMENTS ET INTRANTS",soctrans,"OUI")))</f>
        <v>NA</v>
      </c>
      <c r="L53" s="60"/>
      <c r="M53" s="60">
        <f t="shared" ref="M53:S53" si="55">IFERROR(SUMIFS(E$2:E$364,$C$2:$C$364,$C53)/COUNTIFS(E$2:E$364,"&lt;&gt;NA",$C$2:$C$364,$C53),"")</f>
        <v>0.8888888889</v>
      </c>
      <c r="N53" s="60">
        <f t="shared" si="55"/>
        <v>0.8636363636</v>
      </c>
      <c r="O53" s="60">
        <f t="shared" si="55"/>
        <v>0.6923076923</v>
      </c>
      <c r="P53" s="60">
        <f t="shared" si="55"/>
        <v>0.7804878049</v>
      </c>
      <c r="Q53" s="60">
        <f t="shared" si="55"/>
        <v>0.8285714286</v>
      </c>
      <c r="R53" s="60">
        <f t="shared" si="55"/>
        <v>0.625</v>
      </c>
      <c r="S53" s="60">
        <f t="shared" si="55"/>
        <v>0.8947368421</v>
      </c>
      <c r="T53" s="61">
        <f t="shared" si="3"/>
        <v>0.8409090909</v>
      </c>
      <c r="U53" s="53">
        <f t="shared" si="4"/>
        <v>0</v>
      </c>
      <c r="V53" s="54">
        <f t="shared" si="5"/>
        <v>2</v>
      </c>
    </row>
    <row r="54" ht="15.75" customHeight="1">
      <c r="A54" s="55" t="str">
        <f>SiteAttendu!$A54</f>
        <v>C1001</v>
      </c>
      <c r="B54" s="56" t="str">
        <f>VLOOKUP($A54,SiteAttendu!$A$2:$C$366,2,0)</f>
        <v>CENTRE ANTITUBERCULEUX ADJAME</v>
      </c>
      <c r="C54" s="57" t="str">
        <f>VLOOKUP($A54,SiteAttendu!$A$2:$C$366,3,0)</f>
        <v>ABIDJAN 2</v>
      </c>
      <c r="D54" s="58">
        <f>IF(VLOOKUP($A54,SiteAttendu!$A$2:$P$366,4,0)="NA","NA",COUNTIFS(soccode,A54,socprog,"PNLS/ANTIRETROVIRAUX ET IO",soctrans,"OUI"))</f>
        <v>1</v>
      </c>
      <c r="E54" s="58">
        <f>IF(VLOOKUP($A54,SiteAttendu!$A$2:$P$366,5,0)="NA","NA",COUNTIFS(soccode,A54,socprog,"PNLS/TESTS RAPIDES ET CONSOMMABLES",soctrans,"OUI"))</f>
        <v>1</v>
      </c>
      <c r="F54" s="58">
        <f>IF(VLOOKUP($A54,SiteAttendu!$A$2:$P$366,6,0)="NA","NA",COUNTIFS(soccode,A54,socprog,"PNLS/PRODUITS DE LABORATOIRE",soctrans,"OUI"))</f>
        <v>1</v>
      </c>
      <c r="G54" s="58">
        <f>IF(VLOOKUP($A54,SiteAttendu!$A$2:$P$366,7,0)="NA","NA",COUNTIFS(soccode,A54,socprog,"PNLS/CHARGES VIRALES",soctrans,"OUI"))</f>
        <v>0</v>
      </c>
      <c r="H54" s="58" t="str">
        <f>IF(VLOOKUP($A54,SiteAttendu!$A$2:$P$366,9,0)="NA","NA",COUNTIFS(soccode,A54,socprog,"PNLP/MEDICAMENTS ET INTRANTS",soctrans,"OUI"))</f>
        <v>NA</v>
      </c>
      <c r="I54" s="59" t="str">
        <f>IF(VLOOKUP($A54,SiteAttendu!$A$2:$P$366,10,0)="NA","NA",COUNTIFS(soccode,$A54,socprog,"PNSME/MEDICAMENTS ET INTRANTS",soctrans,"OUI"))</f>
        <v>NA</v>
      </c>
      <c r="J54" s="58" t="str">
        <f>IF(VLOOKUP($A54,SiteAttendu!$A$2:$P$366,11,0)="NA","NA",COUNTIFS(soccode,$A54,socprog,"PNN/MEDICAMENTS ET INTRANTS",soctrans,"OUI"))</f>
        <v>NA</v>
      </c>
      <c r="K54" s="58">
        <f>IF(VLOOKUP($A54,SiteAttendu!$A$2:$O$366,15,0)="NA","NA",IF(COUNTIF(socprog,"PNLT/SENSIBLE MEDICAMENTS ET INTRANTS")=0,"NA",COUNTIFS(soccode,$A54,socprog,"PNLT/SENSIBLE MEDICAMENTS ET INTRANTS",soctrans,"OUI")))</f>
        <v>1</v>
      </c>
      <c r="L54" s="60"/>
      <c r="M54" s="60">
        <f t="shared" ref="M54:S54" si="56">IFERROR(SUMIFS(E$2:E$364,$C$2:$C$364,$C54)/COUNTIFS(E$2:E$364,"&lt;&gt;NA",$C$2:$C$364,$C54),"")</f>
        <v>0.8888888889</v>
      </c>
      <c r="N54" s="60">
        <f t="shared" si="56"/>
        <v>0.8636363636</v>
      </c>
      <c r="O54" s="60">
        <f t="shared" si="56"/>
        <v>0.6923076923</v>
      </c>
      <c r="P54" s="60">
        <f t="shared" si="56"/>
        <v>0.7804878049</v>
      </c>
      <c r="Q54" s="60">
        <f t="shared" si="56"/>
        <v>0.8285714286</v>
      </c>
      <c r="R54" s="60">
        <f t="shared" si="56"/>
        <v>0.625</v>
      </c>
      <c r="S54" s="60">
        <f t="shared" si="56"/>
        <v>0.8947368421</v>
      </c>
      <c r="T54" s="61">
        <f t="shared" si="3"/>
        <v>0.8409090909</v>
      </c>
      <c r="U54" s="53">
        <f t="shared" si="4"/>
        <v>3</v>
      </c>
      <c r="V54" s="54">
        <f t="shared" si="5"/>
        <v>4</v>
      </c>
    </row>
    <row r="55" ht="15.75" customHeight="1">
      <c r="A55" s="55" t="str">
        <f>SiteAttendu!$A55</f>
        <v>C1177</v>
      </c>
      <c r="B55" s="56" t="str">
        <f>VLOOKUP($A55,SiteAttendu!$A$2:$C$366,2,0)</f>
        <v>DSSA (DIR DU SCE DE SANTE DES ARMEES)</v>
      </c>
      <c r="C55" s="57" t="str">
        <f>VLOOKUP($A55,SiteAttendu!$A$2:$C$366,3,0)</f>
        <v>ABIDJAN 2</v>
      </c>
      <c r="D55" s="58">
        <f>IF(VLOOKUP($A55,SiteAttendu!$A$2:$P$366,4,0)="NA","NA",COUNTIFS(soccode,A55,socprog,"PNLS/ANTIRETROVIRAUX ET IO",soctrans,"OUI"))</f>
        <v>0</v>
      </c>
      <c r="E55" s="58">
        <f>IF(VLOOKUP($A55,SiteAttendu!$A$2:$P$366,5,0)="NA","NA",COUNTIFS(soccode,A55,socprog,"PNLS/TESTS RAPIDES ET CONSOMMABLES",soctrans,"OUI"))</f>
        <v>0</v>
      </c>
      <c r="F55" s="58">
        <f>IF(VLOOKUP($A55,SiteAttendu!$A$2:$P$366,6,0)="NA","NA",COUNTIFS(soccode,A55,socprog,"PNLS/PRODUITS DE LABORATOIRE",soctrans,"OUI"))</f>
        <v>0</v>
      </c>
      <c r="G55" s="58" t="str">
        <f>IF(VLOOKUP($A55,SiteAttendu!$A$2:$P$366,7,0)="NA","NA",COUNTIFS(soccode,A55,socprog,"PNLS/CHARGES VIRALES",soctrans,"OUI"))</f>
        <v>NA</v>
      </c>
      <c r="H55" s="58" t="str">
        <f>IF(VLOOKUP($A55,SiteAttendu!$A$2:$P$366,9,0)="NA","NA",COUNTIFS(soccode,A55,socprog,"PNLP/MEDICAMENTS ET INTRANTS",soctrans,"OUI"))</f>
        <v>NA</v>
      </c>
      <c r="I55" s="59" t="str">
        <f>IF(VLOOKUP($A55,SiteAttendu!$A$2:$P$366,10,0)="NA","NA",COUNTIFS(soccode,$A55,socprog,"PNSME/MEDICAMENTS ET INTRANTS",soctrans,"OUI"))</f>
        <v>NA</v>
      </c>
      <c r="J55" s="58" t="str">
        <f>IF(VLOOKUP($A55,SiteAttendu!$A$2:$P$366,11,0)="NA","NA",COUNTIFS(soccode,$A55,socprog,"PNN/MEDICAMENTS ET INTRANTS",soctrans,"OUI"))</f>
        <v>NA</v>
      </c>
      <c r="K55" s="58">
        <f>IF(VLOOKUP($A55,SiteAttendu!$A$2:$O$366,15,0)="NA","NA",IF(COUNTIF(socprog,"PNLT/SENSIBLE MEDICAMENTS ET INTRANTS")=0,"NA",COUNTIFS(soccode,$A55,socprog,"PNLT/SENSIBLE MEDICAMENTS ET INTRANTS",soctrans,"OUI")))</f>
        <v>0</v>
      </c>
      <c r="L55" s="60"/>
      <c r="M55" s="60">
        <f t="shared" ref="M55:S55" si="57">IFERROR(SUMIFS(E$2:E$364,$C$2:$C$364,$C55)/COUNTIFS(E$2:E$364,"&lt;&gt;NA",$C$2:$C$364,$C55),"")</f>
        <v>0.8888888889</v>
      </c>
      <c r="N55" s="60">
        <f t="shared" si="57"/>
        <v>0.8636363636</v>
      </c>
      <c r="O55" s="60">
        <f t="shared" si="57"/>
        <v>0.6923076923</v>
      </c>
      <c r="P55" s="60">
        <f t="shared" si="57"/>
        <v>0.7804878049</v>
      </c>
      <c r="Q55" s="60">
        <f t="shared" si="57"/>
        <v>0.8285714286</v>
      </c>
      <c r="R55" s="60">
        <f t="shared" si="57"/>
        <v>0.625</v>
      </c>
      <c r="S55" s="60">
        <f t="shared" si="57"/>
        <v>0.8947368421</v>
      </c>
      <c r="T55" s="61">
        <f t="shared" si="3"/>
        <v>0.8409090909</v>
      </c>
      <c r="U55" s="53">
        <f t="shared" si="4"/>
        <v>0</v>
      </c>
      <c r="V55" s="54">
        <f t="shared" si="5"/>
        <v>3</v>
      </c>
    </row>
    <row r="56" ht="15.75" customHeight="1">
      <c r="A56" s="55" t="str">
        <f>SiteAttendu!$A56</f>
        <v>C1018</v>
      </c>
      <c r="B56" s="56" t="str">
        <f>VLOOKUP($A56,SiteAttendu!$A$2:$C$366,2,0)</f>
        <v>CSU COM ANGRE</v>
      </c>
      <c r="C56" s="57" t="str">
        <f>VLOOKUP($A56,SiteAttendu!$A$2:$C$366,3,0)</f>
        <v>ABIDJAN 2</v>
      </c>
      <c r="D56" s="58" t="str">
        <f>IF(VLOOKUP($A56,SiteAttendu!$A$2:$P$366,4,0)="NA","NA",COUNTIFS(soccode,A56,socprog,"PNLS/ANTIRETROVIRAUX ET IO",soctrans,"OUI"))</f>
        <v>NA</v>
      </c>
      <c r="E56" s="58" t="str">
        <f>IF(VLOOKUP($A56,SiteAttendu!$A$2:$P$366,5,0)="NA","NA",COUNTIFS(soccode,A56,socprog,"PNLS/TESTS RAPIDES ET CONSOMMABLES",soctrans,"OUI"))</f>
        <v>NA</v>
      </c>
      <c r="F56" s="58" t="str">
        <f>IF(VLOOKUP($A56,SiteAttendu!$A$2:$P$366,6,0)="NA","NA",COUNTIFS(soccode,A56,socprog,"PNLS/PRODUITS DE LABORATOIRE",soctrans,"OUI"))</f>
        <v>NA</v>
      </c>
      <c r="G56" s="58" t="str">
        <f>IF(VLOOKUP($A56,SiteAttendu!$A$2:$P$366,7,0)="NA","NA",COUNTIFS(soccode,A56,socprog,"PNLS/CHARGES VIRALES",soctrans,"OUI"))</f>
        <v>NA</v>
      </c>
      <c r="H56" s="58">
        <f>IF(VLOOKUP($A56,SiteAttendu!$A$2:$P$366,9,0)="NA","NA",COUNTIFS(soccode,A56,socprog,"PNLP/MEDICAMENTS ET INTRANTS",soctrans,"OUI"))</f>
        <v>0</v>
      </c>
      <c r="I56" s="59">
        <f>IF(VLOOKUP($A56,SiteAttendu!$A$2:$P$366,10,0)="NA","NA",COUNTIFS(soccode,$A56,socprog,"PNSME/MEDICAMENTS ET INTRANTS",soctrans,"OUI"))</f>
        <v>0</v>
      </c>
      <c r="J56" s="58" t="str">
        <f>IF(VLOOKUP($A56,SiteAttendu!$A$2:$P$366,11,0)="NA","NA",COUNTIFS(soccode,$A56,socprog,"PNN/MEDICAMENTS ET INTRANTS",soctrans,"OUI"))</f>
        <v>NA</v>
      </c>
      <c r="K56" s="58" t="str">
        <f>IF(VLOOKUP($A56,SiteAttendu!$A$2:$O$366,15,0)="NA","NA",IF(COUNTIF(socprog,"PNLT/SENSIBLE MEDICAMENTS ET INTRANTS")=0,"NA",COUNTIFS(soccode,$A56,socprog,"PNLT/SENSIBLE MEDICAMENTS ET INTRANTS",soctrans,"OUI")))</f>
        <v>NA</v>
      </c>
      <c r="L56" s="60"/>
      <c r="M56" s="60">
        <f t="shared" ref="M56:S56" si="58">IFERROR(SUMIFS(E$2:E$364,$C$2:$C$364,$C56)/COUNTIFS(E$2:E$364,"&lt;&gt;NA",$C$2:$C$364,$C56),"")</f>
        <v>0.8888888889</v>
      </c>
      <c r="N56" s="60">
        <f t="shared" si="58"/>
        <v>0.8636363636</v>
      </c>
      <c r="O56" s="60">
        <f t="shared" si="58"/>
        <v>0.6923076923</v>
      </c>
      <c r="P56" s="60">
        <f t="shared" si="58"/>
        <v>0.7804878049</v>
      </c>
      <c r="Q56" s="60">
        <f t="shared" si="58"/>
        <v>0.8285714286</v>
      </c>
      <c r="R56" s="60">
        <f t="shared" si="58"/>
        <v>0.625</v>
      </c>
      <c r="S56" s="60">
        <f t="shared" si="58"/>
        <v>0.8947368421</v>
      </c>
      <c r="T56" s="61">
        <f t="shared" si="3"/>
        <v>0.8409090909</v>
      </c>
      <c r="U56" s="53">
        <f t="shared" si="4"/>
        <v>0</v>
      </c>
      <c r="V56" s="54">
        <f t="shared" si="5"/>
        <v>0</v>
      </c>
    </row>
    <row r="57" ht="15.75" customHeight="1">
      <c r="A57" s="55" t="str">
        <f>SiteAttendu!$A57</f>
        <v>C1019</v>
      </c>
      <c r="B57" s="56" t="str">
        <f>VLOOKUP($A57,SiteAttendu!$A$2:$C$366,2,0)</f>
        <v>CSU COM ANONO VILLAGE</v>
      </c>
      <c r="C57" s="57" t="str">
        <f>VLOOKUP($A57,SiteAttendu!$A$2:$C$366,3,0)</f>
        <v>ABIDJAN 2</v>
      </c>
      <c r="D57" s="58" t="str">
        <f>IF(VLOOKUP($A57,SiteAttendu!$A$2:$P$366,4,0)="NA","NA",COUNTIFS(soccode,A57,socprog,"PNLS/ANTIRETROVIRAUX ET IO",soctrans,"OUI"))</f>
        <v>NA</v>
      </c>
      <c r="E57" s="58" t="str">
        <f>IF(VLOOKUP($A57,SiteAttendu!$A$2:$P$366,5,0)="NA","NA",COUNTIFS(soccode,A57,socprog,"PNLS/TESTS RAPIDES ET CONSOMMABLES",soctrans,"OUI"))</f>
        <v>NA</v>
      </c>
      <c r="F57" s="58" t="str">
        <f>IF(VLOOKUP($A57,SiteAttendu!$A$2:$P$366,6,0)="NA","NA",COUNTIFS(soccode,A57,socprog,"PNLS/PRODUITS DE LABORATOIRE",soctrans,"OUI"))</f>
        <v>NA</v>
      </c>
      <c r="G57" s="58" t="str">
        <f>IF(VLOOKUP($A57,SiteAttendu!$A$2:$P$366,7,0)="NA","NA",COUNTIFS(soccode,A57,socprog,"PNLS/CHARGES VIRALES",soctrans,"OUI"))</f>
        <v>NA</v>
      </c>
      <c r="H57" s="58">
        <f>IF(VLOOKUP($A57,SiteAttendu!$A$2:$P$366,9,0)="NA","NA",COUNTIFS(soccode,A57,socprog,"PNLP/MEDICAMENTS ET INTRANTS",soctrans,"OUI"))</f>
        <v>1</v>
      </c>
      <c r="I57" s="59">
        <f>IF(VLOOKUP($A57,SiteAttendu!$A$2:$P$366,10,0)="NA","NA",COUNTIFS(soccode,$A57,socprog,"PNSME/MEDICAMENTS ET INTRANTS",soctrans,"OUI"))</f>
        <v>1</v>
      </c>
      <c r="J57" s="58" t="str">
        <f>IF(VLOOKUP($A57,SiteAttendu!$A$2:$P$366,11,0)="NA","NA",COUNTIFS(soccode,$A57,socprog,"PNN/MEDICAMENTS ET INTRANTS",soctrans,"OUI"))</f>
        <v>NA</v>
      </c>
      <c r="K57" s="58" t="str">
        <f>IF(VLOOKUP($A57,SiteAttendu!$A$2:$O$366,15,0)="NA","NA",IF(COUNTIF(socprog,"PNLT/SENSIBLE MEDICAMENTS ET INTRANTS")=0,"NA",COUNTIFS(soccode,$A57,socprog,"PNLT/SENSIBLE MEDICAMENTS ET INTRANTS",soctrans,"OUI")))</f>
        <v>NA</v>
      </c>
      <c r="L57" s="60"/>
      <c r="M57" s="60">
        <f t="shared" ref="M57:S57" si="59">IFERROR(SUMIFS(E$2:E$364,$C$2:$C$364,$C57)/COUNTIFS(E$2:E$364,"&lt;&gt;NA",$C$2:$C$364,$C57),"")</f>
        <v>0.8888888889</v>
      </c>
      <c r="N57" s="60">
        <f t="shared" si="59"/>
        <v>0.8636363636</v>
      </c>
      <c r="O57" s="60">
        <f t="shared" si="59"/>
        <v>0.6923076923</v>
      </c>
      <c r="P57" s="60">
        <f t="shared" si="59"/>
        <v>0.7804878049</v>
      </c>
      <c r="Q57" s="60">
        <f t="shared" si="59"/>
        <v>0.8285714286</v>
      </c>
      <c r="R57" s="60">
        <f t="shared" si="59"/>
        <v>0.625</v>
      </c>
      <c r="S57" s="60">
        <f t="shared" si="59"/>
        <v>0.8947368421</v>
      </c>
      <c r="T57" s="61">
        <f t="shared" si="3"/>
        <v>0.8409090909</v>
      </c>
      <c r="U57" s="53">
        <f t="shared" si="4"/>
        <v>0</v>
      </c>
      <c r="V57" s="54">
        <f t="shared" si="5"/>
        <v>0</v>
      </c>
    </row>
    <row r="58" ht="15.75" customHeight="1">
      <c r="A58" s="55" t="str">
        <f>SiteAttendu!$A58</f>
        <v>C1029</v>
      </c>
      <c r="B58" s="56" t="str">
        <f>VLOOKUP($A58,SiteAttendu!$A$2:$C$366,2,0)</f>
        <v>CSU COM PALMERAIE</v>
      </c>
      <c r="C58" s="57" t="str">
        <f>VLOOKUP($A58,SiteAttendu!$A$2:$C$366,3,0)</f>
        <v>ABIDJAN 2</v>
      </c>
      <c r="D58" s="58" t="str">
        <f>IF(VLOOKUP($A58,SiteAttendu!$A$2:$P$366,4,0)="NA","NA",COUNTIFS(soccode,A58,socprog,"PNLS/ANTIRETROVIRAUX ET IO",soctrans,"OUI"))</f>
        <v>NA</v>
      </c>
      <c r="E58" s="58" t="str">
        <f>IF(VLOOKUP($A58,SiteAttendu!$A$2:$P$366,5,0)="NA","NA",COUNTIFS(soccode,A58,socprog,"PNLS/TESTS RAPIDES ET CONSOMMABLES",soctrans,"OUI"))</f>
        <v>NA</v>
      </c>
      <c r="F58" s="58" t="str">
        <f>IF(VLOOKUP($A58,SiteAttendu!$A$2:$P$366,6,0)="NA","NA",COUNTIFS(soccode,A58,socprog,"PNLS/PRODUITS DE LABORATOIRE",soctrans,"OUI"))</f>
        <v>NA</v>
      </c>
      <c r="G58" s="58" t="str">
        <f>IF(VLOOKUP($A58,SiteAttendu!$A$2:$P$366,7,0)="NA","NA",COUNTIFS(soccode,A58,socprog,"PNLS/CHARGES VIRALES",soctrans,"OUI"))</f>
        <v>NA</v>
      </c>
      <c r="H58" s="58">
        <f>IF(VLOOKUP($A58,SiteAttendu!$A$2:$P$366,9,0)="NA","NA",COUNTIFS(soccode,A58,socprog,"PNLP/MEDICAMENTS ET INTRANTS",soctrans,"OUI"))</f>
        <v>1</v>
      </c>
      <c r="I58" s="59">
        <f>IF(VLOOKUP($A58,SiteAttendu!$A$2:$P$366,10,0)="NA","NA",COUNTIFS(soccode,$A58,socprog,"PNSME/MEDICAMENTS ET INTRANTS",soctrans,"OUI"))</f>
        <v>1</v>
      </c>
      <c r="J58" s="58" t="str">
        <f>IF(VLOOKUP($A58,SiteAttendu!$A$2:$P$366,11,0)="NA","NA",COUNTIFS(soccode,$A58,socprog,"PNN/MEDICAMENTS ET INTRANTS",soctrans,"OUI"))</f>
        <v>NA</v>
      </c>
      <c r="K58" s="58" t="str">
        <f>IF(VLOOKUP($A58,SiteAttendu!$A$2:$O$366,15,0)="NA","NA",IF(COUNTIF(socprog,"PNLT/SENSIBLE MEDICAMENTS ET INTRANTS")=0,"NA",COUNTIFS(soccode,$A58,socprog,"PNLT/SENSIBLE MEDICAMENTS ET INTRANTS",soctrans,"OUI")))</f>
        <v>NA</v>
      </c>
      <c r="L58" s="60"/>
      <c r="M58" s="60">
        <f t="shared" ref="M58:S58" si="60">IFERROR(SUMIFS(E$2:E$364,$C$2:$C$364,$C58)/COUNTIFS(E$2:E$364,"&lt;&gt;NA",$C$2:$C$364,$C58),"")</f>
        <v>0.8888888889</v>
      </c>
      <c r="N58" s="60">
        <f t="shared" si="60"/>
        <v>0.8636363636</v>
      </c>
      <c r="O58" s="60">
        <f t="shared" si="60"/>
        <v>0.6923076923</v>
      </c>
      <c r="P58" s="60">
        <f t="shared" si="60"/>
        <v>0.7804878049</v>
      </c>
      <c r="Q58" s="60">
        <f t="shared" si="60"/>
        <v>0.8285714286</v>
      </c>
      <c r="R58" s="60">
        <f t="shared" si="60"/>
        <v>0.625</v>
      </c>
      <c r="S58" s="60">
        <f t="shared" si="60"/>
        <v>0.8947368421</v>
      </c>
      <c r="T58" s="61">
        <f t="shared" si="3"/>
        <v>0.8409090909</v>
      </c>
      <c r="U58" s="53">
        <f t="shared" si="4"/>
        <v>0</v>
      </c>
      <c r="V58" s="54">
        <f t="shared" si="5"/>
        <v>0</v>
      </c>
    </row>
    <row r="59" ht="15.75" customHeight="1">
      <c r="A59" s="55" t="str">
        <f>SiteAttendu!$A59</f>
        <v>C1055</v>
      </c>
      <c r="B59" s="56" t="str">
        <f>VLOOKUP($A59,SiteAttendu!$A$2:$C$366,2,0)</f>
        <v>FSU BLOCKHAUSS</v>
      </c>
      <c r="C59" s="57" t="str">
        <f>VLOOKUP($A59,SiteAttendu!$A$2:$C$366,3,0)</f>
        <v>ABIDJAN 2</v>
      </c>
      <c r="D59" s="58" t="str">
        <f>IF(VLOOKUP($A59,SiteAttendu!$A$2:$P$366,4,0)="NA","NA",COUNTIFS(soccode,A59,socprog,"PNLS/ANTIRETROVIRAUX ET IO",soctrans,"OUI"))</f>
        <v>NA</v>
      </c>
      <c r="E59" s="58" t="str">
        <f>IF(VLOOKUP($A59,SiteAttendu!$A$2:$P$366,5,0)="NA","NA",COUNTIFS(soccode,A59,socprog,"PNLS/TESTS RAPIDES ET CONSOMMABLES",soctrans,"OUI"))</f>
        <v>NA</v>
      </c>
      <c r="F59" s="58" t="str">
        <f>IF(VLOOKUP($A59,SiteAttendu!$A$2:$P$366,6,0)="NA","NA",COUNTIFS(soccode,A59,socprog,"PNLS/PRODUITS DE LABORATOIRE",soctrans,"OUI"))</f>
        <v>NA</v>
      </c>
      <c r="G59" s="58" t="str">
        <f>IF(VLOOKUP($A59,SiteAttendu!$A$2:$P$366,7,0)="NA","NA",COUNTIFS(soccode,A59,socprog,"PNLS/CHARGES VIRALES",soctrans,"OUI"))</f>
        <v>NA</v>
      </c>
      <c r="H59" s="58">
        <f>IF(VLOOKUP($A59,SiteAttendu!$A$2:$P$366,9,0)="NA","NA",COUNTIFS(soccode,A59,socprog,"PNLP/MEDICAMENTS ET INTRANTS",soctrans,"OUI"))</f>
        <v>1</v>
      </c>
      <c r="I59" s="59">
        <f>IF(VLOOKUP($A59,SiteAttendu!$A$2:$P$366,10,0)="NA","NA",COUNTIFS(soccode,$A59,socprog,"PNSME/MEDICAMENTS ET INTRANTS",soctrans,"OUI"))</f>
        <v>1</v>
      </c>
      <c r="J59" s="58" t="str">
        <f>IF(VLOOKUP($A59,SiteAttendu!$A$2:$P$366,11,0)="NA","NA",COUNTIFS(soccode,$A59,socprog,"PNN/MEDICAMENTS ET INTRANTS",soctrans,"OUI"))</f>
        <v>NA</v>
      </c>
      <c r="K59" s="58" t="str">
        <f>IF(VLOOKUP($A59,SiteAttendu!$A$2:$O$366,15,0)="NA","NA",IF(COUNTIF(socprog,"PNLT/SENSIBLE MEDICAMENTS ET INTRANTS")=0,"NA",COUNTIFS(soccode,$A59,socprog,"PNLT/SENSIBLE MEDICAMENTS ET INTRANTS",soctrans,"OUI")))</f>
        <v>NA</v>
      </c>
      <c r="L59" s="60"/>
      <c r="M59" s="60">
        <f t="shared" ref="M59:S59" si="61">IFERROR(SUMIFS(E$2:E$364,$C$2:$C$364,$C59)/COUNTIFS(E$2:E$364,"&lt;&gt;NA",$C$2:$C$364,$C59),"")</f>
        <v>0.8888888889</v>
      </c>
      <c r="N59" s="60">
        <f t="shared" si="61"/>
        <v>0.8636363636</v>
      </c>
      <c r="O59" s="60">
        <f t="shared" si="61"/>
        <v>0.6923076923</v>
      </c>
      <c r="P59" s="60">
        <f t="shared" si="61"/>
        <v>0.7804878049</v>
      </c>
      <c r="Q59" s="60">
        <f t="shared" si="61"/>
        <v>0.8285714286</v>
      </c>
      <c r="R59" s="60">
        <f t="shared" si="61"/>
        <v>0.625</v>
      </c>
      <c r="S59" s="60">
        <f t="shared" si="61"/>
        <v>0.8947368421</v>
      </c>
      <c r="T59" s="61">
        <f t="shared" si="3"/>
        <v>0.8409090909</v>
      </c>
      <c r="U59" s="53">
        <f t="shared" si="4"/>
        <v>0</v>
      </c>
      <c r="V59" s="54">
        <f t="shared" si="5"/>
        <v>0</v>
      </c>
    </row>
    <row r="60" ht="15.75" customHeight="1">
      <c r="A60" s="55" t="str">
        <f>SiteAttendu!$A60</f>
        <v>C1056</v>
      </c>
      <c r="B60" s="56" t="str">
        <f>VLOOKUP($A60,SiteAttendu!$A$2:$C$366,2,0)</f>
        <v>FSU COCODY DISPENSAIRE</v>
      </c>
      <c r="C60" s="57" t="str">
        <f>VLOOKUP($A60,SiteAttendu!$A$2:$C$366,3,0)</f>
        <v>ABIDJAN 2</v>
      </c>
      <c r="D60" s="58" t="str">
        <f>IF(VLOOKUP($A60,SiteAttendu!$A$2:$P$366,4,0)="NA","NA",COUNTIFS(soccode,A60,socprog,"PNLS/ANTIRETROVIRAUX ET IO",soctrans,"OUI"))</f>
        <v>NA</v>
      </c>
      <c r="E60" s="58" t="str">
        <f>IF(VLOOKUP($A60,SiteAttendu!$A$2:$P$366,5,0)="NA","NA",COUNTIFS(soccode,A60,socprog,"PNLS/TESTS RAPIDES ET CONSOMMABLES",soctrans,"OUI"))</f>
        <v>NA</v>
      </c>
      <c r="F60" s="58" t="str">
        <f>IF(VLOOKUP($A60,SiteAttendu!$A$2:$P$366,6,0)="NA","NA",COUNTIFS(soccode,A60,socprog,"PNLS/PRODUITS DE LABORATOIRE",soctrans,"OUI"))</f>
        <v>NA</v>
      </c>
      <c r="G60" s="58" t="str">
        <f>IF(VLOOKUP($A60,SiteAttendu!$A$2:$P$366,7,0)="NA","NA",COUNTIFS(soccode,A60,socprog,"PNLS/CHARGES VIRALES",soctrans,"OUI"))</f>
        <v>NA</v>
      </c>
      <c r="H60" s="58">
        <f>IF(VLOOKUP($A60,SiteAttendu!$A$2:$P$366,9,0)="NA","NA",COUNTIFS(soccode,A60,socprog,"PNLP/MEDICAMENTS ET INTRANTS",soctrans,"OUI"))</f>
        <v>1</v>
      </c>
      <c r="I60" s="59">
        <f>IF(VLOOKUP($A60,SiteAttendu!$A$2:$P$366,10,0)="NA","NA",COUNTIFS(soccode,$A60,socprog,"PNSME/MEDICAMENTS ET INTRANTS",soctrans,"OUI"))</f>
        <v>1</v>
      </c>
      <c r="J60" s="58" t="str">
        <f>IF(VLOOKUP($A60,SiteAttendu!$A$2:$P$366,11,0)="NA","NA",COUNTIFS(soccode,$A60,socprog,"PNN/MEDICAMENTS ET INTRANTS",soctrans,"OUI"))</f>
        <v>NA</v>
      </c>
      <c r="K60" s="58" t="str">
        <f>IF(VLOOKUP($A60,SiteAttendu!$A$2:$O$366,15,0)="NA","NA",IF(COUNTIF(socprog,"PNLT/SENSIBLE MEDICAMENTS ET INTRANTS")=0,"NA",COUNTIFS(soccode,$A60,socprog,"PNLT/SENSIBLE MEDICAMENTS ET INTRANTS",soctrans,"OUI")))</f>
        <v>NA</v>
      </c>
      <c r="L60" s="60"/>
      <c r="M60" s="60">
        <f t="shared" ref="M60:S60" si="62">IFERROR(SUMIFS(E$2:E$364,$C$2:$C$364,$C60)/COUNTIFS(E$2:E$364,"&lt;&gt;NA",$C$2:$C$364,$C60),"")</f>
        <v>0.8888888889</v>
      </c>
      <c r="N60" s="60">
        <f t="shared" si="62"/>
        <v>0.8636363636</v>
      </c>
      <c r="O60" s="60">
        <f t="shared" si="62"/>
        <v>0.6923076923</v>
      </c>
      <c r="P60" s="60">
        <f t="shared" si="62"/>
        <v>0.7804878049</v>
      </c>
      <c r="Q60" s="60">
        <f t="shared" si="62"/>
        <v>0.8285714286</v>
      </c>
      <c r="R60" s="60">
        <f t="shared" si="62"/>
        <v>0.625</v>
      </c>
      <c r="S60" s="60">
        <f t="shared" si="62"/>
        <v>0.8947368421</v>
      </c>
      <c r="T60" s="61">
        <f t="shared" si="3"/>
        <v>0.8409090909</v>
      </c>
      <c r="U60" s="53">
        <f t="shared" si="4"/>
        <v>0</v>
      </c>
      <c r="V60" s="54">
        <f t="shared" si="5"/>
        <v>0</v>
      </c>
    </row>
    <row r="61" ht="15.75" customHeight="1">
      <c r="A61" s="55" t="str">
        <f>SiteAttendu!$A61</f>
        <v>C1086</v>
      </c>
      <c r="B61" s="56" t="str">
        <f>VLOOKUP($A61,SiteAttendu!$A$2:$C$366,2,0)</f>
        <v>HOPITAL GENERAL BINGERVILLE</v>
      </c>
      <c r="C61" s="57" t="str">
        <f>VLOOKUP($A61,SiteAttendu!$A$2:$C$366,3,0)</f>
        <v>ABIDJAN 2</v>
      </c>
      <c r="D61" s="58">
        <f>IF(VLOOKUP($A61,SiteAttendu!$A$2:$P$366,4,0)="NA","NA",COUNTIFS(soccode,A61,socprog,"PNLS/ANTIRETROVIRAUX ET IO",soctrans,"OUI"))</f>
        <v>1</v>
      </c>
      <c r="E61" s="58">
        <f>IF(VLOOKUP($A61,SiteAttendu!$A$2:$P$366,5,0)="NA","NA",COUNTIFS(soccode,A61,socprog,"PNLS/TESTS RAPIDES ET CONSOMMABLES",soctrans,"OUI"))</f>
        <v>1</v>
      </c>
      <c r="F61" s="58">
        <f>IF(VLOOKUP($A61,SiteAttendu!$A$2:$P$366,6,0)="NA","NA",COUNTIFS(soccode,A61,socprog,"PNLS/PRODUITS DE LABORATOIRE",soctrans,"OUI"))</f>
        <v>0</v>
      </c>
      <c r="G61" s="58" t="str">
        <f>IF(VLOOKUP($A61,SiteAttendu!$A$2:$P$366,7,0)="NA","NA",COUNTIFS(soccode,A61,socprog,"PNLS/CHARGES VIRALES",soctrans,"OUI"))</f>
        <v>NA</v>
      </c>
      <c r="H61" s="58">
        <f>IF(VLOOKUP($A61,SiteAttendu!$A$2:$P$366,9,0)="NA","NA",COUNTIFS(soccode,A61,socprog,"PNLP/MEDICAMENTS ET INTRANTS",soctrans,"OUI"))</f>
        <v>1</v>
      </c>
      <c r="I61" s="59">
        <f>IF(VLOOKUP($A61,SiteAttendu!$A$2:$P$366,10,0)="NA","NA",COUNTIFS(soccode,$A61,socprog,"PNSME/MEDICAMENTS ET INTRANTS",soctrans,"OUI"))</f>
        <v>1</v>
      </c>
      <c r="J61" s="58">
        <f>IF(VLOOKUP($A61,SiteAttendu!$A$2:$P$366,11,0)="NA","NA",COUNTIFS(soccode,$A61,socprog,"PNN/MEDICAMENTS ET INTRANTS",soctrans,"OUI"))</f>
        <v>1</v>
      </c>
      <c r="K61" s="58" t="str">
        <f>IF(VLOOKUP($A61,SiteAttendu!$A$2:$O$366,15,0)="NA","NA",IF(COUNTIF(socprog,"PNLT/SENSIBLE MEDICAMENTS ET INTRANTS")=0,"NA",COUNTIFS(soccode,$A61,socprog,"PNLT/SENSIBLE MEDICAMENTS ET INTRANTS",soctrans,"OUI")))</f>
        <v>NA</v>
      </c>
      <c r="L61" s="60"/>
      <c r="M61" s="60">
        <f t="shared" ref="M61:S61" si="63">IFERROR(SUMIFS(E$2:E$364,$C$2:$C$364,$C61)/COUNTIFS(E$2:E$364,"&lt;&gt;NA",$C$2:$C$364,$C61),"")</f>
        <v>0.8888888889</v>
      </c>
      <c r="N61" s="60">
        <f t="shared" si="63"/>
        <v>0.8636363636</v>
      </c>
      <c r="O61" s="60">
        <f t="shared" si="63"/>
        <v>0.6923076923</v>
      </c>
      <c r="P61" s="60">
        <f t="shared" si="63"/>
        <v>0.7804878049</v>
      </c>
      <c r="Q61" s="60">
        <f t="shared" si="63"/>
        <v>0.8285714286</v>
      </c>
      <c r="R61" s="60">
        <f t="shared" si="63"/>
        <v>0.625</v>
      </c>
      <c r="S61" s="60">
        <f t="shared" si="63"/>
        <v>0.8947368421</v>
      </c>
      <c r="T61" s="61">
        <f t="shared" si="3"/>
        <v>0.8409090909</v>
      </c>
      <c r="U61" s="53">
        <f t="shared" si="4"/>
        <v>2</v>
      </c>
      <c r="V61" s="54">
        <f t="shared" si="5"/>
        <v>3</v>
      </c>
    </row>
    <row r="62" ht="15.75" customHeight="1">
      <c r="A62" s="55" t="str">
        <f>SiteAttendu!$A62</f>
        <v>C1143</v>
      </c>
      <c r="B62" s="56" t="str">
        <f>VLOOKUP($A62,SiteAttendu!$A$2:$C$366,2,0)</f>
        <v>FSU COCODY PMI</v>
      </c>
      <c r="C62" s="57" t="str">
        <f>VLOOKUP($A62,SiteAttendu!$A$2:$C$366,3,0)</f>
        <v>ABIDJAN 2</v>
      </c>
      <c r="D62" s="58" t="str">
        <f>IF(VLOOKUP($A62,SiteAttendu!$A$2:$P$366,4,0)="NA","NA",COUNTIFS(soccode,A62,socprog,"PNLS/ANTIRETROVIRAUX ET IO",soctrans,"OUI"))</f>
        <v>NA</v>
      </c>
      <c r="E62" s="58" t="str">
        <f>IF(VLOOKUP($A62,SiteAttendu!$A$2:$P$366,5,0)="NA","NA",COUNTIFS(soccode,A62,socprog,"PNLS/TESTS RAPIDES ET CONSOMMABLES",soctrans,"OUI"))</f>
        <v>NA</v>
      </c>
      <c r="F62" s="58" t="str">
        <f>IF(VLOOKUP($A62,SiteAttendu!$A$2:$P$366,6,0)="NA","NA",COUNTIFS(soccode,A62,socprog,"PNLS/PRODUITS DE LABORATOIRE",soctrans,"OUI"))</f>
        <v>NA</v>
      </c>
      <c r="G62" s="58" t="str">
        <f>IF(VLOOKUP($A62,SiteAttendu!$A$2:$P$366,7,0)="NA","NA",COUNTIFS(soccode,A62,socprog,"PNLS/CHARGES VIRALES",soctrans,"OUI"))</f>
        <v>NA</v>
      </c>
      <c r="H62" s="58">
        <f>IF(VLOOKUP($A62,SiteAttendu!$A$2:$P$366,9,0)="NA","NA",COUNTIFS(soccode,A62,socprog,"PNLP/MEDICAMENTS ET INTRANTS",soctrans,"OUI"))</f>
        <v>0</v>
      </c>
      <c r="I62" s="59" t="str">
        <f>IF(VLOOKUP($A62,SiteAttendu!$A$2:$P$366,10,0)="NA","NA",COUNTIFS(soccode,$A62,socprog,"PNSME/MEDICAMENTS ET INTRANTS",soctrans,"OUI"))</f>
        <v>NA</v>
      </c>
      <c r="J62" s="58" t="str">
        <f>IF(VLOOKUP($A62,SiteAttendu!$A$2:$P$366,11,0)="NA","NA",COUNTIFS(soccode,$A62,socprog,"PNN/MEDICAMENTS ET INTRANTS",soctrans,"OUI"))</f>
        <v>NA</v>
      </c>
      <c r="K62" s="58" t="str">
        <f>IF(VLOOKUP($A62,SiteAttendu!$A$2:$O$366,15,0)="NA","NA",IF(COUNTIF(socprog,"PNLT/SENSIBLE MEDICAMENTS ET INTRANTS")=0,"NA",COUNTIFS(soccode,$A62,socprog,"PNLT/SENSIBLE MEDICAMENTS ET INTRANTS",soctrans,"OUI")))</f>
        <v>NA</v>
      </c>
      <c r="L62" s="60"/>
      <c r="M62" s="60">
        <f t="shared" ref="M62:S62" si="64">IFERROR(SUMIFS(E$2:E$364,$C$2:$C$364,$C62)/COUNTIFS(E$2:E$364,"&lt;&gt;NA",$C$2:$C$364,$C62),"")</f>
        <v>0.8888888889</v>
      </c>
      <c r="N62" s="60">
        <f t="shared" si="64"/>
        <v>0.8636363636</v>
      </c>
      <c r="O62" s="60">
        <f t="shared" si="64"/>
        <v>0.6923076923</v>
      </c>
      <c r="P62" s="60">
        <f t="shared" si="64"/>
        <v>0.7804878049</v>
      </c>
      <c r="Q62" s="60">
        <f t="shared" si="64"/>
        <v>0.8285714286</v>
      </c>
      <c r="R62" s="60">
        <f t="shared" si="64"/>
        <v>0.625</v>
      </c>
      <c r="S62" s="60">
        <f t="shared" si="64"/>
        <v>0.8947368421</v>
      </c>
      <c r="T62" s="61">
        <f t="shared" si="3"/>
        <v>0.8409090909</v>
      </c>
      <c r="U62" s="53">
        <f t="shared" si="4"/>
        <v>0</v>
      </c>
      <c r="V62" s="54">
        <f t="shared" si="5"/>
        <v>0</v>
      </c>
    </row>
    <row r="63" ht="15.75" customHeight="1">
      <c r="A63" s="55" t="str">
        <f>SiteAttendu!$A63</f>
        <v>C1144</v>
      </c>
      <c r="B63" s="56" t="str">
        <f>VLOOKUP($A63,SiteAttendu!$A$2:$C$366,2,0)</f>
        <v>PMI COMBES-BINGERVILLE</v>
      </c>
      <c r="C63" s="57" t="str">
        <f>VLOOKUP($A63,SiteAttendu!$A$2:$C$366,3,0)</f>
        <v>ABIDJAN 2</v>
      </c>
      <c r="D63" s="58" t="str">
        <f>IF(VLOOKUP($A63,SiteAttendu!$A$2:$P$366,4,0)="NA","NA",COUNTIFS(soccode,A63,socprog,"PNLS/ANTIRETROVIRAUX ET IO",soctrans,"OUI"))</f>
        <v>NA</v>
      </c>
      <c r="E63" s="58" t="str">
        <f>IF(VLOOKUP($A63,SiteAttendu!$A$2:$P$366,5,0)="NA","NA",COUNTIFS(soccode,A63,socprog,"PNLS/TESTS RAPIDES ET CONSOMMABLES",soctrans,"OUI"))</f>
        <v>NA</v>
      </c>
      <c r="F63" s="58" t="str">
        <f>IF(VLOOKUP($A63,SiteAttendu!$A$2:$P$366,6,0)="NA","NA",COUNTIFS(soccode,A63,socprog,"PNLS/PRODUITS DE LABORATOIRE",soctrans,"OUI"))</f>
        <v>NA</v>
      </c>
      <c r="G63" s="58" t="str">
        <f>IF(VLOOKUP($A63,SiteAttendu!$A$2:$P$366,7,0)="NA","NA",COUNTIFS(soccode,A63,socprog,"PNLS/CHARGES VIRALES",soctrans,"OUI"))</f>
        <v>NA</v>
      </c>
      <c r="H63" s="58">
        <f>IF(VLOOKUP($A63,SiteAttendu!$A$2:$P$366,9,0)="NA","NA",COUNTIFS(soccode,A63,socprog,"PNLP/MEDICAMENTS ET INTRANTS",soctrans,"OUI"))</f>
        <v>1</v>
      </c>
      <c r="I63" s="59">
        <f>IF(VLOOKUP($A63,SiteAttendu!$A$2:$P$366,10,0)="NA","NA",COUNTIFS(soccode,$A63,socprog,"PNSME/MEDICAMENTS ET INTRANTS",soctrans,"OUI"))</f>
        <v>1</v>
      </c>
      <c r="J63" s="58" t="str">
        <f>IF(VLOOKUP($A63,SiteAttendu!$A$2:$P$366,11,0)="NA","NA",COUNTIFS(soccode,$A63,socprog,"PNN/MEDICAMENTS ET INTRANTS",soctrans,"OUI"))</f>
        <v>NA</v>
      </c>
      <c r="K63" s="58" t="str">
        <f>IF(VLOOKUP($A63,SiteAttendu!$A$2:$O$366,15,0)="NA","NA",IF(COUNTIF(socprog,"PNLT/SENSIBLE MEDICAMENTS ET INTRANTS")=0,"NA",COUNTIFS(soccode,$A63,socprog,"PNLT/SENSIBLE MEDICAMENTS ET INTRANTS",soctrans,"OUI")))</f>
        <v>NA</v>
      </c>
      <c r="L63" s="60"/>
      <c r="M63" s="60">
        <f t="shared" ref="M63:S63" si="65">IFERROR(SUMIFS(E$2:E$364,$C$2:$C$364,$C63)/COUNTIFS(E$2:E$364,"&lt;&gt;NA",$C$2:$C$364,$C63),"")</f>
        <v>0.8888888889</v>
      </c>
      <c r="N63" s="60">
        <f t="shared" si="65"/>
        <v>0.8636363636</v>
      </c>
      <c r="O63" s="60">
        <f t="shared" si="65"/>
        <v>0.6923076923</v>
      </c>
      <c r="P63" s="60">
        <f t="shared" si="65"/>
        <v>0.7804878049</v>
      </c>
      <c r="Q63" s="60">
        <f t="shared" si="65"/>
        <v>0.8285714286</v>
      </c>
      <c r="R63" s="60">
        <f t="shared" si="65"/>
        <v>0.625</v>
      </c>
      <c r="S63" s="60">
        <f t="shared" si="65"/>
        <v>0.8947368421</v>
      </c>
      <c r="T63" s="61">
        <f t="shared" si="3"/>
        <v>0.8409090909</v>
      </c>
      <c r="U63" s="53">
        <f t="shared" si="4"/>
        <v>0</v>
      </c>
      <c r="V63" s="54">
        <f t="shared" si="5"/>
        <v>0</v>
      </c>
    </row>
    <row r="64" ht="15.75" customHeight="1">
      <c r="A64" s="55" t="str">
        <f>SiteAttendu!$A64</f>
        <v>C1399</v>
      </c>
      <c r="B64" s="56" t="str">
        <f>VLOOKUP($A64,SiteAttendu!$A$2:$C$366,2,0)</f>
        <v>ASAPSU (1) ASS.SOUTIEN.AUTOPROMO.SANIT</v>
      </c>
      <c r="C64" s="57" t="str">
        <f>VLOOKUP($A64,SiteAttendu!$A$2:$C$366,3,0)</f>
        <v>ABIDJAN 2</v>
      </c>
      <c r="D64" s="58">
        <f>IF(VLOOKUP($A64,SiteAttendu!$A$2:$P$366,4,0)="NA","NA",COUNTIFS(soccode,A64,socprog,"PNLS/ANTIRETROVIRAUX ET IO",soctrans,"OUI"))</f>
        <v>0</v>
      </c>
      <c r="E64" s="58">
        <f>IF(VLOOKUP($A64,SiteAttendu!$A$2:$P$366,5,0)="NA","NA",COUNTIFS(soccode,A64,socprog,"PNLS/TESTS RAPIDES ET CONSOMMABLES",soctrans,"OUI"))</f>
        <v>0</v>
      </c>
      <c r="F64" s="58" t="str">
        <f>IF(VLOOKUP($A64,SiteAttendu!$A$2:$P$366,6,0)="NA","NA",COUNTIFS(soccode,A64,socprog,"PNLS/PRODUITS DE LABORATOIRE",soctrans,"OUI"))</f>
        <v>NA</v>
      </c>
      <c r="G64" s="58" t="str">
        <f>IF(VLOOKUP($A64,SiteAttendu!$A$2:$P$366,7,0)="NA","NA",COUNTIFS(soccode,A64,socprog,"PNLS/CHARGES VIRALES",soctrans,"OUI"))</f>
        <v>NA</v>
      </c>
      <c r="H64" s="58">
        <f>IF(VLOOKUP($A64,SiteAttendu!$A$2:$P$366,9,0)="NA","NA",COUNTIFS(soccode,A64,socprog,"PNLP/MEDICAMENTS ET INTRANTS",soctrans,"OUI"))</f>
        <v>0</v>
      </c>
      <c r="I64" s="59">
        <f>IF(VLOOKUP($A64,SiteAttendu!$A$2:$P$366,10,0)="NA","NA",COUNTIFS(soccode,$A64,socprog,"PNSME/MEDICAMENTS ET INTRANTS",soctrans,"OUI"))</f>
        <v>0</v>
      </c>
      <c r="J64" s="58" t="str">
        <f>IF(VLOOKUP($A64,SiteAttendu!$A$2:$P$366,11,0)="NA","NA",COUNTIFS(soccode,$A64,socprog,"PNN/MEDICAMENTS ET INTRANTS",soctrans,"OUI"))</f>
        <v>NA</v>
      </c>
      <c r="K64" s="58" t="str">
        <f>IF(VLOOKUP($A64,SiteAttendu!$A$2:$O$366,15,0)="NA","NA",IF(COUNTIF(socprog,"PNLT/SENSIBLE MEDICAMENTS ET INTRANTS")=0,"NA",COUNTIFS(soccode,$A64,socprog,"PNLT/SENSIBLE MEDICAMENTS ET INTRANTS",soctrans,"OUI")))</f>
        <v>NA</v>
      </c>
      <c r="L64" s="60"/>
      <c r="M64" s="60">
        <f t="shared" ref="M64:S64" si="66">IFERROR(SUMIFS(E$2:E$364,$C$2:$C$364,$C64)/COUNTIFS(E$2:E$364,"&lt;&gt;NA",$C$2:$C$364,$C64),"")</f>
        <v>0.8888888889</v>
      </c>
      <c r="N64" s="60">
        <f t="shared" si="66"/>
        <v>0.8636363636</v>
      </c>
      <c r="O64" s="60">
        <f t="shared" si="66"/>
        <v>0.6923076923</v>
      </c>
      <c r="P64" s="60">
        <f t="shared" si="66"/>
        <v>0.7804878049</v>
      </c>
      <c r="Q64" s="60">
        <f t="shared" si="66"/>
        <v>0.8285714286</v>
      </c>
      <c r="R64" s="60">
        <f t="shared" si="66"/>
        <v>0.625</v>
      </c>
      <c r="S64" s="60">
        <f t="shared" si="66"/>
        <v>0.8947368421</v>
      </c>
      <c r="T64" s="61">
        <f t="shared" si="3"/>
        <v>0.8409090909</v>
      </c>
      <c r="U64" s="53">
        <f t="shared" si="4"/>
        <v>0</v>
      </c>
      <c r="V64" s="54">
        <f t="shared" si="5"/>
        <v>2</v>
      </c>
    </row>
    <row r="65" ht="15.75" customHeight="1">
      <c r="A65" s="55" t="str">
        <f>SiteAttendu!$A65</f>
        <v>C1400</v>
      </c>
      <c r="B65" s="56" t="str">
        <f>VLOOKUP($A65,SiteAttendu!$A$2:$C$366,2,0)</f>
        <v>DISTRICT SANITAIRE COCODY BINGERVILLE</v>
      </c>
      <c r="C65" s="57" t="str">
        <f>VLOOKUP($A65,SiteAttendu!$A$2:$C$366,3,0)</f>
        <v>ABIDJAN 2</v>
      </c>
      <c r="D65" s="58">
        <f>IF(VLOOKUP($A65,SiteAttendu!$A$2:$P$366,4,0)="NA","NA",COUNTIFS(soccode,A65,socprog,"PNLS/ANTIRETROVIRAUX ET IO",soctrans,"OUI"))</f>
        <v>0</v>
      </c>
      <c r="E65" s="58">
        <f>IF(VLOOKUP($A65,SiteAttendu!$A$2:$P$366,5,0)="NA","NA",COUNTIFS(soccode,A65,socprog,"PNLS/TESTS RAPIDES ET CONSOMMABLES",soctrans,"OUI"))</f>
        <v>1</v>
      </c>
      <c r="F65" s="58">
        <f>IF(VLOOKUP($A65,SiteAttendu!$A$2:$P$366,6,0)="NA","NA",COUNTIFS(soccode,A65,socprog,"PNLS/PRODUITS DE LABORATOIRE",soctrans,"OUI"))</f>
        <v>1</v>
      </c>
      <c r="G65" s="58" t="str">
        <f>IF(VLOOKUP($A65,SiteAttendu!$A$2:$P$366,7,0)="NA","NA",COUNTIFS(soccode,A65,socprog,"PNLS/CHARGES VIRALES",soctrans,"OUI"))</f>
        <v>NA</v>
      </c>
      <c r="H65" s="58">
        <f>IF(VLOOKUP($A65,SiteAttendu!$A$2:$P$366,9,0)="NA","NA",COUNTIFS(soccode,A65,socprog,"PNLP/MEDICAMENTS ET INTRANTS",soctrans,"OUI"))</f>
        <v>0</v>
      </c>
      <c r="I65" s="59">
        <f>IF(VLOOKUP($A65,SiteAttendu!$A$2:$P$366,10,0)="NA","NA",COUNTIFS(soccode,$A65,socprog,"PNSME/MEDICAMENTS ET INTRANTS",soctrans,"OUI"))</f>
        <v>1</v>
      </c>
      <c r="J65" s="58">
        <f>IF(VLOOKUP($A65,SiteAttendu!$A$2:$P$366,11,0)="NA","NA",COUNTIFS(soccode,$A65,socprog,"PNN/MEDICAMENTS ET INTRANTS",soctrans,"OUI"))</f>
        <v>1</v>
      </c>
      <c r="K65" s="58" t="str">
        <f>IF(VLOOKUP($A65,SiteAttendu!$A$2:$O$366,15,0)="NA","NA",IF(COUNTIF(socprog,"PNLT/SENSIBLE MEDICAMENTS ET INTRANTS")=0,"NA",COUNTIFS(soccode,$A65,socprog,"PNLT/SENSIBLE MEDICAMENTS ET INTRANTS",soctrans,"OUI")))</f>
        <v>NA</v>
      </c>
      <c r="L65" s="60"/>
      <c r="M65" s="60">
        <f t="shared" ref="M65:S65" si="67">IFERROR(SUMIFS(E$2:E$364,$C$2:$C$364,$C65)/COUNTIFS(E$2:E$364,"&lt;&gt;NA",$C$2:$C$364,$C65),"")</f>
        <v>0.8888888889</v>
      </c>
      <c r="N65" s="60">
        <f t="shared" si="67"/>
        <v>0.8636363636</v>
      </c>
      <c r="O65" s="60">
        <f t="shared" si="67"/>
        <v>0.6923076923</v>
      </c>
      <c r="P65" s="60">
        <f t="shared" si="67"/>
        <v>0.7804878049</v>
      </c>
      <c r="Q65" s="60">
        <f t="shared" si="67"/>
        <v>0.8285714286</v>
      </c>
      <c r="R65" s="60">
        <f t="shared" si="67"/>
        <v>0.625</v>
      </c>
      <c r="S65" s="60">
        <f t="shared" si="67"/>
        <v>0.8947368421</v>
      </c>
      <c r="T65" s="61">
        <f t="shared" si="3"/>
        <v>0.8409090909</v>
      </c>
      <c r="U65" s="53">
        <f t="shared" si="4"/>
        <v>2</v>
      </c>
      <c r="V65" s="54">
        <f t="shared" si="5"/>
        <v>3</v>
      </c>
    </row>
    <row r="66" ht="15.75" customHeight="1">
      <c r="A66" s="55" t="str">
        <f>SiteAttendu!$A66</f>
        <v>C1745</v>
      </c>
      <c r="B66" s="56" t="str">
        <f>VLOOKUP($A66,SiteAttendu!$A$2:$C$366,2,0)</f>
        <v>CHU ANGRE</v>
      </c>
      <c r="C66" s="57" t="str">
        <f>VLOOKUP($A66,SiteAttendu!$A$2:$C$366,3,0)</f>
        <v>ABIDJAN 2</v>
      </c>
      <c r="D66" s="58">
        <f>IF(VLOOKUP($A66,SiteAttendu!$A$2:$P$366,4,0)="NA","NA",COUNTIFS(soccode,A66,socprog,"PNLS/ANTIRETROVIRAUX ET IO",soctrans,"OUI"))</f>
        <v>1</v>
      </c>
      <c r="E66" s="58">
        <f>IF(VLOOKUP($A66,SiteAttendu!$A$2:$P$366,5,0)="NA","NA",COUNTIFS(soccode,A66,socprog,"PNLS/TESTS RAPIDES ET CONSOMMABLES",soctrans,"OUI"))</f>
        <v>1</v>
      </c>
      <c r="F66" s="58" t="str">
        <f>IF(VLOOKUP($A66,SiteAttendu!$A$2:$P$366,6,0)="NA","NA",COUNTIFS(soccode,A66,socprog,"PNLS/PRODUITS DE LABORATOIRE",soctrans,"OUI"))</f>
        <v>NA</v>
      </c>
      <c r="G66" s="58">
        <f>IF(VLOOKUP($A66,SiteAttendu!$A$2:$P$366,7,0)="NA","NA",COUNTIFS(soccode,A66,socprog,"PNLS/CHARGES VIRALES",soctrans,"OUI"))</f>
        <v>1</v>
      </c>
      <c r="H66" s="58">
        <f>IF(VLOOKUP($A66,SiteAttendu!$A$2:$P$366,9,0)="NA","NA",COUNTIFS(soccode,A66,socprog,"PNLP/MEDICAMENTS ET INTRANTS",soctrans,"OUI"))</f>
        <v>1</v>
      </c>
      <c r="I66" s="59">
        <f>IF(VLOOKUP($A66,SiteAttendu!$A$2:$P$366,10,0)="NA","NA",COUNTIFS(soccode,$A66,socprog,"PNSME/MEDICAMENTS ET INTRANTS",soctrans,"OUI"))</f>
        <v>1</v>
      </c>
      <c r="J66" s="58" t="str">
        <f>IF(VLOOKUP($A66,SiteAttendu!$A$2:$P$366,11,0)="NA","NA",COUNTIFS(soccode,$A66,socprog,"PNN/MEDICAMENTS ET INTRANTS",soctrans,"OUI"))</f>
        <v>NA</v>
      </c>
      <c r="K66" s="58" t="str">
        <f>IF(VLOOKUP($A66,SiteAttendu!$A$2:$O$366,15,0)="NA","NA",IF(COUNTIF(socprog,"PNLT/SENSIBLE MEDICAMENTS ET INTRANTS")=0,"NA",COUNTIFS(soccode,$A66,socprog,"PNLT/SENSIBLE MEDICAMENTS ET INTRANTS",soctrans,"OUI")))</f>
        <v>NA</v>
      </c>
      <c r="L66" s="60"/>
      <c r="M66" s="60">
        <f t="shared" ref="M66:S66" si="68">IFERROR(SUMIFS(E$2:E$364,$C$2:$C$364,$C66)/COUNTIFS(E$2:E$364,"&lt;&gt;NA",$C$2:$C$364,$C66),"")</f>
        <v>0.8888888889</v>
      </c>
      <c r="N66" s="60">
        <f t="shared" si="68"/>
        <v>0.8636363636</v>
      </c>
      <c r="O66" s="60">
        <f t="shared" si="68"/>
        <v>0.6923076923</v>
      </c>
      <c r="P66" s="60">
        <f t="shared" si="68"/>
        <v>0.7804878049</v>
      </c>
      <c r="Q66" s="60">
        <f t="shared" si="68"/>
        <v>0.8285714286</v>
      </c>
      <c r="R66" s="60">
        <f t="shared" si="68"/>
        <v>0.625</v>
      </c>
      <c r="S66" s="60">
        <f t="shared" si="68"/>
        <v>0.8947368421</v>
      </c>
      <c r="T66" s="61">
        <f t="shared" si="3"/>
        <v>0.8409090909</v>
      </c>
      <c r="U66" s="53">
        <f t="shared" si="4"/>
        <v>3</v>
      </c>
      <c r="V66" s="54">
        <f t="shared" si="5"/>
        <v>3</v>
      </c>
    </row>
    <row r="67" ht="15.75" customHeight="1">
      <c r="A67" s="55" t="str">
        <f>SiteAttendu!$A67</f>
        <v>C1005</v>
      </c>
      <c r="B67" s="56" t="str">
        <f>VLOOKUP($A67,SiteAttendu!$A$2:$C$366,2,0)</f>
        <v>CHU COCODY</v>
      </c>
      <c r="C67" s="57" t="str">
        <f>VLOOKUP($A67,SiteAttendu!$A$2:$C$366,3,0)</f>
        <v>ABIDJAN 2</v>
      </c>
      <c r="D67" s="58">
        <f>IF(VLOOKUP($A67,SiteAttendu!$A$2:$P$366,4,0)="NA","NA",COUNTIFS(soccode,A67,socprog,"PNLS/ANTIRETROVIRAUX ET IO",soctrans,"OUI"))</f>
        <v>1</v>
      </c>
      <c r="E67" s="58">
        <f>IF(VLOOKUP($A67,SiteAttendu!$A$2:$P$366,5,0)="NA","NA",COUNTIFS(soccode,A67,socprog,"PNLS/TESTS RAPIDES ET CONSOMMABLES",soctrans,"OUI"))</f>
        <v>1</v>
      </c>
      <c r="F67" s="58">
        <f>IF(VLOOKUP($A67,SiteAttendu!$A$2:$P$366,6,0)="NA","NA",COUNTIFS(soccode,A67,socprog,"PNLS/PRODUITS DE LABORATOIRE",soctrans,"OUI"))</f>
        <v>0</v>
      </c>
      <c r="G67" s="58" t="str">
        <f>IF(VLOOKUP($A67,SiteAttendu!$A$2:$P$366,7,0)="NA","NA",COUNTIFS(soccode,A67,socprog,"PNLS/CHARGES VIRALES",soctrans,"OUI"))</f>
        <v>NA</v>
      </c>
      <c r="H67" s="58" t="str">
        <f>IF(VLOOKUP($A67,SiteAttendu!$A$2:$P$366,9,0)="NA","NA",COUNTIFS(soccode,A67,socprog,"PNLP/MEDICAMENTS ET INTRANTS",soctrans,"OUI"))</f>
        <v>NA</v>
      </c>
      <c r="I67" s="59" t="str">
        <f>IF(VLOOKUP($A67,SiteAttendu!$A$2:$P$366,10,0)="NA","NA",COUNTIFS(soccode,$A67,socprog,"PNSME/MEDICAMENTS ET INTRANTS",soctrans,"OUI"))</f>
        <v>NA</v>
      </c>
      <c r="J67" s="58">
        <f>IF(VLOOKUP($A67,SiteAttendu!$A$2:$P$366,11,0)="NA","NA",COUNTIFS(soccode,$A67,socprog,"PNN/MEDICAMENTS ET INTRANTS",soctrans,"OUI"))</f>
        <v>0</v>
      </c>
      <c r="K67" s="58">
        <f>IF(VLOOKUP($A67,SiteAttendu!$A$2:$O$366,15,0)="NA","NA",IF(COUNTIF(socprog,"PNLT/SENSIBLE MEDICAMENTS ET INTRANTS")=0,"NA",COUNTIFS(soccode,$A67,socprog,"PNLT/SENSIBLE MEDICAMENTS ET INTRANTS",soctrans,"OUI")))</f>
        <v>1</v>
      </c>
      <c r="L67" s="60"/>
      <c r="M67" s="60">
        <f t="shared" ref="M67:S67" si="69">IFERROR(SUMIFS(E$2:E$364,$C$2:$C$364,$C67)/COUNTIFS(E$2:E$364,"&lt;&gt;NA",$C$2:$C$364,$C67),"")</f>
        <v>0.8888888889</v>
      </c>
      <c r="N67" s="60">
        <f t="shared" si="69"/>
        <v>0.8636363636</v>
      </c>
      <c r="O67" s="60">
        <f t="shared" si="69"/>
        <v>0.6923076923</v>
      </c>
      <c r="P67" s="60">
        <f t="shared" si="69"/>
        <v>0.7804878049</v>
      </c>
      <c r="Q67" s="60">
        <f t="shared" si="69"/>
        <v>0.8285714286</v>
      </c>
      <c r="R67" s="60">
        <f t="shared" si="69"/>
        <v>0.625</v>
      </c>
      <c r="S67" s="60">
        <f t="shared" si="69"/>
        <v>0.8947368421</v>
      </c>
      <c r="T67" s="61">
        <f t="shared" si="3"/>
        <v>0.8409090909</v>
      </c>
      <c r="U67" s="53">
        <f t="shared" si="4"/>
        <v>2</v>
      </c>
      <c r="V67" s="54">
        <f t="shared" si="5"/>
        <v>3</v>
      </c>
    </row>
    <row r="68" ht="15.75" customHeight="1">
      <c r="A68" s="55" t="str">
        <f>SiteAttendu!$A68</f>
        <v>C1107</v>
      </c>
      <c r="B68" s="56" t="str">
        <f>VLOOKUP($A68,SiteAttendu!$A$2:$C$366,2,0)</f>
        <v>INSTITUT PASTEUR COTE D'IVOIRE</v>
      </c>
      <c r="C68" s="57" t="str">
        <f>VLOOKUP($A68,SiteAttendu!$A$2:$C$366,3,0)</f>
        <v>ABIDJAN 2</v>
      </c>
      <c r="D68" s="58">
        <f>IF(VLOOKUP($A68,SiteAttendu!$A$2:$P$366,4,0)="NA","NA",COUNTIFS(soccode,A68,socprog,"PNLS/ANTIRETROVIRAUX ET IO",soctrans,"OUI"))</f>
        <v>1</v>
      </c>
      <c r="E68" s="58">
        <f>IF(VLOOKUP($A68,SiteAttendu!$A$2:$P$366,5,0)="NA","NA",COUNTIFS(soccode,A68,socprog,"PNLS/TESTS RAPIDES ET CONSOMMABLES",soctrans,"OUI"))</f>
        <v>1</v>
      </c>
      <c r="F68" s="58">
        <f>IF(VLOOKUP($A68,SiteAttendu!$A$2:$P$366,6,0)="NA","NA",COUNTIFS(soccode,A68,socprog,"PNLS/PRODUITS DE LABORATOIRE",soctrans,"OUI"))</f>
        <v>1</v>
      </c>
      <c r="G68" s="58">
        <f>IF(VLOOKUP($A68,SiteAttendu!$A$2:$P$366,7,0)="NA","NA",COUNTIFS(soccode,A68,socprog,"PNLS/CHARGES VIRALES",soctrans,"OUI"))</f>
        <v>1</v>
      </c>
      <c r="H68" s="58" t="str">
        <f>IF(VLOOKUP($A68,SiteAttendu!$A$2:$P$366,9,0)="NA","NA",COUNTIFS(soccode,A68,socprog,"PNLP/MEDICAMENTS ET INTRANTS",soctrans,"OUI"))</f>
        <v>NA</v>
      </c>
      <c r="I68" s="59" t="str">
        <f>IF(VLOOKUP($A68,SiteAttendu!$A$2:$P$366,10,0)="NA","NA",COUNTIFS(soccode,$A68,socprog,"PNSME/MEDICAMENTS ET INTRANTS",soctrans,"OUI"))</f>
        <v>NA</v>
      </c>
      <c r="J68" s="58" t="str">
        <f>IF(VLOOKUP($A68,SiteAttendu!$A$2:$P$366,11,0)="NA","NA",COUNTIFS(soccode,$A68,socprog,"PNN/MEDICAMENTS ET INTRANTS",soctrans,"OUI"))</f>
        <v>NA</v>
      </c>
      <c r="K68" s="58" t="str">
        <f>IF(VLOOKUP($A68,SiteAttendu!$A$2:$O$366,15,0)="NA","NA",IF(COUNTIF(socprog,"PNLT/SENSIBLE MEDICAMENTS ET INTRANTS")=0,"NA",COUNTIFS(soccode,$A68,socprog,"PNLT/SENSIBLE MEDICAMENTS ET INTRANTS",soctrans,"OUI")))</f>
        <v>NA</v>
      </c>
      <c r="L68" s="60"/>
      <c r="M68" s="60">
        <f t="shared" ref="M68:S68" si="70">IFERROR(SUMIFS(E$2:E$364,$C$2:$C$364,$C68)/COUNTIFS(E$2:E$364,"&lt;&gt;NA",$C$2:$C$364,$C68),"")</f>
        <v>0.8888888889</v>
      </c>
      <c r="N68" s="60">
        <f t="shared" si="70"/>
        <v>0.8636363636</v>
      </c>
      <c r="O68" s="60">
        <f t="shared" si="70"/>
        <v>0.6923076923</v>
      </c>
      <c r="P68" s="60">
        <f t="shared" si="70"/>
        <v>0.7804878049</v>
      </c>
      <c r="Q68" s="60">
        <f t="shared" si="70"/>
        <v>0.8285714286</v>
      </c>
      <c r="R68" s="60">
        <f t="shared" si="70"/>
        <v>0.625</v>
      </c>
      <c r="S68" s="60">
        <f t="shared" si="70"/>
        <v>0.8947368421</v>
      </c>
      <c r="T68" s="61">
        <f t="shared" si="3"/>
        <v>0.8409090909</v>
      </c>
      <c r="U68" s="53">
        <f t="shared" si="4"/>
        <v>4</v>
      </c>
      <c r="V68" s="54">
        <f t="shared" si="5"/>
        <v>4</v>
      </c>
    </row>
    <row r="69" ht="15.75" customHeight="1">
      <c r="A69" s="55" t="str">
        <f>SiteAttendu!$A69</f>
        <v>C1749</v>
      </c>
      <c r="B69" s="56" t="str">
        <f>VLOOKUP($A69,SiteAttendu!$A$2:$C$366,2,0)</f>
        <v>CENTRE ANTITUBERCULEUX BINGERVILLE</v>
      </c>
      <c r="C69" s="57" t="str">
        <f>VLOOKUP($A69,SiteAttendu!$A$2:$C$366,3,0)</f>
        <v>ABIDJAN 2</v>
      </c>
      <c r="D69" s="58" t="str">
        <f>IF(VLOOKUP($A69,SiteAttendu!$A$2:$P$366,4,0)="NA","NA",COUNTIFS(soccode,A69,socprog,"PNLS/ANTIRETROVIRAUX ET IO",soctrans,"OUI"))</f>
        <v>NA</v>
      </c>
      <c r="E69" s="58" t="str">
        <f>IF(VLOOKUP($A69,SiteAttendu!$A$2:$P$366,5,0)="NA","NA",COUNTIFS(soccode,A69,socprog,"PNLS/TESTS RAPIDES ET CONSOMMABLES",soctrans,"OUI"))</f>
        <v>NA</v>
      </c>
      <c r="F69" s="58" t="str">
        <f>IF(VLOOKUP($A69,SiteAttendu!$A$2:$P$366,6,0)="NA","NA",COUNTIFS(soccode,A69,socprog,"PNLS/PRODUITS DE LABORATOIRE",soctrans,"OUI"))</f>
        <v>NA</v>
      </c>
      <c r="G69" s="58" t="str">
        <f>IF(VLOOKUP($A69,SiteAttendu!$A$2:$P$366,7,0)="NA","NA",COUNTIFS(soccode,A69,socprog,"PNLS/CHARGES VIRALES",soctrans,"OUI"))</f>
        <v>NA</v>
      </c>
      <c r="H69" s="58" t="str">
        <f>IF(VLOOKUP($A69,SiteAttendu!$A$2:$P$366,9,0)="NA","NA",COUNTIFS(soccode,A69,socprog,"PNLP/MEDICAMENTS ET INTRANTS",soctrans,"OUI"))</f>
        <v>NA</v>
      </c>
      <c r="I69" s="59" t="str">
        <f>IF(VLOOKUP($A69,SiteAttendu!$A$2:$P$366,10,0)="NA","NA",COUNTIFS(soccode,$A69,socprog,"PNSME/MEDICAMENTS ET INTRANTS",soctrans,"OUI"))</f>
        <v>NA</v>
      </c>
      <c r="J69" s="58" t="str">
        <f>IF(VLOOKUP($A69,SiteAttendu!$A$2:$P$366,11,0)="NA","NA",COUNTIFS(soccode,$A69,socprog,"PNN/MEDICAMENTS ET INTRANTS",soctrans,"OUI"))</f>
        <v>NA</v>
      </c>
      <c r="K69" s="58">
        <f>IF(VLOOKUP($A69,SiteAttendu!$A$2:$O$366,15,0)="NA","NA",IF(COUNTIF(socprog,"PNLT/SENSIBLE MEDICAMENTS ET INTRANTS")=0,"NA",COUNTIFS(soccode,$A69,socprog,"PNLT/SENSIBLE MEDICAMENTS ET INTRANTS",soctrans,"OUI")))</f>
        <v>1</v>
      </c>
      <c r="L69" s="60"/>
      <c r="M69" s="60">
        <f t="shared" ref="M69:S69" si="71">IFERROR(SUMIFS(E$2:E$364,$C$2:$C$364,$C69)/COUNTIFS(E$2:E$364,"&lt;&gt;NA",$C$2:$C$364,$C69),"")</f>
        <v>0.8888888889</v>
      </c>
      <c r="N69" s="60">
        <f t="shared" si="71"/>
        <v>0.8636363636</v>
      </c>
      <c r="O69" s="60">
        <f t="shared" si="71"/>
        <v>0.6923076923</v>
      </c>
      <c r="P69" s="60">
        <f t="shared" si="71"/>
        <v>0.7804878049</v>
      </c>
      <c r="Q69" s="60">
        <f t="shared" si="71"/>
        <v>0.8285714286</v>
      </c>
      <c r="R69" s="60">
        <f t="shared" si="71"/>
        <v>0.625</v>
      </c>
      <c r="S69" s="60">
        <f t="shared" si="71"/>
        <v>0.8947368421</v>
      </c>
      <c r="T69" s="61">
        <f t="shared" si="3"/>
        <v>0.8409090909</v>
      </c>
      <c r="U69" s="53">
        <f t="shared" si="4"/>
        <v>0</v>
      </c>
      <c r="V69" s="54">
        <f t="shared" si="5"/>
        <v>0</v>
      </c>
    </row>
    <row r="70" ht="15.75" customHeight="1">
      <c r="A70" s="55" t="str">
        <f>SiteAttendu!$A70</f>
        <v>C1175</v>
      </c>
      <c r="B70" s="56" t="str">
        <f>VLOOKUP($A70,SiteAttendu!$A$2:$C$366,2,0)</f>
        <v>DISPENSAIRE MUNICIPAL AKOUEDO</v>
      </c>
      <c r="C70" s="57" t="str">
        <f>VLOOKUP($A70,SiteAttendu!$A$2:$C$366,3,0)</f>
        <v>ABIDJAN 2</v>
      </c>
      <c r="D70" s="58" t="str">
        <f>IF(VLOOKUP($A70,SiteAttendu!$A$2:$P$366,4,0)="NA","NA",COUNTIFS(soccode,A70,socprog,"PNLS/ANTIRETROVIRAUX ET IO",soctrans,"OUI"))</f>
        <v>NA</v>
      </c>
      <c r="E70" s="58" t="str">
        <f>IF(VLOOKUP($A70,SiteAttendu!$A$2:$P$366,5,0)="NA","NA",COUNTIFS(soccode,A70,socprog,"PNLS/TESTS RAPIDES ET CONSOMMABLES",soctrans,"OUI"))</f>
        <v>NA</v>
      </c>
      <c r="F70" s="58" t="str">
        <f>IF(VLOOKUP($A70,SiteAttendu!$A$2:$P$366,6,0)="NA","NA",COUNTIFS(soccode,A70,socprog,"PNLS/PRODUITS DE LABORATOIRE",soctrans,"OUI"))</f>
        <v>NA</v>
      </c>
      <c r="G70" s="58" t="str">
        <f>IF(VLOOKUP($A70,SiteAttendu!$A$2:$P$366,7,0)="NA","NA",COUNTIFS(soccode,A70,socprog,"PNLS/CHARGES VIRALES",soctrans,"OUI"))</f>
        <v>NA</v>
      </c>
      <c r="H70" s="58" t="str">
        <f>IF(VLOOKUP($A70,SiteAttendu!$A$2:$P$366,9,0)="NA","NA",COUNTIFS(soccode,A70,socprog,"PNLP/MEDICAMENTS ET INTRANTS",soctrans,"OUI"))</f>
        <v>NA</v>
      </c>
      <c r="I70" s="59">
        <f>IF(VLOOKUP($A70,SiteAttendu!$A$2:$P$366,10,0)="NA","NA",COUNTIFS(soccode,$A70,socprog,"PNSME/MEDICAMENTS ET INTRANTS",soctrans,"OUI"))</f>
        <v>1</v>
      </c>
      <c r="J70" s="58" t="str">
        <f>IF(VLOOKUP($A70,SiteAttendu!$A$2:$P$366,11,0)="NA","NA",COUNTIFS(soccode,$A70,socprog,"PNN/MEDICAMENTS ET INTRANTS",soctrans,"OUI"))</f>
        <v>NA</v>
      </c>
      <c r="K70" s="58" t="str">
        <f>IF(VLOOKUP($A70,SiteAttendu!$A$2:$O$366,15,0)="NA","NA",IF(COUNTIF(socprog,"PNLT/SENSIBLE MEDICAMENTS ET INTRANTS")=0,"NA",COUNTIFS(soccode,$A70,socprog,"PNLT/SENSIBLE MEDICAMENTS ET INTRANTS",soctrans,"OUI")))</f>
        <v>NA</v>
      </c>
      <c r="L70" s="60"/>
      <c r="M70" s="60">
        <f t="shared" ref="M70:S70" si="72">IFERROR(SUMIFS(E$2:E$364,$C$2:$C$364,$C70)/COUNTIFS(E$2:E$364,"&lt;&gt;NA",$C$2:$C$364,$C70),"")</f>
        <v>0.8888888889</v>
      </c>
      <c r="N70" s="60">
        <f t="shared" si="72"/>
        <v>0.8636363636</v>
      </c>
      <c r="O70" s="60">
        <f t="shared" si="72"/>
        <v>0.6923076923</v>
      </c>
      <c r="P70" s="60">
        <f t="shared" si="72"/>
        <v>0.7804878049</v>
      </c>
      <c r="Q70" s="60">
        <f t="shared" si="72"/>
        <v>0.8285714286</v>
      </c>
      <c r="R70" s="60">
        <f t="shared" si="72"/>
        <v>0.625</v>
      </c>
      <c r="S70" s="60">
        <f t="shared" si="72"/>
        <v>0.8947368421</v>
      </c>
      <c r="T70" s="61">
        <f t="shared" si="3"/>
        <v>0.8409090909</v>
      </c>
      <c r="U70" s="53">
        <f t="shared" si="4"/>
        <v>0</v>
      </c>
      <c r="V70" s="54">
        <f t="shared" si="5"/>
        <v>0</v>
      </c>
    </row>
    <row r="71" ht="15.75" customHeight="1">
      <c r="A71" s="55" t="str">
        <f>SiteAttendu!$A71</f>
        <v>C1027</v>
      </c>
      <c r="B71" s="56" t="str">
        <f>VLOOKUP($A71,SiteAttendu!$A$2:$C$366,2,0)</f>
        <v>CSU COM KOUMASSI-DIVO</v>
      </c>
      <c r="C71" s="57" t="str">
        <f>VLOOKUP($A71,SiteAttendu!$A$2:$C$366,3,0)</f>
        <v>ABIDJAN 2</v>
      </c>
      <c r="D71" s="58" t="str">
        <f>IF(VLOOKUP($A71,SiteAttendu!$A$2:$P$366,4,0)="NA","NA",COUNTIFS(soccode,A71,socprog,"PNLS/ANTIRETROVIRAUX ET IO",soctrans,"OUI"))</f>
        <v>NA</v>
      </c>
      <c r="E71" s="58" t="str">
        <f>IF(VLOOKUP($A71,SiteAttendu!$A$2:$P$366,5,0)="NA","NA",COUNTIFS(soccode,A71,socprog,"PNLS/TESTS RAPIDES ET CONSOMMABLES",soctrans,"OUI"))</f>
        <v>NA</v>
      </c>
      <c r="F71" s="58" t="str">
        <f>IF(VLOOKUP($A71,SiteAttendu!$A$2:$P$366,6,0)="NA","NA",COUNTIFS(soccode,A71,socprog,"PNLS/PRODUITS DE LABORATOIRE",soctrans,"OUI"))</f>
        <v>NA</v>
      </c>
      <c r="G71" s="58" t="str">
        <f>IF(VLOOKUP($A71,SiteAttendu!$A$2:$P$366,7,0)="NA","NA",COUNTIFS(soccode,A71,socprog,"PNLS/CHARGES VIRALES",soctrans,"OUI"))</f>
        <v>NA</v>
      </c>
      <c r="H71" s="58">
        <f>IF(VLOOKUP($A71,SiteAttendu!$A$2:$P$366,9,0)="NA","NA",COUNTIFS(soccode,A71,socprog,"PNLP/MEDICAMENTS ET INTRANTS",soctrans,"OUI"))</f>
        <v>1</v>
      </c>
      <c r="I71" s="59">
        <f>IF(VLOOKUP($A71,SiteAttendu!$A$2:$P$366,10,0)="NA","NA",COUNTIFS(soccode,$A71,socprog,"PNSME/MEDICAMENTS ET INTRANTS",soctrans,"OUI"))</f>
        <v>1</v>
      </c>
      <c r="J71" s="58" t="str">
        <f>IF(VLOOKUP($A71,SiteAttendu!$A$2:$P$366,11,0)="NA","NA",COUNTIFS(soccode,$A71,socprog,"PNN/MEDICAMENTS ET INTRANTS",soctrans,"OUI"))</f>
        <v>NA</v>
      </c>
      <c r="K71" s="58">
        <f>IF(VLOOKUP($A71,SiteAttendu!$A$2:$O$366,15,0)="NA","NA",IF(COUNTIF(socprog,"PNLT/SENSIBLE MEDICAMENTS ET INTRANTS")=0,"NA",COUNTIFS(soccode,$A71,socprog,"PNLT/SENSIBLE MEDICAMENTS ET INTRANTS",soctrans,"OUI")))</f>
        <v>1</v>
      </c>
      <c r="L71" s="60"/>
      <c r="M71" s="60">
        <f t="shared" ref="M71:S71" si="73">IFERROR(SUMIFS(E$2:E$364,$C$2:$C$364,$C71)/COUNTIFS(E$2:E$364,"&lt;&gt;NA",$C$2:$C$364,$C71),"")</f>
        <v>0.8888888889</v>
      </c>
      <c r="N71" s="60">
        <f t="shared" si="73"/>
        <v>0.8636363636</v>
      </c>
      <c r="O71" s="60">
        <f t="shared" si="73"/>
        <v>0.6923076923</v>
      </c>
      <c r="P71" s="60">
        <f t="shared" si="73"/>
        <v>0.7804878049</v>
      </c>
      <c r="Q71" s="60">
        <f t="shared" si="73"/>
        <v>0.8285714286</v>
      </c>
      <c r="R71" s="60">
        <f t="shared" si="73"/>
        <v>0.625</v>
      </c>
      <c r="S71" s="60">
        <f t="shared" si="73"/>
        <v>0.8947368421</v>
      </c>
      <c r="T71" s="61">
        <f t="shared" si="3"/>
        <v>0.8409090909</v>
      </c>
      <c r="U71" s="53">
        <f t="shared" si="4"/>
        <v>0</v>
      </c>
      <c r="V71" s="54">
        <f t="shared" si="5"/>
        <v>0</v>
      </c>
    </row>
    <row r="72" ht="15.75" customHeight="1">
      <c r="A72" s="55" t="str">
        <f>SiteAttendu!$A72</f>
        <v>C1058</v>
      </c>
      <c r="B72" s="56" t="str">
        <f>VLOOKUP($A72,SiteAttendu!$A$2:$C$366,2,0)</f>
        <v>HOPITAL GENERAL KOUMASSI</v>
      </c>
      <c r="C72" s="57" t="str">
        <f>VLOOKUP($A72,SiteAttendu!$A$2:$C$366,3,0)</f>
        <v>ABIDJAN 2</v>
      </c>
      <c r="D72" s="58">
        <f>IF(VLOOKUP($A72,SiteAttendu!$A$2:$P$366,4,0)="NA","NA",COUNTIFS(soccode,A72,socprog,"PNLS/ANTIRETROVIRAUX ET IO",soctrans,"OUI"))</f>
        <v>1</v>
      </c>
      <c r="E72" s="58">
        <f>IF(VLOOKUP($A72,SiteAttendu!$A$2:$P$366,5,0)="NA","NA",COUNTIFS(soccode,A72,socprog,"PNLS/TESTS RAPIDES ET CONSOMMABLES",soctrans,"OUI"))</f>
        <v>1</v>
      </c>
      <c r="F72" s="58">
        <f>IF(VLOOKUP($A72,SiteAttendu!$A$2:$P$366,6,0)="NA","NA",COUNTIFS(soccode,A72,socprog,"PNLS/PRODUITS DE LABORATOIRE",soctrans,"OUI"))</f>
        <v>1</v>
      </c>
      <c r="G72" s="58">
        <f>IF(VLOOKUP($A72,SiteAttendu!$A$2:$P$366,7,0)="NA","NA",COUNTIFS(soccode,A72,socprog,"PNLS/CHARGES VIRALES",soctrans,"OUI"))</f>
        <v>0</v>
      </c>
      <c r="H72" s="58">
        <f>IF(VLOOKUP($A72,SiteAttendu!$A$2:$P$366,9,0)="NA","NA",COUNTIFS(soccode,A72,socprog,"PNLP/MEDICAMENTS ET INTRANTS",soctrans,"OUI"))</f>
        <v>1</v>
      </c>
      <c r="I72" s="59">
        <f>IF(VLOOKUP($A72,SiteAttendu!$A$2:$P$366,10,0)="NA","NA",COUNTIFS(soccode,$A72,socprog,"PNSME/MEDICAMENTS ET INTRANTS",soctrans,"OUI"))</f>
        <v>1</v>
      </c>
      <c r="J72" s="58" t="str">
        <f>IF(VLOOKUP($A72,SiteAttendu!$A$2:$P$366,11,0)="NA","NA",COUNTIFS(soccode,$A72,socprog,"PNN/MEDICAMENTS ET INTRANTS",soctrans,"OUI"))</f>
        <v>NA</v>
      </c>
      <c r="K72" s="58">
        <f>IF(VLOOKUP($A72,SiteAttendu!$A$2:$O$366,15,0)="NA","NA",IF(COUNTIF(socprog,"PNLT/SENSIBLE MEDICAMENTS ET INTRANTS")=0,"NA",COUNTIFS(soccode,$A72,socprog,"PNLT/SENSIBLE MEDICAMENTS ET INTRANTS",soctrans,"OUI")))</f>
        <v>1</v>
      </c>
      <c r="L72" s="60"/>
      <c r="M72" s="60">
        <f t="shared" ref="M72:S72" si="74">IFERROR(SUMIFS(E$2:E$364,$C$2:$C$364,$C72)/COUNTIFS(E$2:E$364,"&lt;&gt;NA",$C$2:$C$364,$C72),"")</f>
        <v>0.8888888889</v>
      </c>
      <c r="N72" s="60">
        <f t="shared" si="74"/>
        <v>0.8636363636</v>
      </c>
      <c r="O72" s="60">
        <f t="shared" si="74"/>
        <v>0.6923076923</v>
      </c>
      <c r="P72" s="60">
        <f t="shared" si="74"/>
        <v>0.7804878049</v>
      </c>
      <c r="Q72" s="60">
        <f t="shared" si="74"/>
        <v>0.8285714286</v>
      </c>
      <c r="R72" s="60">
        <f t="shared" si="74"/>
        <v>0.625</v>
      </c>
      <c r="S72" s="60">
        <f t="shared" si="74"/>
        <v>0.8947368421</v>
      </c>
      <c r="T72" s="61">
        <f t="shared" si="3"/>
        <v>0.8409090909</v>
      </c>
      <c r="U72" s="53">
        <f t="shared" si="4"/>
        <v>3</v>
      </c>
      <c r="V72" s="54">
        <f t="shared" si="5"/>
        <v>4</v>
      </c>
    </row>
    <row r="73" ht="15.75" customHeight="1">
      <c r="A73" s="55" t="str">
        <f>SiteAttendu!$A73</f>
        <v>C1069</v>
      </c>
      <c r="B73" s="56" t="str">
        <f>VLOOKUP($A73,SiteAttendu!$A$2:$C$366,2,0)</f>
        <v>FSU COM KOUMASSI GRAND CAMPEMENT</v>
      </c>
      <c r="C73" s="57" t="str">
        <f>VLOOKUP($A73,SiteAttendu!$A$2:$C$366,3,0)</f>
        <v>ABIDJAN 2</v>
      </c>
      <c r="D73" s="58">
        <f>IF(VLOOKUP($A73,SiteAttendu!$A$2:$P$366,4,0)="NA","NA",COUNTIFS(soccode,A73,socprog,"PNLS/ANTIRETROVIRAUX ET IO",soctrans,"OUI"))</f>
        <v>1</v>
      </c>
      <c r="E73" s="58">
        <f>IF(VLOOKUP($A73,SiteAttendu!$A$2:$P$366,5,0)="NA","NA",COUNTIFS(soccode,A73,socprog,"PNLS/TESTS RAPIDES ET CONSOMMABLES",soctrans,"OUI"))</f>
        <v>1</v>
      </c>
      <c r="F73" s="58">
        <f>IF(VLOOKUP($A73,SiteAttendu!$A$2:$P$366,6,0)="NA","NA",COUNTIFS(soccode,A73,socprog,"PNLS/PRODUITS DE LABORATOIRE",soctrans,"OUI"))</f>
        <v>1</v>
      </c>
      <c r="G73" s="58" t="str">
        <f>IF(VLOOKUP($A73,SiteAttendu!$A$2:$P$366,7,0)="NA","NA",COUNTIFS(soccode,A73,socprog,"PNLS/CHARGES VIRALES",soctrans,"OUI"))</f>
        <v>NA</v>
      </c>
      <c r="H73" s="58">
        <f>IF(VLOOKUP($A73,SiteAttendu!$A$2:$P$366,9,0)="NA","NA",COUNTIFS(soccode,A73,socprog,"PNLP/MEDICAMENTS ET INTRANTS",soctrans,"OUI"))</f>
        <v>1</v>
      </c>
      <c r="I73" s="59">
        <f>IF(VLOOKUP($A73,SiteAttendu!$A$2:$P$366,10,0)="NA","NA",COUNTIFS(soccode,$A73,socprog,"PNSME/MEDICAMENTS ET INTRANTS",soctrans,"OUI"))</f>
        <v>1</v>
      </c>
      <c r="J73" s="58" t="str">
        <f>IF(VLOOKUP($A73,SiteAttendu!$A$2:$P$366,11,0)="NA","NA",COUNTIFS(soccode,$A73,socprog,"PNN/MEDICAMENTS ET INTRANTS",soctrans,"OUI"))</f>
        <v>NA</v>
      </c>
      <c r="K73" s="58" t="str">
        <f>IF(VLOOKUP($A73,SiteAttendu!$A$2:$O$366,15,0)="NA","NA",IF(COUNTIF(socprog,"PNLT/SENSIBLE MEDICAMENTS ET INTRANTS")=0,"NA",COUNTIFS(soccode,$A73,socprog,"PNLT/SENSIBLE MEDICAMENTS ET INTRANTS",soctrans,"OUI")))</f>
        <v>NA</v>
      </c>
      <c r="L73" s="60"/>
      <c r="M73" s="60">
        <f t="shared" ref="M73:S73" si="75">IFERROR(SUMIFS(E$2:E$364,$C$2:$C$364,$C73)/COUNTIFS(E$2:E$364,"&lt;&gt;NA",$C$2:$C$364,$C73),"")</f>
        <v>0.8888888889</v>
      </c>
      <c r="N73" s="60">
        <f t="shared" si="75"/>
        <v>0.8636363636</v>
      </c>
      <c r="O73" s="60">
        <f t="shared" si="75"/>
        <v>0.6923076923</v>
      </c>
      <c r="P73" s="60">
        <f t="shared" si="75"/>
        <v>0.7804878049</v>
      </c>
      <c r="Q73" s="60">
        <f t="shared" si="75"/>
        <v>0.8285714286</v>
      </c>
      <c r="R73" s="60">
        <f t="shared" si="75"/>
        <v>0.625</v>
      </c>
      <c r="S73" s="60">
        <f t="shared" si="75"/>
        <v>0.8947368421</v>
      </c>
      <c r="T73" s="61">
        <f t="shared" si="3"/>
        <v>0.8409090909</v>
      </c>
      <c r="U73" s="53">
        <f t="shared" si="4"/>
        <v>3</v>
      </c>
      <c r="V73" s="54">
        <f t="shared" si="5"/>
        <v>3</v>
      </c>
    </row>
    <row r="74" ht="15.75" customHeight="1">
      <c r="A74" s="55" t="str">
        <f>SiteAttendu!$A74</f>
        <v>C1904</v>
      </c>
      <c r="B74" s="56" t="str">
        <f>VLOOKUP($A74,SiteAttendu!$A$2:$C$366,2,0)</f>
        <v>DISTRICT SANITAIRE KOUMASSI</v>
      </c>
      <c r="C74" s="57" t="str">
        <f>VLOOKUP($A74,SiteAttendu!$A$2:$C$366,3,0)</f>
        <v>ABIDJAN 2</v>
      </c>
      <c r="D74" s="58">
        <f>IF(VLOOKUP($A74,SiteAttendu!$A$2:$P$366,4,0)="NA","NA",COUNTIFS(soccode,A74,socprog,"PNLS/ANTIRETROVIRAUX ET IO",soctrans,"OUI"))</f>
        <v>1</v>
      </c>
      <c r="E74" s="58">
        <f>IF(VLOOKUP($A74,SiteAttendu!$A$2:$P$366,5,0)="NA","NA",COUNTIFS(soccode,A74,socprog,"PNLS/TESTS RAPIDES ET CONSOMMABLES",soctrans,"OUI"))</f>
        <v>1</v>
      </c>
      <c r="F74" s="58">
        <f>IF(VLOOKUP($A74,SiteAttendu!$A$2:$P$366,6,0)="NA","NA",COUNTIFS(soccode,A74,socprog,"PNLS/PRODUITS DE LABORATOIRE",soctrans,"OUI"))</f>
        <v>1</v>
      </c>
      <c r="G74" s="58" t="str">
        <f>IF(VLOOKUP($A74,SiteAttendu!$A$2:$P$366,7,0)="NA","NA",COUNTIFS(soccode,A74,socprog,"PNLS/CHARGES VIRALES",soctrans,"OUI"))</f>
        <v>NA</v>
      </c>
      <c r="H74" s="58">
        <f>IF(VLOOKUP($A74,SiteAttendu!$A$2:$P$366,9,0)="NA","NA",COUNTIFS(soccode,A74,socprog,"PNLP/MEDICAMENTS ET INTRANTS",soctrans,"OUI"))</f>
        <v>1</v>
      </c>
      <c r="I74" s="59">
        <f>IF(VLOOKUP($A74,SiteAttendu!$A$2:$P$366,10,0)="NA","NA",COUNTIFS(soccode,$A74,socprog,"PNSME/MEDICAMENTS ET INTRANTS",soctrans,"OUI"))</f>
        <v>1</v>
      </c>
      <c r="J74" s="58" t="str">
        <f>IF(VLOOKUP($A74,SiteAttendu!$A$2:$P$366,11,0)="NA","NA",COUNTIFS(soccode,$A74,socprog,"PNN/MEDICAMENTS ET INTRANTS",soctrans,"OUI"))</f>
        <v>NA</v>
      </c>
      <c r="K74" s="58" t="str">
        <f>IF(VLOOKUP($A74,SiteAttendu!$A$2:$O$366,15,0)="NA","NA",IF(COUNTIF(socprog,"PNLT/SENSIBLE MEDICAMENTS ET INTRANTS")=0,"NA",COUNTIFS(soccode,$A74,socprog,"PNLT/SENSIBLE MEDICAMENTS ET INTRANTS",soctrans,"OUI")))</f>
        <v>NA</v>
      </c>
      <c r="L74" s="60"/>
      <c r="M74" s="60">
        <f t="shared" ref="M74:S74" si="76">IFERROR(SUMIFS(E$2:E$364,$C$2:$C$364,$C74)/COUNTIFS(E$2:E$364,"&lt;&gt;NA",$C$2:$C$364,$C74),"")</f>
        <v>0.8888888889</v>
      </c>
      <c r="N74" s="60">
        <f t="shared" si="76"/>
        <v>0.8636363636</v>
      </c>
      <c r="O74" s="60">
        <f t="shared" si="76"/>
        <v>0.6923076923</v>
      </c>
      <c r="P74" s="60">
        <f t="shared" si="76"/>
        <v>0.7804878049</v>
      </c>
      <c r="Q74" s="60">
        <f t="shared" si="76"/>
        <v>0.8285714286</v>
      </c>
      <c r="R74" s="60">
        <f t="shared" si="76"/>
        <v>0.625</v>
      </c>
      <c r="S74" s="60">
        <f t="shared" si="76"/>
        <v>0.8947368421</v>
      </c>
      <c r="T74" s="61">
        <f t="shared" si="3"/>
        <v>0.8409090909</v>
      </c>
      <c r="U74" s="53">
        <f t="shared" si="4"/>
        <v>3</v>
      </c>
      <c r="V74" s="54">
        <f t="shared" si="5"/>
        <v>3</v>
      </c>
    </row>
    <row r="75" ht="15.75" customHeight="1">
      <c r="A75" s="55" t="str">
        <f>SiteAttendu!$A75</f>
        <v>C1685</v>
      </c>
      <c r="B75" s="56" t="str">
        <f>VLOOKUP($A75,SiteAttendu!$A$2:$C$366,2,0)</f>
        <v>CENTRE ANTI-TUBERCULEUX KOUMASSI</v>
      </c>
      <c r="C75" s="57" t="str">
        <f>VLOOKUP($A75,SiteAttendu!$A$2:$C$366,3,0)</f>
        <v>ABIDJAN 2</v>
      </c>
      <c r="D75" s="58" t="str">
        <f>IF(VLOOKUP($A75,SiteAttendu!$A$2:$P$366,4,0)="NA","NA",COUNTIFS(soccode,A75,socprog,"PNLS/ANTIRETROVIRAUX ET IO",soctrans,"OUI"))</f>
        <v>NA</v>
      </c>
      <c r="E75" s="58" t="str">
        <f>IF(VLOOKUP($A75,SiteAttendu!$A$2:$P$366,5,0)="NA","NA",COUNTIFS(soccode,A75,socprog,"PNLS/TESTS RAPIDES ET CONSOMMABLES",soctrans,"OUI"))</f>
        <v>NA</v>
      </c>
      <c r="F75" s="58" t="str">
        <f>IF(VLOOKUP($A75,SiteAttendu!$A$2:$P$366,6,0)="NA","NA",COUNTIFS(soccode,A75,socprog,"PNLS/PRODUITS DE LABORATOIRE",soctrans,"OUI"))</f>
        <v>NA</v>
      </c>
      <c r="G75" s="58" t="str">
        <f>IF(VLOOKUP($A75,SiteAttendu!$A$2:$P$366,7,0)="NA","NA",COUNTIFS(soccode,A75,socprog,"PNLS/CHARGES VIRALES",soctrans,"OUI"))</f>
        <v>NA</v>
      </c>
      <c r="H75" s="58" t="str">
        <f>IF(VLOOKUP($A75,SiteAttendu!$A$2:$P$366,9,0)="NA","NA",COUNTIFS(soccode,A75,socprog,"PNLP/MEDICAMENTS ET INTRANTS",soctrans,"OUI"))</f>
        <v>NA</v>
      </c>
      <c r="I75" s="59" t="str">
        <f>IF(VLOOKUP($A75,SiteAttendu!$A$2:$P$366,10,0)="NA","NA",COUNTIFS(soccode,$A75,socprog,"PNSME/MEDICAMENTS ET INTRANTS",soctrans,"OUI"))</f>
        <v>NA</v>
      </c>
      <c r="J75" s="58" t="str">
        <f>IF(VLOOKUP($A75,SiteAttendu!$A$2:$P$366,11,0)="NA","NA",COUNTIFS(soccode,$A75,socprog,"PNN/MEDICAMENTS ET INTRANTS",soctrans,"OUI"))</f>
        <v>NA</v>
      </c>
      <c r="K75" s="58">
        <f>IF(VLOOKUP($A75,SiteAttendu!$A$2:$O$366,15,0)="NA","NA",IF(COUNTIF(socprog,"PNLT/SENSIBLE MEDICAMENTS ET INTRANTS")=0,"NA",COUNTIFS(soccode,$A75,socprog,"PNLT/SENSIBLE MEDICAMENTS ET INTRANTS",soctrans,"OUI")))</f>
        <v>0</v>
      </c>
      <c r="L75" s="60"/>
      <c r="M75" s="60">
        <f t="shared" ref="M75:S75" si="77">IFERROR(SUMIFS(E$2:E$364,$C$2:$C$364,$C75)/COUNTIFS(E$2:E$364,"&lt;&gt;NA",$C$2:$C$364,$C75),"")</f>
        <v>0.8888888889</v>
      </c>
      <c r="N75" s="60">
        <f t="shared" si="77"/>
        <v>0.8636363636</v>
      </c>
      <c r="O75" s="60">
        <f t="shared" si="77"/>
        <v>0.6923076923</v>
      </c>
      <c r="P75" s="60">
        <f t="shared" si="77"/>
        <v>0.7804878049</v>
      </c>
      <c r="Q75" s="60">
        <f t="shared" si="77"/>
        <v>0.8285714286</v>
      </c>
      <c r="R75" s="60">
        <f t="shared" si="77"/>
        <v>0.625</v>
      </c>
      <c r="S75" s="60">
        <f t="shared" si="77"/>
        <v>0.8947368421</v>
      </c>
      <c r="T75" s="61">
        <f t="shared" si="3"/>
        <v>0.8409090909</v>
      </c>
      <c r="U75" s="53">
        <f t="shared" si="4"/>
        <v>0</v>
      </c>
      <c r="V75" s="54">
        <f t="shared" si="5"/>
        <v>0</v>
      </c>
    </row>
    <row r="76" ht="15.75" customHeight="1">
      <c r="A76" s="55" t="str">
        <f>SiteAttendu!$A76</f>
        <v>C1033</v>
      </c>
      <c r="B76" s="56" t="str">
        <f>VLOOKUP($A76,SiteAttendu!$A$2:$C$366,2,0)</f>
        <v>CSU COM POINTE DES FUMEURS</v>
      </c>
      <c r="C76" s="57" t="str">
        <f>VLOOKUP($A76,SiteAttendu!$A$2:$C$366,3,0)</f>
        <v>ABIDJAN 2</v>
      </c>
      <c r="D76" s="58" t="str">
        <f>IF(VLOOKUP($A76,SiteAttendu!$A$2:$P$366,4,0)="NA","NA",COUNTIFS(soccode,A76,socprog,"PNLS/ANTIRETROVIRAUX ET IO",soctrans,"OUI"))</f>
        <v>NA</v>
      </c>
      <c r="E76" s="58" t="str">
        <f>IF(VLOOKUP($A76,SiteAttendu!$A$2:$P$366,5,0)="NA","NA",COUNTIFS(soccode,A76,socprog,"PNLS/TESTS RAPIDES ET CONSOMMABLES",soctrans,"OUI"))</f>
        <v>NA</v>
      </c>
      <c r="F76" s="58" t="str">
        <f>IF(VLOOKUP($A76,SiteAttendu!$A$2:$P$366,6,0)="NA","NA",COUNTIFS(soccode,A76,socprog,"PNLS/PRODUITS DE LABORATOIRE",soctrans,"OUI"))</f>
        <v>NA</v>
      </c>
      <c r="G76" s="58" t="str">
        <f>IF(VLOOKUP($A76,SiteAttendu!$A$2:$P$366,7,0)="NA","NA",COUNTIFS(soccode,A76,socprog,"PNLS/CHARGES VIRALES",soctrans,"OUI"))</f>
        <v>NA</v>
      </c>
      <c r="H76" s="58">
        <f>IF(VLOOKUP($A76,SiteAttendu!$A$2:$P$366,9,0)="NA","NA",COUNTIFS(soccode,A76,socprog,"PNLP/MEDICAMENTS ET INTRANTS",soctrans,"OUI"))</f>
        <v>0</v>
      </c>
      <c r="I76" s="59" t="str">
        <f>IF(VLOOKUP($A76,SiteAttendu!$A$2:$P$366,10,0)="NA","NA",COUNTIFS(soccode,$A76,socprog,"PNSME/MEDICAMENTS ET INTRANTS",soctrans,"OUI"))</f>
        <v>NA</v>
      </c>
      <c r="J76" s="58" t="str">
        <f>IF(VLOOKUP($A76,SiteAttendu!$A$2:$P$366,11,0)="NA","NA",COUNTIFS(soccode,$A76,socprog,"PNN/MEDICAMENTS ET INTRANTS",soctrans,"OUI"))</f>
        <v>NA</v>
      </c>
      <c r="K76" s="58" t="str">
        <f>IF(VLOOKUP($A76,SiteAttendu!$A$2:$O$366,15,0)="NA","NA",IF(COUNTIF(socprog,"PNLT/SENSIBLE MEDICAMENTS ET INTRANTS")=0,"NA",COUNTIFS(soccode,$A76,socprog,"PNLT/SENSIBLE MEDICAMENTS ET INTRANTS",soctrans,"OUI")))</f>
        <v>NA</v>
      </c>
      <c r="L76" s="60"/>
      <c r="M76" s="60">
        <f t="shared" ref="M76:S76" si="78">IFERROR(SUMIFS(E$2:E$364,$C$2:$C$364,$C76)/COUNTIFS(E$2:E$364,"&lt;&gt;NA",$C$2:$C$364,$C76),"")</f>
        <v>0.8888888889</v>
      </c>
      <c r="N76" s="60">
        <f t="shared" si="78"/>
        <v>0.8636363636</v>
      </c>
      <c r="O76" s="60">
        <f t="shared" si="78"/>
        <v>0.6923076923</v>
      </c>
      <c r="P76" s="60">
        <f t="shared" si="78"/>
        <v>0.7804878049</v>
      </c>
      <c r="Q76" s="60">
        <f t="shared" si="78"/>
        <v>0.8285714286</v>
      </c>
      <c r="R76" s="60">
        <f t="shared" si="78"/>
        <v>0.625</v>
      </c>
      <c r="S76" s="60">
        <f t="shared" si="78"/>
        <v>0.8947368421</v>
      </c>
      <c r="T76" s="61">
        <f t="shared" si="3"/>
        <v>0.8409090909</v>
      </c>
      <c r="U76" s="53">
        <f t="shared" si="4"/>
        <v>0</v>
      </c>
      <c r="V76" s="54">
        <f t="shared" si="5"/>
        <v>0</v>
      </c>
    </row>
    <row r="77" ht="15.75" customHeight="1">
      <c r="A77" s="55" t="str">
        <f>SiteAttendu!$A77</f>
        <v>C1015</v>
      </c>
      <c r="B77" s="56" t="str">
        <f>VLOOKUP($A77,SiteAttendu!$A$2:$C$366,2,0)</f>
        <v>CSU COM AKLOMIABLA</v>
      </c>
      <c r="C77" s="57" t="str">
        <f>VLOOKUP($A77,SiteAttendu!$A$2:$C$366,3,0)</f>
        <v>ABIDJAN 2</v>
      </c>
      <c r="D77" s="58" t="str">
        <f>IF(VLOOKUP($A77,SiteAttendu!$A$2:$P$366,4,0)="NA","NA",COUNTIFS(soccode,A77,socprog,"PNLS/ANTIRETROVIRAUX ET IO",soctrans,"OUI"))</f>
        <v>NA</v>
      </c>
      <c r="E77" s="58" t="str">
        <f>IF(VLOOKUP($A77,SiteAttendu!$A$2:$P$366,5,0)="NA","NA",COUNTIFS(soccode,A77,socprog,"PNLS/TESTS RAPIDES ET CONSOMMABLES",soctrans,"OUI"))</f>
        <v>NA</v>
      </c>
      <c r="F77" s="58" t="str">
        <f>IF(VLOOKUP($A77,SiteAttendu!$A$2:$P$366,6,0)="NA","NA",COUNTIFS(soccode,A77,socprog,"PNLS/PRODUITS DE LABORATOIRE",soctrans,"OUI"))</f>
        <v>NA</v>
      </c>
      <c r="G77" s="58" t="str">
        <f>IF(VLOOKUP($A77,SiteAttendu!$A$2:$P$366,7,0)="NA","NA",COUNTIFS(soccode,A77,socprog,"PNLS/CHARGES VIRALES",soctrans,"OUI"))</f>
        <v>NA</v>
      </c>
      <c r="H77" s="58">
        <f>IF(VLOOKUP($A77,SiteAttendu!$A$2:$P$366,9,0)="NA","NA",COUNTIFS(soccode,A77,socprog,"PNLP/MEDICAMENTS ET INTRANTS",soctrans,"OUI"))</f>
        <v>1</v>
      </c>
      <c r="I77" s="59">
        <f>IF(VLOOKUP($A77,SiteAttendu!$A$2:$P$366,10,0)="NA","NA",COUNTIFS(soccode,$A77,socprog,"PNSME/MEDICAMENTS ET INTRANTS",soctrans,"OUI"))</f>
        <v>1</v>
      </c>
      <c r="J77" s="58" t="str">
        <f>IF(VLOOKUP($A77,SiteAttendu!$A$2:$P$366,11,0)="NA","NA",COUNTIFS(soccode,$A77,socprog,"PNN/MEDICAMENTS ET INTRANTS",soctrans,"OUI"))</f>
        <v>NA</v>
      </c>
      <c r="K77" s="58" t="str">
        <f>IF(VLOOKUP($A77,SiteAttendu!$A$2:$O$366,15,0)="NA","NA",IF(COUNTIF(socprog,"PNLT/SENSIBLE MEDICAMENTS ET INTRANTS")=0,"NA",COUNTIFS(soccode,$A77,socprog,"PNLT/SENSIBLE MEDICAMENTS ET INTRANTS",soctrans,"OUI")))</f>
        <v>NA</v>
      </c>
      <c r="L77" s="60"/>
      <c r="M77" s="60">
        <f t="shared" ref="M77:S77" si="79">IFERROR(SUMIFS(E$2:E$364,$C$2:$C$364,$C77)/COUNTIFS(E$2:E$364,"&lt;&gt;NA",$C$2:$C$364,$C77),"")</f>
        <v>0.8888888889</v>
      </c>
      <c r="N77" s="60">
        <f t="shared" si="79"/>
        <v>0.8636363636</v>
      </c>
      <c r="O77" s="60">
        <f t="shared" si="79"/>
        <v>0.6923076923</v>
      </c>
      <c r="P77" s="60">
        <f t="shared" si="79"/>
        <v>0.7804878049</v>
      </c>
      <c r="Q77" s="60">
        <f t="shared" si="79"/>
        <v>0.8285714286</v>
      </c>
      <c r="R77" s="60">
        <f t="shared" si="79"/>
        <v>0.625</v>
      </c>
      <c r="S77" s="60">
        <f t="shared" si="79"/>
        <v>0.8947368421</v>
      </c>
      <c r="T77" s="61">
        <f t="shared" si="3"/>
        <v>0.8409090909</v>
      </c>
      <c r="U77" s="53">
        <f t="shared" si="4"/>
        <v>0</v>
      </c>
      <c r="V77" s="54">
        <f t="shared" si="5"/>
        <v>0</v>
      </c>
    </row>
    <row r="78" ht="15.75" customHeight="1">
      <c r="A78" s="55" t="str">
        <f>SiteAttendu!$A78</f>
        <v>C1024</v>
      </c>
      <c r="B78" s="56" t="str">
        <f>VLOOKUP($A78,SiteAttendu!$A$2:$C$366,2,0)</f>
        <v>CSU COM GONZAGUEVILLE</v>
      </c>
      <c r="C78" s="57" t="str">
        <f>VLOOKUP($A78,SiteAttendu!$A$2:$C$366,3,0)</f>
        <v>ABIDJAN 2</v>
      </c>
      <c r="D78" s="58" t="str">
        <f>IF(VLOOKUP($A78,SiteAttendu!$A$2:$P$366,4,0)="NA","NA",COUNTIFS(soccode,A78,socprog,"PNLS/ANTIRETROVIRAUX ET IO",soctrans,"OUI"))</f>
        <v>NA</v>
      </c>
      <c r="E78" s="58" t="str">
        <f>IF(VLOOKUP($A78,SiteAttendu!$A$2:$P$366,5,0)="NA","NA",COUNTIFS(soccode,A78,socprog,"PNLS/TESTS RAPIDES ET CONSOMMABLES",soctrans,"OUI"))</f>
        <v>NA</v>
      </c>
      <c r="F78" s="58" t="str">
        <f>IF(VLOOKUP($A78,SiteAttendu!$A$2:$P$366,6,0)="NA","NA",COUNTIFS(soccode,A78,socprog,"PNLS/PRODUITS DE LABORATOIRE",soctrans,"OUI"))</f>
        <v>NA</v>
      </c>
      <c r="G78" s="58" t="str">
        <f>IF(VLOOKUP($A78,SiteAttendu!$A$2:$P$366,7,0)="NA","NA",COUNTIFS(soccode,A78,socprog,"PNLS/CHARGES VIRALES",soctrans,"OUI"))</f>
        <v>NA</v>
      </c>
      <c r="H78" s="58">
        <f>IF(VLOOKUP($A78,SiteAttendu!$A$2:$P$366,9,0)="NA","NA",COUNTIFS(soccode,A78,socprog,"PNLP/MEDICAMENTS ET INTRANTS",soctrans,"OUI"))</f>
        <v>1</v>
      </c>
      <c r="I78" s="59">
        <f>IF(VLOOKUP($A78,SiteAttendu!$A$2:$P$366,10,0)="NA","NA",COUNTIFS(soccode,$A78,socprog,"PNSME/MEDICAMENTS ET INTRANTS",soctrans,"OUI"))</f>
        <v>1</v>
      </c>
      <c r="J78" s="58" t="str">
        <f>IF(VLOOKUP($A78,SiteAttendu!$A$2:$P$366,11,0)="NA","NA",COUNTIFS(soccode,$A78,socprog,"PNN/MEDICAMENTS ET INTRANTS",soctrans,"OUI"))</f>
        <v>NA</v>
      </c>
      <c r="K78" s="58">
        <f>IF(VLOOKUP($A78,SiteAttendu!$A$2:$O$366,15,0)="NA","NA",IF(COUNTIF(socprog,"PNLT/SENSIBLE MEDICAMENTS ET INTRANTS")=0,"NA",COUNTIFS(soccode,$A78,socprog,"PNLT/SENSIBLE MEDICAMENTS ET INTRANTS",soctrans,"OUI")))</f>
        <v>1</v>
      </c>
      <c r="L78" s="60"/>
      <c r="M78" s="60">
        <f t="shared" ref="M78:S78" si="80">IFERROR(SUMIFS(E$2:E$364,$C$2:$C$364,$C78)/COUNTIFS(E$2:E$364,"&lt;&gt;NA",$C$2:$C$364,$C78),"")</f>
        <v>0.8888888889</v>
      </c>
      <c r="N78" s="60">
        <f t="shared" si="80"/>
        <v>0.8636363636</v>
      </c>
      <c r="O78" s="60">
        <f t="shared" si="80"/>
        <v>0.6923076923</v>
      </c>
      <c r="P78" s="60">
        <f t="shared" si="80"/>
        <v>0.7804878049</v>
      </c>
      <c r="Q78" s="60">
        <f t="shared" si="80"/>
        <v>0.8285714286</v>
      </c>
      <c r="R78" s="60">
        <f t="shared" si="80"/>
        <v>0.625</v>
      </c>
      <c r="S78" s="60">
        <f t="shared" si="80"/>
        <v>0.8947368421</v>
      </c>
      <c r="T78" s="61">
        <f t="shared" si="3"/>
        <v>0.8409090909</v>
      </c>
      <c r="U78" s="53">
        <f t="shared" si="4"/>
        <v>0</v>
      </c>
      <c r="V78" s="54">
        <f t="shared" si="5"/>
        <v>0</v>
      </c>
    </row>
    <row r="79" ht="15.75" customHeight="1">
      <c r="A79" s="55" t="str">
        <f>SiteAttendu!$A79</f>
        <v>C1030</v>
      </c>
      <c r="B79" s="56" t="str">
        <f>VLOOKUP($A79,SiteAttendu!$A$2:$C$366,2,0)</f>
        <v>CSU COM PANGOLIN</v>
      </c>
      <c r="C79" s="57" t="str">
        <f>VLOOKUP($A79,SiteAttendu!$A$2:$C$366,3,0)</f>
        <v>ABIDJAN 2</v>
      </c>
      <c r="D79" s="58">
        <f>IF(VLOOKUP($A79,SiteAttendu!$A$2:$P$366,4,0)="NA","NA",COUNTIFS(soccode,A79,socprog,"PNLS/ANTIRETROVIRAUX ET IO",soctrans,"OUI"))</f>
        <v>1</v>
      </c>
      <c r="E79" s="58">
        <f>IF(VLOOKUP($A79,SiteAttendu!$A$2:$P$366,5,0)="NA","NA",COUNTIFS(soccode,A79,socprog,"PNLS/TESTS RAPIDES ET CONSOMMABLES",soctrans,"OUI"))</f>
        <v>1</v>
      </c>
      <c r="F79" s="58">
        <f>IF(VLOOKUP($A79,SiteAttendu!$A$2:$P$366,6,0)="NA","NA",COUNTIFS(soccode,A79,socprog,"PNLS/PRODUITS DE LABORATOIRE",soctrans,"OUI"))</f>
        <v>1</v>
      </c>
      <c r="G79" s="58" t="str">
        <f>IF(VLOOKUP($A79,SiteAttendu!$A$2:$P$366,7,0)="NA","NA",COUNTIFS(soccode,A79,socprog,"PNLS/CHARGES VIRALES",soctrans,"OUI"))</f>
        <v>NA</v>
      </c>
      <c r="H79" s="58">
        <f>IF(VLOOKUP($A79,SiteAttendu!$A$2:$P$366,9,0)="NA","NA",COUNTIFS(soccode,A79,socprog,"PNLP/MEDICAMENTS ET INTRANTS",soctrans,"OUI"))</f>
        <v>1</v>
      </c>
      <c r="I79" s="59">
        <f>IF(VLOOKUP($A79,SiteAttendu!$A$2:$P$366,10,0)="NA","NA",COUNTIFS(soccode,$A79,socprog,"PNSME/MEDICAMENTS ET INTRANTS",soctrans,"OUI"))</f>
        <v>1</v>
      </c>
      <c r="J79" s="58" t="str">
        <f>IF(VLOOKUP($A79,SiteAttendu!$A$2:$P$366,11,0)="NA","NA",COUNTIFS(soccode,$A79,socprog,"PNN/MEDICAMENTS ET INTRANTS",soctrans,"OUI"))</f>
        <v>NA</v>
      </c>
      <c r="K79" s="58">
        <f>IF(VLOOKUP($A79,SiteAttendu!$A$2:$O$366,15,0)="NA","NA",IF(COUNTIF(socprog,"PNLT/SENSIBLE MEDICAMENTS ET INTRANTS")=0,"NA",COUNTIFS(soccode,$A79,socprog,"PNLT/SENSIBLE MEDICAMENTS ET INTRANTS",soctrans,"OUI")))</f>
        <v>1</v>
      </c>
      <c r="L79" s="60"/>
      <c r="M79" s="60">
        <f t="shared" ref="M79:S79" si="81">IFERROR(SUMIFS(E$2:E$364,$C$2:$C$364,$C79)/COUNTIFS(E$2:E$364,"&lt;&gt;NA",$C$2:$C$364,$C79),"")</f>
        <v>0.8888888889</v>
      </c>
      <c r="N79" s="60">
        <f t="shared" si="81"/>
        <v>0.8636363636</v>
      </c>
      <c r="O79" s="60">
        <f t="shared" si="81"/>
        <v>0.6923076923</v>
      </c>
      <c r="P79" s="60">
        <f t="shared" si="81"/>
        <v>0.7804878049</v>
      </c>
      <c r="Q79" s="60">
        <f t="shared" si="81"/>
        <v>0.8285714286</v>
      </c>
      <c r="R79" s="60">
        <f t="shared" si="81"/>
        <v>0.625</v>
      </c>
      <c r="S79" s="60">
        <f t="shared" si="81"/>
        <v>0.8947368421</v>
      </c>
      <c r="T79" s="61">
        <f t="shared" si="3"/>
        <v>0.8409090909</v>
      </c>
      <c r="U79" s="53">
        <f t="shared" si="4"/>
        <v>3</v>
      </c>
      <c r="V79" s="54">
        <f t="shared" si="5"/>
        <v>3</v>
      </c>
    </row>
    <row r="80" ht="15.75" customHeight="1">
      <c r="A80" s="55" t="str">
        <f>SiteAttendu!$A80</f>
        <v>C1072</v>
      </c>
      <c r="B80" s="56" t="str">
        <f>VLOOKUP($A80,SiteAttendu!$A$2:$C$366,2,0)</f>
        <v>FSU COM VRIDI CANAL</v>
      </c>
      <c r="C80" s="57" t="str">
        <f>VLOOKUP($A80,SiteAttendu!$A$2:$C$366,3,0)</f>
        <v>ABIDJAN 2</v>
      </c>
      <c r="D80" s="58" t="str">
        <f>IF(VLOOKUP($A80,SiteAttendu!$A$2:$P$366,4,0)="NA","NA",COUNTIFS(soccode,A80,socprog,"PNLS/ANTIRETROVIRAUX ET IO",soctrans,"OUI"))</f>
        <v>NA</v>
      </c>
      <c r="E80" s="58" t="str">
        <f>IF(VLOOKUP($A80,SiteAttendu!$A$2:$P$366,5,0)="NA","NA",COUNTIFS(soccode,A80,socprog,"PNLS/TESTS RAPIDES ET CONSOMMABLES",soctrans,"OUI"))</f>
        <v>NA</v>
      </c>
      <c r="F80" s="58" t="str">
        <f>IF(VLOOKUP($A80,SiteAttendu!$A$2:$P$366,6,0)="NA","NA",COUNTIFS(soccode,A80,socprog,"PNLS/PRODUITS DE LABORATOIRE",soctrans,"OUI"))</f>
        <v>NA</v>
      </c>
      <c r="G80" s="58" t="str">
        <f>IF(VLOOKUP($A80,SiteAttendu!$A$2:$P$366,7,0)="NA","NA",COUNTIFS(soccode,A80,socprog,"PNLS/CHARGES VIRALES",soctrans,"OUI"))</f>
        <v>NA</v>
      </c>
      <c r="H80" s="58">
        <f>IF(VLOOKUP($A80,SiteAttendu!$A$2:$P$366,9,0)="NA","NA",COUNTIFS(soccode,A80,socprog,"PNLP/MEDICAMENTS ET INTRANTS",soctrans,"OUI"))</f>
        <v>0</v>
      </c>
      <c r="I80" s="59">
        <f>IF(VLOOKUP($A80,SiteAttendu!$A$2:$P$366,10,0)="NA","NA",COUNTIFS(soccode,$A80,socprog,"PNSME/MEDICAMENTS ET INTRANTS",soctrans,"OUI"))</f>
        <v>1</v>
      </c>
      <c r="J80" s="58" t="str">
        <f>IF(VLOOKUP($A80,SiteAttendu!$A$2:$P$366,11,0)="NA","NA",COUNTIFS(soccode,$A80,socprog,"PNN/MEDICAMENTS ET INTRANTS",soctrans,"OUI"))</f>
        <v>NA</v>
      </c>
      <c r="K80" s="58" t="str">
        <f>IF(VLOOKUP($A80,SiteAttendu!$A$2:$O$366,15,0)="NA","NA",IF(COUNTIF(socprog,"PNLT/SENSIBLE MEDICAMENTS ET INTRANTS")=0,"NA",COUNTIFS(soccode,$A80,socprog,"PNLT/SENSIBLE MEDICAMENTS ET INTRANTS",soctrans,"OUI")))</f>
        <v>NA</v>
      </c>
      <c r="L80" s="60"/>
      <c r="M80" s="60">
        <f t="shared" ref="M80:S80" si="82">IFERROR(SUMIFS(E$2:E$364,$C$2:$C$364,$C80)/COUNTIFS(E$2:E$364,"&lt;&gt;NA",$C$2:$C$364,$C80),"")</f>
        <v>0.8888888889</v>
      </c>
      <c r="N80" s="60">
        <f t="shared" si="82"/>
        <v>0.8636363636</v>
      </c>
      <c r="O80" s="60">
        <f t="shared" si="82"/>
        <v>0.6923076923</v>
      </c>
      <c r="P80" s="60">
        <f t="shared" si="82"/>
        <v>0.7804878049</v>
      </c>
      <c r="Q80" s="60">
        <f t="shared" si="82"/>
        <v>0.8285714286</v>
      </c>
      <c r="R80" s="60">
        <f t="shared" si="82"/>
        <v>0.625</v>
      </c>
      <c r="S80" s="60">
        <f t="shared" si="82"/>
        <v>0.8947368421</v>
      </c>
      <c r="T80" s="61">
        <f t="shared" si="3"/>
        <v>0.8409090909</v>
      </c>
      <c r="U80" s="53">
        <f t="shared" si="4"/>
        <v>0</v>
      </c>
      <c r="V80" s="54">
        <f t="shared" si="5"/>
        <v>0</v>
      </c>
    </row>
    <row r="81" ht="15.75" customHeight="1">
      <c r="A81" s="55" t="str">
        <f>SiteAttendu!$A81</f>
        <v>C1094</v>
      </c>
      <c r="B81" s="56" t="str">
        <f>VLOOKUP($A81,SiteAttendu!$A$2:$C$366,2,0)</f>
        <v>HOPITAL GENERAL PORT-BOUET</v>
      </c>
      <c r="C81" s="57" t="str">
        <f>VLOOKUP($A81,SiteAttendu!$A$2:$C$366,3,0)</f>
        <v>ABIDJAN 2</v>
      </c>
      <c r="D81" s="58">
        <f>IF(VLOOKUP($A81,SiteAttendu!$A$2:$P$366,4,0)="NA","NA",COUNTIFS(soccode,A81,socprog,"PNLS/ANTIRETROVIRAUX ET IO",soctrans,"OUI"))</f>
        <v>1</v>
      </c>
      <c r="E81" s="58">
        <f>IF(VLOOKUP($A81,SiteAttendu!$A$2:$P$366,5,0)="NA","NA",COUNTIFS(soccode,A81,socprog,"PNLS/TESTS RAPIDES ET CONSOMMABLES",soctrans,"OUI"))</f>
        <v>1</v>
      </c>
      <c r="F81" s="58">
        <f>IF(VLOOKUP($A81,SiteAttendu!$A$2:$P$366,6,0)="NA","NA",COUNTIFS(soccode,A81,socprog,"PNLS/PRODUITS DE LABORATOIRE",soctrans,"OUI"))</f>
        <v>1</v>
      </c>
      <c r="G81" s="58">
        <f>IF(VLOOKUP($A81,SiteAttendu!$A$2:$P$366,7,0)="NA","NA",COUNTIFS(soccode,A81,socprog,"PNLS/CHARGES VIRALES",soctrans,"OUI"))</f>
        <v>1</v>
      </c>
      <c r="H81" s="58">
        <f>IF(VLOOKUP($A81,SiteAttendu!$A$2:$P$366,9,0)="NA","NA",COUNTIFS(soccode,A81,socprog,"PNLP/MEDICAMENTS ET INTRANTS",soctrans,"OUI"))</f>
        <v>1</v>
      </c>
      <c r="I81" s="59">
        <f>IF(VLOOKUP($A81,SiteAttendu!$A$2:$P$366,10,0)="NA","NA",COUNTIFS(soccode,$A81,socprog,"PNSME/MEDICAMENTS ET INTRANTS",soctrans,"OUI"))</f>
        <v>1</v>
      </c>
      <c r="J81" s="58">
        <f>IF(VLOOKUP($A81,SiteAttendu!$A$2:$P$366,11,0)="NA","NA",COUNTIFS(soccode,$A81,socprog,"PNN/MEDICAMENTS ET INTRANTS",soctrans,"OUI"))</f>
        <v>1</v>
      </c>
      <c r="K81" s="58">
        <f>IF(VLOOKUP($A81,SiteAttendu!$A$2:$O$366,15,0)="NA","NA",IF(COUNTIF(socprog,"PNLT/SENSIBLE MEDICAMENTS ET INTRANTS")=0,"NA",COUNTIFS(soccode,$A81,socprog,"PNLT/SENSIBLE MEDICAMENTS ET INTRANTS",soctrans,"OUI")))</f>
        <v>1</v>
      </c>
      <c r="L81" s="60"/>
      <c r="M81" s="60">
        <f t="shared" ref="M81:S81" si="83">IFERROR(SUMIFS(E$2:E$364,$C$2:$C$364,$C81)/COUNTIFS(E$2:E$364,"&lt;&gt;NA",$C$2:$C$364,$C81),"")</f>
        <v>0.8888888889</v>
      </c>
      <c r="N81" s="60">
        <f t="shared" si="83"/>
        <v>0.8636363636</v>
      </c>
      <c r="O81" s="60">
        <f t="shared" si="83"/>
        <v>0.6923076923</v>
      </c>
      <c r="P81" s="60">
        <f t="shared" si="83"/>
        <v>0.7804878049</v>
      </c>
      <c r="Q81" s="60">
        <f t="shared" si="83"/>
        <v>0.8285714286</v>
      </c>
      <c r="R81" s="60">
        <f t="shared" si="83"/>
        <v>0.625</v>
      </c>
      <c r="S81" s="60">
        <f t="shared" si="83"/>
        <v>0.8947368421</v>
      </c>
      <c r="T81" s="61">
        <f t="shared" si="3"/>
        <v>0.8409090909</v>
      </c>
      <c r="U81" s="53">
        <f t="shared" si="4"/>
        <v>4</v>
      </c>
      <c r="V81" s="54">
        <f t="shared" si="5"/>
        <v>4</v>
      </c>
    </row>
    <row r="82" ht="15.75" customHeight="1">
      <c r="A82" s="55" t="str">
        <f>SiteAttendu!$A82</f>
        <v>C1101</v>
      </c>
      <c r="B82" s="56" t="str">
        <f>VLOOKUP($A82,SiteAttendu!$A$2:$C$366,2,0)</f>
        <v>HOPITAL MUNICIPAL VRIDI CITE</v>
      </c>
      <c r="C82" s="57" t="str">
        <f>VLOOKUP($A82,SiteAttendu!$A$2:$C$366,3,0)</f>
        <v>ABIDJAN 2</v>
      </c>
      <c r="D82" s="58" t="str">
        <f>IF(VLOOKUP($A82,SiteAttendu!$A$2:$P$366,4,0)="NA","NA",COUNTIFS(soccode,A82,socprog,"PNLS/ANTIRETROVIRAUX ET IO",soctrans,"OUI"))</f>
        <v>NA</v>
      </c>
      <c r="E82" s="58" t="str">
        <f>IF(VLOOKUP($A82,SiteAttendu!$A$2:$P$366,5,0)="NA","NA",COUNTIFS(soccode,A82,socprog,"PNLS/TESTS RAPIDES ET CONSOMMABLES",soctrans,"OUI"))</f>
        <v>NA</v>
      </c>
      <c r="F82" s="58" t="str">
        <f>IF(VLOOKUP($A82,SiteAttendu!$A$2:$P$366,6,0)="NA","NA",COUNTIFS(soccode,A82,socprog,"PNLS/PRODUITS DE LABORATOIRE",soctrans,"OUI"))</f>
        <v>NA</v>
      </c>
      <c r="G82" s="58" t="str">
        <f>IF(VLOOKUP($A82,SiteAttendu!$A$2:$P$366,7,0)="NA","NA",COUNTIFS(soccode,A82,socprog,"PNLS/CHARGES VIRALES",soctrans,"OUI"))</f>
        <v>NA</v>
      </c>
      <c r="H82" s="58">
        <f>IF(VLOOKUP($A82,SiteAttendu!$A$2:$P$366,9,0)="NA","NA",COUNTIFS(soccode,A82,socprog,"PNLP/MEDICAMENTS ET INTRANTS",soctrans,"OUI"))</f>
        <v>1</v>
      </c>
      <c r="I82" s="59">
        <f>IF(VLOOKUP($A82,SiteAttendu!$A$2:$P$366,10,0)="NA","NA",COUNTIFS(soccode,$A82,socprog,"PNSME/MEDICAMENTS ET INTRANTS",soctrans,"OUI"))</f>
        <v>0</v>
      </c>
      <c r="J82" s="58" t="str">
        <f>IF(VLOOKUP($A82,SiteAttendu!$A$2:$P$366,11,0)="NA","NA",COUNTIFS(soccode,$A82,socprog,"PNN/MEDICAMENTS ET INTRANTS",soctrans,"OUI"))</f>
        <v>NA</v>
      </c>
      <c r="K82" s="58" t="str">
        <f>IF(VLOOKUP($A82,SiteAttendu!$A$2:$O$366,15,0)="NA","NA",IF(COUNTIF(socprog,"PNLT/SENSIBLE MEDICAMENTS ET INTRANTS")=0,"NA",COUNTIFS(soccode,$A82,socprog,"PNLT/SENSIBLE MEDICAMENTS ET INTRANTS",soctrans,"OUI")))</f>
        <v>NA</v>
      </c>
      <c r="L82" s="60"/>
      <c r="M82" s="60">
        <f t="shared" ref="M82:S82" si="84">IFERROR(SUMIFS(E$2:E$364,$C$2:$C$364,$C82)/COUNTIFS(E$2:E$364,"&lt;&gt;NA",$C$2:$C$364,$C82),"")</f>
        <v>0.8888888889</v>
      </c>
      <c r="N82" s="60">
        <f t="shared" si="84"/>
        <v>0.8636363636</v>
      </c>
      <c r="O82" s="60">
        <f t="shared" si="84"/>
        <v>0.6923076923</v>
      </c>
      <c r="P82" s="60">
        <f t="shared" si="84"/>
        <v>0.7804878049</v>
      </c>
      <c r="Q82" s="60">
        <f t="shared" si="84"/>
        <v>0.8285714286</v>
      </c>
      <c r="R82" s="60">
        <f t="shared" si="84"/>
        <v>0.625</v>
      </c>
      <c r="S82" s="60">
        <f t="shared" si="84"/>
        <v>0.8947368421</v>
      </c>
      <c r="T82" s="61">
        <f t="shared" si="3"/>
        <v>0.8409090909</v>
      </c>
      <c r="U82" s="53">
        <f t="shared" si="4"/>
        <v>0</v>
      </c>
      <c r="V82" s="54">
        <f t="shared" si="5"/>
        <v>0</v>
      </c>
    </row>
    <row r="83" ht="15.75" customHeight="1">
      <c r="A83" s="55" t="str">
        <f>SiteAttendu!$A83</f>
        <v>C1422</v>
      </c>
      <c r="B83" s="56" t="str">
        <f>VLOOKUP($A83,SiteAttendu!$A$2:$C$366,2,0)</f>
        <v>DISTRICT SANITAIRE PORT BOUET VRIDI</v>
      </c>
      <c r="C83" s="57" t="str">
        <f>VLOOKUP($A83,SiteAttendu!$A$2:$C$366,3,0)</f>
        <v>ABIDJAN 2</v>
      </c>
      <c r="D83" s="58">
        <f>IF(VLOOKUP($A83,SiteAttendu!$A$2:$P$366,4,0)="NA","NA",COUNTIFS(soccode,A83,socprog,"PNLS/ANTIRETROVIRAUX ET IO",soctrans,"OUI"))</f>
        <v>1</v>
      </c>
      <c r="E83" s="58">
        <f>IF(VLOOKUP($A83,SiteAttendu!$A$2:$P$366,5,0)="NA","NA",COUNTIFS(soccode,A83,socprog,"PNLS/TESTS RAPIDES ET CONSOMMABLES",soctrans,"OUI"))</f>
        <v>1</v>
      </c>
      <c r="F83" s="58">
        <f>IF(VLOOKUP($A83,SiteAttendu!$A$2:$P$366,6,0)="NA","NA",COUNTIFS(soccode,A83,socprog,"PNLS/PRODUITS DE LABORATOIRE",soctrans,"OUI"))</f>
        <v>1</v>
      </c>
      <c r="G83" s="58">
        <f>IF(VLOOKUP($A83,SiteAttendu!$A$2:$P$366,7,0)="NA","NA",COUNTIFS(soccode,A83,socprog,"PNLS/CHARGES VIRALES",soctrans,"OUI"))</f>
        <v>0</v>
      </c>
      <c r="H83" s="58">
        <f>IF(VLOOKUP($A83,SiteAttendu!$A$2:$P$366,9,0)="NA","NA",COUNTIFS(soccode,A83,socprog,"PNLP/MEDICAMENTS ET INTRANTS",soctrans,"OUI"))</f>
        <v>1</v>
      </c>
      <c r="I83" s="59">
        <f>IF(VLOOKUP($A83,SiteAttendu!$A$2:$P$366,10,0)="NA","NA",COUNTIFS(soccode,$A83,socprog,"PNSME/MEDICAMENTS ET INTRANTS",soctrans,"OUI"))</f>
        <v>1</v>
      </c>
      <c r="J83" s="58">
        <f>IF(VLOOKUP($A83,SiteAttendu!$A$2:$P$366,11,0)="NA","NA",COUNTIFS(soccode,$A83,socprog,"PNN/MEDICAMENTS ET INTRANTS",soctrans,"OUI"))</f>
        <v>0</v>
      </c>
      <c r="K83" s="58" t="str">
        <f>IF(VLOOKUP($A83,SiteAttendu!$A$2:$O$366,15,0)="NA","NA",IF(COUNTIF(socprog,"PNLT/SENSIBLE MEDICAMENTS ET INTRANTS")=0,"NA",COUNTIFS(soccode,$A83,socprog,"PNLT/SENSIBLE MEDICAMENTS ET INTRANTS",soctrans,"OUI")))</f>
        <v>NA</v>
      </c>
      <c r="L83" s="60"/>
      <c r="M83" s="60">
        <f t="shared" ref="M83:S83" si="85">IFERROR(SUMIFS(E$2:E$364,$C$2:$C$364,$C83)/COUNTIFS(E$2:E$364,"&lt;&gt;NA",$C$2:$C$364,$C83),"")</f>
        <v>0.8888888889</v>
      </c>
      <c r="N83" s="60">
        <f t="shared" si="85"/>
        <v>0.8636363636</v>
      </c>
      <c r="O83" s="60">
        <f t="shared" si="85"/>
        <v>0.6923076923</v>
      </c>
      <c r="P83" s="60">
        <f t="shared" si="85"/>
        <v>0.7804878049</v>
      </c>
      <c r="Q83" s="60">
        <f t="shared" si="85"/>
        <v>0.8285714286</v>
      </c>
      <c r="R83" s="60">
        <f t="shared" si="85"/>
        <v>0.625</v>
      </c>
      <c r="S83" s="60">
        <f t="shared" si="85"/>
        <v>0.8947368421</v>
      </c>
      <c r="T83" s="61">
        <f t="shared" si="3"/>
        <v>0.8409090909</v>
      </c>
      <c r="U83" s="53">
        <f t="shared" si="4"/>
        <v>3</v>
      </c>
      <c r="V83" s="54">
        <f t="shared" si="5"/>
        <v>4</v>
      </c>
    </row>
    <row r="84" ht="15.75" customHeight="1">
      <c r="A84" s="55" t="str">
        <f>SiteAttendu!$A84</f>
        <v>C1391</v>
      </c>
      <c r="B84" s="56" t="str">
        <f>VLOOKUP($A84,SiteAttendu!$A$2:$C$366,2,0)</f>
        <v>SOEURS MISSION. STE THERESE ENFANT JESUS</v>
      </c>
      <c r="C84" s="57" t="str">
        <f>VLOOKUP($A84,SiteAttendu!$A$2:$C$366,3,0)</f>
        <v>ABIDJAN 2</v>
      </c>
      <c r="D84" s="58">
        <f>IF(VLOOKUP($A84,SiteAttendu!$A$2:$P$366,4,0)="NA","NA",COUNTIFS(soccode,A84,socprog,"PNLS/ANTIRETROVIRAUX ET IO",soctrans,"OUI"))</f>
        <v>1</v>
      </c>
      <c r="E84" s="58">
        <f>IF(VLOOKUP($A84,SiteAttendu!$A$2:$P$366,5,0)="NA","NA",COUNTIFS(soccode,A84,socprog,"PNLS/TESTS RAPIDES ET CONSOMMABLES",soctrans,"OUI"))</f>
        <v>1</v>
      </c>
      <c r="F84" s="58">
        <f>IF(VLOOKUP($A84,SiteAttendu!$A$2:$P$366,6,0)="NA","NA",COUNTIFS(soccode,A84,socprog,"PNLS/PRODUITS DE LABORATOIRE",soctrans,"OUI"))</f>
        <v>1</v>
      </c>
      <c r="G84" s="58">
        <f>IF(VLOOKUP($A84,SiteAttendu!$A$2:$P$366,7,0)="NA","NA",COUNTIFS(soccode,A84,socprog,"PNLS/CHARGES VIRALES",soctrans,"OUI"))</f>
        <v>1</v>
      </c>
      <c r="H84" s="58" t="str">
        <f>IF(VLOOKUP($A84,SiteAttendu!$A$2:$P$366,9,0)="NA","NA",COUNTIFS(soccode,A84,socprog,"PNLP/MEDICAMENTS ET INTRANTS",soctrans,"OUI"))</f>
        <v>NA</v>
      </c>
      <c r="I84" s="59" t="str">
        <f>IF(VLOOKUP($A84,SiteAttendu!$A$2:$P$366,10,0)="NA","NA",COUNTIFS(soccode,$A84,socprog,"PNSME/MEDICAMENTS ET INTRANTS",soctrans,"OUI"))</f>
        <v>NA</v>
      </c>
      <c r="J84" s="58" t="str">
        <f>IF(VLOOKUP($A84,SiteAttendu!$A$2:$P$366,11,0)="NA","NA",COUNTIFS(soccode,$A84,socprog,"PNN/MEDICAMENTS ET INTRANTS",soctrans,"OUI"))</f>
        <v>NA</v>
      </c>
      <c r="K84" s="58" t="str">
        <f>IF(VLOOKUP($A84,SiteAttendu!$A$2:$O$366,15,0)="NA","NA",IF(COUNTIF(socprog,"PNLT/SENSIBLE MEDICAMENTS ET INTRANTS")=0,"NA",COUNTIFS(soccode,$A84,socprog,"PNLT/SENSIBLE MEDICAMENTS ET INTRANTS",soctrans,"OUI")))</f>
        <v>NA</v>
      </c>
      <c r="L84" s="60"/>
      <c r="M84" s="60">
        <f t="shared" ref="M84:S84" si="86">IFERROR(SUMIFS(E$2:E$364,$C$2:$C$364,$C84)/COUNTIFS(E$2:E$364,"&lt;&gt;NA",$C$2:$C$364,$C84),"")</f>
        <v>0.8888888889</v>
      </c>
      <c r="N84" s="60">
        <f t="shared" si="86"/>
        <v>0.8636363636</v>
      </c>
      <c r="O84" s="60">
        <f t="shared" si="86"/>
        <v>0.6923076923</v>
      </c>
      <c r="P84" s="60">
        <f t="shared" si="86"/>
        <v>0.7804878049</v>
      </c>
      <c r="Q84" s="60">
        <f t="shared" si="86"/>
        <v>0.8285714286</v>
      </c>
      <c r="R84" s="60">
        <f t="shared" si="86"/>
        <v>0.625</v>
      </c>
      <c r="S84" s="60">
        <f t="shared" si="86"/>
        <v>0.8947368421</v>
      </c>
      <c r="T84" s="61">
        <f t="shared" si="3"/>
        <v>0.8409090909</v>
      </c>
      <c r="U84" s="53">
        <f t="shared" si="4"/>
        <v>4</v>
      </c>
      <c r="V84" s="54">
        <f t="shared" si="5"/>
        <v>4</v>
      </c>
    </row>
    <row r="85" ht="15.75" customHeight="1">
      <c r="A85" s="55" t="str">
        <f>SiteAttendu!$A85</f>
        <v>C1035</v>
      </c>
      <c r="B85" s="56" t="str">
        <f>VLOOKUP($A85,SiteAttendu!$A$2:$C$366,2,0)</f>
        <v>CSU COM ZOE BRUNO</v>
      </c>
      <c r="C85" s="57" t="str">
        <f>VLOOKUP($A85,SiteAttendu!$A$2:$C$366,3,0)</f>
        <v>ABIDJAN 2</v>
      </c>
      <c r="D85" s="58" t="str">
        <f>IF(VLOOKUP($A85,SiteAttendu!$A$2:$P$366,4,0)="NA","NA",COUNTIFS(soccode,A85,socprog,"PNLS/ANTIRETROVIRAUX ET IO",soctrans,"OUI"))</f>
        <v>NA</v>
      </c>
      <c r="E85" s="58" t="str">
        <f>IF(VLOOKUP($A85,SiteAttendu!$A$2:$P$366,5,0)="NA","NA",COUNTIFS(soccode,A85,socprog,"PNLS/TESTS RAPIDES ET CONSOMMABLES",soctrans,"OUI"))</f>
        <v>NA</v>
      </c>
      <c r="F85" s="58" t="str">
        <f>IF(VLOOKUP($A85,SiteAttendu!$A$2:$P$366,6,0)="NA","NA",COUNTIFS(soccode,A85,socprog,"PNLS/PRODUITS DE LABORATOIRE",soctrans,"OUI"))</f>
        <v>NA</v>
      </c>
      <c r="G85" s="58" t="str">
        <f>IF(VLOOKUP($A85,SiteAttendu!$A$2:$P$366,7,0)="NA","NA",COUNTIFS(soccode,A85,socprog,"PNLS/CHARGES VIRALES",soctrans,"OUI"))</f>
        <v>NA</v>
      </c>
      <c r="H85" s="58" t="str">
        <f>IF(VLOOKUP($A85,SiteAttendu!$A$2:$P$366,9,0)="NA","NA",COUNTIFS(soccode,A85,socprog,"PNLP/MEDICAMENTS ET INTRANTS",soctrans,"OUI"))</f>
        <v>NA</v>
      </c>
      <c r="I85" s="59">
        <f>IF(VLOOKUP($A85,SiteAttendu!$A$2:$P$366,10,0)="NA","NA",COUNTIFS(soccode,$A85,socprog,"PNSME/MEDICAMENTS ET INTRANTS",soctrans,"OUI"))</f>
        <v>0</v>
      </c>
      <c r="J85" s="58" t="str">
        <f>IF(VLOOKUP($A85,SiteAttendu!$A$2:$P$366,11,0)="NA","NA",COUNTIFS(soccode,$A85,socprog,"PNN/MEDICAMENTS ET INTRANTS",soctrans,"OUI"))</f>
        <v>NA</v>
      </c>
      <c r="K85" s="58" t="str">
        <f>IF(VLOOKUP($A85,SiteAttendu!$A$2:$O$366,15,0)="NA","NA",IF(COUNTIF(socprog,"PNLT/SENSIBLE MEDICAMENTS ET INTRANTS")=0,"NA",COUNTIFS(soccode,$A85,socprog,"PNLT/SENSIBLE MEDICAMENTS ET INTRANTS",soctrans,"OUI")))</f>
        <v>NA</v>
      </c>
      <c r="L85" s="60"/>
      <c r="M85" s="60">
        <f t="shared" ref="M85:S85" si="87">IFERROR(SUMIFS(E$2:E$364,$C$2:$C$364,$C85)/COUNTIFS(E$2:E$364,"&lt;&gt;NA",$C$2:$C$364,$C85),"")</f>
        <v>0.8888888889</v>
      </c>
      <c r="N85" s="60">
        <f t="shared" si="87"/>
        <v>0.8636363636</v>
      </c>
      <c r="O85" s="60">
        <f t="shared" si="87"/>
        <v>0.6923076923</v>
      </c>
      <c r="P85" s="60">
        <f t="shared" si="87"/>
        <v>0.7804878049</v>
      </c>
      <c r="Q85" s="60">
        <f t="shared" si="87"/>
        <v>0.8285714286</v>
      </c>
      <c r="R85" s="60">
        <f t="shared" si="87"/>
        <v>0.625</v>
      </c>
      <c r="S85" s="60">
        <f t="shared" si="87"/>
        <v>0.8947368421</v>
      </c>
      <c r="T85" s="61">
        <f t="shared" si="3"/>
        <v>0.8409090909</v>
      </c>
      <c r="U85" s="53">
        <f t="shared" si="4"/>
        <v>0</v>
      </c>
      <c r="V85" s="54">
        <f t="shared" si="5"/>
        <v>0</v>
      </c>
    </row>
    <row r="86" ht="15.75" customHeight="1">
      <c r="A86" s="55" t="str">
        <f>SiteAttendu!$A86</f>
        <v>C1006</v>
      </c>
      <c r="B86" s="56" t="str">
        <f>VLOOKUP($A86,SiteAttendu!$A$2:$C$366,2,0)</f>
        <v>CHU TREICHVILLE</v>
      </c>
      <c r="C86" s="57" t="str">
        <f>VLOOKUP($A86,SiteAttendu!$A$2:$C$366,3,0)</f>
        <v>ABIDJAN 2</v>
      </c>
      <c r="D86" s="58">
        <f>IF(VLOOKUP($A86,SiteAttendu!$A$2:$P$366,4,0)="NA","NA",COUNTIFS(soccode,A86,socprog,"PNLS/ANTIRETROVIRAUX ET IO",soctrans,"OUI"))</f>
        <v>1</v>
      </c>
      <c r="E86" s="58">
        <f>IF(VLOOKUP($A86,SiteAttendu!$A$2:$P$366,5,0)="NA","NA",COUNTIFS(soccode,A86,socprog,"PNLS/TESTS RAPIDES ET CONSOMMABLES",soctrans,"OUI"))</f>
        <v>1</v>
      </c>
      <c r="F86" s="58" t="str">
        <f>IF(VLOOKUP($A86,SiteAttendu!$A$2:$P$366,6,0)="NA","NA",COUNTIFS(soccode,A86,socprog,"PNLS/PRODUITS DE LABORATOIRE",soctrans,"OUI"))</f>
        <v>NA</v>
      </c>
      <c r="G86" s="58">
        <f>IF(VLOOKUP($A86,SiteAttendu!$A$2:$P$366,7,0)="NA","NA",COUNTIFS(soccode,A86,socprog,"PNLS/CHARGES VIRALES",soctrans,"OUI"))</f>
        <v>0</v>
      </c>
      <c r="H86" s="58">
        <f>IF(VLOOKUP($A86,SiteAttendu!$A$2:$P$366,9,0)="NA","NA",COUNTIFS(soccode,A86,socprog,"PNLP/MEDICAMENTS ET INTRANTS",soctrans,"OUI"))</f>
        <v>1</v>
      </c>
      <c r="I86" s="59" t="str">
        <f>IF(VLOOKUP($A86,SiteAttendu!$A$2:$P$366,10,0)="NA","NA",COUNTIFS(soccode,$A86,socprog,"PNSME/MEDICAMENTS ET INTRANTS",soctrans,"OUI"))</f>
        <v>NA</v>
      </c>
      <c r="J86" s="58">
        <f>IF(VLOOKUP($A86,SiteAttendu!$A$2:$P$366,11,0)="NA","NA",COUNTIFS(soccode,$A86,socprog,"PNN/MEDICAMENTS ET INTRANTS",soctrans,"OUI"))</f>
        <v>0</v>
      </c>
      <c r="K86" s="58">
        <f>IF(VLOOKUP($A86,SiteAttendu!$A$2:$O$366,15,0)="NA","NA",IF(COUNTIF(socprog,"PNLT/SENSIBLE MEDICAMENTS ET INTRANTS")=0,"NA",COUNTIFS(soccode,$A86,socprog,"PNLT/SENSIBLE MEDICAMENTS ET INTRANTS",soctrans,"OUI")))</f>
        <v>1</v>
      </c>
      <c r="L86" s="60"/>
      <c r="M86" s="60">
        <f t="shared" ref="M86:S86" si="88">IFERROR(SUMIFS(E$2:E$364,$C$2:$C$364,$C86)/COUNTIFS(E$2:E$364,"&lt;&gt;NA",$C$2:$C$364,$C86),"")</f>
        <v>0.8888888889</v>
      </c>
      <c r="N86" s="60">
        <f t="shared" si="88"/>
        <v>0.8636363636</v>
      </c>
      <c r="O86" s="60">
        <f t="shared" si="88"/>
        <v>0.6923076923</v>
      </c>
      <c r="P86" s="60">
        <f t="shared" si="88"/>
        <v>0.7804878049</v>
      </c>
      <c r="Q86" s="60">
        <f t="shared" si="88"/>
        <v>0.8285714286</v>
      </c>
      <c r="R86" s="60">
        <f t="shared" si="88"/>
        <v>0.625</v>
      </c>
      <c r="S86" s="60">
        <f t="shared" si="88"/>
        <v>0.8947368421</v>
      </c>
      <c r="T86" s="61">
        <f t="shared" si="3"/>
        <v>0.8409090909</v>
      </c>
      <c r="U86" s="53">
        <f t="shared" si="4"/>
        <v>2</v>
      </c>
      <c r="V86" s="54">
        <f t="shared" si="5"/>
        <v>3</v>
      </c>
    </row>
    <row r="87" ht="15.75" customHeight="1">
      <c r="A87" s="55" t="str">
        <f>SiteAttendu!$A87</f>
        <v>C1057</v>
      </c>
      <c r="B87" s="56" t="str">
        <f>VLOOKUP($A87,SiteAttendu!$A$2:$C$366,2,0)</f>
        <v>HOPITAL GENERAL DE TREICHVILLE (PONT FHB)</v>
      </c>
      <c r="C87" s="57" t="str">
        <f>VLOOKUP($A87,SiteAttendu!$A$2:$C$366,3,0)</f>
        <v>ABIDJAN 2</v>
      </c>
      <c r="D87" s="58" t="str">
        <f>IF(VLOOKUP($A87,SiteAttendu!$A$2:$P$366,4,0)="NA","NA",COUNTIFS(soccode,A87,socprog,"PNLS/ANTIRETROVIRAUX ET IO",soctrans,"OUI"))</f>
        <v>NA</v>
      </c>
      <c r="E87" s="58" t="str">
        <f>IF(VLOOKUP($A87,SiteAttendu!$A$2:$P$366,5,0)="NA","NA",COUNTIFS(soccode,A87,socprog,"PNLS/TESTS RAPIDES ET CONSOMMABLES",soctrans,"OUI"))</f>
        <v>NA</v>
      </c>
      <c r="F87" s="58" t="str">
        <f>IF(VLOOKUP($A87,SiteAttendu!$A$2:$P$366,6,0)="NA","NA",COUNTIFS(soccode,A87,socprog,"PNLS/PRODUITS DE LABORATOIRE",soctrans,"OUI"))</f>
        <v>NA</v>
      </c>
      <c r="G87" s="58" t="str">
        <f>IF(VLOOKUP($A87,SiteAttendu!$A$2:$P$366,7,0)="NA","NA",COUNTIFS(soccode,A87,socprog,"PNLS/CHARGES VIRALES",soctrans,"OUI"))</f>
        <v>NA</v>
      </c>
      <c r="H87" s="58">
        <f>IF(VLOOKUP($A87,SiteAttendu!$A$2:$P$366,9,0)="NA","NA",COUNTIFS(soccode,A87,socprog,"PNLP/MEDICAMENTS ET INTRANTS",soctrans,"OUI"))</f>
        <v>0</v>
      </c>
      <c r="I87" s="59" t="str">
        <f>IF(VLOOKUP($A87,SiteAttendu!$A$2:$P$366,10,0)="NA","NA",COUNTIFS(soccode,$A87,socprog,"PNSME/MEDICAMENTS ET INTRANTS",soctrans,"OUI"))</f>
        <v>NA</v>
      </c>
      <c r="J87" s="58" t="str">
        <f>IF(VLOOKUP($A87,SiteAttendu!$A$2:$P$366,11,0)="NA","NA",COUNTIFS(soccode,$A87,socprog,"PNN/MEDICAMENTS ET INTRANTS",soctrans,"OUI"))</f>
        <v>NA</v>
      </c>
      <c r="K87" s="58" t="str">
        <f>IF(VLOOKUP($A87,SiteAttendu!$A$2:$O$366,15,0)="NA","NA",IF(COUNTIF(socprog,"PNLT/SENSIBLE MEDICAMENTS ET INTRANTS")=0,"NA",COUNTIFS(soccode,$A87,socprog,"PNLT/SENSIBLE MEDICAMENTS ET INTRANTS",soctrans,"OUI")))</f>
        <v>NA</v>
      </c>
      <c r="L87" s="60"/>
      <c r="M87" s="60">
        <f t="shared" ref="M87:S87" si="89">IFERROR(SUMIFS(E$2:E$364,$C$2:$C$364,$C87)/COUNTIFS(E$2:E$364,"&lt;&gt;NA",$C$2:$C$364,$C87),"")</f>
        <v>0.8888888889</v>
      </c>
      <c r="N87" s="60">
        <f t="shared" si="89"/>
        <v>0.8636363636</v>
      </c>
      <c r="O87" s="60">
        <f t="shared" si="89"/>
        <v>0.6923076923</v>
      </c>
      <c r="P87" s="60">
        <f t="shared" si="89"/>
        <v>0.7804878049</v>
      </c>
      <c r="Q87" s="60">
        <f t="shared" si="89"/>
        <v>0.8285714286</v>
      </c>
      <c r="R87" s="60">
        <f t="shared" si="89"/>
        <v>0.625</v>
      </c>
      <c r="S87" s="60">
        <f t="shared" si="89"/>
        <v>0.8947368421</v>
      </c>
      <c r="T87" s="61">
        <f t="shared" si="3"/>
        <v>0.8409090909</v>
      </c>
      <c r="U87" s="53">
        <f t="shared" si="4"/>
        <v>0</v>
      </c>
      <c r="V87" s="54">
        <f t="shared" si="5"/>
        <v>0</v>
      </c>
    </row>
    <row r="88" ht="15.75" customHeight="1">
      <c r="A88" s="55" t="str">
        <f>SiteAttendu!$A88</f>
        <v>C1060</v>
      </c>
      <c r="B88" s="56" t="str">
        <f>VLOOKUP($A88,SiteAttendu!$A$2:$C$366,2,0)</f>
        <v>HOPITAL GENERAL MARCORY</v>
      </c>
      <c r="C88" s="57" t="str">
        <f>VLOOKUP($A88,SiteAttendu!$A$2:$C$366,3,0)</f>
        <v>ABIDJAN 2</v>
      </c>
      <c r="D88" s="58">
        <f>IF(VLOOKUP($A88,SiteAttendu!$A$2:$P$366,4,0)="NA","NA",COUNTIFS(soccode,A88,socprog,"PNLS/ANTIRETROVIRAUX ET IO",soctrans,"OUI"))</f>
        <v>1</v>
      </c>
      <c r="E88" s="58">
        <f>IF(VLOOKUP($A88,SiteAttendu!$A$2:$P$366,5,0)="NA","NA",COUNTIFS(soccode,A88,socprog,"PNLS/TESTS RAPIDES ET CONSOMMABLES",soctrans,"OUI"))</f>
        <v>1</v>
      </c>
      <c r="F88" s="58">
        <f>IF(VLOOKUP($A88,SiteAttendu!$A$2:$P$366,6,0)="NA","NA",COUNTIFS(soccode,A88,socprog,"PNLS/PRODUITS DE LABORATOIRE",soctrans,"OUI"))</f>
        <v>1</v>
      </c>
      <c r="G88" s="58">
        <f>IF(VLOOKUP($A88,SiteAttendu!$A$2:$P$366,7,0)="NA","NA",COUNTIFS(soccode,A88,socprog,"PNLS/CHARGES VIRALES",soctrans,"OUI"))</f>
        <v>1</v>
      </c>
      <c r="H88" s="58">
        <f>IF(VLOOKUP($A88,SiteAttendu!$A$2:$P$366,9,0)="NA","NA",COUNTIFS(soccode,A88,socprog,"PNLP/MEDICAMENTS ET INTRANTS",soctrans,"OUI"))</f>
        <v>1</v>
      </c>
      <c r="I88" s="59" t="str">
        <f>IF(VLOOKUP($A88,SiteAttendu!$A$2:$P$366,10,0)="NA","NA",COUNTIFS(soccode,$A88,socprog,"PNSME/MEDICAMENTS ET INTRANTS",soctrans,"OUI"))</f>
        <v>NA</v>
      </c>
      <c r="J88" s="58" t="str">
        <f>IF(VLOOKUP($A88,SiteAttendu!$A$2:$P$366,11,0)="NA","NA",COUNTIFS(soccode,$A88,socprog,"PNN/MEDICAMENTS ET INTRANTS",soctrans,"OUI"))</f>
        <v>NA</v>
      </c>
      <c r="K88" s="58">
        <f>IF(VLOOKUP($A88,SiteAttendu!$A$2:$O$366,15,0)="NA","NA",IF(COUNTIF(socprog,"PNLT/SENSIBLE MEDICAMENTS ET INTRANTS")=0,"NA",COUNTIFS(soccode,$A88,socprog,"PNLT/SENSIBLE MEDICAMENTS ET INTRANTS",soctrans,"OUI")))</f>
        <v>1</v>
      </c>
      <c r="L88" s="60"/>
      <c r="M88" s="60">
        <f t="shared" ref="M88:S88" si="90">IFERROR(SUMIFS(E$2:E$364,$C$2:$C$364,$C88)/COUNTIFS(E$2:E$364,"&lt;&gt;NA",$C$2:$C$364,$C88),"")</f>
        <v>0.8888888889</v>
      </c>
      <c r="N88" s="60">
        <f t="shared" si="90"/>
        <v>0.8636363636</v>
      </c>
      <c r="O88" s="60">
        <f t="shared" si="90"/>
        <v>0.6923076923</v>
      </c>
      <c r="P88" s="60">
        <f t="shared" si="90"/>
        <v>0.7804878049</v>
      </c>
      <c r="Q88" s="60">
        <f t="shared" si="90"/>
        <v>0.8285714286</v>
      </c>
      <c r="R88" s="60">
        <f t="shared" si="90"/>
        <v>0.625</v>
      </c>
      <c r="S88" s="60">
        <f t="shared" si="90"/>
        <v>0.8947368421</v>
      </c>
      <c r="T88" s="61">
        <f t="shared" si="3"/>
        <v>0.8409090909</v>
      </c>
      <c r="U88" s="53">
        <f t="shared" si="4"/>
        <v>4</v>
      </c>
      <c r="V88" s="54">
        <f t="shared" si="5"/>
        <v>4</v>
      </c>
    </row>
    <row r="89" ht="15.75" customHeight="1">
      <c r="A89" s="55" t="str">
        <f>SiteAttendu!$A89</f>
        <v>C1061</v>
      </c>
      <c r="B89" s="56" t="str">
        <f>VLOOKUP($A89,SiteAttendu!$A$2:$C$366,2,0)</f>
        <v>HOPITAL GENERAL DE TREICHVILLE (JEAN DELAFOSSE)</v>
      </c>
      <c r="C89" s="57" t="str">
        <f>VLOOKUP($A89,SiteAttendu!$A$2:$C$366,3,0)</f>
        <v>ABIDJAN 2</v>
      </c>
      <c r="D89" s="58">
        <f>IF(VLOOKUP($A89,SiteAttendu!$A$2:$P$366,4,0)="NA","NA",COUNTIFS(soccode,A89,socprog,"PNLS/ANTIRETROVIRAUX ET IO",soctrans,"OUI"))</f>
        <v>1</v>
      </c>
      <c r="E89" s="58">
        <f>IF(VLOOKUP($A89,SiteAttendu!$A$2:$P$366,5,0)="NA","NA",COUNTIFS(soccode,A89,socprog,"PNLS/TESTS RAPIDES ET CONSOMMABLES",soctrans,"OUI"))</f>
        <v>1</v>
      </c>
      <c r="F89" s="58">
        <f>IF(VLOOKUP($A89,SiteAttendu!$A$2:$P$366,6,0)="NA","NA",COUNTIFS(soccode,A89,socprog,"PNLS/PRODUITS DE LABORATOIRE",soctrans,"OUI"))</f>
        <v>1</v>
      </c>
      <c r="G89" s="58" t="str">
        <f>IF(VLOOKUP($A89,SiteAttendu!$A$2:$P$366,7,0)="NA","NA",COUNTIFS(soccode,A89,socprog,"PNLS/CHARGES VIRALES",soctrans,"OUI"))</f>
        <v>NA</v>
      </c>
      <c r="H89" s="58">
        <f>IF(VLOOKUP($A89,SiteAttendu!$A$2:$P$366,9,0)="NA","NA",COUNTIFS(soccode,A89,socprog,"PNLP/MEDICAMENTS ET INTRANTS",soctrans,"OUI"))</f>
        <v>1</v>
      </c>
      <c r="I89" s="59">
        <f>IF(VLOOKUP($A89,SiteAttendu!$A$2:$P$366,10,0)="NA","NA",COUNTIFS(soccode,$A89,socprog,"PNSME/MEDICAMENTS ET INTRANTS",soctrans,"OUI"))</f>
        <v>1</v>
      </c>
      <c r="J89" s="58" t="str">
        <f>IF(VLOOKUP($A89,SiteAttendu!$A$2:$P$366,11,0)="NA","NA",COUNTIFS(soccode,$A89,socprog,"PNN/MEDICAMENTS ET INTRANTS",soctrans,"OUI"))</f>
        <v>NA</v>
      </c>
      <c r="K89" s="58" t="str">
        <f>IF(VLOOKUP($A89,SiteAttendu!$A$2:$O$366,15,0)="NA","NA",IF(COUNTIF(socprog,"PNLT/SENSIBLE MEDICAMENTS ET INTRANTS")=0,"NA",COUNTIFS(soccode,$A89,socprog,"PNLT/SENSIBLE MEDICAMENTS ET INTRANTS",soctrans,"OUI")))</f>
        <v>NA</v>
      </c>
      <c r="L89" s="60"/>
      <c r="M89" s="60">
        <f t="shared" ref="M89:S89" si="91">IFERROR(SUMIFS(E$2:E$364,$C$2:$C$364,$C89)/COUNTIFS(E$2:E$364,"&lt;&gt;NA",$C$2:$C$364,$C89),"")</f>
        <v>0.8888888889</v>
      </c>
      <c r="N89" s="60">
        <f t="shared" si="91"/>
        <v>0.8636363636</v>
      </c>
      <c r="O89" s="60">
        <f t="shared" si="91"/>
        <v>0.6923076923</v>
      </c>
      <c r="P89" s="60">
        <f t="shared" si="91"/>
        <v>0.7804878049</v>
      </c>
      <c r="Q89" s="60">
        <f t="shared" si="91"/>
        <v>0.8285714286</v>
      </c>
      <c r="R89" s="60">
        <f t="shared" si="91"/>
        <v>0.625</v>
      </c>
      <c r="S89" s="60">
        <f t="shared" si="91"/>
        <v>0.8947368421</v>
      </c>
      <c r="T89" s="61">
        <f t="shared" si="3"/>
        <v>0.8409090909</v>
      </c>
      <c r="U89" s="53">
        <f t="shared" si="4"/>
        <v>3</v>
      </c>
      <c r="V89" s="54">
        <f t="shared" si="5"/>
        <v>3</v>
      </c>
    </row>
    <row r="90" ht="15.75" customHeight="1">
      <c r="A90" s="55" t="str">
        <f>SiteAttendu!$A90</f>
        <v>C1419</v>
      </c>
      <c r="B90" s="56" t="str">
        <f>VLOOKUP($A90,SiteAttendu!$A$2:$C$366,2,0)</f>
        <v>CENTRE SOCIO-MEDICAL HOPE CI (CSMH)</v>
      </c>
      <c r="C90" s="57" t="str">
        <f>VLOOKUP($A90,SiteAttendu!$A$2:$C$366,3,0)</f>
        <v>ABIDJAN 2</v>
      </c>
      <c r="D90" s="58">
        <f>IF(VLOOKUP($A90,SiteAttendu!$A$2:$P$366,4,0)="NA","NA",COUNTIFS(soccode,A90,socprog,"PNLS/ANTIRETROVIRAUX ET IO",soctrans,"OUI"))</f>
        <v>1</v>
      </c>
      <c r="E90" s="58">
        <f>IF(VLOOKUP($A90,SiteAttendu!$A$2:$P$366,5,0)="NA","NA",COUNTIFS(soccode,A90,socprog,"PNLS/TESTS RAPIDES ET CONSOMMABLES",soctrans,"OUI"))</f>
        <v>1</v>
      </c>
      <c r="F90" s="58">
        <f>IF(VLOOKUP($A90,SiteAttendu!$A$2:$P$366,6,0)="NA","NA",COUNTIFS(soccode,A90,socprog,"PNLS/PRODUITS DE LABORATOIRE",soctrans,"OUI"))</f>
        <v>1</v>
      </c>
      <c r="G90" s="58" t="str">
        <f>IF(VLOOKUP($A90,SiteAttendu!$A$2:$P$366,7,0)="NA","NA",COUNTIFS(soccode,A90,socprog,"PNLS/CHARGES VIRALES",soctrans,"OUI"))</f>
        <v>NA</v>
      </c>
      <c r="H90" s="58">
        <f>IF(VLOOKUP($A90,SiteAttendu!$A$2:$P$366,9,0)="NA","NA",COUNTIFS(soccode,A90,socprog,"PNLP/MEDICAMENTS ET INTRANTS",soctrans,"OUI"))</f>
        <v>1</v>
      </c>
      <c r="I90" s="59" t="str">
        <f>IF(VLOOKUP($A90,SiteAttendu!$A$2:$P$366,10,0)="NA","NA",COUNTIFS(soccode,$A90,socprog,"PNSME/MEDICAMENTS ET INTRANTS",soctrans,"OUI"))</f>
        <v>NA</v>
      </c>
      <c r="J90" s="58" t="str">
        <f>IF(VLOOKUP($A90,SiteAttendu!$A$2:$P$366,11,0)="NA","NA",COUNTIFS(soccode,$A90,socprog,"PNN/MEDICAMENTS ET INTRANTS",soctrans,"OUI"))</f>
        <v>NA</v>
      </c>
      <c r="K90" s="58" t="str">
        <f>IF(VLOOKUP($A90,SiteAttendu!$A$2:$O$366,15,0)="NA","NA",IF(COUNTIF(socprog,"PNLT/SENSIBLE MEDICAMENTS ET INTRANTS")=0,"NA",COUNTIFS(soccode,$A90,socprog,"PNLT/SENSIBLE MEDICAMENTS ET INTRANTS",soctrans,"OUI")))</f>
        <v>NA</v>
      </c>
      <c r="L90" s="60"/>
      <c r="M90" s="60">
        <f t="shared" ref="M90:S90" si="92">IFERROR(SUMIFS(E$2:E$364,$C$2:$C$364,$C90)/COUNTIFS(E$2:E$364,"&lt;&gt;NA",$C$2:$C$364,$C90),"")</f>
        <v>0.8888888889</v>
      </c>
      <c r="N90" s="60">
        <f t="shared" si="92"/>
        <v>0.8636363636</v>
      </c>
      <c r="O90" s="60">
        <f t="shared" si="92"/>
        <v>0.6923076923</v>
      </c>
      <c r="P90" s="60">
        <f t="shared" si="92"/>
        <v>0.7804878049</v>
      </c>
      <c r="Q90" s="60">
        <f t="shared" si="92"/>
        <v>0.8285714286</v>
      </c>
      <c r="R90" s="60">
        <f t="shared" si="92"/>
        <v>0.625</v>
      </c>
      <c r="S90" s="60">
        <f t="shared" si="92"/>
        <v>0.8947368421</v>
      </c>
      <c r="T90" s="61">
        <f t="shared" si="3"/>
        <v>0.8409090909</v>
      </c>
      <c r="U90" s="53">
        <f t="shared" si="4"/>
        <v>3</v>
      </c>
      <c r="V90" s="54">
        <f t="shared" si="5"/>
        <v>3</v>
      </c>
    </row>
    <row r="91" ht="15.75" customHeight="1">
      <c r="A91" s="55" t="str">
        <f>SiteAttendu!$A91</f>
        <v>C1482</v>
      </c>
      <c r="B91" s="56" t="str">
        <f>VLOOKUP($A91,SiteAttendu!$A$2:$C$366,2,0)</f>
        <v>CENTRE NATIONAL DE TRANSFUSION SANGUINE</v>
      </c>
      <c r="C91" s="57" t="str">
        <f>VLOOKUP($A91,SiteAttendu!$A$2:$C$366,3,0)</f>
        <v>ABIDJAN 2</v>
      </c>
      <c r="D91" s="58">
        <f>IF(VLOOKUP($A91,SiteAttendu!$A$2:$P$366,4,0)="NA","NA",COUNTIFS(soccode,A91,socprog,"PNLS/ANTIRETROVIRAUX ET IO",soctrans,"OUI"))</f>
        <v>1</v>
      </c>
      <c r="E91" s="58">
        <f>IF(VLOOKUP($A91,SiteAttendu!$A$2:$P$366,5,0)="NA","NA",COUNTIFS(soccode,A91,socprog,"PNLS/TESTS RAPIDES ET CONSOMMABLES",soctrans,"OUI"))</f>
        <v>1</v>
      </c>
      <c r="F91" s="58">
        <f>IF(VLOOKUP($A91,SiteAttendu!$A$2:$P$366,6,0)="NA","NA",COUNTIFS(soccode,A91,socprog,"PNLS/PRODUITS DE LABORATOIRE",soctrans,"OUI"))</f>
        <v>1</v>
      </c>
      <c r="G91" s="58" t="str">
        <f>IF(VLOOKUP($A91,SiteAttendu!$A$2:$P$366,7,0)="NA","NA",COUNTIFS(soccode,A91,socprog,"PNLS/CHARGES VIRALES",soctrans,"OUI"))</f>
        <v>NA</v>
      </c>
      <c r="H91" s="58">
        <f>IF(VLOOKUP($A91,SiteAttendu!$A$2:$P$366,9,0)="NA","NA",COUNTIFS(soccode,A91,socprog,"PNLP/MEDICAMENTS ET INTRANTS",soctrans,"OUI"))</f>
        <v>1</v>
      </c>
      <c r="I91" s="59" t="str">
        <f>IF(VLOOKUP($A91,SiteAttendu!$A$2:$P$366,10,0)="NA","NA",COUNTIFS(soccode,$A91,socprog,"PNSME/MEDICAMENTS ET INTRANTS",soctrans,"OUI"))</f>
        <v>NA</v>
      </c>
      <c r="J91" s="58" t="str">
        <f>IF(VLOOKUP($A91,SiteAttendu!$A$2:$P$366,11,0)="NA","NA",COUNTIFS(soccode,$A91,socprog,"PNN/MEDICAMENTS ET INTRANTS",soctrans,"OUI"))</f>
        <v>NA</v>
      </c>
      <c r="K91" s="58" t="str">
        <f>IF(VLOOKUP($A91,SiteAttendu!$A$2:$O$366,15,0)="NA","NA",IF(COUNTIF(socprog,"PNLT/SENSIBLE MEDICAMENTS ET INTRANTS")=0,"NA",COUNTIFS(soccode,$A91,socprog,"PNLT/SENSIBLE MEDICAMENTS ET INTRANTS",soctrans,"OUI")))</f>
        <v>NA</v>
      </c>
      <c r="L91" s="60"/>
      <c r="M91" s="60">
        <f t="shared" ref="M91:S91" si="93">IFERROR(SUMIFS(E$2:E$364,$C$2:$C$364,$C91)/COUNTIFS(E$2:E$364,"&lt;&gt;NA",$C$2:$C$364,$C91),"")</f>
        <v>0.8888888889</v>
      </c>
      <c r="N91" s="60">
        <f t="shared" si="93"/>
        <v>0.8636363636</v>
      </c>
      <c r="O91" s="60">
        <f t="shared" si="93"/>
        <v>0.6923076923</v>
      </c>
      <c r="P91" s="60">
        <f t="shared" si="93"/>
        <v>0.7804878049</v>
      </c>
      <c r="Q91" s="60">
        <f t="shared" si="93"/>
        <v>0.8285714286</v>
      </c>
      <c r="R91" s="60">
        <f t="shared" si="93"/>
        <v>0.625</v>
      </c>
      <c r="S91" s="60">
        <f t="shared" si="93"/>
        <v>0.8947368421</v>
      </c>
      <c r="T91" s="61">
        <f t="shared" si="3"/>
        <v>0.8409090909</v>
      </c>
      <c r="U91" s="53">
        <f t="shared" si="4"/>
        <v>3</v>
      </c>
      <c r="V91" s="54">
        <f t="shared" si="5"/>
        <v>3</v>
      </c>
    </row>
    <row r="92" ht="15.75" customHeight="1">
      <c r="A92" s="55" t="str">
        <f>SiteAttendu!$A92</f>
        <v>C1676</v>
      </c>
      <c r="B92" s="56" t="str">
        <f>VLOOKUP($A92,SiteAttendu!$A$2:$C$366,2,0)</f>
        <v>DISTRICT SANITAIRE TREICHVILLE MARCORY</v>
      </c>
      <c r="C92" s="57" t="str">
        <f>VLOOKUP($A92,SiteAttendu!$A$2:$C$366,3,0)</f>
        <v>ABIDJAN 2</v>
      </c>
      <c r="D92" s="58">
        <f>IF(VLOOKUP($A92,SiteAttendu!$A$2:$P$366,4,0)="NA","NA",COUNTIFS(soccode,A92,socprog,"PNLS/ANTIRETROVIRAUX ET IO",soctrans,"OUI"))</f>
        <v>1</v>
      </c>
      <c r="E92" s="58">
        <f>IF(VLOOKUP($A92,SiteAttendu!$A$2:$P$366,5,0)="NA","NA",COUNTIFS(soccode,A92,socprog,"PNLS/TESTS RAPIDES ET CONSOMMABLES",soctrans,"OUI"))</f>
        <v>1</v>
      </c>
      <c r="F92" s="58">
        <f>IF(VLOOKUP($A92,SiteAttendu!$A$2:$P$366,6,0)="NA","NA",COUNTIFS(soccode,A92,socprog,"PNLS/PRODUITS DE LABORATOIRE",soctrans,"OUI"))</f>
        <v>1</v>
      </c>
      <c r="G92" s="58" t="str">
        <f>IF(VLOOKUP($A92,SiteAttendu!$A$2:$P$366,7,0)="NA","NA",COUNTIFS(soccode,A92,socprog,"PNLS/CHARGES VIRALES",soctrans,"OUI"))</f>
        <v>NA</v>
      </c>
      <c r="H92" s="58">
        <f>IF(VLOOKUP($A92,SiteAttendu!$A$2:$P$366,9,0)="NA","NA",COUNTIFS(soccode,A92,socprog,"PNLP/MEDICAMENTS ET INTRANTS",soctrans,"OUI"))</f>
        <v>1</v>
      </c>
      <c r="I92" s="59">
        <f>IF(VLOOKUP($A92,SiteAttendu!$A$2:$P$366,10,0)="NA","NA",COUNTIFS(soccode,$A92,socprog,"PNSME/MEDICAMENTS ET INTRANTS",soctrans,"OUI"))</f>
        <v>1</v>
      </c>
      <c r="J92" s="58">
        <f>IF(VLOOKUP($A92,SiteAttendu!$A$2:$P$366,11,0)="NA","NA",COUNTIFS(soccode,$A92,socprog,"PNN/MEDICAMENTS ET INTRANTS",soctrans,"OUI"))</f>
        <v>1</v>
      </c>
      <c r="K92" s="58">
        <f>IF(VLOOKUP($A92,SiteAttendu!$A$2:$O$366,15,0)="NA","NA",IF(COUNTIF(socprog,"PNLT/SENSIBLE MEDICAMENTS ET INTRANTS")=0,"NA",COUNTIFS(soccode,$A92,socprog,"PNLT/SENSIBLE MEDICAMENTS ET INTRANTS",soctrans,"OUI")))</f>
        <v>1</v>
      </c>
      <c r="L92" s="60"/>
      <c r="M92" s="60">
        <f t="shared" ref="M92:S92" si="94">IFERROR(SUMIFS(E$2:E$364,$C$2:$C$364,$C92)/COUNTIFS(E$2:E$364,"&lt;&gt;NA",$C$2:$C$364,$C92),"")</f>
        <v>0.8888888889</v>
      </c>
      <c r="N92" s="60">
        <f t="shared" si="94"/>
        <v>0.8636363636</v>
      </c>
      <c r="O92" s="60">
        <f t="shared" si="94"/>
        <v>0.6923076923</v>
      </c>
      <c r="P92" s="60">
        <f t="shared" si="94"/>
        <v>0.7804878049</v>
      </c>
      <c r="Q92" s="60">
        <f t="shared" si="94"/>
        <v>0.8285714286</v>
      </c>
      <c r="R92" s="60">
        <f t="shared" si="94"/>
        <v>0.625</v>
      </c>
      <c r="S92" s="60">
        <f t="shared" si="94"/>
        <v>0.8947368421</v>
      </c>
      <c r="T92" s="61">
        <f t="shared" si="3"/>
        <v>0.8409090909</v>
      </c>
      <c r="U92" s="53">
        <f t="shared" si="4"/>
        <v>3</v>
      </c>
      <c r="V92" s="54">
        <f t="shared" si="5"/>
        <v>3</v>
      </c>
    </row>
    <row r="93" ht="15.75" customHeight="1">
      <c r="A93" s="55" t="str">
        <f>SiteAttendu!$A93</f>
        <v>C1141</v>
      </c>
      <c r="B93" s="56" t="str">
        <f>VLOOKUP($A93,SiteAttendu!$A$2:$C$366,2,0)</f>
        <v>UNITE SOINS AMBULATOIRE</v>
      </c>
      <c r="C93" s="57" t="str">
        <f>VLOOKUP($A93,SiteAttendu!$A$2:$C$366,3,0)</f>
        <v>ABIDJAN 2</v>
      </c>
      <c r="D93" s="58">
        <f>IF(VLOOKUP($A93,SiteAttendu!$A$2:$P$366,4,0)="NA","NA",COUNTIFS(soccode,A93,socprog,"PNLS/ANTIRETROVIRAUX ET IO",soctrans,"OUI"))</f>
        <v>1</v>
      </c>
      <c r="E93" s="58">
        <f>IF(VLOOKUP($A93,SiteAttendu!$A$2:$P$366,5,0)="NA","NA",COUNTIFS(soccode,A93,socprog,"PNLS/TESTS RAPIDES ET CONSOMMABLES",soctrans,"OUI"))</f>
        <v>1</v>
      </c>
      <c r="F93" s="58" t="str">
        <f>IF(VLOOKUP($A93,SiteAttendu!$A$2:$P$366,6,0)="NA","NA",COUNTIFS(soccode,A93,socprog,"PNLS/PRODUITS DE LABORATOIRE",soctrans,"OUI"))</f>
        <v>NA</v>
      </c>
      <c r="G93" s="58" t="str">
        <f>IF(VLOOKUP($A93,SiteAttendu!$A$2:$P$366,7,0)="NA","NA",COUNTIFS(soccode,A93,socprog,"PNLS/CHARGES VIRALES",soctrans,"OUI"))</f>
        <v>NA</v>
      </c>
      <c r="H93" s="58" t="str">
        <f>IF(VLOOKUP($A93,SiteAttendu!$A$2:$P$366,9,0)="NA","NA",COUNTIFS(soccode,A93,socprog,"PNLP/MEDICAMENTS ET INTRANTS",soctrans,"OUI"))</f>
        <v>NA</v>
      </c>
      <c r="I93" s="59" t="str">
        <f>IF(VLOOKUP($A93,SiteAttendu!$A$2:$P$366,10,0)="NA","NA",COUNTIFS(soccode,$A93,socprog,"PNSME/MEDICAMENTS ET INTRANTS",soctrans,"OUI"))</f>
        <v>NA</v>
      </c>
      <c r="J93" s="58" t="str">
        <f>IF(VLOOKUP($A93,SiteAttendu!$A$2:$P$366,11,0)="NA","NA",COUNTIFS(soccode,$A93,socprog,"PNN/MEDICAMENTS ET INTRANTS",soctrans,"OUI"))</f>
        <v>NA</v>
      </c>
      <c r="K93" s="58">
        <f>IF(VLOOKUP($A93,SiteAttendu!$A$2:$O$366,15,0)="NA","NA",IF(COUNTIF(socprog,"PNLT/SENSIBLE MEDICAMENTS ET INTRANTS")=0,"NA",COUNTIFS(soccode,$A93,socprog,"PNLT/SENSIBLE MEDICAMENTS ET INTRANTS",soctrans,"OUI")))</f>
        <v>1</v>
      </c>
      <c r="L93" s="60"/>
      <c r="M93" s="60">
        <f t="shared" ref="M93:S93" si="95">IFERROR(SUMIFS(E$2:E$364,$C$2:$C$364,$C93)/COUNTIFS(E$2:E$364,"&lt;&gt;NA",$C$2:$C$364,$C93),"")</f>
        <v>0.8888888889</v>
      </c>
      <c r="N93" s="60">
        <f t="shared" si="95"/>
        <v>0.8636363636</v>
      </c>
      <c r="O93" s="60">
        <f t="shared" si="95"/>
        <v>0.6923076923</v>
      </c>
      <c r="P93" s="60">
        <f t="shared" si="95"/>
        <v>0.7804878049</v>
      </c>
      <c r="Q93" s="60">
        <f t="shared" si="95"/>
        <v>0.8285714286</v>
      </c>
      <c r="R93" s="60">
        <f t="shared" si="95"/>
        <v>0.625</v>
      </c>
      <c r="S93" s="60">
        <f t="shared" si="95"/>
        <v>0.8947368421</v>
      </c>
      <c r="T93" s="61">
        <f t="shared" si="3"/>
        <v>0.8409090909</v>
      </c>
      <c r="U93" s="53">
        <f t="shared" si="4"/>
        <v>2</v>
      </c>
      <c r="V93" s="54">
        <f t="shared" si="5"/>
        <v>2</v>
      </c>
    </row>
    <row r="94" ht="15.75" customHeight="1">
      <c r="A94" s="55" t="str">
        <f>SiteAttendu!$A94</f>
        <v>C1407</v>
      </c>
      <c r="B94" s="56" t="str">
        <f>VLOOKUP($A94,SiteAttendu!$A$2:$C$366,2,0)</f>
        <v>CIRBA</v>
      </c>
      <c r="C94" s="57" t="str">
        <f>VLOOKUP($A94,SiteAttendu!$A$2:$C$366,3,0)</f>
        <v>ABIDJAN 2</v>
      </c>
      <c r="D94" s="58">
        <f>IF(VLOOKUP($A94,SiteAttendu!$A$2:$P$366,4,0)="NA","NA",COUNTIFS(soccode,A94,socprog,"PNLS/ANTIRETROVIRAUX ET IO",soctrans,"OUI"))</f>
        <v>1</v>
      </c>
      <c r="E94" s="58">
        <f>IF(VLOOKUP($A94,SiteAttendu!$A$2:$P$366,5,0)="NA","NA",COUNTIFS(soccode,A94,socprog,"PNLS/TESTS RAPIDES ET CONSOMMABLES",soctrans,"OUI"))</f>
        <v>1</v>
      </c>
      <c r="F94" s="58">
        <f>IF(VLOOKUP($A94,SiteAttendu!$A$2:$P$366,6,0)="NA","NA",COUNTIFS(soccode,A94,socprog,"PNLS/PRODUITS DE LABORATOIRE",soctrans,"OUI"))</f>
        <v>1</v>
      </c>
      <c r="G94" s="58">
        <f>IF(VLOOKUP($A94,SiteAttendu!$A$2:$P$366,7,0)="NA","NA",COUNTIFS(soccode,A94,socprog,"PNLS/CHARGES VIRALES",soctrans,"OUI"))</f>
        <v>1</v>
      </c>
      <c r="H94" s="58" t="str">
        <f>IF(VLOOKUP($A94,SiteAttendu!$A$2:$P$366,9,0)="NA","NA",COUNTIFS(soccode,A94,socprog,"PNLP/MEDICAMENTS ET INTRANTS",soctrans,"OUI"))</f>
        <v>NA</v>
      </c>
      <c r="I94" s="59" t="str">
        <f>IF(VLOOKUP($A94,SiteAttendu!$A$2:$P$366,10,0)="NA","NA",COUNTIFS(soccode,$A94,socprog,"PNSME/MEDICAMENTS ET INTRANTS",soctrans,"OUI"))</f>
        <v>NA</v>
      </c>
      <c r="J94" s="58" t="str">
        <f>IF(VLOOKUP($A94,SiteAttendu!$A$2:$P$366,11,0)="NA","NA",COUNTIFS(soccode,$A94,socprog,"PNN/MEDICAMENTS ET INTRANTS",soctrans,"OUI"))</f>
        <v>NA</v>
      </c>
      <c r="K94" s="58">
        <f>IF(VLOOKUP($A94,SiteAttendu!$A$2:$O$366,15,0)="NA","NA",IF(COUNTIF(socprog,"PNLT/SENSIBLE MEDICAMENTS ET INTRANTS")=0,"NA",COUNTIFS(soccode,$A94,socprog,"PNLT/SENSIBLE MEDICAMENTS ET INTRANTS",soctrans,"OUI")))</f>
        <v>1</v>
      </c>
      <c r="L94" s="60"/>
      <c r="M94" s="60">
        <f t="shared" ref="M94:S94" si="96">IFERROR(SUMIFS(E$2:E$364,$C$2:$C$364,$C94)/COUNTIFS(E$2:E$364,"&lt;&gt;NA",$C$2:$C$364,$C94),"")</f>
        <v>0.8888888889</v>
      </c>
      <c r="N94" s="60">
        <f t="shared" si="96"/>
        <v>0.8636363636</v>
      </c>
      <c r="O94" s="60">
        <f t="shared" si="96"/>
        <v>0.6923076923</v>
      </c>
      <c r="P94" s="60">
        <f t="shared" si="96"/>
        <v>0.7804878049</v>
      </c>
      <c r="Q94" s="60">
        <f t="shared" si="96"/>
        <v>0.8285714286</v>
      </c>
      <c r="R94" s="60">
        <f t="shared" si="96"/>
        <v>0.625</v>
      </c>
      <c r="S94" s="60">
        <f t="shared" si="96"/>
        <v>0.8947368421</v>
      </c>
      <c r="T94" s="61">
        <f t="shared" si="3"/>
        <v>0.8409090909</v>
      </c>
      <c r="U94" s="53">
        <f t="shared" si="4"/>
        <v>4</v>
      </c>
      <c r="V94" s="54">
        <f t="shared" si="5"/>
        <v>4</v>
      </c>
    </row>
    <row r="95" ht="15.75" customHeight="1">
      <c r="A95" s="55" t="str">
        <f>SiteAttendu!$A95</f>
        <v>C1426</v>
      </c>
      <c r="B95" s="56" t="str">
        <f>VLOOKUP($A95,SiteAttendu!$A$2:$C$366,2,0)</f>
        <v>CEDRES (PROJET FAC-SIDA CHU TREICHVILLE)</v>
      </c>
      <c r="C95" s="57" t="str">
        <f>VLOOKUP($A95,SiteAttendu!$A$2:$C$366,3,0)</f>
        <v>ABIDJAN 2</v>
      </c>
      <c r="D95" s="58" t="str">
        <f>IF(VLOOKUP($A95,SiteAttendu!$A$2:$P$366,4,0)="NA","NA",COUNTIFS(soccode,A95,socprog,"PNLS/ANTIRETROVIRAUX ET IO",soctrans,"OUI"))</f>
        <v>NA</v>
      </c>
      <c r="E95" s="58">
        <f>IF(VLOOKUP($A95,SiteAttendu!$A$2:$P$366,5,0)="NA","NA",COUNTIFS(soccode,A95,socprog,"PNLS/TESTS RAPIDES ET CONSOMMABLES",soctrans,"OUI"))</f>
        <v>1</v>
      </c>
      <c r="F95" s="58">
        <f>IF(VLOOKUP($A95,SiteAttendu!$A$2:$P$366,6,0)="NA","NA",COUNTIFS(soccode,A95,socprog,"PNLS/PRODUITS DE LABORATOIRE",soctrans,"OUI"))</f>
        <v>1</v>
      </c>
      <c r="G95" s="58">
        <f>IF(VLOOKUP($A95,SiteAttendu!$A$2:$P$366,7,0)="NA","NA",COUNTIFS(soccode,A95,socprog,"PNLS/CHARGES VIRALES",soctrans,"OUI"))</f>
        <v>1</v>
      </c>
      <c r="H95" s="58" t="str">
        <f>IF(VLOOKUP($A95,SiteAttendu!$A$2:$P$366,9,0)="NA","NA",COUNTIFS(soccode,A95,socprog,"PNLP/MEDICAMENTS ET INTRANTS",soctrans,"OUI"))</f>
        <v>NA</v>
      </c>
      <c r="I95" s="59" t="str">
        <f>IF(VLOOKUP($A95,SiteAttendu!$A$2:$P$366,10,0)="NA","NA",COUNTIFS(soccode,$A95,socprog,"PNSME/MEDICAMENTS ET INTRANTS",soctrans,"OUI"))</f>
        <v>NA</v>
      </c>
      <c r="J95" s="58" t="str">
        <f>IF(VLOOKUP($A95,SiteAttendu!$A$2:$P$366,11,0)="NA","NA",COUNTIFS(soccode,$A95,socprog,"PNN/MEDICAMENTS ET INTRANTS",soctrans,"OUI"))</f>
        <v>NA</v>
      </c>
      <c r="K95" s="58" t="str">
        <f>IF(VLOOKUP($A95,SiteAttendu!$A$2:$O$366,15,0)="NA","NA",IF(COUNTIF(socprog,"PNLT/SENSIBLE MEDICAMENTS ET INTRANTS")=0,"NA",COUNTIFS(soccode,$A95,socprog,"PNLT/SENSIBLE MEDICAMENTS ET INTRANTS",soctrans,"OUI")))</f>
        <v>NA</v>
      </c>
      <c r="L95" s="60"/>
      <c r="M95" s="60">
        <f t="shared" ref="M95:S95" si="97">IFERROR(SUMIFS(E$2:E$364,$C$2:$C$364,$C95)/COUNTIFS(E$2:E$364,"&lt;&gt;NA",$C$2:$C$364,$C95),"")</f>
        <v>0.8888888889</v>
      </c>
      <c r="N95" s="60">
        <f t="shared" si="97"/>
        <v>0.8636363636</v>
      </c>
      <c r="O95" s="60">
        <f t="shared" si="97"/>
        <v>0.6923076923</v>
      </c>
      <c r="P95" s="60">
        <f t="shared" si="97"/>
        <v>0.7804878049</v>
      </c>
      <c r="Q95" s="60">
        <f t="shared" si="97"/>
        <v>0.8285714286</v>
      </c>
      <c r="R95" s="60">
        <f t="shared" si="97"/>
        <v>0.625</v>
      </c>
      <c r="S95" s="60">
        <f t="shared" si="97"/>
        <v>0.8947368421</v>
      </c>
      <c r="T95" s="61">
        <f t="shared" si="3"/>
        <v>0.8409090909</v>
      </c>
      <c r="U95" s="53">
        <f t="shared" si="4"/>
        <v>3</v>
      </c>
      <c r="V95" s="54">
        <f t="shared" si="5"/>
        <v>3</v>
      </c>
    </row>
    <row r="96" ht="15.75" customHeight="1">
      <c r="A96" s="55" t="str">
        <f>SiteAttendu!$A96</f>
        <v>C1581</v>
      </c>
      <c r="B96" s="56" t="str">
        <f>VLOOKUP($A96,SiteAttendu!$A$2:$C$366,2,0)</f>
        <v>PROJET RETRO-CI (AMBASSADE USA)</v>
      </c>
      <c r="C96" s="57" t="str">
        <f>VLOOKUP($A96,SiteAttendu!$A$2:$C$366,3,0)</f>
        <v>ABIDJAN 2</v>
      </c>
      <c r="D96" s="58" t="str">
        <f>IF(VLOOKUP($A96,SiteAttendu!$A$2:$P$366,4,0)="NA","NA",COUNTIFS(soccode,A96,socprog,"PNLS/ANTIRETROVIRAUX ET IO",soctrans,"OUI"))</f>
        <v>NA</v>
      </c>
      <c r="E96" s="58">
        <f>IF(VLOOKUP($A96,SiteAttendu!$A$2:$P$366,5,0)="NA","NA",COUNTIFS(soccode,A96,socprog,"PNLS/TESTS RAPIDES ET CONSOMMABLES",soctrans,"OUI"))</f>
        <v>1</v>
      </c>
      <c r="F96" s="58">
        <f>IF(VLOOKUP($A96,SiteAttendu!$A$2:$P$366,6,0)="NA","NA",COUNTIFS(soccode,A96,socprog,"PNLS/PRODUITS DE LABORATOIRE",soctrans,"OUI"))</f>
        <v>1</v>
      </c>
      <c r="G96" s="58">
        <f>IF(VLOOKUP($A96,SiteAttendu!$A$2:$P$366,7,0)="NA","NA",COUNTIFS(soccode,A96,socprog,"PNLS/CHARGES VIRALES",soctrans,"OUI"))</f>
        <v>1</v>
      </c>
      <c r="H96" s="58" t="str">
        <f>IF(VLOOKUP($A96,SiteAttendu!$A$2:$P$366,9,0)="NA","NA",COUNTIFS(soccode,A96,socprog,"PNLP/MEDICAMENTS ET INTRANTS",soctrans,"OUI"))</f>
        <v>NA</v>
      </c>
      <c r="I96" s="59" t="str">
        <f>IF(VLOOKUP($A96,SiteAttendu!$A$2:$P$366,10,0)="NA","NA",COUNTIFS(soccode,$A96,socprog,"PNSME/MEDICAMENTS ET INTRANTS",soctrans,"OUI"))</f>
        <v>NA</v>
      </c>
      <c r="J96" s="58" t="str">
        <f>IF(VLOOKUP($A96,SiteAttendu!$A$2:$P$366,11,0)="NA","NA",COUNTIFS(soccode,$A96,socprog,"PNN/MEDICAMENTS ET INTRANTS",soctrans,"OUI"))</f>
        <v>NA</v>
      </c>
      <c r="K96" s="58" t="str">
        <f>IF(VLOOKUP($A96,SiteAttendu!$A$2:$O$366,15,0)="NA","NA",IF(COUNTIF(socprog,"PNLT/SENSIBLE MEDICAMENTS ET INTRANTS")=0,"NA",COUNTIFS(soccode,$A96,socprog,"PNLT/SENSIBLE MEDICAMENTS ET INTRANTS",soctrans,"OUI")))</f>
        <v>NA</v>
      </c>
      <c r="L96" s="60"/>
      <c r="M96" s="60">
        <f t="shared" ref="M96:S96" si="98">IFERROR(SUMIFS(E$2:E$364,$C$2:$C$364,$C96)/COUNTIFS(E$2:E$364,"&lt;&gt;NA",$C$2:$C$364,$C96),"")</f>
        <v>0.8888888889</v>
      </c>
      <c r="N96" s="60">
        <f t="shared" si="98"/>
        <v>0.8636363636</v>
      </c>
      <c r="O96" s="60">
        <f t="shared" si="98"/>
        <v>0.6923076923</v>
      </c>
      <c r="P96" s="60">
        <f t="shared" si="98"/>
        <v>0.7804878049</v>
      </c>
      <c r="Q96" s="60">
        <f t="shared" si="98"/>
        <v>0.8285714286</v>
      </c>
      <c r="R96" s="60">
        <f t="shared" si="98"/>
        <v>0.625</v>
      </c>
      <c r="S96" s="60">
        <f t="shared" si="98"/>
        <v>0.8947368421</v>
      </c>
      <c r="T96" s="61">
        <f t="shared" si="3"/>
        <v>0.8409090909</v>
      </c>
      <c r="U96" s="53">
        <f t="shared" si="4"/>
        <v>3</v>
      </c>
      <c r="V96" s="54">
        <f t="shared" si="5"/>
        <v>3</v>
      </c>
    </row>
    <row r="97" ht="15.75" customHeight="1">
      <c r="A97" s="62" t="str">
        <f>SiteAttendu!$A97</f>
        <v>C1002</v>
      </c>
      <c r="B97" s="63" t="str">
        <f>VLOOKUP($A97,SiteAttendu!$A$2:$C$366,2,0)</f>
        <v>CENTRE ANTI-TUBERCULEUX TREICHVILLE</v>
      </c>
      <c r="C97" s="64" t="str">
        <f>VLOOKUP($A97,SiteAttendu!$A$2:$C$366,3,0)</f>
        <v>ABIDJAN 2</v>
      </c>
      <c r="D97" s="65" t="str">
        <f>IF(VLOOKUP($A97,SiteAttendu!$A$2:$P$366,4,0)="NA","NA",COUNTIFS(soccode,A97,socprog,"PNLS/ANTIRETROVIRAUX ET IO",soctrans,"OUI"))</f>
        <v>NA</v>
      </c>
      <c r="E97" s="65" t="str">
        <f>IF(VLOOKUP($A97,SiteAttendu!$A$2:$P$366,5,0)="NA","NA",COUNTIFS(soccode,A97,socprog,"PNLS/TESTS RAPIDES ET CONSOMMABLES",soctrans,"OUI"))</f>
        <v>NA</v>
      </c>
      <c r="F97" s="65" t="str">
        <f>IF(VLOOKUP($A97,SiteAttendu!$A$2:$P$366,6,0)="NA","NA",COUNTIFS(soccode,A97,socprog,"PNLS/PRODUITS DE LABORATOIRE",soctrans,"OUI"))</f>
        <v>NA</v>
      </c>
      <c r="G97" s="65" t="str">
        <f>IF(VLOOKUP($A97,SiteAttendu!$A$2:$P$366,7,0)="NA","NA",COUNTIFS(soccode,A97,socprog,"PNLS/CHARGES VIRALES",soctrans,"OUI"))</f>
        <v>NA</v>
      </c>
      <c r="H97" s="65" t="str">
        <f>IF(VLOOKUP($A97,SiteAttendu!$A$2:$P$366,9,0)="NA","NA",COUNTIFS(soccode,A97,socprog,"PNLP/MEDICAMENTS ET INTRANTS",soctrans,"OUI"))</f>
        <v>NA</v>
      </c>
      <c r="I97" s="66" t="str">
        <f>IF(VLOOKUP($A97,SiteAttendu!$A$2:$P$366,10,0)="NA","NA",COUNTIFS(soccode,$A97,socprog,"PNSME/MEDICAMENTS ET INTRANTS",soctrans,"OUI"))</f>
        <v>NA</v>
      </c>
      <c r="J97" s="65" t="str">
        <f>IF(VLOOKUP($A97,SiteAttendu!$A$2:$P$366,11,0)="NA","NA",COUNTIFS(soccode,$A97,socprog,"PNN/MEDICAMENTS ET INTRANTS",soctrans,"OUI"))</f>
        <v>NA</v>
      </c>
      <c r="K97" s="65">
        <f>IF(VLOOKUP($A97,SiteAttendu!$A$2:$O$366,15,0)="NA","NA",IF(COUNTIF(socprog,"PNLT/SENSIBLE MEDICAMENTS ET INTRANTS")=0,"NA",COUNTIFS(soccode,$A97,socprog,"PNLT/SENSIBLE MEDICAMENTS ET INTRANTS",soctrans,"OUI")))</f>
        <v>1</v>
      </c>
      <c r="L97" s="67"/>
      <c r="M97" s="67">
        <f t="shared" ref="M97:S97" si="99">IFERROR(SUMIFS(E$2:E$364,$C$2:$C$364,$C97)/COUNTIFS(E$2:E$364,"&lt;&gt;NA",$C$2:$C$364,$C97),"")</f>
        <v>0.8888888889</v>
      </c>
      <c r="N97" s="67">
        <f t="shared" si="99"/>
        <v>0.8636363636</v>
      </c>
      <c r="O97" s="67">
        <f t="shared" si="99"/>
        <v>0.6923076923</v>
      </c>
      <c r="P97" s="67">
        <f t="shared" si="99"/>
        <v>0.7804878049</v>
      </c>
      <c r="Q97" s="67">
        <f t="shared" si="99"/>
        <v>0.8285714286</v>
      </c>
      <c r="R97" s="67">
        <f t="shared" si="99"/>
        <v>0.625</v>
      </c>
      <c r="S97" s="67">
        <f t="shared" si="99"/>
        <v>0.8947368421</v>
      </c>
      <c r="T97" s="68">
        <f t="shared" si="3"/>
        <v>0.8409090909</v>
      </c>
      <c r="U97" s="53">
        <f t="shared" si="4"/>
        <v>0</v>
      </c>
      <c r="V97" s="54">
        <f t="shared" si="5"/>
        <v>0</v>
      </c>
    </row>
    <row r="98" ht="16.5" customHeight="1">
      <c r="A98" s="46" t="str">
        <f>SiteAttendu!$A98</f>
        <v>C1004</v>
      </c>
      <c r="B98" s="47" t="str">
        <f>VLOOKUP($A98,SiteAttendu!$A$2:$C$366,2,0)</f>
        <v>CHR AGBOVILLE</v>
      </c>
      <c r="C98" s="48" t="str">
        <f>VLOOKUP($A98,SiteAttendu!$A$2:$C$366,3,0)</f>
        <v>AGNEBY-TIASSA</v>
      </c>
      <c r="D98" s="49">
        <f>IF(VLOOKUP($A98,SiteAttendu!$A$2:$P$366,4,0)="NA","NA",COUNTIFS(soccode,A98,socprog,"PNLS/ANTIRETROVIRAUX ET IO",soctrans,"OUI"))</f>
        <v>1</v>
      </c>
      <c r="E98" s="49">
        <f>IF(VLOOKUP($A98,SiteAttendu!$A$2:$P$366,5,0)="NA","NA",COUNTIFS(soccode,A98,socprog,"PNLS/TESTS RAPIDES ET CONSOMMABLES",soctrans,"OUI"))</f>
        <v>1</v>
      </c>
      <c r="F98" s="49">
        <f>IF(VLOOKUP($A98,SiteAttendu!$A$2:$P$366,6,0)="NA","NA",COUNTIFS(soccode,A98,socprog,"PNLS/PRODUITS DE LABORATOIRE",soctrans,"OUI"))</f>
        <v>1</v>
      </c>
      <c r="G98" s="49">
        <f>IF(VLOOKUP($A98,SiteAttendu!$A$2:$P$366,7,0)="NA","NA",COUNTIFS(soccode,A98,socprog,"PNLS/CHARGES VIRALES",soctrans,"OUI"))</f>
        <v>1</v>
      </c>
      <c r="H98" s="49">
        <f>IF(VLOOKUP($A98,SiteAttendu!$A$2:$P$366,9,0)="NA","NA",COUNTIFS(soccode,A98,socprog,"PNLP/MEDICAMENTS ET INTRANTS",soctrans,"OUI"))</f>
        <v>1</v>
      </c>
      <c r="I98" s="50">
        <f>IF(VLOOKUP($A98,SiteAttendu!$A$2:$P$366,10,0)="NA","NA",COUNTIFS(soccode,$A98,socprog,"PNSME/MEDICAMENTS ET INTRANTS",soctrans,"OUI"))</f>
        <v>0</v>
      </c>
      <c r="J98" s="49" t="str">
        <f>IF(VLOOKUP($A98,SiteAttendu!$A$2:$P$366,11,0)="NA","NA",COUNTIFS(soccode,$A98,socprog,"PNN/MEDICAMENTS ET INTRANTS",soctrans,"OUI"))</f>
        <v>NA</v>
      </c>
      <c r="K98" s="49" t="str">
        <f>IF(VLOOKUP($A98,SiteAttendu!$A$2:$O$366,15,0)="NA","NA",IF(COUNTIF(socprog,"PNLT/SENSIBLE MEDICAMENTS ET INTRANTS")=0,"NA",COUNTIFS(soccode,$A98,socprog,"PNLT/SENSIBLE MEDICAMENTS ET INTRANTS",soctrans,"OUI")))</f>
        <v>NA</v>
      </c>
      <c r="L98" s="51">
        <f t="shared" ref="L98:S98" si="100">IFERROR(SUMIFS(D$2:D$364,$C$2:$C$364,$C98)/COUNTIFS(D$2:D$364,"&lt;&gt;NA",$C$2:$C$364,$C98),"")</f>
        <v>1</v>
      </c>
      <c r="M98" s="51">
        <f t="shared" si="100"/>
        <v>1</v>
      </c>
      <c r="N98" s="51">
        <f t="shared" si="100"/>
        <v>1</v>
      </c>
      <c r="O98" s="51">
        <f t="shared" si="100"/>
        <v>1</v>
      </c>
      <c r="P98" s="51">
        <f t="shared" si="100"/>
        <v>0.8888888889</v>
      </c>
      <c r="Q98" s="51">
        <f t="shared" si="100"/>
        <v>0.3333333333</v>
      </c>
      <c r="R98" s="51" t="str">
        <f t="shared" si="100"/>
        <v/>
      </c>
      <c r="S98" s="51">
        <f t="shared" si="100"/>
        <v>1</v>
      </c>
      <c r="T98" s="52">
        <f t="shared" si="3"/>
        <v>1</v>
      </c>
      <c r="U98" s="53">
        <f t="shared" si="4"/>
        <v>4</v>
      </c>
      <c r="V98" s="54">
        <f t="shared" si="5"/>
        <v>4</v>
      </c>
    </row>
    <row r="99" ht="15.75" customHeight="1">
      <c r="A99" s="55" t="str">
        <f>SiteAttendu!$A99</f>
        <v>C1045</v>
      </c>
      <c r="B99" s="56" t="str">
        <f>VLOOKUP($A99,SiteAttendu!$A$2:$C$366,2,0)</f>
        <v>DISTRICT SANITAIRE AGBOVILLE</v>
      </c>
      <c r="C99" s="57" t="str">
        <f>VLOOKUP($A99,SiteAttendu!$A$2:$C$366,3,0)</f>
        <v>AGNEBY-TIASSA</v>
      </c>
      <c r="D99" s="58">
        <f>IF(VLOOKUP($A99,SiteAttendu!$A$2:$P$366,4,0)="NA","NA",COUNTIFS(soccode,A99,socprog,"PNLS/ANTIRETROVIRAUX ET IO",soctrans,"OUI"))</f>
        <v>1</v>
      </c>
      <c r="E99" s="58">
        <f>IF(VLOOKUP($A99,SiteAttendu!$A$2:$P$366,5,0)="NA","NA",COUNTIFS(soccode,A99,socprog,"PNLS/TESTS RAPIDES ET CONSOMMABLES",soctrans,"OUI"))</f>
        <v>1</v>
      </c>
      <c r="F99" s="58">
        <f>IF(VLOOKUP($A99,SiteAttendu!$A$2:$P$366,6,0)="NA","NA",COUNTIFS(soccode,A99,socprog,"PNLS/PRODUITS DE LABORATOIRE",soctrans,"OUI"))</f>
        <v>1</v>
      </c>
      <c r="G99" s="58" t="str">
        <f>IF(VLOOKUP($A99,SiteAttendu!$A$2:$P$366,7,0)="NA","NA",COUNTIFS(soccode,A99,socprog,"PNLS/CHARGES VIRALES",soctrans,"OUI"))</f>
        <v>NA</v>
      </c>
      <c r="H99" s="58">
        <f>IF(VLOOKUP($A99,SiteAttendu!$A$2:$P$366,9,0)="NA","NA",COUNTIFS(soccode,A99,socprog,"PNLP/MEDICAMENTS ET INTRANTS",soctrans,"OUI"))</f>
        <v>1</v>
      </c>
      <c r="I99" s="59">
        <f>IF(VLOOKUP($A99,SiteAttendu!$A$2:$P$366,10,0)="NA","NA",COUNTIFS(soccode,$A99,socprog,"PNSME/MEDICAMENTS ET INTRANTS",soctrans,"OUI"))</f>
        <v>1</v>
      </c>
      <c r="J99" s="58" t="str">
        <f>IF(VLOOKUP($A99,SiteAttendu!$A$2:$P$366,11,0)="NA","NA",COUNTIFS(soccode,$A99,socprog,"PNN/MEDICAMENTS ET INTRANTS",soctrans,"OUI"))</f>
        <v>NA</v>
      </c>
      <c r="K99" s="58">
        <f>IF(VLOOKUP($A99,SiteAttendu!$A$2:$O$366,15,0)="NA","NA",IF(COUNTIF(socprog,"PNLT/SENSIBLE MEDICAMENTS ET INTRANTS")=0,"NA",COUNTIFS(soccode,$A99,socprog,"PNLT/SENSIBLE MEDICAMENTS ET INTRANTS",soctrans,"OUI")))</f>
        <v>1</v>
      </c>
      <c r="L99" s="60"/>
      <c r="M99" s="60">
        <f t="shared" ref="M99:S99" si="101">IFERROR(SUMIFS(E$2:E$364,$C$2:$C$364,$C99)/COUNTIFS(E$2:E$364,"&lt;&gt;NA",$C$2:$C$364,$C99),"")</f>
        <v>1</v>
      </c>
      <c r="N99" s="60">
        <f t="shared" si="101"/>
        <v>1</v>
      </c>
      <c r="O99" s="60">
        <f t="shared" si="101"/>
        <v>1</v>
      </c>
      <c r="P99" s="60">
        <f t="shared" si="101"/>
        <v>0.8888888889</v>
      </c>
      <c r="Q99" s="60">
        <f t="shared" si="101"/>
        <v>0.3333333333</v>
      </c>
      <c r="R99" s="60" t="str">
        <f t="shared" si="101"/>
        <v/>
      </c>
      <c r="S99" s="60">
        <f t="shared" si="101"/>
        <v>1</v>
      </c>
      <c r="T99" s="61">
        <f t="shared" si="3"/>
        <v>1</v>
      </c>
      <c r="U99" s="53">
        <f t="shared" si="4"/>
        <v>3</v>
      </c>
      <c r="V99" s="54">
        <f t="shared" si="5"/>
        <v>3</v>
      </c>
    </row>
    <row r="100" ht="15.75" customHeight="1">
      <c r="A100" s="55" t="str">
        <f>SiteAttendu!$A100</f>
        <v>C1751</v>
      </c>
      <c r="B100" s="56" t="str">
        <f>VLOOKUP($A100,SiteAttendu!$A$2:$C$366,2,0)</f>
        <v>CENTRE ANTITUBERCULEUX AGBOVILLE</v>
      </c>
      <c r="C100" s="57" t="str">
        <f>VLOOKUP($A100,SiteAttendu!$A$2:$C$366,3,0)</f>
        <v>AGNEBY-TIASSA</v>
      </c>
      <c r="D100" s="58" t="str">
        <f>IF(VLOOKUP($A100,SiteAttendu!$A$2:$P$366,4,0)="NA","NA",COUNTIFS(soccode,A100,socprog,"PNLS/ANTIRETROVIRAUX ET IO",soctrans,"OUI"))</f>
        <v>NA</v>
      </c>
      <c r="E100" s="58" t="str">
        <f>IF(VLOOKUP($A100,SiteAttendu!$A$2:$P$366,5,0)="NA","NA",COUNTIFS(soccode,A100,socprog,"PNLS/TESTS RAPIDES ET CONSOMMABLES",soctrans,"OUI"))</f>
        <v>NA</v>
      </c>
      <c r="F100" s="58" t="str">
        <f>IF(VLOOKUP($A100,SiteAttendu!$A$2:$P$366,6,0)="NA","NA",COUNTIFS(soccode,A100,socprog,"PNLS/PRODUITS DE LABORATOIRE",soctrans,"OUI"))</f>
        <v>NA</v>
      </c>
      <c r="G100" s="58" t="str">
        <f>IF(VLOOKUP($A100,SiteAttendu!$A$2:$P$366,7,0)="NA","NA",COUNTIFS(soccode,A100,socprog,"PNLS/CHARGES VIRALES",soctrans,"OUI"))</f>
        <v>NA</v>
      </c>
      <c r="H100" s="58" t="str">
        <f>IF(VLOOKUP($A100,SiteAttendu!$A$2:$P$366,9,0)="NA","NA",COUNTIFS(soccode,A100,socprog,"PNLP/MEDICAMENTS ET INTRANTS",soctrans,"OUI"))</f>
        <v>NA</v>
      </c>
      <c r="I100" s="59" t="str">
        <f>IF(VLOOKUP($A100,SiteAttendu!$A$2:$P$366,10,0)="NA","NA",COUNTIFS(soccode,$A100,socprog,"PNSME/MEDICAMENTS ET INTRANTS",soctrans,"OUI"))</f>
        <v>NA</v>
      </c>
      <c r="J100" s="58" t="str">
        <f>IF(VLOOKUP($A100,SiteAttendu!$A$2:$P$366,11,0)="NA","NA",COUNTIFS(soccode,$A100,socprog,"PNN/MEDICAMENTS ET INTRANTS",soctrans,"OUI"))</f>
        <v>NA</v>
      </c>
      <c r="K100" s="58">
        <f>IF(VLOOKUP($A100,SiteAttendu!$A$2:$O$366,15,0)="NA","NA",IF(COUNTIF(socprog,"PNLT/SENSIBLE MEDICAMENTS ET INTRANTS")=0,"NA",COUNTIFS(soccode,$A100,socprog,"PNLT/SENSIBLE MEDICAMENTS ET INTRANTS",soctrans,"OUI")))</f>
        <v>1</v>
      </c>
      <c r="L100" s="60"/>
      <c r="M100" s="60">
        <f t="shared" ref="M100:S100" si="102">IFERROR(SUMIFS(E$2:E$364,$C$2:$C$364,$C100)/COUNTIFS(E$2:E$364,"&lt;&gt;NA",$C$2:$C$364,$C100),"")</f>
        <v>1</v>
      </c>
      <c r="N100" s="60">
        <f t="shared" si="102"/>
        <v>1</v>
      </c>
      <c r="O100" s="60">
        <f t="shared" si="102"/>
        <v>1</v>
      </c>
      <c r="P100" s="60">
        <f t="shared" si="102"/>
        <v>0.8888888889</v>
      </c>
      <c r="Q100" s="60">
        <f t="shared" si="102"/>
        <v>0.3333333333</v>
      </c>
      <c r="R100" s="60" t="str">
        <f t="shared" si="102"/>
        <v/>
      </c>
      <c r="S100" s="60">
        <f t="shared" si="102"/>
        <v>1</v>
      </c>
      <c r="T100" s="61">
        <f t="shared" si="3"/>
        <v>1</v>
      </c>
      <c r="U100" s="53">
        <f t="shared" si="4"/>
        <v>0</v>
      </c>
      <c r="V100" s="54">
        <f t="shared" si="5"/>
        <v>0</v>
      </c>
    </row>
    <row r="101" ht="15.75" customHeight="1">
      <c r="A101" s="55" t="str">
        <f>SiteAttendu!$A101</f>
        <v>C1098</v>
      </c>
      <c r="B101" s="56" t="str">
        <f>VLOOKUP($A101,SiteAttendu!$A$2:$C$366,2,0)</f>
        <v>HOPITAL GENERAL SIKENSI</v>
      </c>
      <c r="C101" s="57" t="str">
        <f>VLOOKUP($A101,SiteAttendu!$A$2:$C$366,3,0)</f>
        <v>AGNEBY-TIASSA</v>
      </c>
      <c r="D101" s="58">
        <f>IF(VLOOKUP($A101,SiteAttendu!$A$2:$P$366,4,0)="NA","NA",COUNTIFS(soccode,A101,socprog,"PNLS/ANTIRETROVIRAUX ET IO",soctrans,"OUI"))</f>
        <v>1</v>
      </c>
      <c r="E101" s="58">
        <f>IF(VLOOKUP($A101,SiteAttendu!$A$2:$P$366,5,0)="NA","NA",COUNTIFS(soccode,A101,socprog,"PNLS/TESTS RAPIDES ET CONSOMMABLES",soctrans,"OUI"))</f>
        <v>1</v>
      </c>
      <c r="F101" s="58">
        <f>IF(VLOOKUP($A101,SiteAttendu!$A$2:$P$366,6,0)="NA","NA",COUNTIFS(soccode,A101,socprog,"PNLS/PRODUITS DE LABORATOIRE",soctrans,"OUI"))</f>
        <v>1</v>
      </c>
      <c r="G101" s="58" t="str">
        <f>IF(VLOOKUP($A101,SiteAttendu!$A$2:$P$366,7,0)="NA","NA",COUNTIFS(soccode,A101,socprog,"PNLS/CHARGES VIRALES",soctrans,"OUI"))</f>
        <v>NA</v>
      </c>
      <c r="H101" s="58">
        <f>IF(VLOOKUP($A101,SiteAttendu!$A$2:$P$366,9,0)="NA","NA",COUNTIFS(soccode,A101,socprog,"PNLP/MEDICAMENTS ET INTRANTS",soctrans,"OUI"))</f>
        <v>1</v>
      </c>
      <c r="I101" s="59">
        <f>IF(VLOOKUP($A101,SiteAttendu!$A$2:$P$366,10,0)="NA","NA",COUNTIFS(soccode,$A101,socprog,"PNSME/MEDICAMENTS ET INTRANTS",soctrans,"OUI"))</f>
        <v>0</v>
      </c>
      <c r="J101" s="58" t="str">
        <f>IF(VLOOKUP($A101,SiteAttendu!$A$2:$P$366,11,0)="NA","NA",COUNTIFS(soccode,$A101,socprog,"PNN/MEDICAMENTS ET INTRANTS",soctrans,"OUI"))</f>
        <v>NA</v>
      </c>
      <c r="K101" s="58" t="str">
        <f>IF(VLOOKUP($A101,SiteAttendu!$A$2:$O$366,15,0)="NA","NA",IF(COUNTIF(socprog,"PNLT/SENSIBLE MEDICAMENTS ET INTRANTS")=0,"NA",COUNTIFS(soccode,$A101,socprog,"PNLT/SENSIBLE MEDICAMENTS ET INTRANTS",soctrans,"OUI")))</f>
        <v>NA</v>
      </c>
      <c r="L101" s="60"/>
      <c r="M101" s="60">
        <f t="shared" ref="M101:S101" si="103">IFERROR(SUMIFS(E$2:E$364,$C$2:$C$364,$C101)/COUNTIFS(E$2:E$364,"&lt;&gt;NA",$C$2:$C$364,$C101),"")</f>
        <v>1</v>
      </c>
      <c r="N101" s="60">
        <f t="shared" si="103"/>
        <v>1</v>
      </c>
      <c r="O101" s="60">
        <f t="shared" si="103"/>
        <v>1</v>
      </c>
      <c r="P101" s="60">
        <f t="shared" si="103"/>
        <v>0.8888888889</v>
      </c>
      <c r="Q101" s="60">
        <f t="shared" si="103"/>
        <v>0.3333333333</v>
      </c>
      <c r="R101" s="60" t="str">
        <f t="shared" si="103"/>
        <v/>
      </c>
      <c r="S101" s="60">
        <f t="shared" si="103"/>
        <v>1</v>
      </c>
      <c r="T101" s="61">
        <f t="shared" si="3"/>
        <v>1</v>
      </c>
      <c r="U101" s="53">
        <f t="shared" si="4"/>
        <v>3</v>
      </c>
      <c r="V101" s="54">
        <f t="shared" si="5"/>
        <v>3</v>
      </c>
    </row>
    <row r="102" ht="15.75" customHeight="1">
      <c r="A102" s="55" t="str">
        <f>SiteAttendu!$A102</f>
        <v>C2141</v>
      </c>
      <c r="B102" s="56" t="str">
        <f>VLOOKUP($A102,SiteAttendu!$A$2:$C$366,2,0)</f>
        <v>DISTRICT SANITAIRE SIKENSI</v>
      </c>
      <c r="C102" s="57" t="str">
        <f>VLOOKUP($A102,SiteAttendu!$A$2:$C$366,3,0)</f>
        <v>AGNEBY-TIASSA</v>
      </c>
      <c r="D102" s="58">
        <f>IF(VLOOKUP($A102,SiteAttendu!$A$2:$P$366,4,0)="NA","NA",COUNTIFS(soccode,A102,socprog,"PNLS/ANTIRETROVIRAUX ET IO",soctrans,"OUI"))</f>
        <v>1</v>
      </c>
      <c r="E102" s="58">
        <f>IF(VLOOKUP($A102,SiteAttendu!$A$2:$P$366,5,0)="NA","NA",COUNTIFS(soccode,A102,socprog,"PNLS/TESTS RAPIDES ET CONSOMMABLES",soctrans,"OUI"))</f>
        <v>1</v>
      </c>
      <c r="F102" s="58">
        <f>IF(VLOOKUP($A102,SiteAttendu!$A$2:$P$366,6,0)="NA","NA",COUNTIFS(soccode,A102,socprog,"PNLS/PRODUITS DE LABORATOIRE",soctrans,"OUI"))</f>
        <v>1</v>
      </c>
      <c r="G102" s="58" t="str">
        <f>IF(VLOOKUP($A102,SiteAttendu!$A$2:$P$366,7,0)="NA","NA",COUNTIFS(soccode,A102,socprog,"PNLS/CHARGES VIRALES",soctrans,"OUI"))</f>
        <v>NA</v>
      </c>
      <c r="H102" s="58">
        <f>IF(VLOOKUP($A102,SiteAttendu!$A$2:$P$366,9,0)="NA","NA",COUNTIFS(soccode,A102,socprog,"PNLP/MEDICAMENTS ET INTRANTS",soctrans,"OUI"))</f>
        <v>1</v>
      </c>
      <c r="I102" s="59">
        <f>IF(VLOOKUP($A102,SiteAttendu!$A$2:$P$366,10,0)="NA","NA",COUNTIFS(soccode,$A102,socprog,"PNSME/MEDICAMENTS ET INTRANTS",soctrans,"OUI"))</f>
        <v>0</v>
      </c>
      <c r="J102" s="58" t="str">
        <f>IF(VLOOKUP($A102,SiteAttendu!$A$2:$P$366,11,0)="NA","NA",COUNTIFS(soccode,$A102,socprog,"PNN/MEDICAMENTS ET INTRANTS",soctrans,"OUI"))</f>
        <v>NA</v>
      </c>
      <c r="K102" s="58" t="str">
        <f>IF(VLOOKUP($A102,SiteAttendu!$A$2:$O$366,15,0)="NA","NA",IF(COUNTIF(socprog,"PNLT/SENSIBLE MEDICAMENTS ET INTRANTS")=0,"NA",COUNTIFS(soccode,$A102,socprog,"PNLT/SENSIBLE MEDICAMENTS ET INTRANTS",soctrans,"OUI")))</f>
        <v>NA</v>
      </c>
      <c r="L102" s="60"/>
      <c r="M102" s="60">
        <f t="shared" ref="M102:S102" si="104">IFERROR(SUMIFS(E$2:E$364,$C$2:$C$364,$C102)/COUNTIFS(E$2:E$364,"&lt;&gt;NA",$C$2:$C$364,$C102),"")</f>
        <v>1</v>
      </c>
      <c r="N102" s="60">
        <f t="shared" si="104"/>
        <v>1</v>
      </c>
      <c r="O102" s="60">
        <f t="shared" si="104"/>
        <v>1</v>
      </c>
      <c r="P102" s="60">
        <f t="shared" si="104"/>
        <v>0.8888888889</v>
      </c>
      <c r="Q102" s="60">
        <f t="shared" si="104"/>
        <v>0.3333333333</v>
      </c>
      <c r="R102" s="60" t="str">
        <f t="shared" si="104"/>
        <v/>
      </c>
      <c r="S102" s="60">
        <f t="shared" si="104"/>
        <v>1</v>
      </c>
      <c r="T102" s="61">
        <f t="shared" si="3"/>
        <v>1</v>
      </c>
      <c r="U102" s="53">
        <f t="shared" si="4"/>
        <v>3</v>
      </c>
      <c r="V102" s="54">
        <f t="shared" si="5"/>
        <v>3</v>
      </c>
    </row>
    <row r="103" ht="15.75" customHeight="1">
      <c r="A103" s="55" t="str">
        <f>SiteAttendu!$A103</f>
        <v>C1009</v>
      </c>
      <c r="B103" s="56" t="str">
        <f>VLOOKUP($A103,SiteAttendu!$A$2:$C$366,2,0)</f>
        <v>CSU N'DOUCI</v>
      </c>
      <c r="C103" s="57" t="str">
        <f>VLOOKUP($A103,SiteAttendu!$A$2:$C$366,3,0)</f>
        <v>AGNEBY-TIASSA</v>
      </c>
      <c r="D103" s="58">
        <f>IF(VLOOKUP($A103,SiteAttendu!$A$2:$P$366,4,0)="NA","NA",COUNTIFS(soccode,A103,socprog,"PNLS/ANTIRETROVIRAUX ET IO",soctrans,"OUI"))</f>
        <v>1</v>
      </c>
      <c r="E103" s="58">
        <f>IF(VLOOKUP($A103,SiteAttendu!$A$2:$P$366,5,0)="NA","NA",COUNTIFS(soccode,A103,socprog,"PNLS/TESTS RAPIDES ET CONSOMMABLES",soctrans,"OUI"))</f>
        <v>1</v>
      </c>
      <c r="F103" s="58" t="str">
        <f>IF(VLOOKUP($A103,SiteAttendu!$A$2:$P$366,6,0)="NA","NA",COUNTIFS(soccode,A103,socprog,"PNLS/PRODUITS DE LABORATOIRE",soctrans,"OUI"))</f>
        <v>NA</v>
      </c>
      <c r="G103" s="58" t="str">
        <f>IF(VLOOKUP($A103,SiteAttendu!$A$2:$P$366,7,0)="NA","NA",COUNTIFS(soccode,A103,socprog,"PNLS/CHARGES VIRALES",soctrans,"OUI"))</f>
        <v>NA</v>
      </c>
      <c r="H103" s="58">
        <f>IF(VLOOKUP($A103,SiteAttendu!$A$2:$P$366,9,0)="NA","NA",COUNTIFS(soccode,A103,socprog,"PNLP/MEDICAMENTS ET INTRANTS",soctrans,"OUI"))</f>
        <v>1</v>
      </c>
      <c r="I103" s="59">
        <f>IF(VLOOKUP($A103,SiteAttendu!$A$2:$P$366,10,0)="NA","NA",COUNTIFS(soccode,$A103,socprog,"PNSME/MEDICAMENTS ET INTRANTS",soctrans,"OUI"))</f>
        <v>0</v>
      </c>
      <c r="J103" s="58" t="str">
        <f>IF(VLOOKUP($A103,SiteAttendu!$A$2:$P$366,11,0)="NA","NA",COUNTIFS(soccode,$A103,socprog,"PNN/MEDICAMENTS ET INTRANTS",soctrans,"OUI"))</f>
        <v>NA</v>
      </c>
      <c r="K103" s="58" t="str">
        <f>IF(VLOOKUP($A103,SiteAttendu!$A$2:$O$366,15,0)="NA","NA",IF(COUNTIF(socprog,"PNLT/SENSIBLE MEDICAMENTS ET INTRANTS")=0,"NA",COUNTIFS(soccode,$A103,socprog,"PNLT/SENSIBLE MEDICAMENTS ET INTRANTS",soctrans,"OUI")))</f>
        <v>NA</v>
      </c>
      <c r="L103" s="60"/>
      <c r="M103" s="60">
        <f t="shared" ref="M103:S103" si="105">IFERROR(SUMIFS(E$2:E$364,$C$2:$C$364,$C103)/COUNTIFS(E$2:E$364,"&lt;&gt;NA",$C$2:$C$364,$C103),"")</f>
        <v>1</v>
      </c>
      <c r="N103" s="60">
        <f t="shared" si="105"/>
        <v>1</v>
      </c>
      <c r="O103" s="60">
        <f t="shared" si="105"/>
        <v>1</v>
      </c>
      <c r="P103" s="60">
        <f t="shared" si="105"/>
        <v>0.8888888889</v>
      </c>
      <c r="Q103" s="60">
        <f t="shared" si="105"/>
        <v>0.3333333333</v>
      </c>
      <c r="R103" s="60" t="str">
        <f t="shared" si="105"/>
        <v/>
      </c>
      <c r="S103" s="60">
        <f t="shared" si="105"/>
        <v>1</v>
      </c>
      <c r="T103" s="61">
        <f t="shared" si="3"/>
        <v>1</v>
      </c>
      <c r="U103" s="53">
        <f t="shared" si="4"/>
        <v>2</v>
      </c>
      <c r="V103" s="54">
        <f t="shared" si="5"/>
        <v>2</v>
      </c>
    </row>
    <row r="104" ht="15.75" customHeight="1">
      <c r="A104" s="55" t="str">
        <f>SiteAttendu!$A104</f>
        <v>C1112</v>
      </c>
      <c r="B104" s="56" t="str">
        <f>VLOOKUP($A104,SiteAttendu!$A$2:$C$366,2,0)</f>
        <v>HOPITAL GENERAL TIASSALE</v>
      </c>
      <c r="C104" s="57" t="str">
        <f>VLOOKUP($A104,SiteAttendu!$A$2:$C$366,3,0)</f>
        <v>AGNEBY-TIASSA</v>
      </c>
      <c r="D104" s="58">
        <f>IF(VLOOKUP($A104,SiteAttendu!$A$2:$P$366,4,0)="NA","NA",COUNTIFS(soccode,A104,socprog,"PNLS/ANTIRETROVIRAUX ET IO",soctrans,"OUI"))</f>
        <v>1</v>
      </c>
      <c r="E104" s="58">
        <f>IF(VLOOKUP($A104,SiteAttendu!$A$2:$P$366,5,0)="NA","NA",COUNTIFS(soccode,A104,socprog,"PNLS/TESTS RAPIDES ET CONSOMMABLES",soctrans,"OUI"))</f>
        <v>1</v>
      </c>
      <c r="F104" s="58">
        <f>IF(VLOOKUP($A104,SiteAttendu!$A$2:$P$366,6,0)="NA","NA",COUNTIFS(soccode,A104,socprog,"PNLS/PRODUITS DE LABORATOIRE",soctrans,"OUI"))</f>
        <v>1</v>
      </c>
      <c r="G104" s="58" t="str">
        <f>IF(VLOOKUP($A104,SiteAttendu!$A$2:$P$366,7,0)="NA","NA",COUNTIFS(soccode,A104,socprog,"PNLS/CHARGES VIRALES",soctrans,"OUI"))</f>
        <v>NA</v>
      </c>
      <c r="H104" s="58">
        <f>IF(VLOOKUP($A104,SiteAttendu!$A$2:$P$366,9,0)="NA","NA",COUNTIFS(soccode,A104,socprog,"PNLP/MEDICAMENTS ET INTRANTS",soctrans,"OUI"))</f>
        <v>1</v>
      </c>
      <c r="I104" s="59">
        <f>IF(VLOOKUP($A104,SiteAttendu!$A$2:$P$366,10,0)="NA","NA",COUNTIFS(soccode,$A104,socprog,"PNSME/MEDICAMENTS ET INTRANTS",soctrans,"OUI"))</f>
        <v>1</v>
      </c>
      <c r="J104" s="58" t="str">
        <f>IF(VLOOKUP($A104,SiteAttendu!$A$2:$P$366,11,0)="NA","NA",COUNTIFS(soccode,$A104,socprog,"PNN/MEDICAMENTS ET INTRANTS",soctrans,"OUI"))</f>
        <v>NA</v>
      </c>
      <c r="K104" s="58" t="str">
        <f>IF(VLOOKUP($A104,SiteAttendu!$A$2:$O$366,15,0)="NA","NA",IF(COUNTIF(socprog,"PNLT/SENSIBLE MEDICAMENTS ET INTRANTS")=0,"NA",COUNTIFS(soccode,$A104,socprog,"PNLT/SENSIBLE MEDICAMENTS ET INTRANTS",soctrans,"OUI")))</f>
        <v>NA</v>
      </c>
      <c r="L104" s="60"/>
      <c r="M104" s="60">
        <f t="shared" ref="M104:S104" si="106">IFERROR(SUMIFS(E$2:E$364,$C$2:$C$364,$C104)/COUNTIFS(E$2:E$364,"&lt;&gt;NA",$C$2:$C$364,$C104),"")</f>
        <v>1</v>
      </c>
      <c r="N104" s="60">
        <f t="shared" si="106"/>
        <v>1</v>
      </c>
      <c r="O104" s="60">
        <f t="shared" si="106"/>
        <v>1</v>
      </c>
      <c r="P104" s="60">
        <f t="shared" si="106"/>
        <v>0.8888888889</v>
      </c>
      <c r="Q104" s="60">
        <f t="shared" si="106"/>
        <v>0.3333333333</v>
      </c>
      <c r="R104" s="60" t="str">
        <f t="shared" si="106"/>
        <v/>
      </c>
      <c r="S104" s="60">
        <f t="shared" si="106"/>
        <v>1</v>
      </c>
      <c r="T104" s="61">
        <f t="shared" si="3"/>
        <v>1</v>
      </c>
      <c r="U104" s="53">
        <f t="shared" si="4"/>
        <v>3</v>
      </c>
      <c r="V104" s="54">
        <f t="shared" si="5"/>
        <v>3</v>
      </c>
      <c r="W104" s="69"/>
    </row>
    <row r="105" ht="15.75" customHeight="1">
      <c r="A105" s="55" t="str">
        <f>SiteAttendu!$A105</f>
        <v>C1125</v>
      </c>
      <c r="B105" s="56" t="str">
        <f>VLOOKUP($A105,SiteAttendu!$A$2:$C$366,2,0)</f>
        <v>DISTRICT SANITAIRE TIASSALE</v>
      </c>
      <c r="C105" s="57" t="str">
        <f>VLOOKUP($A105,SiteAttendu!$A$2:$C$366,3,0)</f>
        <v>AGNEBY-TIASSA</v>
      </c>
      <c r="D105" s="58">
        <f>IF(VLOOKUP($A105,SiteAttendu!$A$2:$P$366,4,0)="NA","NA",COUNTIFS(soccode,A105,socprog,"PNLS/ANTIRETROVIRAUX ET IO",soctrans,"OUI"))</f>
        <v>1</v>
      </c>
      <c r="E105" s="58">
        <f>IF(VLOOKUP($A105,SiteAttendu!$A$2:$P$366,5,0)="NA","NA",COUNTIFS(soccode,A105,socprog,"PNLS/TESTS RAPIDES ET CONSOMMABLES",soctrans,"OUI"))</f>
        <v>1</v>
      </c>
      <c r="F105" s="58">
        <f>IF(VLOOKUP($A105,SiteAttendu!$A$2:$P$366,6,0)="NA","NA",COUNTIFS(soccode,A105,socprog,"PNLS/PRODUITS DE LABORATOIRE",soctrans,"OUI"))</f>
        <v>1</v>
      </c>
      <c r="G105" s="58" t="str">
        <f>IF(VLOOKUP($A105,SiteAttendu!$A$2:$P$366,7,0)="NA","NA",COUNTIFS(soccode,A105,socprog,"PNLS/CHARGES VIRALES",soctrans,"OUI"))</f>
        <v>NA</v>
      </c>
      <c r="H105" s="58">
        <f>IF(VLOOKUP($A105,SiteAttendu!$A$2:$P$366,9,0)="NA","NA",COUNTIFS(soccode,A105,socprog,"PNLP/MEDICAMENTS ET INTRANTS",soctrans,"OUI"))</f>
        <v>1</v>
      </c>
      <c r="I105" s="59">
        <f>IF(VLOOKUP($A105,SiteAttendu!$A$2:$P$366,10,0)="NA","NA",COUNTIFS(soccode,$A105,socprog,"PNSME/MEDICAMENTS ET INTRANTS",soctrans,"OUI"))</f>
        <v>1</v>
      </c>
      <c r="J105" s="58" t="str">
        <f>IF(VLOOKUP($A105,SiteAttendu!$A$2:$P$366,11,0)="NA","NA",COUNTIFS(soccode,$A105,socprog,"PNN/MEDICAMENTS ET INTRANTS",soctrans,"OUI"))</f>
        <v>NA</v>
      </c>
      <c r="K105" s="58">
        <f>IF(VLOOKUP($A105,SiteAttendu!$A$2:$O$366,15,0)="NA","NA",IF(COUNTIF(socprog,"PNLT/SENSIBLE MEDICAMENTS ET INTRANTS")=0,"NA",COUNTIFS(soccode,$A105,socprog,"PNLT/SENSIBLE MEDICAMENTS ET INTRANTS",soctrans,"OUI")))</f>
        <v>1</v>
      </c>
      <c r="L105" s="60"/>
      <c r="M105" s="60">
        <f t="shared" ref="M105:S105" si="107">IFERROR(SUMIFS(E$2:E$364,$C$2:$C$364,$C105)/COUNTIFS(E$2:E$364,"&lt;&gt;NA",$C$2:$C$364,$C105),"")</f>
        <v>1</v>
      </c>
      <c r="N105" s="60">
        <f t="shared" si="107"/>
        <v>1</v>
      </c>
      <c r="O105" s="60">
        <f t="shared" si="107"/>
        <v>1</v>
      </c>
      <c r="P105" s="60">
        <f t="shared" si="107"/>
        <v>0.8888888889</v>
      </c>
      <c r="Q105" s="60">
        <f t="shared" si="107"/>
        <v>0.3333333333</v>
      </c>
      <c r="R105" s="60" t="str">
        <f t="shared" si="107"/>
        <v/>
      </c>
      <c r="S105" s="60">
        <f t="shared" si="107"/>
        <v>1</v>
      </c>
      <c r="T105" s="61">
        <f t="shared" si="3"/>
        <v>1</v>
      </c>
      <c r="U105" s="53">
        <f t="shared" si="4"/>
        <v>3</v>
      </c>
      <c r="V105" s="54">
        <f t="shared" si="5"/>
        <v>3</v>
      </c>
    </row>
    <row r="106" ht="15.75" customHeight="1">
      <c r="A106" s="55" t="str">
        <f>SiteAttendu!$A106</f>
        <v>C1701</v>
      </c>
      <c r="B106" s="56" t="str">
        <f>VLOOKUP($A106,SiteAttendu!$A$2:$C$366,2,0)</f>
        <v>HOPITAL SAINT JEAN- BAPTISTE</v>
      </c>
      <c r="C106" s="57" t="str">
        <f>VLOOKUP($A106,SiteAttendu!$A$2:$C$366,3,0)</f>
        <v>AGNEBY-TIASSA</v>
      </c>
      <c r="D106" s="58">
        <f>IF(VLOOKUP($A106,SiteAttendu!$A$2:$P$366,4,0)="NA","NA",COUNTIFS(soccode,A106,socprog,"PNLS/ANTIRETROVIRAUX ET IO",soctrans,"OUI"))</f>
        <v>1</v>
      </c>
      <c r="E106" s="58">
        <f>IF(VLOOKUP($A106,SiteAttendu!$A$2:$P$366,5,0)="NA","NA",COUNTIFS(soccode,A106,socprog,"PNLS/TESTS RAPIDES ET CONSOMMABLES",soctrans,"OUI"))</f>
        <v>1</v>
      </c>
      <c r="F106" s="58">
        <f>IF(VLOOKUP($A106,SiteAttendu!$A$2:$P$366,6,0)="NA","NA",COUNTIFS(soccode,A106,socprog,"PNLS/PRODUITS DE LABORATOIRE",soctrans,"OUI"))</f>
        <v>1</v>
      </c>
      <c r="G106" s="58" t="str">
        <f>IF(VLOOKUP($A106,SiteAttendu!$A$2:$P$366,7,0)="NA","NA",COUNTIFS(soccode,A106,socprog,"PNLS/CHARGES VIRALES",soctrans,"OUI"))</f>
        <v>NA</v>
      </c>
      <c r="H106" s="58">
        <f>IF(VLOOKUP($A106,SiteAttendu!$A$2:$P$366,9,0)="NA","NA",COUNTIFS(soccode,A106,socprog,"PNLP/MEDICAMENTS ET INTRANTS",soctrans,"OUI"))</f>
        <v>1</v>
      </c>
      <c r="I106" s="59">
        <f>IF(VLOOKUP($A106,SiteAttendu!$A$2:$P$366,10,0)="NA","NA",COUNTIFS(soccode,$A106,socprog,"PNSME/MEDICAMENTS ET INTRANTS",soctrans,"OUI"))</f>
        <v>0</v>
      </c>
      <c r="J106" s="58" t="str">
        <f>IF(VLOOKUP($A106,SiteAttendu!$A$2:$P$366,11,0)="NA","NA",COUNTIFS(soccode,$A106,socprog,"PNN/MEDICAMENTS ET INTRANTS",soctrans,"OUI"))</f>
        <v>NA</v>
      </c>
      <c r="K106" s="58" t="str">
        <f>IF(VLOOKUP($A106,SiteAttendu!$A$2:$O$366,15,0)="NA","NA",IF(COUNTIF(socprog,"PNLT/SENSIBLE MEDICAMENTS ET INTRANTS")=0,"NA",COUNTIFS(soccode,$A106,socprog,"PNLT/SENSIBLE MEDICAMENTS ET INTRANTS",soctrans,"OUI")))</f>
        <v>NA</v>
      </c>
      <c r="L106" s="60"/>
      <c r="M106" s="60">
        <f t="shared" ref="M106:S106" si="108">IFERROR(SUMIFS(E$2:E$364,$C$2:$C$364,$C106)/COUNTIFS(E$2:E$364,"&lt;&gt;NA",$C$2:$C$364,$C106),"")</f>
        <v>1</v>
      </c>
      <c r="N106" s="60">
        <f t="shared" si="108"/>
        <v>1</v>
      </c>
      <c r="O106" s="60">
        <f t="shared" si="108"/>
        <v>1</v>
      </c>
      <c r="P106" s="60">
        <f t="shared" si="108"/>
        <v>0.8888888889</v>
      </c>
      <c r="Q106" s="60">
        <f t="shared" si="108"/>
        <v>0.3333333333</v>
      </c>
      <c r="R106" s="60" t="str">
        <f t="shared" si="108"/>
        <v/>
      </c>
      <c r="S106" s="60">
        <f t="shared" si="108"/>
        <v>1</v>
      </c>
      <c r="T106" s="61">
        <f t="shared" si="3"/>
        <v>1</v>
      </c>
      <c r="U106" s="53">
        <f t="shared" si="4"/>
        <v>3</v>
      </c>
      <c r="V106" s="54">
        <f t="shared" si="5"/>
        <v>3</v>
      </c>
    </row>
    <row r="107" ht="15.75" customHeight="1">
      <c r="A107" s="62" t="str">
        <f>SiteAttendu!$A107</f>
        <v>C2065</v>
      </c>
      <c r="B107" s="63" t="str">
        <f>VLOOKUP($A107,SiteAttendu!$A$2:$C$366,2,0)</f>
        <v>HOPITAL GENERAL TAABO</v>
      </c>
      <c r="C107" s="64" t="str">
        <f>VLOOKUP($A107,SiteAttendu!$A$2:$C$366,3,0)</f>
        <v>AGNEBY-TIASSA</v>
      </c>
      <c r="D107" s="65">
        <f>IF(VLOOKUP($A107,SiteAttendu!$A$2:$P$366,4,0)="NA","NA",COUNTIFS(soccode,A107,socprog,"PNLS/ANTIRETROVIRAUX ET IO",soctrans,"OUI"))</f>
        <v>1</v>
      </c>
      <c r="E107" s="65">
        <f>IF(VLOOKUP($A107,SiteAttendu!$A$2:$P$366,5,0)="NA","NA",COUNTIFS(soccode,A107,socprog,"PNLS/TESTS RAPIDES ET CONSOMMABLES",soctrans,"OUI"))</f>
        <v>1</v>
      </c>
      <c r="F107" s="65">
        <f>IF(VLOOKUP($A107,SiteAttendu!$A$2:$P$366,6,0)="NA","NA",COUNTIFS(soccode,A107,socprog,"PNLS/PRODUITS DE LABORATOIRE",soctrans,"OUI"))</f>
        <v>1</v>
      </c>
      <c r="G107" s="65" t="str">
        <f>IF(VLOOKUP($A107,SiteAttendu!$A$2:$P$366,7,0)="NA","NA",COUNTIFS(soccode,A107,socprog,"PNLS/CHARGES VIRALES",soctrans,"OUI"))</f>
        <v>NA</v>
      </c>
      <c r="H107" s="65">
        <f>IF(VLOOKUP($A107,SiteAttendu!$A$2:$P$366,9,0)="NA","NA",COUNTIFS(soccode,A107,socprog,"PNLP/MEDICAMENTS ET INTRANTS",soctrans,"OUI"))</f>
        <v>0</v>
      </c>
      <c r="I107" s="66">
        <f>IF(VLOOKUP($A107,SiteAttendu!$A$2:$P$366,10,0)="NA","NA",COUNTIFS(soccode,$A107,socprog,"PNSME/MEDICAMENTS ET INTRANTS",soctrans,"OUI"))</f>
        <v>0</v>
      </c>
      <c r="J107" s="65" t="str">
        <f>IF(VLOOKUP($A107,SiteAttendu!$A$2:$P$366,11,0)="NA","NA",COUNTIFS(soccode,$A107,socprog,"PNN/MEDICAMENTS ET INTRANTS",soctrans,"OUI"))</f>
        <v>NA</v>
      </c>
      <c r="K107" s="65">
        <f>IF(VLOOKUP($A107,SiteAttendu!$A$2:$O$366,15,0)="NA","NA",IF(COUNTIF(socprog,"PNLT/SENSIBLE MEDICAMENTS ET INTRANTS")=0,"NA",COUNTIFS(soccode,$A107,socprog,"PNLT/SENSIBLE MEDICAMENTS ET INTRANTS",soctrans,"OUI")))</f>
        <v>1</v>
      </c>
      <c r="L107" s="67"/>
      <c r="M107" s="67">
        <f t="shared" ref="M107:S107" si="109">IFERROR(SUMIFS(E$2:E$364,$C$2:$C$364,$C107)/COUNTIFS(E$2:E$364,"&lt;&gt;NA",$C$2:$C$364,$C107),"")</f>
        <v>1</v>
      </c>
      <c r="N107" s="67">
        <f t="shared" si="109"/>
        <v>1</v>
      </c>
      <c r="O107" s="67">
        <f t="shared" si="109"/>
        <v>1</v>
      </c>
      <c r="P107" s="67">
        <f t="shared" si="109"/>
        <v>0.8888888889</v>
      </c>
      <c r="Q107" s="67">
        <f t="shared" si="109"/>
        <v>0.3333333333</v>
      </c>
      <c r="R107" s="67" t="str">
        <f t="shared" si="109"/>
        <v/>
      </c>
      <c r="S107" s="67">
        <f t="shared" si="109"/>
        <v>1</v>
      </c>
      <c r="T107" s="68">
        <f t="shared" si="3"/>
        <v>1</v>
      </c>
      <c r="U107" s="53">
        <f t="shared" si="4"/>
        <v>3</v>
      </c>
      <c r="V107" s="54">
        <f t="shared" si="5"/>
        <v>3</v>
      </c>
    </row>
    <row r="108" ht="15.75" customHeight="1">
      <c r="A108" s="46" t="str">
        <f>SiteAttendu!$A108</f>
        <v>C5069</v>
      </c>
      <c r="B108" s="47" t="str">
        <f>VLOOKUP($A108,SiteAttendu!$A$2:$C$366,2,0)</f>
        <v>DISTRICT SANITAIRE KORO</v>
      </c>
      <c r="C108" s="48" t="str">
        <f>VLOOKUP($A108,SiteAttendu!$A$2:$C$366,3,0)</f>
        <v>BAFING</v>
      </c>
      <c r="D108" s="49">
        <f>IF(VLOOKUP($A108,SiteAttendu!$A$2:$P$366,4,0)="NA","NA",COUNTIFS(soccode,A108,socprog,"PNLS/ANTIRETROVIRAUX ET IO",soctrans,"OUI"))</f>
        <v>1</v>
      </c>
      <c r="E108" s="49">
        <f>IF(VLOOKUP($A108,SiteAttendu!$A$2:$P$366,5,0)="NA","NA",COUNTIFS(soccode,A108,socprog,"PNLS/TESTS RAPIDES ET CONSOMMABLES",soctrans,"OUI"))</f>
        <v>1</v>
      </c>
      <c r="F108" s="49" t="str">
        <f>IF(VLOOKUP($A108,SiteAttendu!$A$2:$P$366,6,0)="NA","NA",COUNTIFS(soccode,A108,socprog,"PNLS/PRODUITS DE LABORATOIRE",soctrans,"OUI"))</f>
        <v>NA</v>
      </c>
      <c r="G108" s="49" t="str">
        <f>IF(VLOOKUP($A108,SiteAttendu!$A$2:$P$366,7,0)="NA","NA",COUNTIFS(soccode,A108,socprog,"PNLS/CHARGES VIRALES",soctrans,"OUI"))</f>
        <v>NA</v>
      </c>
      <c r="H108" s="49">
        <f>IF(VLOOKUP($A108,SiteAttendu!$A$2:$P$366,9,0)="NA","NA",COUNTIFS(soccode,A108,socprog,"PNLP/MEDICAMENTS ET INTRANTS",soctrans,"OUI"))</f>
        <v>1</v>
      </c>
      <c r="I108" s="50">
        <f>IF(VLOOKUP($A108,SiteAttendu!$A$2:$P$366,10,0)="NA","NA",COUNTIFS(soccode,$A108,socprog,"PNSME/MEDICAMENTS ET INTRANTS",soctrans,"OUI"))</f>
        <v>1</v>
      </c>
      <c r="J108" s="49">
        <f>IF(VLOOKUP($A108,SiteAttendu!$A$2:$P$366,11,0)="NA","NA",COUNTIFS(soccode,$A108,socprog,"PNN/MEDICAMENTS ET INTRANTS",soctrans,"OUI"))</f>
        <v>1</v>
      </c>
      <c r="K108" s="49">
        <f>IF(VLOOKUP($A108,SiteAttendu!$A$2:$O$366,15,0)="NA","NA",IF(COUNTIF(socprog,"PNLT/SENSIBLE MEDICAMENTS ET INTRANTS")=0,"NA",COUNTIFS(soccode,$A108,socprog,"PNLT/SENSIBLE MEDICAMENTS ET INTRANTS",soctrans,"OUI")))</f>
        <v>0</v>
      </c>
      <c r="L108" s="51">
        <f t="shared" ref="L108:S108" si="110">IFERROR(SUMIFS(D$2:D$364,$C$2:$C$364,$C108)/COUNTIFS(D$2:D$364,"&lt;&gt;NA",$C$2:$C$364,$C108),"")</f>
        <v>0.8333333333</v>
      </c>
      <c r="M108" s="51">
        <f t="shared" si="110"/>
        <v>0.8333333333</v>
      </c>
      <c r="N108" s="51">
        <f t="shared" si="110"/>
        <v>1</v>
      </c>
      <c r="O108" s="51" t="str">
        <f t="shared" si="110"/>
        <v/>
      </c>
      <c r="P108" s="51">
        <f t="shared" si="110"/>
        <v>0.8333333333</v>
      </c>
      <c r="Q108" s="51">
        <f t="shared" si="110"/>
        <v>0.8333333333</v>
      </c>
      <c r="R108" s="51">
        <f t="shared" si="110"/>
        <v>1</v>
      </c>
      <c r="S108" s="51">
        <f t="shared" si="110"/>
        <v>0.4</v>
      </c>
      <c r="T108" s="52">
        <f t="shared" si="3"/>
        <v>0.8461538462</v>
      </c>
      <c r="U108" s="53">
        <f t="shared" si="4"/>
        <v>2</v>
      </c>
      <c r="V108" s="54">
        <f t="shared" si="5"/>
        <v>2</v>
      </c>
    </row>
    <row r="109" ht="15.75" customHeight="1">
      <c r="A109" s="55" t="str">
        <f>SiteAttendu!$A109</f>
        <v>C5076</v>
      </c>
      <c r="B109" s="56" t="str">
        <f>VLOOKUP($A109,SiteAttendu!$A$2:$C$366,2,0)</f>
        <v>HOPITAL GENERAL KORO</v>
      </c>
      <c r="C109" s="57" t="str">
        <f>VLOOKUP($A109,SiteAttendu!$A$2:$C$366,3,0)</f>
        <v>BAFING</v>
      </c>
      <c r="D109" s="58">
        <f>IF(VLOOKUP($A109,SiteAttendu!$A$2:$P$366,4,0)="NA","NA",COUNTIFS(soccode,A109,socprog,"PNLS/ANTIRETROVIRAUX ET IO",soctrans,"OUI"))</f>
        <v>1</v>
      </c>
      <c r="E109" s="58">
        <f>IF(VLOOKUP($A109,SiteAttendu!$A$2:$P$366,5,0)="NA","NA",COUNTIFS(soccode,A109,socprog,"PNLS/TESTS RAPIDES ET CONSOMMABLES",soctrans,"OUI"))</f>
        <v>1</v>
      </c>
      <c r="F109" s="58" t="str">
        <f>IF(VLOOKUP($A109,SiteAttendu!$A$2:$P$366,6,0)="NA","NA",COUNTIFS(soccode,A109,socprog,"PNLS/PRODUITS DE LABORATOIRE",soctrans,"OUI"))</f>
        <v>NA</v>
      </c>
      <c r="G109" s="58" t="str">
        <f>IF(VLOOKUP($A109,SiteAttendu!$A$2:$P$366,7,0)="NA","NA",COUNTIFS(soccode,A109,socprog,"PNLS/CHARGES VIRALES",soctrans,"OUI"))</f>
        <v>NA</v>
      </c>
      <c r="H109" s="58">
        <f>IF(VLOOKUP($A109,SiteAttendu!$A$2:$P$366,9,0)="NA","NA",COUNTIFS(soccode,A109,socprog,"PNLP/MEDICAMENTS ET INTRANTS",soctrans,"OUI"))</f>
        <v>1</v>
      </c>
      <c r="I109" s="59">
        <f>IF(VLOOKUP($A109,SiteAttendu!$A$2:$P$366,10,0)="NA","NA",COUNTIFS(soccode,$A109,socprog,"PNSME/MEDICAMENTS ET INTRANTS",soctrans,"OUI"))</f>
        <v>1</v>
      </c>
      <c r="J109" s="58">
        <f>IF(VLOOKUP($A109,SiteAttendu!$A$2:$P$366,11,0)="NA","NA",COUNTIFS(soccode,$A109,socprog,"PNN/MEDICAMENTS ET INTRANTS",soctrans,"OUI"))</f>
        <v>1</v>
      </c>
      <c r="K109" s="58">
        <f>IF(VLOOKUP($A109,SiteAttendu!$A$2:$O$366,15,0)="NA","NA",IF(COUNTIF(socprog,"PNLT/SENSIBLE MEDICAMENTS ET INTRANTS")=0,"NA",COUNTIFS(soccode,$A109,socprog,"PNLT/SENSIBLE MEDICAMENTS ET INTRANTS",soctrans,"OUI")))</f>
        <v>1</v>
      </c>
      <c r="L109" s="60"/>
      <c r="M109" s="60">
        <f t="shared" ref="M109:S109" si="111">IFERROR(SUMIFS(E$2:E$364,$C$2:$C$364,$C109)/COUNTIFS(E$2:E$364,"&lt;&gt;NA",$C$2:$C$364,$C109),"")</f>
        <v>0.8333333333</v>
      </c>
      <c r="N109" s="60">
        <f t="shared" si="111"/>
        <v>1</v>
      </c>
      <c r="O109" s="60" t="str">
        <f t="shared" si="111"/>
        <v/>
      </c>
      <c r="P109" s="60">
        <f t="shared" si="111"/>
        <v>0.8333333333</v>
      </c>
      <c r="Q109" s="60">
        <f t="shared" si="111"/>
        <v>0.8333333333</v>
      </c>
      <c r="R109" s="60">
        <f t="shared" si="111"/>
        <v>1</v>
      </c>
      <c r="S109" s="60">
        <f t="shared" si="111"/>
        <v>0.4</v>
      </c>
      <c r="T109" s="61">
        <f t="shared" si="3"/>
        <v>0.8461538462</v>
      </c>
      <c r="U109" s="53">
        <f t="shared" si="4"/>
        <v>2</v>
      </c>
      <c r="V109" s="54">
        <f t="shared" si="5"/>
        <v>2</v>
      </c>
    </row>
    <row r="110" ht="15.75" customHeight="1">
      <c r="A110" s="55" t="str">
        <f>SiteAttendu!$A110</f>
        <v>C5078</v>
      </c>
      <c r="B110" s="56" t="str">
        <f>VLOOKUP($A110,SiteAttendu!$A$2:$C$366,2,0)</f>
        <v>HOPITAL GENERAL OUANINOU</v>
      </c>
      <c r="C110" s="57" t="str">
        <f>VLOOKUP($A110,SiteAttendu!$A$2:$C$366,3,0)</f>
        <v>BAFING</v>
      </c>
      <c r="D110" s="58">
        <f>IF(VLOOKUP($A110,SiteAttendu!$A$2:$P$366,4,0)="NA","NA",COUNTIFS(soccode,A110,socprog,"PNLS/ANTIRETROVIRAUX ET IO",soctrans,"OUI"))</f>
        <v>1</v>
      </c>
      <c r="E110" s="58">
        <f>IF(VLOOKUP($A110,SiteAttendu!$A$2:$P$366,5,0)="NA","NA",COUNTIFS(soccode,A110,socprog,"PNLS/TESTS RAPIDES ET CONSOMMABLES",soctrans,"OUI"))</f>
        <v>1</v>
      </c>
      <c r="F110" s="58" t="str">
        <f>IF(VLOOKUP($A110,SiteAttendu!$A$2:$P$366,6,0)="NA","NA",COUNTIFS(soccode,A110,socprog,"PNLS/PRODUITS DE LABORATOIRE",soctrans,"OUI"))</f>
        <v>NA</v>
      </c>
      <c r="G110" s="58" t="str">
        <f>IF(VLOOKUP($A110,SiteAttendu!$A$2:$P$366,7,0)="NA","NA",COUNTIFS(soccode,A110,socprog,"PNLS/CHARGES VIRALES",soctrans,"OUI"))</f>
        <v>NA</v>
      </c>
      <c r="H110" s="58">
        <f>IF(VLOOKUP($A110,SiteAttendu!$A$2:$P$366,9,0)="NA","NA",COUNTIFS(soccode,A110,socprog,"PNLP/MEDICAMENTS ET INTRANTS",soctrans,"OUI"))</f>
        <v>1</v>
      </c>
      <c r="I110" s="59">
        <f>IF(VLOOKUP($A110,SiteAttendu!$A$2:$P$366,10,0)="NA","NA",COUNTIFS(soccode,$A110,socprog,"PNSME/MEDICAMENTS ET INTRANTS",soctrans,"OUI"))</f>
        <v>1</v>
      </c>
      <c r="J110" s="58">
        <f>IF(VLOOKUP($A110,SiteAttendu!$A$2:$P$366,11,0)="NA","NA",COUNTIFS(soccode,$A110,socprog,"PNN/MEDICAMENTS ET INTRANTS",soctrans,"OUI"))</f>
        <v>1</v>
      </c>
      <c r="K110" s="58">
        <f>IF(VLOOKUP($A110,SiteAttendu!$A$2:$O$366,15,0)="NA","NA",IF(COUNTIF(socprog,"PNLT/SENSIBLE MEDICAMENTS ET INTRANTS")=0,"NA",COUNTIFS(soccode,$A110,socprog,"PNLT/SENSIBLE MEDICAMENTS ET INTRANTS",soctrans,"OUI")))</f>
        <v>1</v>
      </c>
      <c r="L110" s="60"/>
      <c r="M110" s="60">
        <f t="shared" ref="M110:S110" si="112">IFERROR(SUMIFS(E$2:E$364,$C$2:$C$364,$C110)/COUNTIFS(E$2:E$364,"&lt;&gt;NA",$C$2:$C$364,$C110),"")</f>
        <v>0.8333333333</v>
      </c>
      <c r="N110" s="60">
        <f t="shared" si="112"/>
        <v>1</v>
      </c>
      <c r="O110" s="60" t="str">
        <f t="shared" si="112"/>
        <v/>
      </c>
      <c r="P110" s="60">
        <f t="shared" si="112"/>
        <v>0.8333333333</v>
      </c>
      <c r="Q110" s="60">
        <f t="shared" si="112"/>
        <v>0.8333333333</v>
      </c>
      <c r="R110" s="60">
        <f t="shared" si="112"/>
        <v>1</v>
      </c>
      <c r="S110" s="60">
        <f t="shared" si="112"/>
        <v>0.4</v>
      </c>
      <c r="T110" s="61">
        <f t="shared" si="3"/>
        <v>0.8461538462</v>
      </c>
      <c r="U110" s="53">
        <f t="shared" si="4"/>
        <v>2</v>
      </c>
      <c r="V110" s="54">
        <f t="shared" si="5"/>
        <v>2</v>
      </c>
    </row>
    <row r="111" ht="15.75" customHeight="1">
      <c r="A111" s="55" t="str">
        <f>SiteAttendu!$A111</f>
        <v>C5081</v>
      </c>
      <c r="B111" s="56" t="str">
        <f>VLOOKUP($A111,SiteAttendu!$A$2:$C$366,2,0)</f>
        <v> DISTRICT SANITAIRE OUANINOU</v>
      </c>
      <c r="C111" s="57" t="str">
        <f>VLOOKUP($A111,SiteAttendu!$A$2:$C$366,3,0)</f>
        <v>BAFING</v>
      </c>
      <c r="D111" s="58">
        <f>IF(VLOOKUP($A111,SiteAttendu!$A$2:$P$366,4,0)="NA","NA",COUNTIFS(soccode,A111,socprog,"PNLS/ANTIRETROVIRAUX ET IO",soctrans,"OUI"))</f>
        <v>1</v>
      </c>
      <c r="E111" s="58">
        <f>IF(VLOOKUP($A111,SiteAttendu!$A$2:$P$366,5,0)="NA","NA",COUNTIFS(soccode,A111,socprog,"PNLS/TESTS RAPIDES ET CONSOMMABLES",soctrans,"OUI"))</f>
        <v>1</v>
      </c>
      <c r="F111" s="58" t="str">
        <f>IF(VLOOKUP($A111,SiteAttendu!$A$2:$P$366,6,0)="NA","NA",COUNTIFS(soccode,A111,socprog,"PNLS/PRODUITS DE LABORATOIRE",soctrans,"OUI"))</f>
        <v>NA</v>
      </c>
      <c r="G111" s="58" t="str">
        <f>IF(VLOOKUP($A111,SiteAttendu!$A$2:$P$366,7,0)="NA","NA",COUNTIFS(soccode,A111,socprog,"PNLS/CHARGES VIRALES",soctrans,"OUI"))</f>
        <v>NA</v>
      </c>
      <c r="H111" s="58">
        <f>IF(VLOOKUP($A111,SiteAttendu!$A$2:$P$366,9,0)="NA","NA",COUNTIFS(soccode,A111,socprog,"PNLP/MEDICAMENTS ET INTRANTS",soctrans,"OUI"))</f>
        <v>1</v>
      </c>
      <c r="I111" s="59">
        <f>IF(VLOOKUP($A111,SiteAttendu!$A$2:$P$366,10,0)="NA","NA",COUNTIFS(soccode,$A111,socprog,"PNSME/MEDICAMENTS ET INTRANTS",soctrans,"OUI"))</f>
        <v>1</v>
      </c>
      <c r="J111" s="58">
        <f>IF(VLOOKUP($A111,SiteAttendu!$A$2:$P$366,11,0)="NA","NA",COUNTIFS(soccode,$A111,socprog,"PNN/MEDICAMENTS ET INTRANTS",soctrans,"OUI"))</f>
        <v>1</v>
      </c>
      <c r="K111" s="58" t="str">
        <f>IF(VLOOKUP($A111,SiteAttendu!$A$2:$O$366,15,0)="NA","NA",IF(COUNTIF(socprog,"PNLT/SENSIBLE MEDICAMENTS ET INTRANTS")=0,"NA",COUNTIFS(soccode,$A111,socprog,"PNLT/SENSIBLE MEDICAMENTS ET INTRANTS",soctrans,"OUI")))</f>
        <v>NA</v>
      </c>
      <c r="L111" s="60"/>
      <c r="M111" s="60">
        <f t="shared" ref="M111:S111" si="113">IFERROR(SUMIFS(E$2:E$364,$C$2:$C$364,$C111)/COUNTIFS(E$2:E$364,"&lt;&gt;NA",$C$2:$C$364,$C111),"")</f>
        <v>0.8333333333</v>
      </c>
      <c r="N111" s="60">
        <f t="shared" si="113"/>
        <v>1</v>
      </c>
      <c r="O111" s="60" t="str">
        <f t="shared" si="113"/>
        <v/>
      </c>
      <c r="P111" s="60">
        <f t="shared" si="113"/>
        <v>0.8333333333</v>
      </c>
      <c r="Q111" s="60">
        <f t="shared" si="113"/>
        <v>0.8333333333</v>
      </c>
      <c r="R111" s="60">
        <f t="shared" si="113"/>
        <v>1</v>
      </c>
      <c r="S111" s="60">
        <f t="shared" si="113"/>
        <v>0.4</v>
      </c>
      <c r="T111" s="61">
        <f t="shared" si="3"/>
        <v>0.8461538462</v>
      </c>
      <c r="U111" s="53">
        <f t="shared" si="4"/>
        <v>2</v>
      </c>
      <c r="V111" s="54">
        <f t="shared" si="5"/>
        <v>2</v>
      </c>
    </row>
    <row r="112" ht="15.75" customHeight="1">
      <c r="A112" s="55" t="str">
        <f>SiteAttendu!$A112</f>
        <v>C5004</v>
      </c>
      <c r="B112" s="56" t="str">
        <f>VLOOKUP($A112,SiteAttendu!$A$2:$C$366,2,0)</f>
        <v>CHR TOUBA</v>
      </c>
      <c r="C112" s="57" t="str">
        <f>VLOOKUP($A112,SiteAttendu!$A$2:$C$366,3,0)</f>
        <v>BAFING</v>
      </c>
      <c r="D112" s="58">
        <f>IF(VLOOKUP($A112,SiteAttendu!$A$2:$P$366,4,0)="NA","NA",COUNTIFS(soccode,A112,socprog,"PNLS/ANTIRETROVIRAUX ET IO",soctrans,"OUI"))</f>
        <v>1</v>
      </c>
      <c r="E112" s="58">
        <f>IF(VLOOKUP($A112,SiteAttendu!$A$2:$P$366,5,0)="NA","NA",COUNTIFS(soccode,A112,socprog,"PNLS/TESTS RAPIDES ET CONSOMMABLES",soctrans,"OUI"))</f>
        <v>1</v>
      </c>
      <c r="F112" s="58">
        <f>IF(VLOOKUP($A112,SiteAttendu!$A$2:$P$366,6,0)="NA","NA",COUNTIFS(soccode,A112,socprog,"PNLS/PRODUITS DE LABORATOIRE",soctrans,"OUI"))</f>
        <v>1</v>
      </c>
      <c r="G112" s="58" t="str">
        <f>IF(VLOOKUP($A112,SiteAttendu!$A$2:$P$366,7,0)="NA","NA",COUNTIFS(soccode,A112,socprog,"PNLS/CHARGES VIRALES",soctrans,"OUI"))</f>
        <v>NA</v>
      </c>
      <c r="H112" s="58">
        <f>IF(VLOOKUP($A112,SiteAttendu!$A$2:$P$366,9,0)="NA","NA",COUNTIFS(soccode,A112,socprog,"PNLP/MEDICAMENTS ET INTRANTS",soctrans,"OUI"))</f>
        <v>1</v>
      </c>
      <c r="I112" s="59">
        <f>IF(VLOOKUP($A112,SiteAttendu!$A$2:$P$366,10,0)="NA","NA",COUNTIFS(soccode,$A112,socprog,"PNSME/MEDICAMENTS ET INTRANTS",soctrans,"OUI"))</f>
        <v>1</v>
      </c>
      <c r="J112" s="58">
        <f>IF(VLOOKUP($A112,SiteAttendu!$A$2:$P$366,11,0)="NA","NA",COUNTIFS(soccode,$A112,socprog,"PNN/MEDICAMENTS ET INTRANTS",soctrans,"OUI"))</f>
        <v>1</v>
      </c>
      <c r="K112" s="58">
        <f>IF(VLOOKUP($A112,SiteAttendu!$A$2:$O$366,15,0)="NA","NA",IF(COUNTIF(socprog,"PNLT/SENSIBLE MEDICAMENTS ET INTRANTS")=0,"NA",COUNTIFS(soccode,$A112,socprog,"PNLT/SENSIBLE MEDICAMENTS ET INTRANTS",soctrans,"OUI")))</f>
        <v>0</v>
      </c>
      <c r="L112" s="60"/>
      <c r="M112" s="60">
        <f t="shared" ref="M112:S112" si="114">IFERROR(SUMIFS(E$2:E$364,$C$2:$C$364,$C112)/COUNTIFS(E$2:E$364,"&lt;&gt;NA",$C$2:$C$364,$C112),"")</f>
        <v>0.8333333333</v>
      </c>
      <c r="N112" s="60">
        <f t="shared" si="114"/>
        <v>1</v>
      </c>
      <c r="O112" s="60" t="str">
        <f t="shared" si="114"/>
        <v/>
      </c>
      <c r="P112" s="60">
        <f t="shared" si="114"/>
        <v>0.8333333333</v>
      </c>
      <c r="Q112" s="60">
        <f t="shared" si="114"/>
        <v>0.8333333333</v>
      </c>
      <c r="R112" s="60">
        <f t="shared" si="114"/>
        <v>1</v>
      </c>
      <c r="S112" s="60">
        <f t="shared" si="114"/>
        <v>0.4</v>
      </c>
      <c r="T112" s="61">
        <f t="shared" si="3"/>
        <v>0.8461538462</v>
      </c>
      <c r="U112" s="53">
        <f t="shared" si="4"/>
        <v>3</v>
      </c>
      <c r="V112" s="54">
        <f t="shared" si="5"/>
        <v>3</v>
      </c>
    </row>
    <row r="113" ht="15.75" customHeight="1">
      <c r="A113" s="55" t="str">
        <f>SiteAttendu!$A113</f>
        <v>C5036</v>
      </c>
      <c r="B113" s="56" t="str">
        <f>VLOOKUP($A113,SiteAttendu!$A$2:$C$366,2,0)</f>
        <v>DISTRICT SANITAIRE TOUBA</v>
      </c>
      <c r="C113" s="57" t="str">
        <f>VLOOKUP($A113,SiteAttendu!$A$2:$C$366,3,0)</f>
        <v>BAFING</v>
      </c>
      <c r="D113" s="58">
        <f>IF(VLOOKUP($A113,SiteAttendu!$A$2:$P$366,4,0)="NA","NA",COUNTIFS(soccode,A113,socprog,"PNLS/ANTIRETROVIRAUX ET IO",soctrans,"OUI"))</f>
        <v>0</v>
      </c>
      <c r="E113" s="58">
        <f>IF(VLOOKUP($A113,SiteAttendu!$A$2:$P$366,5,0)="NA","NA",COUNTIFS(soccode,A113,socprog,"PNLS/TESTS RAPIDES ET CONSOMMABLES",soctrans,"OUI"))</f>
        <v>0</v>
      </c>
      <c r="F113" s="58" t="str">
        <f>IF(VLOOKUP($A113,SiteAttendu!$A$2:$P$366,6,0)="NA","NA",COUNTIFS(soccode,A113,socprog,"PNLS/PRODUITS DE LABORATOIRE",soctrans,"OUI"))</f>
        <v>NA</v>
      </c>
      <c r="G113" s="58" t="str">
        <f>IF(VLOOKUP($A113,SiteAttendu!$A$2:$P$366,7,0)="NA","NA",COUNTIFS(soccode,A113,socprog,"PNLS/CHARGES VIRALES",soctrans,"OUI"))</f>
        <v>NA</v>
      </c>
      <c r="H113" s="58">
        <f>IF(VLOOKUP($A113,SiteAttendu!$A$2:$P$366,9,0)="NA","NA",COUNTIFS(soccode,A113,socprog,"PNLP/MEDICAMENTS ET INTRANTS",soctrans,"OUI"))</f>
        <v>0</v>
      </c>
      <c r="I113" s="59">
        <f>IF(VLOOKUP($A113,SiteAttendu!$A$2:$P$366,10,0)="NA","NA",COUNTIFS(soccode,$A113,socprog,"PNSME/MEDICAMENTS ET INTRANTS",soctrans,"OUI"))</f>
        <v>0</v>
      </c>
      <c r="J113" s="58" t="str">
        <f>IF(VLOOKUP($A113,SiteAttendu!$A$2:$P$366,11,0)="NA","NA",COUNTIFS(soccode,$A113,socprog,"PNN/MEDICAMENTS ET INTRANTS",soctrans,"OUI"))</f>
        <v>NA</v>
      </c>
      <c r="K113" s="58">
        <f>IF(VLOOKUP($A113,SiteAttendu!$A$2:$O$366,15,0)="NA","NA",IF(COUNTIF(socprog,"PNLT/SENSIBLE MEDICAMENTS ET INTRANTS")=0,"NA",COUNTIFS(soccode,$A113,socprog,"PNLT/SENSIBLE MEDICAMENTS ET INTRANTS",soctrans,"OUI")))</f>
        <v>0</v>
      </c>
      <c r="L113" s="60"/>
      <c r="M113" s="60">
        <f t="shared" ref="M113:S113" si="115">IFERROR(SUMIFS(E$2:E$364,$C$2:$C$364,$C113)/COUNTIFS(E$2:E$364,"&lt;&gt;NA",$C$2:$C$364,$C113),"")</f>
        <v>0.8333333333</v>
      </c>
      <c r="N113" s="60">
        <f t="shared" si="115"/>
        <v>1</v>
      </c>
      <c r="O113" s="60" t="str">
        <f t="shared" si="115"/>
        <v/>
      </c>
      <c r="P113" s="60">
        <f t="shared" si="115"/>
        <v>0.8333333333</v>
      </c>
      <c r="Q113" s="60">
        <f t="shared" si="115"/>
        <v>0.8333333333</v>
      </c>
      <c r="R113" s="60">
        <f t="shared" si="115"/>
        <v>1</v>
      </c>
      <c r="S113" s="60">
        <f t="shared" si="115"/>
        <v>0.4</v>
      </c>
      <c r="T113" s="61">
        <f t="shared" si="3"/>
        <v>0.8461538462</v>
      </c>
      <c r="U113" s="53">
        <f t="shared" si="4"/>
        <v>0</v>
      </c>
      <c r="V113" s="54">
        <f t="shared" si="5"/>
        <v>2</v>
      </c>
    </row>
    <row r="114" ht="16.5" customHeight="1">
      <c r="A114" s="62" t="str">
        <f>SiteAttendu!$A114</f>
        <v>C5094</v>
      </c>
      <c r="B114" s="63" t="str">
        <f>VLOOKUP($A114,SiteAttendu!$A$2:$C$366,2,0)</f>
        <v>CENTRE ANTITUBERCULEUX TOUBA</v>
      </c>
      <c r="C114" s="64" t="str">
        <f>VLOOKUP($A114,SiteAttendu!$A$2:$C$366,3,0)</f>
        <v>BAFING</v>
      </c>
      <c r="D114" s="65" t="str">
        <f>IF(VLOOKUP($A114,SiteAttendu!$A$2:$P$366,4,0)="NA","NA",COUNTIFS(soccode,A114,socprog,"PNLS/ANTIRETROVIRAUX ET IO",soctrans,"OUI"))</f>
        <v>NA</v>
      </c>
      <c r="E114" s="65" t="str">
        <f>IF(VLOOKUP($A114,SiteAttendu!$A$2:$P$366,5,0)="NA","NA",COUNTIFS(soccode,A114,socprog,"PNLS/TESTS RAPIDES ET CONSOMMABLES",soctrans,"OUI"))</f>
        <v>NA</v>
      </c>
      <c r="F114" s="65" t="str">
        <f>IF(VLOOKUP($A114,SiteAttendu!$A$2:$P$366,6,0)="NA","NA",COUNTIFS(soccode,A114,socprog,"PNLS/PRODUITS DE LABORATOIRE",soctrans,"OUI"))</f>
        <v>NA</v>
      </c>
      <c r="G114" s="65" t="str">
        <f>IF(VLOOKUP($A114,SiteAttendu!$A$2:$P$366,7,0)="NA","NA",COUNTIFS(soccode,A114,socprog,"PNLS/CHARGES VIRALES",soctrans,"OUI"))</f>
        <v>NA</v>
      </c>
      <c r="H114" s="65" t="str">
        <f>IF(VLOOKUP($A114,SiteAttendu!$A$2:$P$366,9,0)="NA","NA",COUNTIFS(soccode,A114,socprog,"PNLP/MEDICAMENTS ET INTRANTS",soctrans,"OUI"))</f>
        <v>NA</v>
      </c>
      <c r="I114" s="66" t="str">
        <f>IF(VLOOKUP($A114,SiteAttendu!$A$2:$P$366,10,0)="NA","NA",COUNTIFS(soccode,$A114,socprog,"PNSME/MEDICAMENTS ET INTRANTS",soctrans,"OUI"))</f>
        <v>NA</v>
      </c>
      <c r="J114" s="65" t="str">
        <f>IF(VLOOKUP($A114,SiteAttendu!$A$2:$P$366,11,0)="NA","NA",COUNTIFS(soccode,$A114,socprog,"PNN/MEDICAMENTS ET INTRANTS",soctrans,"OUI"))</f>
        <v>NA</v>
      </c>
      <c r="K114" s="65" t="str">
        <f>IF(VLOOKUP($A114,SiteAttendu!$A$2:$O$366,15,0)="NA","NA",IF(COUNTIF(socprog,"PNLT/SENSIBLE MEDICAMENTS ET INTRANTS")=0,"NA",COUNTIFS(soccode,$A114,socprog,"PNLT/SENSIBLE MEDICAMENTS ET INTRANTS",soctrans,"OUI")))</f>
        <v>NA</v>
      </c>
      <c r="L114" s="67"/>
      <c r="M114" s="67">
        <f t="shared" ref="M114:S114" si="116">IFERROR(SUMIFS(E$2:E$364,$C$2:$C$364,$C114)/COUNTIFS(E$2:E$364,"&lt;&gt;NA",$C$2:$C$364,$C114),"")</f>
        <v>0.8333333333</v>
      </c>
      <c r="N114" s="67">
        <f t="shared" si="116"/>
        <v>1</v>
      </c>
      <c r="O114" s="67" t="str">
        <f t="shared" si="116"/>
        <v/>
      </c>
      <c r="P114" s="67">
        <f t="shared" si="116"/>
        <v>0.8333333333</v>
      </c>
      <c r="Q114" s="67">
        <f t="shared" si="116"/>
        <v>0.8333333333</v>
      </c>
      <c r="R114" s="67">
        <f t="shared" si="116"/>
        <v>1</v>
      </c>
      <c r="S114" s="67">
        <f t="shared" si="116"/>
        <v>0.4</v>
      </c>
      <c r="T114" s="68">
        <f t="shared" si="3"/>
        <v>0.8461538462</v>
      </c>
      <c r="U114" s="53">
        <f t="shared" si="4"/>
        <v>0</v>
      </c>
      <c r="V114" s="54">
        <f t="shared" si="5"/>
        <v>0</v>
      </c>
    </row>
    <row r="115" ht="15.75" customHeight="1">
      <c r="A115" s="46" t="str">
        <f>SiteAttendu!$A115</f>
        <v>C3002</v>
      </c>
      <c r="B115" s="47" t="str">
        <f>VLOOKUP($A115,SiteAttendu!$A$2:$C$366,2,0)</f>
        <v>DISTRICT SANITAIRE BOUNDIALI</v>
      </c>
      <c r="C115" s="48" t="str">
        <f>VLOOKUP($A115,SiteAttendu!$A$2:$C$366,3,0)</f>
        <v>BAGOUE</v>
      </c>
      <c r="D115" s="49">
        <f>IF(VLOOKUP($A115,SiteAttendu!$A$2:$P$366,4,0)="NA","NA",COUNTIFS(soccode,A115,socprog,"PNLS/ANTIRETROVIRAUX ET IO",soctrans,"OUI"))</f>
        <v>1</v>
      </c>
      <c r="E115" s="49">
        <f>IF(VLOOKUP($A115,SiteAttendu!$A$2:$P$366,5,0)="NA","NA",COUNTIFS(soccode,A115,socprog,"PNLS/TESTS RAPIDES ET CONSOMMABLES",soctrans,"OUI"))</f>
        <v>1</v>
      </c>
      <c r="F115" s="49" t="str">
        <f>IF(VLOOKUP($A115,SiteAttendu!$A$2:$P$366,6,0)="NA","NA",COUNTIFS(soccode,A115,socprog,"PNLS/PRODUITS DE LABORATOIRE",soctrans,"OUI"))</f>
        <v>NA</v>
      </c>
      <c r="G115" s="49" t="str">
        <f>IF(VLOOKUP($A115,SiteAttendu!$A$2:$P$366,7,0)="NA","NA",COUNTIFS(soccode,A115,socprog,"PNLS/CHARGES VIRALES",soctrans,"OUI"))</f>
        <v>NA</v>
      </c>
      <c r="H115" s="49">
        <f>IF(VLOOKUP($A115,SiteAttendu!$A$2:$P$366,9,0)="NA","NA",COUNTIFS(soccode,A115,socprog,"PNLP/MEDICAMENTS ET INTRANTS",soctrans,"OUI"))</f>
        <v>1</v>
      </c>
      <c r="I115" s="50">
        <f>IF(VLOOKUP($A115,SiteAttendu!$A$2:$P$366,10,0)="NA","NA",COUNTIFS(soccode,$A115,socprog,"PNSME/MEDICAMENTS ET INTRANTS",soctrans,"OUI"))</f>
        <v>1</v>
      </c>
      <c r="J115" s="49">
        <f>IF(VLOOKUP($A115,SiteAttendu!$A$2:$P$366,11,0)="NA","NA",COUNTIFS(soccode,$A115,socprog,"PNN/MEDICAMENTS ET INTRANTS",soctrans,"OUI"))</f>
        <v>1</v>
      </c>
      <c r="K115" s="49">
        <f>IF(VLOOKUP($A115,SiteAttendu!$A$2:$O$366,15,0)="NA","NA",IF(COUNTIF(socprog,"PNLT/SENSIBLE MEDICAMENTS ET INTRANTS")=0,"NA",COUNTIFS(soccode,$A115,socprog,"PNLT/SENSIBLE MEDICAMENTS ET INTRANTS",soctrans,"OUI")))</f>
        <v>0</v>
      </c>
      <c r="L115" s="51">
        <f t="shared" ref="L115:S115" si="117">IFERROR(SUMIFS(D$2:D$364,$C$2:$C$364,$C115)/COUNTIFS(D$2:D$364,"&lt;&gt;NA",$C$2:$C$364,$C115),"")</f>
        <v>0.8333333333</v>
      </c>
      <c r="M115" s="51">
        <f t="shared" si="117"/>
        <v>0.8333333333</v>
      </c>
      <c r="N115" s="51">
        <f t="shared" si="117"/>
        <v>0.6</v>
      </c>
      <c r="O115" s="51" t="str">
        <f t="shared" si="117"/>
        <v/>
      </c>
      <c r="P115" s="51">
        <f t="shared" si="117"/>
        <v>0.8571428571</v>
      </c>
      <c r="Q115" s="51">
        <f t="shared" si="117"/>
        <v>0.8571428571</v>
      </c>
      <c r="R115" s="51">
        <f t="shared" si="117"/>
        <v>0.8</v>
      </c>
      <c r="S115" s="51">
        <f t="shared" si="117"/>
        <v>0.4</v>
      </c>
      <c r="T115" s="52">
        <f t="shared" si="3"/>
        <v>0.7647058824</v>
      </c>
      <c r="U115" s="53">
        <f t="shared" si="4"/>
        <v>2</v>
      </c>
      <c r="V115" s="54">
        <f t="shared" si="5"/>
        <v>2</v>
      </c>
    </row>
    <row r="116" ht="15.75" customHeight="1">
      <c r="A116" s="55" t="str">
        <f>SiteAttendu!$A116</f>
        <v>C3010</v>
      </c>
      <c r="B116" s="56" t="str">
        <f>VLOOKUP($A116,SiteAttendu!$A$2:$C$366,2,0)</f>
        <v>HOPITAL GENERAL BOUNDIALI</v>
      </c>
      <c r="C116" s="57" t="str">
        <f>VLOOKUP($A116,SiteAttendu!$A$2:$C$366,3,0)</f>
        <v>BAGOUE</v>
      </c>
      <c r="D116" s="58">
        <f>IF(VLOOKUP($A116,SiteAttendu!$A$2:$P$366,4,0)="NA","NA",COUNTIFS(soccode,A116,socprog,"PNLS/ANTIRETROVIRAUX ET IO",soctrans,"OUI"))</f>
        <v>1</v>
      </c>
      <c r="E116" s="58">
        <f>IF(VLOOKUP($A116,SiteAttendu!$A$2:$P$366,5,0)="NA","NA",COUNTIFS(soccode,A116,socprog,"PNLS/TESTS RAPIDES ET CONSOMMABLES",soctrans,"OUI"))</f>
        <v>1</v>
      </c>
      <c r="F116" s="58">
        <f>IF(VLOOKUP($A116,SiteAttendu!$A$2:$P$366,6,0)="NA","NA",COUNTIFS(soccode,A116,socprog,"PNLS/PRODUITS DE LABORATOIRE",soctrans,"OUI"))</f>
        <v>1</v>
      </c>
      <c r="G116" s="58" t="str">
        <f>IF(VLOOKUP($A116,SiteAttendu!$A$2:$P$366,7,0)="NA","NA",COUNTIFS(soccode,A116,socprog,"PNLS/CHARGES VIRALES",soctrans,"OUI"))</f>
        <v>NA</v>
      </c>
      <c r="H116" s="58">
        <f>IF(VLOOKUP($A116,SiteAttendu!$A$2:$P$366,9,0)="NA","NA",COUNTIFS(soccode,A116,socprog,"PNLP/MEDICAMENTS ET INTRANTS",soctrans,"OUI"))</f>
        <v>1</v>
      </c>
      <c r="I116" s="59">
        <f>IF(VLOOKUP($A116,SiteAttendu!$A$2:$P$366,10,0)="NA","NA",COUNTIFS(soccode,$A116,socprog,"PNSME/MEDICAMENTS ET INTRANTS",soctrans,"OUI"))</f>
        <v>1</v>
      </c>
      <c r="J116" s="58">
        <f>IF(VLOOKUP($A116,SiteAttendu!$A$2:$P$366,11,0)="NA","NA",COUNTIFS(soccode,$A116,socprog,"PNN/MEDICAMENTS ET INTRANTS",soctrans,"OUI"))</f>
        <v>1</v>
      </c>
      <c r="K116" s="58" t="str">
        <f>IF(VLOOKUP($A116,SiteAttendu!$A$2:$O$366,15,0)="NA","NA",IF(COUNTIF(socprog,"PNLT/SENSIBLE MEDICAMENTS ET INTRANTS")=0,"NA",COUNTIFS(soccode,$A116,socprog,"PNLT/SENSIBLE MEDICAMENTS ET INTRANTS",soctrans,"OUI")))</f>
        <v>NA</v>
      </c>
      <c r="L116" s="60"/>
      <c r="M116" s="60">
        <f t="shared" ref="M116:S116" si="118">IFERROR(SUMIFS(E$2:E$364,$C$2:$C$364,$C116)/COUNTIFS(E$2:E$364,"&lt;&gt;NA",$C$2:$C$364,$C116),"")</f>
        <v>0.8333333333</v>
      </c>
      <c r="N116" s="60">
        <f t="shared" si="118"/>
        <v>0.6</v>
      </c>
      <c r="O116" s="60" t="str">
        <f t="shared" si="118"/>
        <v/>
      </c>
      <c r="P116" s="60">
        <f t="shared" si="118"/>
        <v>0.8571428571</v>
      </c>
      <c r="Q116" s="60">
        <f t="shared" si="118"/>
        <v>0.8571428571</v>
      </c>
      <c r="R116" s="60">
        <f t="shared" si="118"/>
        <v>0.8</v>
      </c>
      <c r="S116" s="60">
        <f t="shared" si="118"/>
        <v>0.4</v>
      </c>
      <c r="T116" s="61">
        <f t="shared" si="3"/>
        <v>0.7647058824</v>
      </c>
      <c r="U116" s="53">
        <f t="shared" si="4"/>
        <v>3</v>
      </c>
      <c r="V116" s="54">
        <f t="shared" si="5"/>
        <v>3</v>
      </c>
    </row>
    <row r="117" ht="15.75" customHeight="1">
      <c r="A117" s="55" t="str">
        <f>SiteAttendu!$A117</f>
        <v>C3015</v>
      </c>
      <c r="B117" s="56" t="str">
        <f>VLOOKUP($A117,SiteAttendu!$A$2:$C$366,2,0)</f>
        <v>HOPITAL GENERAL KOUTO</v>
      </c>
      <c r="C117" s="57" t="str">
        <f>VLOOKUP($A117,SiteAttendu!$A$2:$C$366,3,0)</f>
        <v>BAGOUE</v>
      </c>
      <c r="D117" s="58">
        <f>IF(VLOOKUP($A117,SiteAttendu!$A$2:$P$366,4,0)="NA","NA",COUNTIFS(soccode,A117,socprog,"PNLS/ANTIRETROVIRAUX ET IO",soctrans,"OUI"))</f>
        <v>1</v>
      </c>
      <c r="E117" s="58">
        <f>IF(VLOOKUP($A117,SiteAttendu!$A$2:$P$366,5,0)="NA","NA",COUNTIFS(soccode,A117,socprog,"PNLS/TESTS RAPIDES ET CONSOMMABLES",soctrans,"OUI"))</f>
        <v>1</v>
      </c>
      <c r="F117" s="58">
        <f>IF(VLOOKUP($A117,SiteAttendu!$A$2:$P$366,6,0)="NA","NA",COUNTIFS(soccode,A117,socprog,"PNLS/PRODUITS DE LABORATOIRE",soctrans,"OUI"))</f>
        <v>1</v>
      </c>
      <c r="G117" s="58" t="str">
        <f>IF(VLOOKUP($A117,SiteAttendu!$A$2:$P$366,7,0)="NA","NA",COUNTIFS(soccode,A117,socprog,"PNLS/CHARGES VIRALES",soctrans,"OUI"))</f>
        <v>NA</v>
      </c>
      <c r="H117" s="58">
        <f>IF(VLOOKUP($A117,SiteAttendu!$A$2:$P$366,9,0)="NA","NA",COUNTIFS(soccode,A117,socprog,"PNLP/MEDICAMENTS ET INTRANTS",soctrans,"OUI"))</f>
        <v>1</v>
      </c>
      <c r="I117" s="59">
        <f>IF(VLOOKUP($A117,SiteAttendu!$A$2:$P$366,10,0)="NA","NA",COUNTIFS(soccode,$A117,socprog,"PNSME/MEDICAMENTS ET INTRANTS",soctrans,"OUI"))</f>
        <v>1</v>
      </c>
      <c r="J117" s="58" t="str">
        <f>IF(VLOOKUP($A117,SiteAttendu!$A$2:$P$366,11,0)="NA","NA",COUNTIFS(soccode,$A117,socprog,"PNN/MEDICAMENTS ET INTRANTS",soctrans,"OUI"))</f>
        <v>NA</v>
      </c>
      <c r="K117" s="58">
        <f>IF(VLOOKUP($A117,SiteAttendu!$A$2:$O$366,15,0)="NA","NA",IF(COUNTIF(socprog,"PNLT/SENSIBLE MEDICAMENTS ET INTRANTS")=0,"NA",COUNTIFS(soccode,$A117,socprog,"PNLT/SENSIBLE MEDICAMENTS ET INTRANTS",soctrans,"OUI")))</f>
        <v>1</v>
      </c>
      <c r="L117" s="60"/>
      <c r="M117" s="60">
        <f t="shared" ref="M117:S117" si="119">IFERROR(SUMIFS(E$2:E$364,$C$2:$C$364,$C117)/COUNTIFS(E$2:E$364,"&lt;&gt;NA",$C$2:$C$364,$C117),"")</f>
        <v>0.8333333333</v>
      </c>
      <c r="N117" s="60">
        <f t="shared" si="119"/>
        <v>0.6</v>
      </c>
      <c r="O117" s="60" t="str">
        <f t="shared" si="119"/>
        <v/>
      </c>
      <c r="P117" s="60">
        <f t="shared" si="119"/>
        <v>0.8571428571</v>
      </c>
      <c r="Q117" s="60">
        <f t="shared" si="119"/>
        <v>0.8571428571</v>
      </c>
      <c r="R117" s="60">
        <f t="shared" si="119"/>
        <v>0.8</v>
      </c>
      <c r="S117" s="60">
        <f t="shared" si="119"/>
        <v>0.4</v>
      </c>
      <c r="T117" s="61">
        <f t="shared" si="3"/>
        <v>0.7647058824</v>
      </c>
      <c r="U117" s="53">
        <f t="shared" si="4"/>
        <v>3</v>
      </c>
      <c r="V117" s="54">
        <f t="shared" si="5"/>
        <v>3</v>
      </c>
    </row>
    <row r="118" ht="15.75" customHeight="1">
      <c r="A118" s="55" t="str">
        <f>SiteAttendu!$A118</f>
        <v>C3050</v>
      </c>
      <c r="B118" s="56" t="str">
        <f>VLOOKUP($A118,SiteAttendu!$A$2:$C$366,2,0)</f>
        <v>CENTRE ANTITUBERCULEUX BOUNDIALI</v>
      </c>
      <c r="C118" s="57" t="str">
        <f>VLOOKUP($A118,SiteAttendu!$A$2:$C$366,3,0)</f>
        <v>BAGOUE</v>
      </c>
      <c r="D118" s="58" t="str">
        <f>IF(VLOOKUP($A118,SiteAttendu!$A$2:$P$366,4,0)="NA","NA",COUNTIFS(soccode,A118,socprog,"PNLS/ANTIRETROVIRAUX ET IO",soctrans,"OUI"))</f>
        <v>NA</v>
      </c>
      <c r="E118" s="58" t="str">
        <f>IF(VLOOKUP($A118,SiteAttendu!$A$2:$P$366,5,0)="NA","NA",COUNTIFS(soccode,A118,socprog,"PNLS/TESTS RAPIDES ET CONSOMMABLES",soctrans,"OUI"))</f>
        <v>NA</v>
      </c>
      <c r="F118" s="58" t="str">
        <f>IF(VLOOKUP($A118,SiteAttendu!$A$2:$P$366,6,0)="NA","NA",COUNTIFS(soccode,A118,socprog,"PNLS/PRODUITS DE LABORATOIRE",soctrans,"OUI"))</f>
        <v>NA</v>
      </c>
      <c r="G118" s="58" t="str">
        <f>IF(VLOOKUP($A118,SiteAttendu!$A$2:$P$366,7,0)="NA","NA",COUNTIFS(soccode,A118,socprog,"PNLS/CHARGES VIRALES",soctrans,"OUI"))</f>
        <v>NA</v>
      </c>
      <c r="H118" s="58" t="str">
        <f>IF(VLOOKUP($A118,SiteAttendu!$A$2:$P$366,9,0)="NA","NA",COUNTIFS(soccode,A118,socprog,"PNLP/MEDICAMENTS ET INTRANTS",soctrans,"OUI"))</f>
        <v>NA</v>
      </c>
      <c r="I118" s="59" t="str">
        <f>IF(VLOOKUP($A118,SiteAttendu!$A$2:$P$366,10,0)="NA","NA",COUNTIFS(soccode,$A118,socprog,"PNSME/MEDICAMENTS ET INTRANTS",soctrans,"OUI"))</f>
        <v>NA</v>
      </c>
      <c r="J118" s="58" t="str">
        <f>IF(VLOOKUP($A118,SiteAttendu!$A$2:$P$366,11,0)="NA","NA",COUNTIFS(soccode,$A118,socprog,"PNN/MEDICAMENTS ET INTRANTS",soctrans,"OUI"))</f>
        <v>NA</v>
      </c>
      <c r="K118" s="58">
        <f>IF(VLOOKUP($A118,SiteAttendu!$A$2:$O$366,15,0)="NA","NA",IF(COUNTIF(socprog,"PNLT/SENSIBLE MEDICAMENTS ET INTRANTS")=0,"NA",COUNTIFS(soccode,$A118,socprog,"PNLT/SENSIBLE MEDICAMENTS ET INTRANTS",soctrans,"OUI")))</f>
        <v>0</v>
      </c>
      <c r="L118" s="60"/>
      <c r="M118" s="60">
        <f t="shared" ref="M118:S118" si="120">IFERROR(SUMIFS(E$2:E$364,$C$2:$C$364,$C118)/COUNTIFS(E$2:E$364,"&lt;&gt;NA",$C$2:$C$364,$C118),"")</f>
        <v>0.8333333333</v>
      </c>
      <c r="N118" s="60">
        <f t="shared" si="120"/>
        <v>0.6</v>
      </c>
      <c r="O118" s="60" t="str">
        <f t="shared" si="120"/>
        <v/>
      </c>
      <c r="P118" s="60">
        <f t="shared" si="120"/>
        <v>0.8571428571</v>
      </c>
      <c r="Q118" s="60">
        <f t="shared" si="120"/>
        <v>0.8571428571</v>
      </c>
      <c r="R118" s="60">
        <f t="shared" si="120"/>
        <v>0.8</v>
      </c>
      <c r="S118" s="60">
        <f t="shared" si="120"/>
        <v>0.4</v>
      </c>
      <c r="T118" s="61">
        <f t="shared" si="3"/>
        <v>0.7647058824</v>
      </c>
      <c r="U118" s="53">
        <f t="shared" si="4"/>
        <v>0</v>
      </c>
      <c r="V118" s="54">
        <f t="shared" si="5"/>
        <v>0</v>
      </c>
    </row>
    <row r="119" ht="15.75" customHeight="1">
      <c r="A119" s="55" t="str">
        <f>SiteAttendu!$A119</f>
        <v>C2217</v>
      </c>
      <c r="B119" s="56" t="str">
        <f>VLOOKUP($A119,SiteAttendu!$A$2:$C$366,2,0)</f>
        <v>DISTRICT SANITAIRE KOUTO</v>
      </c>
      <c r="C119" s="57" t="str">
        <f>VLOOKUP($A119,SiteAttendu!$A$2:$C$366,3,0)</f>
        <v>BAGOUE</v>
      </c>
      <c r="D119" s="58">
        <f>IF(VLOOKUP($A119,SiteAttendu!$A$2:$P$366,4,0)="NA","NA",COUNTIFS(soccode,A119,socprog,"PNLS/ANTIRETROVIRAUX ET IO",soctrans,"OUI"))</f>
        <v>0</v>
      </c>
      <c r="E119" s="58">
        <f>IF(VLOOKUP($A119,SiteAttendu!$A$2:$P$366,5,0)="NA","NA",COUNTIFS(soccode,A119,socprog,"PNLS/TESTS RAPIDES ET CONSOMMABLES",soctrans,"OUI"))</f>
        <v>0</v>
      </c>
      <c r="F119" s="58">
        <f>IF(VLOOKUP($A119,SiteAttendu!$A$2:$P$366,6,0)="NA","NA",COUNTIFS(soccode,A119,socprog,"PNLS/PRODUITS DE LABORATOIRE",soctrans,"OUI"))</f>
        <v>0</v>
      </c>
      <c r="G119" s="58" t="str">
        <f>IF(VLOOKUP($A119,SiteAttendu!$A$2:$P$366,7,0)="NA","NA",COUNTIFS(soccode,A119,socprog,"PNLS/CHARGES VIRALES",soctrans,"OUI"))</f>
        <v>NA</v>
      </c>
      <c r="H119" s="58">
        <f>IF(VLOOKUP($A119,SiteAttendu!$A$2:$P$366,9,0)="NA","NA",COUNTIFS(soccode,A119,socprog,"PNLP/MEDICAMENTS ET INTRANTS",soctrans,"OUI"))</f>
        <v>0</v>
      </c>
      <c r="I119" s="59">
        <f>IF(VLOOKUP($A119,SiteAttendu!$A$2:$P$366,10,0)="NA","NA",COUNTIFS(soccode,$A119,socprog,"PNSME/MEDICAMENTS ET INTRANTS",soctrans,"OUI"))</f>
        <v>0</v>
      </c>
      <c r="J119" s="58">
        <f>IF(VLOOKUP($A119,SiteAttendu!$A$2:$P$366,11,0)="NA","NA",COUNTIFS(soccode,$A119,socprog,"PNN/MEDICAMENTS ET INTRANTS",soctrans,"OUI"))</f>
        <v>0</v>
      </c>
      <c r="K119" s="58">
        <f>IF(VLOOKUP($A119,SiteAttendu!$A$2:$O$366,15,0)="NA","NA",IF(COUNTIF(socprog,"PNLT/SENSIBLE MEDICAMENTS ET INTRANTS")=0,"NA",COUNTIFS(soccode,$A119,socprog,"PNLT/SENSIBLE MEDICAMENTS ET INTRANTS",soctrans,"OUI")))</f>
        <v>0</v>
      </c>
      <c r="L119" s="60"/>
      <c r="M119" s="60">
        <f t="shared" ref="M119:S119" si="121">IFERROR(SUMIFS(E$2:E$364,$C$2:$C$364,$C119)/COUNTIFS(E$2:E$364,"&lt;&gt;NA",$C$2:$C$364,$C119),"")</f>
        <v>0.8333333333</v>
      </c>
      <c r="N119" s="60">
        <f t="shared" si="121"/>
        <v>0.6</v>
      </c>
      <c r="O119" s="60" t="str">
        <f t="shared" si="121"/>
        <v/>
      </c>
      <c r="P119" s="60">
        <f t="shared" si="121"/>
        <v>0.8571428571</v>
      </c>
      <c r="Q119" s="60">
        <f t="shared" si="121"/>
        <v>0.8571428571</v>
      </c>
      <c r="R119" s="60">
        <f t="shared" si="121"/>
        <v>0.8</v>
      </c>
      <c r="S119" s="60">
        <f t="shared" si="121"/>
        <v>0.4</v>
      </c>
      <c r="T119" s="61">
        <f t="shared" si="3"/>
        <v>0.7647058824</v>
      </c>
      <c r="U119" s="53">
        <f t="shared" si="4"/>
        <v>0</v>
      </c>
      <c r="V119" s="54">
        <f t="shared" si="5"/>
        <v>3</v>
      </c>
    </row>
    <row r="120" ht="15.75" customHeight="1">
      <c r="A120" s="55" t="str">
        <f>SiteAttendu!$A120</f>
        <v>C3014</v>
      </c>
      <c r="B120" s="56" t="str">
        <f>VLOOKUP($A120,SiteAttendu!$A$2:$C$366,2,0)</f>
        <v>CSU KOLIA</v>
      </c>
      <c r="C120" s="57" t="str">
        <f>VLOOKUP($A120,SiteAttendu!$A$2:$C$366,3,0)</f>
        <v>BAGOUE</v>
      </c>
      <c r="D120" s="58" t="str">
        <f>IF(VLOOKUP($A120,SiteAttendu!$A$2:$P$366,4,0)="NA","NA",COUNTIFS(soccode,A120,socprog,"PNLS/ANTIRETROVIRAUX ET IO",soctrans,"OUI"))</f>
        <v>NA</v>
      </c>
      <c r="E120" s="58" t="str">
        <f>IF(VLOOKUP($A120,SiteAttendu!$A$2:$P$366,5,0)="NA","NA",COUNTIFS(soccode,A120,socprog,"PNLS/TESTS RAPIDES ET CONSOMMABLES",soctrans,"OUI"))</f>
        <v>NA</v>
      </c>
      <c r="F120" s="58" t="str">
        <f>IF(VLOOKUP($A120,SiteAttendu!$A$2:$P$366,6,0)="NA","NA",COUNTIFS(soccode,A120,socprog,"PNLS/PRODUITS DE LABORATOIRE",soctrans,"OUI"))</f>
        <v>NA</v>
      </c>
      <c r="G120" s="58" t="str">
        <f>IF(VLOOKUP($A120,SiteAttendu!$A$2:$P$366,7,0)="NA","NA",COUNTIFS(soccode,A120,socprog,"PNLS/CHARGES VIRALES",soctrans,"OUI"))</f>
        <v>NA</v>
      </c>
      <c r="H120" s="58">
        <f>IF(VLOOKUP($A120,SiteAttendu!$A$2:$P$366,9,0)="NA","NA",COUNTIFS(soccode,A120,socprog,"PNLP/MEDICAMENTS ET INTRANTS",soctrans,"OUI"))</f>
        <v>1</v>
      </c>
      <c r="I120" s="59">
        <f>IF(VLOOKUP($A120,SiteAttendu!$A$2:$P$366,10,0)="NA","NA",COUNTIFS(soccode,$A120,socprog,"PNSME/MEDICAMENTS ET INTRANTS",soctrans,"OUI"))</f>
        <v>1</v>
      </c>
      <c r="J120" s="58" t="str">
        <f>IF(VLOOKUP($A120,SiteAttendu!$A$2:$P$366,11,0)="NA","NA",COUNTIFS(soccode,$A120,socprog,"PNN/MEDICAMENTS ET INTRANTS",soctrans,"OUI"))</f>
        <v>NA</v>
      </c>
      <c r="K120" s="58" t="str">
        <f>IF(VLOOKUP($A120,SiteAttendu!$A$2:$O$366,15,0)="NA","NA",IF(COUNTIF(socprog,"PNLT/SENSIBLE MEDICAMENTS ET INTRANTS")=0,"NA",COUNTIFS(soccode,$A120,socprog,"PNLT/SENSIBLE MEDICAMENTS ET INTRANTS",soctrans,"OUI")))</f>
        <v>NA</v>
      </c>
      <c r="L120" s="60"/>
      <c r="M120" s="60">
        <f t="shared" ref="M120:S120" si="122">IFERROR(SUMIFS(E$2:E$364,$C$2:$C$364,$C120)/COUNTIFS(E$2:E$364,"&lt;&gt;NA",$C$2:$C$364,$C120),"")</f>
        <v>0.8333333333</v>
      </c>
      <c r="N120" s="60">
        <f t="shared" si="122"/>
        <v>0.6</v>
      </c>
      <c r="O120" s="60" t="str">
        <f t="shared" si="122"/>
        <v/>
      </c>
      <c r="P120" s="60">
        <f t="shared" si="122"/>
        <v>0.8571428571</v>
      </c>
      <c r="Q120" s="60">
        <f t="shared" si="122"/>
        <v>0.8571428571</v>
      </c>
      <c r="R120" s="60">
        <f t="shared" si="122"/>
        <v>0.8</v>
      </c>
      <c r="S120" s="60">
        <f t="shared" si="122"/>
        <v>0.4</v>
      </c>
      <c r="T120" s="61">
        <f t="shared" si="3"/>
        <v>0.7647058824</v>
      </c>
      <c r="U120" s="53">
        <f t="shared" si="4"/>
        <v>0</v>
      </c>
      <c r="V120" s="54">
        <f t="shared" si="5"/>
        <v>0</v>
      </c>
    </row>
    <row r="121" ht="15.75" customHeight="1">
      <c r="A121" s="55" t="str">
        <f>SiteAttendu!$A121</f>
        <v>C3008</v>
      </c>
      <c r="B121" s="56" t="str">
        <f>VLOOKUP($A121,SiteAttendu!$A$2:$C$366,2,0)</f>
        <v>DISTRICT SANITAIRE TENGRELA</v>
      </c>
      <c r="C121" s="57" t="str">
        <f>VLOOKUP($A121,SiteAttendu!$A$2:$C$366,3,0)</f>
        <v>BAGOUE</v>
      </c>
      <c r="D121" s="58">
        <f>IF(VLOOKUP($A121,SiteAttendu!$A$2:$P$366,4,0)="NA","NA",COUNTIFS(soccode,A121,socprog,"PNLS/ANTIRETROVIRAUX ET IO",soctrans,"OUI"))</f>
        <v>1</v>
      </c>
      <c r="E121" s="58">
        <f>IF(VLOOKUP($A121,SiteAttendu!$A$2:$P$366,5,0)="NA","NA",COUNTIFS(soccode,A121,socprog,"PNLS/TESTS RAPIDES ET CONSOMMABLES",soctrans,"OUI"))</f>
        <v>1</v>
      </c>
      <c r="F121" s="58">
        <f>IF(VLOOKUP($A121,SiteAttendu!$A$2:$P$366,6,0)="NA","NA",COUNTIFS(soccode,A121,socprog,"PNLS/PRODUITS DE LABORATOIRE",soctrans,"OUI"))</f>
        <v>0</v>
      </c>
      <c r="G121" s="58" t="str">
        <f>IF(VLOOKUP($A121,SiteAttendu!$A$2:$P$366,7,0)="NA","NA",COUNTIFS(soccode,A121,socprog,"PNLS/CHARGES VIRALES",soctrans,"OUI"))</f>
        <v>NA</v>
      </c>
      <c r="H121" s="58">
        <f>IF(VLOOKUP($A121,SiteAttendu!$A$2:$P$366,9,0)="NA","NA",COUNTIFS(soccode,A121,socprog,"PNLP/MEDICAMENTS ET INTRANTS",soctrans,"OUI"))</f>
        <v>1</v>
      </c>
      <c r="I121" s="59">
        <f>IF(VLOOKUP($A121,SiteAttendu!$A$2:$P$366,10,0)="NA","NA",COUNTIFS(soccode,$A121,socprog,"PNSME/MEDICAMENTS ET INTRANTS",soctrans,"OUI"))</f>
        <v>1</v>
      </c>
      <c r="J121" s="58">
        <f>IF(VLOOKUP($A121,SiteAttendu!$A$2:$P$366,11,0)="NA","NA",COUNTIFS(soccode,$A121,socprog,"PNN/MEDICAMENTS ET INTRANTS",soctrans,"OUI"))</f>
        <v>1</v>
      </c>
      <c r="K121" s="58" t="str">
        <f>IF(VLOOKUP($A121,SiteAttendu!$A$2:$O$366,15,0)="NA","NA",IF(COUNTIF(socprog,"PNLT/SENSIBLE MEDICAMENTS ET INTRANTS")=0,"NA",COUNTIFS(soccode,$A121,socprog,"PNLT/SENSIBLE MEDICAMENTS ET INTRANTS",soctrans,"OUI")))</f>
        <v>NA</v>
      </c>
      <c r="L121" s="60"/>
      <c r="M121" s="60">
        <f t="shared" ref="M121:S121" si="123">IFERROR(SUMIFS(E$2:E$364,$C$2:$C$364,$C121)/COUNTIFS(E$2:E$364,"&lt;&gt;NA",$C$2:$C$364,$C121),"")</f>
        <v>0.8333333333</v>
      </c>
      <c r="N121" s="60">
        <f t="shared" si="123"/>
        <v>0.6</v>
      </c>
      <c r="O121" s="60" t="str">
        <f t="shared" si="123"/>
        <v/>
      </c>
      <c r="P121" s="60">
        <f t="shared" si="123"/>
        <v>0.8571428571</v>
      </c>
      <c r="Q121" s="60">
        <f t="shared" si="123"/>
        <v>0.8571428571</v>
      </c>
      <c r="R121" s="60">
        <f t="shared" si="123"/>
        <v>0.8</v>
      </c>
      <c r="S121" s="60">
        <f t="shared" si="123"/>
        <v>0.4</v>
      </c>
      <c r="T121" s="61">
        <f t="shared" si="3"/>
        <v>0.7647058824</v>
      </c>
      <c r="U121" s="53">
        <f t="shared" si="4"/>
        <v>2</v>
      </c>
      <c r="V121" s="54">
        <f t="shared" si="5"/>
        <v>3</v>
      </c>
    </row>
    <row r="122" ht="15.75" customHeight="1">
      <c r="A122" s="62" t="str">
        <f>SiteAttendu!$A122</f>
        <v>C3023</v>
      </c>
      <c r="B122" s="63" t="str">
        <f>VLOOKUP($A122,SiteAttendu!$A$2:$C$366,2,0)</f>
        <v>HOPITAL GENERAL TENGRELA</v>
      </c>
      <c r="C122" s="64" t="str">
        <f>VLOOKUP($A122,SiteAttendu!$A$2:$C$366,3,0)</f>
        <v>BAGOUE</v>
      </c>
      <c r="D122" s="65">
        <f>IF(VLOOKUP($A122,SiteAttendu!$A$2:$P$366,4,0)="NA","NA",COUNTIFS(soccode,A122,socprog,"PNLS/ANTIRETROVIRAUX ET IO",soctrans,"OUI"))</f>
        <v>1</v>
      </c>
      <c r="E122" s="65">
        <f>IF(VLOOKUP($A122,SiteAttendu!$A$2:$P$366,5,0)="NA","NA",COUNTIFS(soccode,A122,socprog,"PNLS/TESTS RAPIDES ET CONSOMMABLES",soctrans,"OUI"))</f>
        <v>1</v>
      </c>
      <c r="F122" s="65">
        <f>IF(VLOOKUP($A122,SiteAttendu!$A$2:$P$366,6,0)="NA","NA",COUNTIFS(soccode,A122,socprog,"PNLS/PRODUITS DE LABORATOIRE",soctrans,"OUI"))</f>
        <v>1</v>
      </c>
      <c r="G122" s="65" t="str">
        <f>IF(VLOOKUP($A122,SiteAttendu!$A$2:$P$366,7,0)="NA","NA",COUNTIFS(soccode,A122,socprog,"PNLS/CHARGES VIRALES",soctrans,"OUI"))</f>
        <v>NA</v>
      </c>
      <c r="H122" s="65">
        <f>IF(VLOOKUP($A122,SiteAttendu!$A$2:$P$366,9,0)="NA","NA",COUNTIFS(soccode,A122,socprog,"PNLP/MEDICAMENTS ET INTRANTS",soctrans,"OUI"))</f>
        <v>1</v>
      </c>
      <c r="I122" s="66">
        <f>IF(VLOOKUP($A122,SiteAttendu!$A$2:$P$366,10,0)="NA","NA",COUNTIFS(soccode,$A122,socprog,"PNSME/MEDICAMENTS ET INTRANTS",soctrans,"OUI"))</f>
        <v>1</v>
      </c>
      <c r="J122" s="65">
        <f>IF(VLOOKUP($A122,SiteAttendu!$A$2:$P$366,11,0)="NA","NA",COUNTIFS(soccode,$A122,socprog,"PNN/MEDICAMENTS ET INTRANTS",soctrans,"OUI"))</f>
        <v>1</v>
      </c>
      <c r="K122" s="65">
        <f>IF(VLOOKUP($A122,SiteAttendu!$A$2:$O$366,15,0)="NA","NA",IF(COUNTIF(socprog,"PNLT/SENSIBLE MEDICAMENTS ET INTRANTS")=0,"NA",COUNTIFS(soccode,$A122,socprog,"PNLT/SENSIBLE MEDICAMENTS ET INTRANTS",soctrans,"OUI")))</f>
        <v>1</v>
      </c>
      <c r="L122" s="67"/>
      <c r="M122" s="67">
        <f t="shared" ref="M122:S122" si="124">IFERROR(SUMIFS(E$2:E$364,$C$2:$C$364,$C122)/COUNTIFS(E$2:E$364,"&lt;&gt;NA",$C$2:$C$364,$C122),"")</f>
        <v>0.8333333333</v>
      </c>
      <c r="N122" s="67">
        <f t="shared" si="124"/>
        <v>0.6</v>
      </c>
      <c r="O122" s="67" t="str">
        <f t="shared" si="124"/>
        <v/>
      </c>
      <c r="P122" s="67">
        <f t="shared" si="124"/>
        <v>0.8571428571</v>
      </c>
      <c r="Q122" s="67">
        <f t="shared" si="124"/>
        <v>0.8571428571</v>
      </c>
      <c r="R122" s="67">
        <f t="shared" si="124"/>
        <v>0.8</v>
      </c>
      <c r="S122" s="67">
        <f t="shared" si="124"/>
        <v>0.4</v>
      </c>
      <c r="T122" s="68">
        <f t="shared" si="3"/>
        <v>0.7647058824</v>
      </c>
      <c r="U122" s="53">
        <f t="shared" si="4"/>
        <v>3</v>
      </c>
      <c r="V122" s="54">
        <f t="shared" si="5"/>
        <v>3</v>
      </c>
    </row>
    <row r="123" ht="15.75" customHeight="1">
      <c r="A123" s="46" t="str">
        <f>SiteAttendu!$A123</f>
        <v>C2026</v>
      </c>
      <c r="B123" s="47" t="str">
        <f>VLOOKUP($A123,SiteAttendu!$A$2:$C$366,2,0)</f>
        <v>DISTRICT SANITAIRE DIDIEVI</v>
      </c>
      <c r="C123" s="48" t="str">
        <f>VLOOKUP($A123,SiteAttendu!$A$2:$C$366,3,0)</f>
        <v>BELIER</v>
      </c>
      <c r="D123" s="49">
        <f>IF(VLOOKUP($A123,SiteAttendu!$A$2:$P$366,4,0)="NA","NA",COUNTIFS(soccode,A123,socprog,"PNLS/ANTIRETROVIRAUX ET IO",soctrans,"OUI"))</f>
        <v>1</v>
      </c>
      <c r="E123" s="49">
        <f>IF(VLOOKUP($A123,SiteAttendu!$A$2:$P$366,5,0)="NA","NA",COUNTIFS(soccode,A123,socprog,"PNLS/TESTS RAPIDES ET CONSOMMABLES",soctrans,"OUI"))</f>
        <v>1</v>
      </c>
      <c r="F123" s="49" t="str">
        <f>IF(VLOOKUP($A123,SiteAttendu!$A$2:$P$366,6,0)="NA","NA",COUNTIFS(soccode,A123,socprog,"PNLS/PRODUITS DE LABORATOIRE",soctrans,"OUI"))</f>
        <v>NA</v>
      </c>
      <c r="G123" s="49" t="str">
        <f>IF(VLOOKUP($A123,SiteAttendu!$A$2:$P$366,7,0)="NA","NA",COUNTIFS(soccode,A123,socprog,"PNLS/CHARGES VIRALES",soctrans,"OUI"))</f>
        <v>NA</v>
      </c>
      <c r="H123" s="49">
        <f>IF(VLOOKUP($A123,SiteAttendu!$A$2:$P$366,9,0)="NA","NA",COUNTIFS(soccode,A123,socprog,"PNLP/MEDICAMENTS ET INTRANTS",soctrans,"OUI"))</f>
        <v>1</v>
      </c>
      <c r="I123" s="50">
        <f>IF(VLOOKUP($A123,SiteAttendu!$A$2:$P$366,10,0)="NA","NA",COUNTIFS(soccode,$A123,socprog,"PNSME/MEDICAMENTS ET INTRANTS",soctrans,"OUI"))</f>
        <v>1</v>
      </c>
      <c r="J123" s="49" t="str">
        <f>IF(VLOOKUP($A123,SiteAttendu!$A$2:$P$366,11,0)="NA","NA",COUNTIFS(soccode,$A123,socprog,"PNN/MEDICAMENTS ET INTRANTS",soctrans,"OUI"))</f>
        <v>NA</v>
      </c>
      <c r="K123" s="49">
        <f>IF(VLOOKUP($A123,SiteAttendu!$A$2:$O$366,15,0)="NA","NA",IF(COUNTIF(socprog,"PNLT/SENSIBLE MEDICAMENTS ET INTRANTS")=0,"NA",COUNTIFS(soccode,$A123,socprog,"PNLT/SENSIBLE MEDICAMENTS ET INTRANTS",soctrans,"OUI")))</f>
        <v>1</v>
      </c>
      <c r="L123" s="51">
        <f t="shared" ref="L123:S123" si="125">IFERROR(SUMIFS(D$2:D$364,$C$2:$C$364,$C123)/COUNTIFS(D$2:D$364,"&lt;&gt;NA",$C$2:$C$364,$C123),"")</f>
        <v>1</v>
      </c>
      <c r="M123" s="51">
        <f t="shared" si="125"/>
        <v>1</v>
      </c>
      <c r="N123" s="51">
        <f t="shared" si="125"/>
        <v>1</v>
      </c>
      <c r="O123" s="51">
        <f t="shared" si="125"/>
        <v>1</v>
      </c>
      <c r="P123" s="51">
        <f t="shared" si="125"/>
        <v>1</v>
      </c>
      <c r="Q123" s="51">
        <f t="shared" si="125"/>
        <v>0.6</v>
      </c>
      <c r="R123" s="51">
        <f t="shared" si="125"/>
        <v>1</v>
      </c>
      <c r="S123" s="51">
        <f t="shared" si="125"/>
        <v>0.8333333333</v>
      </c>
      <c r="T123" s="52">
        <f t="shared" si="3"/>
        <v>1</v>
      </c>
      <c r="U123" s="53">
        <f t="shared" si="4"/>
        <v>2</v>
      </c>
      <c r="V123" s="54">
        <f t="shared" si="5"/>
        <v>2</v>
      </c>
    </row>
    <row r="124" ht="15.75" customHeight="1">
      <c r="A124" s="55" t="str">
        <f>SiteAttendu!$A124</f>
        <v>C2051</v>
      </c>
      <c r="B124" s="56" t="str">
        <f>VLOOKUP($A124,SiteAttendu!$A$2:$C$366,2,0)</f>
        <v>HOPITAL GENERAL DIDIEVI</v>
      </c>
      <c r="C124" s="57" t="str">
        <f>VLOOKUP($A124,SiteAttendu!$A$2:$C$366,3,0)</f>
        <v>BELIER</v>
      </c>
      <c r="D124" s="58">
        <f>IF(VLOOKUP($A124,SiteAttendu!$A$2:$P$366,4,0)="NA","NA",COUNTIFS(soccode,A124,socprog,"PNLS/ANTIRETROVIRAUX ET IO",soctrans,"OUI"))</f>
        <v>1</v>
      </c>
      <c r="E124" s="58">
        <f>IF(VLOOKUP($A124,SiteAttendu!$A$2:$P$366,5,0)="NA","NA",COUNTIFS(soccode,A124,socprog,"PNLS/TESTS RAPIDES ET CONSOMMABLES",soctrans,"OUI"))</f>
        <v>1</v>
      </c>
      <c r="F124" s="58">
        <f>IF(VLOOKUP($A124,SiteAttendu!$A$2:$P$366,6,0)="NA","NA",COUNTIFS(soccode,A124,socprog,"PNLS/PRODUITS DE LABORATOIRE",soctrans,"OUI"))</f>
        <v>1</v>
      </c>
      <c r="G124" s="58" t="str">
        <f>IF(VLOOKUP($A124,SiteAttendu!$A$2:$P$366,7,0)="NA","NA",COUNTIFS(soccode,A124,socprog,"PNLS/CHARGES VIRALES",soctrans,"OUI"))</f>
        <v>NA</v>
      </c>
      <c r="H124" s="58">
        <f>IF(VLOOKUP($A124,SiteAttendu!$A$2:$P$366,9,0)="NA","NA",COUNTIFS(soccode,A124,socprog,"PNLP/MEDICAMENTS ET INTRANTS",soctrans,"OUI"))</f>
        <v>1</v>
      </c>
      <c r="I124" s="59">
        <f>IF(VLOOKUP($A124,SiteAttendu!$A$2:$P$366,10,0)="NA","NA",COUNTIFS(soccode,$A124,socprog,"PNSME/MEDICAMENTS ET INTRANTS",soctrans,"OUI"))</f>
        <v>1</v>
      </c>
      <c r="J124" s="58" t="str">
        <f>IF(VLOOKUP($A124,SiteAttendu!$A$2:$P$366,11,0)="NA","NA",COUNTIFS(soccode,$A124,socprog,"PNN/MEDICAMENTS ET INTRANTS",soctrans,"OUI"))</f>
        <v>NA</v>
      </c>
      <c r="K124" s="58">
        <f>IF(VLOOKUP($A124,SiteAttendu!$A$2:$O$366,15,0)="NA","NA",IF(COUNTIF(socprog,"PNLT/SENSIBLE MEDICAMENTS ET INTRANTS")=0,"NA",COUNTIFS(soccode,$A124,socprog,"PNLT/SENSIBLE MEDICAMENTS ET INTRANTS",soctrans,"OUI")))</f>
        <v>0</v>
      </c>
      <c r="L124" s="60"/>
      <c r="M124" s="60">
        <f t="shared" ref="M124:S124" si="126">IFERROR(SUMIFS(E$2:E$364,$C$2:$C$364,$C124)/COUNTIFS(E$2:E$364,"&lt;&gt;NA",$C$2:$C$364,$C124),"")</f>
        <v>1</v>
      </c>
      <c r="N124" s="60">
        <f t="shared" si="126"/>
        <v>1</v>
      </c>
      <c r="O124" s="60">
        <f t="shared" si="126"/>
        <v>1</v>
      </c>
      <c r="P124" s="60">
        <f t="shared" si="126"/>
        <v>1</v>
      </c>
      <c r="Q124" s="60">
        <f t="shared" si="126"/>
        <v>0.6</v>
      </c>
      <c r="R124" s="60">
        <f t="shared" si="126"/>
        <v>1</v>
      </c>
      <c r="S124" s="60">
        <f t="shared" si="126"/>
        <v>0.8333333333</v>
      </c>
      <c r="T124" s="61">
        <f t="shared" si="3"/>
        <v>1</v>
      </c>
      <c r="U124" s="53">
        <f t="shared" si="4"/>
        <v>3</v>
      </c>
      <c r="V124" s="54">
        <f t="shared" si="5"/>
        <v>3</v>
      </c>
    </row>
    <row r="125" ht="16.5" customHeight="1">
      <c r="A125" s="55" t="str">
        <f>SiteAttendu!$A125</f>
        <v>C2042</v>
      </c>
      <c r="B125" s="56" t="str">
        <f>VLOOKUP($A125,SiteAttendu!$A$2:$C$366,2,0)</f>
        <v>DISTRICT SANITAIRE TIEBISSOU</v>
      </c>
      <c r="C125" s="57" t="str">
        <f>VLOOKUP($A125,SiteAttendu!$A$2:$C$366,3,0)</f>
        <v>BELIER</v>
      </c>
      <c r="D125" s="58">
        <f>IF(VLOOKUP($A125,SiteAttendu!$A$2:$P$366,4,0)="NA","NA",COUNTIFS(soccode,A125,socprog,"PNLS/ANTIRETROVIRAUX ET IO",soctrans,"OUI"))</f>
        <v>1</v>
      </c>
      <c r="E125" s="58">
        <f>IF(VLOOKUP($A125,SiteAttendu!$A$2:$P$366,5,0)="NA","NA",COUNTIFS(soccode,A125,socprog,"PNLS/TESTS RAPIDES ET CONSOMMABLES",soctrans,"OUI"))</f>
        <v>1</v>
      </c>
      <c r="F125" s="58" t="str">
        <f>IF(VLOOKUP($A125,SiteAttendu!$A$2:$P$366,6,0)="NA","NA",COUNTIFS(soccode,A125,socprog,"PNLS/PRODUITS DE LABORATOIRE",soctrans,"OUI"))</f>
        <v>NA</v>
      </c>
      <c r="G125" s="58" t="str">
        <f>IF(VLOOKUP($A125,SiteAttendu!$A$2:$P$366,7,0)="NA","NA",COUNTIFS(soccode,A125,socprog,"PNLS/CHARGES VIRALES",soctrans,"OUI"))</f>
        <v>NA</v>
      </c>
      <c r="H125" s="58">
        <f>IF(VLOOKUP($A125,SiteAttendu!$A$2:$P$366,9,0)="NA","NA",COUNTIFS(soccode,A125,socprog,"PNLP/MEDICAMENTS ET INTRANTS",soctrans,"OUI"))</f>
        <v>1</v>
      </c>
      <c r="I125" s="59">
        <f>IF(VLOOKUP($A125,SiteAttendu!$A$2:$P$366,10,0)="NA","NA",COUNTIFS(soccode,$A125,socprog,"PNSME/MEDICAMENTS ET INTRANTS",soctrans,"OUI"))</f>
        <v>1</v>
      </c>
      <c r="J125" s="58">
        <f>IF(VLOOKUP($A125,SiteAttendu!$A$2:$P$366,11,0)="NA","NA",COUNTIFS(soccode,$A125,socprog,"PNN/MEDICAMENTS ET INTRANTS",soctrans,"OUI"))</f>
        <v>1</v>
      </c>
      <c r="K125" s="58">
        <f>IF(VLOOKUP($A125,SiteAttendu!$A$2:$O$366,15,0)="NA","NA",IF(COUNTIF(socprog,"PNLT/SENSIBLE MEDICAMENTS ET INTRANTS")=0,"NA",COUNTIFS(soccode,$A125,socprog,"PNLT/SENSIBLE MEDICAMENTS ET INTRANTS",soctrans,"OUI")))</f>
        <v>1</v>
      </c>
      <c r="L125" s="60"/>
      <c r="M125" s="60">
        <f t="shared" ref="M125:S125" si="127">IFERROR(SUMIFS(E$2:E$364,$C$2:$C$364,$C125)/COUNTIFS(E$2:E$364,"&lt;&gt;NA",$C$2:$C$364,$C125),"")</f>
        <v>1</v>
      </c>
      <c r="N125" s="60">
        <f t="shared" si="127"/>
        <v>1</v>
      </c>
      <c r="O125" s="60">
        <f t="shared" si="127"/>
        <v>1</v>
      </c>
      <c r="P125" s="60">
        <f t="shared" si="127"/>
        <v>1</v>
      </c>
      <c r="Q125" s="60">
        <f t="shared" si="127"/>
        <v>0.6</v>
      </c>
      <c r="R125" s="60">
        <f t="shared" si="127"/>
        <v>1</v>
      </c>
      <c r="S125" s="60">
        <f t="shared" si="127"/>
        <v>0.8333333333</v>
      </c>
      <c r="T125" s="61">
        <f t="shared" si="3"/>
        <v>1</v>
      </c>
      <c r="U125" s="53">
        <f t="shared" si="4"/>
        <v>2</v>
      </c>
      <c r="V125" s="54">
        <f t="shared" si="5"/>
        <v>2</v>
      </c>
    </row>
    <row r="126" ht="15.75" customHeight="1">
      <c r="A126" s="55" t="str">
        <f>SiteAttendu!$A126</f>
        <v>C2068</v>
      </c>
      <c r="B126" s="56" t="str">
        <f>VLOOKUP($A126,SiteAttendu!$A$2:$C$366,2,0)</f>
        <v>HOPITAL GENERAL TIEBISSOU</v>
      </c>
      <c r="C126" s="57" t="str">
        <f>VLOOKUP($A126,SiteAttendu!$A$2:$C$366,3,0)</f>
        <v>BELIER</v>
      </c>
      <c r="D126" s="58">
        <f>IF(VLOOKUP($A126,SiteAttendu!$A$2:$P$366,4,0)="NA","NA",COUNTIFS(soccode,A126,socprog,"PNLS/ANTIRETROVIRAUX ET IO",soctrans,"OUI"))</f>
        <v>1</v>
      </c>
      <c r="E126" s="58">
        <f>IF(VLOOKUP($A126,SiteAttendu!$A$2:$P$366,5,0)="NA","NA",COUNTIFS(soccode,A126,socprog,"PNLS/TESTS RAPIDES ET CONSOMMABLES",soctrans,"OUI"))</f>
        <v>1</v>
      </c>
      <c r="F126" s="58">
        <f>IF(VLOOKUP($A126,SiteAttendu!$A$2:$P$366,6,0)="NA","NA",COUNTIFS(soccode,A126,socprog,"PNLS/PRODUITS DE LABORATOIRE",soctrans,"OUI"))</f>
        <v>1</v>
      </c>
      <c r="G126" s="58" t="str">
        <f>IF(VLOOKUP($A126,SiteAttendu!$A$2:$P$366,7,0)="NA","NA",COUNTIFS(soccode,A126,socprog,"PNLS/CHARGES VIRALES",soctrans,"OUI"))</f>
        <v>NA</v>
      </c>
      <c r="H126" s="58">
        <f>IF(VLOOKUP($A126,SiteAttendu!$A$2:$P$366,9,0)="NA","NA",COUNTIFS(soccode,A126,socprog,"PNLP/MEDICAMENTS ET INTRANTS",soctrans,"OUI"))</f>
        <v>1</v>
      </c>
      <c r="I126" s="59">
        <f>IF(VLOOKUP($A126,SiteAttendu!$A$2:$P$366,10,0)="NA","NA",COUNTIFS(soccode,$A126,socprog,"PNSME/MEDICAMENTS ET INTRANTS",soctrans,"OUI"))</f>
        <v>1</v>
      </c>
      <c r="J126" s="58">
        <f>IF(VLOOKUP($A126,SiteAttendu!$A$2:$P$366,11,0)="NA","NA",COUNTIFS(soccode,$A126,socprog,"PNN/MEDICAMENTS ET INTRANTS",soctrans,"OUI"))</f>
        <v>1</v>
      </c>
      <c r="K126" s="58" t="str">
        <f>IF(VLOOKUP($A126,SiteAttendu!$A$2:$O$366,15,0)="NA","NA",IF(COUNTIF(socprog,"PNLT/SENSIBLE MEDICAMENTS ET INTRANTS")=0,"NA",COUNTIFS(soccode,$A126,socprog,"PNLT/SENSIBLE MEDICAMENTS ET INTRANTS",soctrans,"OUI")))</f>
        <v>NA</v>
      </c>
      <c r="L126" s="60"/>
      <c r="M126" s="60">
        <f t="shared" ref="M126:S126" si="128">IFERROR(SUMIFS(E$2:E$364,$C$2:$C$364,$C126)/COUNTIFS(E$2:E$364,"&lt;&gt;NA",$C$2:$C$364,$C126),"")</f>
        <v>1</v>
      </c>
      <c r="N126" s="60">
        <f t="shared" si="128"/>
        <v>1</v>
      </c>
      <c r="O126" s="60">
        <f t="shared" si="128"/>
        <v>1</v>
      </c>
      <c r="P126" s="60">
        <f t="shared" si="128"/>
        <v>1</v>
      </c>
      <c r="Q126" s="60">
        <f t="shared" si="128"/>
        <v>0.6</v>
      </c>
      <c r="R126" s="60">
        <f t="shared" si="128"/>
        <v>1</v>
      </c>
      <c r="S126" s="60">
        <f t="shared" si="128"/>
        <v>0.8333333333</v>
      </c>
      <c r="T126" s="61">
        <f t="shared" si="3"/>
        <v>1</v>
      </c>
      <c r="U126" s="53">
        <f t="shared" si="4"/>
        <v>3</v>
      </c>
      <c r="V126" s="54">
        <f t="shared" si="5"/>
        <v>3</v>
      </c>
    </row>
    <row r="127" ht="15.75" customHeight="1">
      <c r="A127" s="55" t="str">
        <f>SiteAttendu!$A127</f>
        <v>C2038</v>
      </c>
      <c r="B127" s="56" t="str">
        <f>VLOOKUP($A127,SiteAttendu!$A$2:$C$366,2,0)</f>
        <v>DISTRICT SANITAIRE TOUMODI</v>
      </c>
      <c r="C127" s="57" t="str">
        <f>VLOOKUP($A127,SiteAttendu!$A$2:$C$366,3,0)</f>
        <v>BELIER</v>
      </c>
      <c r="D127" s="58">
        <f>IF(VLOOKUP($A127,SiteAttendu!$A$2:$P$366,4,0)="NA","NA",COUNTIFS(soccode,A127,socprog,"PNLS/ANTIRETROVIRAUX ET IO",soctrans,"OUI"))</f>
        <v>1</v>
      </c>
      <c r="E127" s="58">
        <f>IF(VLOOKUP($A127,SiteAttendu!$A$2:$P$366,5,0)="NA","NA",COUNTIFS(soccode,A127,socprog,"PNLS/TESTS RAPIDES ET CONSOMMABLES",soctrans,"OUI"))</f>
        <v>1</v>
      </c>
      <c r="F127" s="58">
        <f>IF(VLOOKUP($A127,SiteAttendu!$A$2:$P$366,6,0)="NA","NA",COUNTIFS(soccode,A127,socprog,"PNLS/PRODUITS DE LABORATOIRE",soctrans,"OUI"))</f>
        <v>1</v>
      </c>
      <c r="G127" s="58" t="str">
        <f>IF(VLOOKUP($A127,SiteAttendu!$A$2:$P$366,7,0)="NA","NA",COUNTIFS(soccode,A127,socprog,"PNLS/CHARGES VIRALES",soctrans,"OUI"))</f>
        <v>NA</v>
      </c>
      <c r="H127" s="58">
        <f>IF(VLOOKUP($A127,SiteAttendu!$A$2:$P$366,9,0)="NA","NA",COUNTIFS(soccode,A127,socprog,"PNLP/MEDICAMENTS ET INTRANTS",soctrans,"OUI"))</f>
        <v>1</v>
      </c>
      <c r="I127" s="59">
        <f>IF(VLOOKUP($A127,SiteAttendu!$A$2:$P$366,10,0)="NA","NA",COUNTIFS(soccode,$A127,socprog,"PNSME/MEDICAMENTS ET INTRANTS",soctrans,"OUI"))</f>
        <v>0</v>
      </c>
      <c r="J127" s="58" t="str">
        <f>IF(VLOOKUP($A127,SiteAttendu!$A$2:$P$366,11,0)="NA","NA",COUNTIFS(soccode,$A127,socprog,"PNN/MEDICAMENTS ET INTRANTS",soctrans,"OUI"))</f>
        <v>NA</v>
      </c>
      <c r="K127" s="58">
        <f>IF(VLOOKUP($A127,SiteAttendu!$A$2:$O$366,15,0)="NA","NA",IF(COUNTIF(socprog,"PNLT/SENSIBLE MEDICAMENTS ET INTRANTS")=0,"NA",COUNTIFS(soccode,$A127,socprog,"PNLT/SENSIBLE MEDICAMENTS ET INTRANTS",soctrans,"OUI")))</f>
        <v>1</v>
      </c>
      <c r="L127" s="60"/>
      <c r="M127" s="60">
        <f t="shared" ref="M127:S127" si="129">IFERROR(SUMIFS(E$2:E$364,$C$2:$C$364,$C127)/COUNTIFS(E$2:E$364,"&lt;&gt;NA",$C$2:$C$364,$C127),"")</f>
        <v>1</v>
      </c>
      <c r="N127" s="60">
        <f t="shared" si="129"/>
        <v>1</v>
      </c>
      <c r="O127" s="60">
        <f t="shared" si="129"/>
        <v>1</v>
      </c>
      <c r="P127" s="60">
        <f t="shared" si="129"/>
        <v>1</v>
      </c>
      <c r="Q127" s="60">
        <f t="shared" si="129"/>
        <v>0.6</v>
      </c>
      <c r="R127" s="60">
        <f t="shared" si="129"/>
        <v>1</v>
      </c>
      <c r="S127" s="60">
        <f t="shared" si="129"/>
        <v>0.8333333333</v>
      </c>
      <c r="T127" s="61">
        <f t="shared" si="3"/>
        <v>1</v>
      </c>
      <c r="U127" s="53">
        <f t="shared" si="4"/>
        <v>3</v>
      </c>
      <c r="V127" s="54">
        <f t="shared" si="5"/>
        <v>3</v>
      </c>
    </row>
    <row r="128" ht="15.75" customHeight="1">
      <c r="A128" s="55" t="str">
        <f>SiteAttendu!$A128</f>
        <v>C2052</v>
      </c>
      <c r="B128" s="56" t="str">
        <f>VLOOKUP($A128,SiteAttendu!$A$2:$C$366,2,0)</f>
        <v>HOPITAL GENERAL DJEKANOU</v>
      </c>
      <c r="C128" s="57" t="str">
        <f>VLOOKUP($A128,SiteAttendu!$A$2:$C$366,3,0)</f>
        <v>BELIER</v>
      </c>
      <c r="D128" s="58">
        <f>IF(VLOOKUP($A128,SiteAttendu!$A$2:$P$366,4,0)="NA","NA",COUNTIFS(soccode,A128,socprog,"PNLS/ANTIRETROVIRAUX ET IO",soctrans,"OUI"))</f>
        <v>1</v>
      </c>
      <c r="E128" s="58">
        <f>IF(VLOOKUP($A128,SiteAttendu!$A$2:$P$366,5,0)="NA","NA",COUNTIFS(soccode,A128,socprog,"PNLS/TESTS RAPIDES ET CONSOMMABLES",soctrans,"OUI"))</f>
        <v>1</v>
      </c>
      <c r="F128" s="58">
        <f>IF(VLOOKUP($A128,SiteAttendu!$A$2:$P$366,6,0)="NA","NA",COUNTIFS(soccode,A128,socprog,"PNLS/PRODUITS DE LABORATOIRE",soctrans,"OUI"))</f>
        <v>1</v>
      </c>
      <c r="G128" s="58" t="str">
        <f>IF(VLOOKUP($A128,SiteAttendu!$A$2:$P$366,7,0)="NA","NA",COUNTIFS(soccode,A128,socprog,"PNLS/CHARGES VIRALES",soctrans,"OUI"))</f>
        <v>NA</v>
      </c>
      <c r="H128" s="58">
        <f>IF(VLOOKUP($A128,SiteAttendu!$A$2:$P$366,9,0)="NA","NA",COUNTIFS(soccode,A128,socprog,"PNLP/MEDICAMENTS ET INTRANTS",soctrans,"OUI"))</f>
        <v>1</v>
      </c>
      <c r="I128" s="59">
        <f>IF(VLOOKUP($A128,SiteAttendu!$A$2:$P$366,10,0)="NA","NA",COUNTIFS(soccode,$A128,socprog,"PNSME/MEDICAMENTS ET INTRANTS",soctrans,"OUI"))</f>
        <v>1</v>
      </c>
      <c r="J128" s="58" t="str">
        <f>IF(VLOOKUP($A128,SiteAttendu!$A$2:$P$366,11,0)="NA","NA",COUNTIFS(soccode,$A128,socprog,"PNN/MEDICAMENTS ET INTRANTS",soctrans,"OUI"))</f>
        <v>NA</v>
      </c>
      <c r="K128" s="58">
        <f>IF(VLOOKUP($A128,SiteAttendu!$A$2:$O$366,15,0)="NA","NA",IF(COUNTIF(socprog,"PNLT/SENSIBLE MEDICAMENTS ET INTRANTS")=0,"NA",COUNTIFS(soccode,$A128,socprog,"PNLT/SENSIBLE MEDICAMENTS ET INTRANTS",soctrans,"OUI")))</f>
        <v>1</v>
      </c>
      <c r="L128" s="60"/>
      <c r="M128" s="60">
        <f t="shared" ref="M128:S128" si="130">IFERROR(SUMIFS(E$2:E$364,$C$2:$C$364,$C128)/COUNTIFS(E$2:E$364,"&lt;&gt;NA",$C$2:$C$364,$C128),"")</f>
        <v>1</v>
      </c>
      <c r="N128" s="60">
        <f t="shared" si="130"/>
        <v>1</v>
      </c>
      <c r="O128" s="60">
        <f t="shared" si="130"/>
        <v>1</v>
      </c>
      <c r="P128" s="60">
        <f t="shared" si="130"/>
        <v>1</v>
      </c>
      <c r="Q128" s="60">
        <f t="shared" si="130"/>
        <v>0.6</v>
      </c>
      <c r="R128" s="60">
        <f t="shared" si="130"/>
        <v>1</v>
      </c>
      <c r="S128" s="60">
        <f t="shared" si="130"/>
        <v>0.8333333333</v>
      </c>
      <c r="T128" s="61">
        <f t="shared" si="3"/>
        <v>1</v>
      </c>
      <c r="U128" s="53">
        <f t="shared" si="4"/>
        <v>3</v>
      </c>
      <c r="V128" s="54">
        <f t="shared" si="5"/>
        <v>3</v>
      </c>
    </row>
    <row r="129" ht="15.75" customHeight="1">
      <c r="A129" s="55" t="str">
        <f>SiteAttendu!$A129</f>
        <v>C2057</v>
      </c>
      <c r="B129" s="56" t="str">
        <f>VLOOKUP($A129,SiteAttendu!$A$2:$C$366,2,0)</f>
        <v>HOPITAL GENERAL KOCOUMBO</v>
      </c>
      <c r="C129" s="57" t="str">
        <f>VLOOKUP($A129,SiteAttendu!$A$2:$C$366,3,0)</f>
        <v>BELIER</v>
      </c>
      <c r="D129" s="58" t="str">
        <f>IF(VLOOKUP($A129,SiteAttendu!$A$2:$P$366,4,0)="NA","NA",COUNTIFS(soccode,A129,socprog,"PNLS/ANTIRETROVIRAUX ET IO",soctrans,"OUI"))</f>
        <v>NA</v>
      </c>
      <c r="E129" s="58" t="str">
        <f>IF(VLOOKUP($A129,SiteAttendu!$A$2:$P$366,5,0)="NA","NA",COUNTIFS(soccode,A129,socprog,"PNLS/TESTS RAPIDES ET CONSOMMABLES",soctrans,"OUI"))</f>
        <v>NA</v>
      </c>
      <c r="F129" s="58" t="str">
        <f>IF(VLOOKUP($A129,SiteAttendu!$A$2:$P$366,6,0)="NA","NA",COUNTIFS(soccode,A129,socprog,"PNLS/PRODUITS DE LABORATOIRE",soctrans,"OUI"))</f>
        <v>NA</v>
      </c>
      <c r="G129" s="58" t="str">
        <f>IF(VLOOKUP($A129,SiteAttendu!$A$2:$P$366,7,0)="NA","NA",COUNTIFS(soccode,A129,socprog,"PNLS/CHARGES VIRALES",soctrans,"OUI"))</f>
        <v>NA</v>
      </c>
      <c r="H129" s="58">
        <f>IF(VLOOKUP($A129,SiteAttendu!$A$2:$P$366,9,0)="NA","NA",COUNTIFS(soccode,A129,socprog,"PNLP/MEDICAMENTS ET INTRANTS",soctrans,"OUI"))</f>
        <v>1</v>
      </c>
      <c r="I129" s="59">
        <f>IF(VLOOKUP($A129,SiteAttendu!$A$2:$P$366,10,0)="NA","NA",COUNTIFS(soccode,$A129,socprog,"PNSME/MEDICAMENTS ET INTRANTS",soctrans,"OUI"))</f>
        <v>0</v>
      </c>
      <c r="J129" s="58" t="str">
        <f>IF(VLOOKUP($A129,SiteAttendu!$A$2:$P$366,11,0)="NA","NA",COUNTIFS(soccode,$A129,socprog,"PNN/MEDICAMENTS ET INTRANTS",soctrans,"OUI"))</f>
        <v>NA</v>
      </c>
      <c r="K129" s="58" t="str">
        <f>IF(VLOOKUP($A129,SiteAttendu!$A$2:$O$366,15,0)="NA","NA",IF(COUNTIF(socprog,"PNLT/SENSIBLE MEDICAMENTS ET INTRANTS")=0,"NA",COUNTIFS(soccode,$A129,socprog,"PNLT/SENSIBLE MEDICAMENTS ET INTRANTS",soctrans,"OUI")))</f>
        <v>NA</v>
      </c>
      <c r="L129" s="60"/>
      <c r="M129" s="60">
        <f t="shared" ref="M129:S129" si="131">IFERROR(SUMIFS(E$2:E$364,$C$2:$C$364,$C129)/COUNTIFS(E$2:E$364,"&lt;&gt;NA",$C$2:$C$364,$C129),"")</f>
        <v>1</v>
      </c>
      <c r="N129" s="60">
        <f t="shared" si="131"/>
        <v>1</v>
      </c>
      <c r="O129" s="60">
        <f t="shared" si="131"/>
        <v>1</v>
      </c>
      <c r="P129" s="60">
        <f t="shared" si="131"/>
        <v>1</v>
      </c>
      <c r="Q129" s="60">
        <f t="shared" si="131"/>
        <v>0.6</v>
      </c>
      <c r="R129" s="60">
        <f t="shared" si="131"/>
        <v>1</v>
      </c>
      <c r="S129" s="60">
        <f t="shared" si="131"/>
        <v>0.8333333333</v>
      </c>
      <c r="T129" s="61">
        <f t="shared" si="3"/>
        <v>1</v>
      </c>
      <c r="U129" s="53">
        <f t="shared" si="4"/>
        <v>0</v>
      </c>
      <c r="V129" s="54">
        <f t="shared" si="5"/>
        <v>0</v>
      </c>
    </row>
    <row r="130" ht="15.75" customHeight="1">
      <c r="A130" s="55" t="str">
        <f>SiteAttendu!$A130</f>
        <v>C2069</v>
      </c>
      <c r="B130" s="56" t="str">
        <f>VLOOKUP($A130,SiteAttendu!$A$2:$C$366,2,0)</f>
        <v>HOPITAL GENERAL TOUMODI</v>
      </c>
      <c r="C130" s="57" t="str">
        <f>VLOOKUP($A130,SiteAttendu!$A$2:$C$366,3,0)</f>
        <v>BELIER</v>
      </c>
      <c r="D130" s="58">
        <f>IF(VLOOKUP($A130,SiteAttendu!$A$2:$P$366,4,0)="NA","NA",COUNTIFS(soccode,A130,socprog,"PNLS/ANTIRETROVIRAUX ET IO",soctrans,"OUI"))</f>
        <v>1</v>
      </c>
      <c r="E130" s="58">
        <f>IF(VLOOKUP($A130,SiteAttendu!$A$2:$P$366,5,0)="NA","NA",COUNTIFS(soccode,A130,socprog,"PNLS/TESTS RAPIDES ET CONSOMMABLES",soctrans,"OUI"))</f>
        <v>1</v>
      </c>
      <c r="F130" s="58">
        <f>IF(VLOOKUP($A130,SiteAttendu!$A$2:$P$366,6,0)="NA","NA",COUNTIFS(soccode,A130,socprog,"PNLS/PRODUITS DE LABORATOIRE",soctrans,"OUI"))</f>
        <v>1</v>
      </c>
      <c r="G130" s="58">
        <f>IF(VLOOKUP($A130,SiteAttendu!$A$2:$P$366,7,0)="NA","NA",COUNTIFS(soccode,A130,socprog,"PNLS/CHARGES VIRALES",soctrans,"OUI"))</f>
        <v>1</v>
      </c>
      <c r="H130" s="58">
        <f>IF(VLOOKUP($A130,SiteAttendu!$A$2:$P$366,9,0)="NA","NA",COUNTIFS(soccode,A130,socprog,"PNLP/MEDICAMENTS ET INTRANTS",soctrans,"OUI"))</f>
        <v>1</v>
      </c>
      <c r="I130" s="59">
        <f>IF(VLOOKUP($A130,SiteAttendu!$A$2:$P$366,10,0)="NA","NA",COUNTIFS(soccode,$A130,socprog,"PNSME/MEDICAMENTS ET INTRANTS",soctrans,"OUI"))</f>
        <v>0</v>
      </c>
      <c r="J130" s="58" t="str">
        <f>IF(VLOOKUP($A130,SiteAttendu!$A$2:$P$366,11,0)="NA","NA",COUNTIFS(soccode,$A130,socprog,"PNN/MEDICAMENTS ET INTRANTS",soctrans,"OUI"))</f>
        <v>NA</v>
      </c>
      <c r="K130" s="58" t="str">
        <f>IF(VLOOKUP($A130,SiteAttendu!$A$2:$O$366,15,0)="NA","NA",IF(COUNTIF(socprog,"PNLT/SENSIBLE MEDICAMENTS ET INTRANTS")=0,"NA",COUNTIFS(soccode,$A130,socprog,"PNLT/SENSIBLE MEDICAMENTS ET INTRANTS",soctrans,"OUI")))</f>
        <v>NA</v>
      </c>
      <c r="L130" s="60"/>
      <c r="M130" s="60">
        <f t="shared" ref="M130:S130" si="132">IFERROR(SUMIFS(E$2:E$364,$C$2:$C$364,$C130)/COUNTIFS(E$2:E$364,"&lt;&gt;NA",$C$2:$C$364,$C130),"")</f>
        <v>1</v>
      </c>
      <c r="N130" s="60">
        <f t="shared" si="132"/>
        <v>1</v>
      </c>
      <c r="O130" s="60">
        <f t="shared" si="132"/>
        <v>1</v>
      </c>
      <c r="P130" s="60">
        <f t="shared" si="132"/>
        <v>1</v>
      </c>
      <c r="Q130" s="60">
        <f t="shared" si="132"/>
        <v>0.6</v>
      </c>
      <c r="R130" s="60">
        <f t="shared" si="132"/>
        <v>1</v>
      </c>
      <c r="S130" s="60">
        <f t="shared" si="132"/>
        <v>0.8333333333</v>
      </c>
      <c r="T130" s="61">
        <f t="shared" si="3"/>
        <v>1</v>
      </c>
      <c r="U130" s="53">
        <f t="shared" si="4"/>
        <v>4</v>
      </c>
      <c r="V130" s="54">
        <f t="shared" si="5"/>
        <v>4</v>
      </c>
    </row>
    <row r="131" ht="15.75" customHeight="1">
      <c r="A131" s="55" t="str">
        <f>SiteAttendu!$A131</f>
        <v>C2009</v>
      </c>
      <c r="B131" s="56" t="str">
        <f>VLOOKUP($A131,SiteAttendu!$A$2:$C$366,2,0)</f>
        <v>CHR YAMOUSSOUKRO</v>
      </c>
      <c r="C131" s="57" t="str">
        <f>VLOOKUP($A131,SiteAttendu!$A$2:$C$366,3,0)</f>
        <v>BELIER</v>
      </c>
      <c r="D131" s="58">
        <f>IF(VLOOKUP($A131,SiteAttendu!$A$2:$P$366,4,0)="NA","NA",COUNTIFS(soccode,A131,socprog,"PNLS/ANTIRETROVIRAUX ET IO",soctrans,"OUI"))</f>
        <v>1</v>
      </c>
      <c r="E131" s="58">
        <f>IF(VLOOKUP($A131,SiteAttendu!$A$2:$P$366,5,0)="NA","NA",COUNTIFS(soccode,A131,socprog,"PNLS/TESTS RAPIDES ET CONSOMMABLES",soctrans,"OUI"))</f>
        <v>1</v>
      </c>
      <c r="F131" s="58">
        <f>IF(VLOOKUP($A131,SiteAttendu!$A$2:$P$366,6,0)="NA","NA",COUNTIFS(soccode,A131,socprog,"PNLS/PRODUITS DE LABORATOIRE",soctrans,"OUI"))</f>
        <v>1</v>
      </c>
      <c r="G131" s="58">
        <f>IF(VLOOKUP($A131,SiteAttendu!$A$2:$P$366,7,0)="NA","NA",COUNTIFS(soccode,A131,socprog,"PNLS/CHARGES VIRALES",soctrans,"OUI"))</f>
        <v>1</v>
      </c>
      <c r="H131" s="58">
        <f>IF(VLOOKUP($A131,SiteAttendu!$A$2:$P$366,9,0)="NA","NA",COUNTIFS(soccode,A131,socprog,"PNLP/MEDICAMENTS ET INTRANTS",soctrans,"OUI"))</f>
        <v>1</v>
      </c>
      <c r="I131" s="59">
        <f>IF(VLOOKUP($A131,SiteAttendu!$A$2:$P$366,10,0)="NA","NA",COUNTIFS(soccode,$A131,socprog,"PNSME/MEDICAMENTS ET INTRANTS",soctrans,"OUI"))</f>
        <v>1</v>
      </c>
      <c r="J131" s="58">
        <f>IF(VLOOKUP($A131,SiteAttendu!$A$2:$P$366,11,0)="NA","NA",COUNTIFS(soccode,$A131,socprog,"PNN/MEDICAMENTS ET INTRANTS",soctrans,"OUI"))</f>
        <v>1</v>
      </c>
      <c r="K131" s="58" t="str">
        <f>IF(VLOOKUP($A131,SiteAttendu!$A$2:$O$366,15,0)="NA","NA",IF(COUNTIF(socprog,"PNLT/SENSIBLE MEDICAMENTS ET INTRANTS")=0,"NA",COUNTIFS(soccode,$A131,socprog,"PNLT/SENSIBLE MEDICAMENTS ET INTRANTS",soctrans,"OUI")))</f>
        <v>NA</v>
      </c>
      <c r="L131" s="60"/>
      <c r="M131" s="60">
        <f t="shared" ref="M131:S131" si="133">IFERROR(SUMIFS(E$2:E$364,$C$2:$C$364,$C131)/COUNTIFS(E$2:E$364,"&lt;&gt;NA",$C$2:$C$364,$C131),"")</f>
        <v>1</v>
      </c>
      <c r="N131" s="60">
        <f t="shared" si="133"/>
        <v>1</v>
      </c>
      <c r="O131" s="60">
        <f t="shared" si="133"/>
        <v>1</v>
      </c>
      <c r="P131" s="60">
        <f t="shared" si="133"/>
        <v>1</v>
      </c>
      <c r="Q131" s="60">
        <f t="shared" si="133"/>
        <v>0.6</v>
      </c>
      <c r="R131" s="60">
        <f t="shared" si="133"/>
        <v>1</v>
      </c>
      <c r="S131" s="60">
        <f t="shared" si="133"/>
        <v>0.8333333333</v>
      </c>
      <c r="T131" s="61">
        <f t="shared" si="3"/>
        <v>1</v>
      </c>
      <c r="U131" s="53">
        <f t="shared" si="4"/>
        <v>4</v>
      </c>
      <c r="V131" s="54">
        <f t="shared" si="5"/>
        <v>4</v>
      </c>
    </row>
    <row r="132" ht="15.75" customHeight="1">
      <c r="A132" s="55" t="str">
        <f>SiteAttendu!$A132</f>
        <v>C2045</v>
      </c>
      <c r="B132" s="56" t="str">
        <f>VLOOKUP($A132,SiteAttendu!$A$2:$C$366,2,0)</f>
        <v>DISTRICT SANITAIRE YAMOUSSOUKRO</v>
      </c>
      <c r="C132" s="57" t="str">
        <f>VLOOKUP($A132,SiteAttendu!$A$2:$C$366,3,0)</f>
        <v>BELIER</v>
      </c>
      <c r="D132" s="58">
        <f>IF(VLOOKUP($A132,SiteAttendu!$A$2:$P$366,4,0)="NA","NA",COUNTIFS(soccode,A132,socprog,"PNLS/ANTIRETROVIRAUX ET IO",soctrans,"OUI"))</f>
        <v>1</v>
      </c>
      <c r="E132" s="58">
        <f>IF(VLOOKUP($A132,SiteAttendu!$A$2:$P$366,5,0)="NA","NA",COUNTIFS(soccode,A132,socprog,"PNLS/TESTS RAPIDES ET CONSOMMABLES",soctrans,"OUI"))</f>
        <v>1</v>
      </c>
      <c r="F132" s="58">
        <f>IF(VLOOKUP($A132,SiteAttendu!$A$2:$P$366,6,0)="NA","NA",COUNTIFS(soccode,A132,socprog,"PNLS/PRODUITS DE LABORATOIRE",soctrans,"OUI"))</f>
        <v>1</v>
      </c>
      <c r="G132" s="58" t="str">
        <f>IF(VLOOKUP($A132,SiteAttendu!$A$2:$P$366,7,0)="NA","NA",COUNTIFS(soccode,A132,socprog,"PNLS/CHARGES VIRALES",soctrans,"OUI"))</f>
        <v>NA</v>
      </c>
      <c r="H132" s="58">
        <f>IF(VLOOKUP($A132,SiteAttendu!$A$2:$P$366,9,0)="NA","NA",COUNTIFS(soccode,A132,socprog,"PNLP/MEDICAMENTS ET INTRANTS",soctrans,"OUI"))</f>
        <v>1</v>
      </c>
      <c r="I132" s="59">
        <f>IF(VLOOKUP($A132,SiteAttendu!$A$2:$P$366,10,0)="NA","NA",COUNTIFS(soccode,$A132,socprog,"PNSME/MEDICAMENTS ET INTRANTS",soctrans,"OUI"))</f>
        <v>0</v>
      </c>
      <c r="J132" s="58">
        <f>IF(VLOOKUP($A132,SiteAttendu!$A$2:$P$366,11,0)="NA","NA",COUNTIFS(soccode,$A132,socprog,"PNN/MEDICAMENTS ET INTRANTS",soctrans,"OUI"))</f>
        <v>1</v>
      </c>
      <c r="K132" s="58" t="str">
        <f>IF(VLOOKUP($A132,SiteAttendu!$A$2:$O$366,15,0)="NA","NA",IF(COUNTIF(socprog,"PNLT/SENSIBLE MEDICAMENTS ET INTRANTS")=0,"NA",COUNTIFS(soccode,$A132,socprog,"PNLT/SENSIBLE MEDICAMENTS ET INTRANTS",soctrans,"OUI")))</f>
        <v>NA</v>
      </c>
      <c r="L132" s="60"/>
      <c r="M132" s="60">
        <f t="shared" ref="M132:S132" si="134">IFERROR(SUMIFS(E$2:E$364,$C$2:$C$364,$C132)/COUNTIFS(E$2:E$364,"&lt;&gt;NA",$C$2:$C$364,$C132),"")</f>
        <v>1</v>
      </c>
      <c r="N132" s="60">
        <f t="shared" si="134"/>
        <v>1</v>
      </c>
      <c r="O132" s="60">
        <f t="shared" si="134"/>
        <v>1</v>
      </c>
      <c r="P132" s="60">
        <f t="shared" si="134"/>
        <v>1</v>
      </c>
      <c r="Q132" s="60">
        <f t="shared" si="134"/>
        <v>0.6</v>
      </c>
      <c r="R132" s="60">
        <f t="shared" si="134"/>
        <v>1</v>
      </c>
      <c r="S132" s="60">
        <f t="shared" si="134"/>
        <v>0.8333333333</v>
      </c>
      <c r="T132" s="61">
        <f t="shared" si="3"/>
        <v>1</v>
      </c>
      <c r="U132" s="53">
        <f t="shared" si="4"/>
        <v>3</v>
      </c>
      <c r="V132" s="54">
        <f t="shared" si="5"/>
        <v>3</v>
      </c>
    </row>
    <row r="133" ht="15.75" customHeight="1">
      <c r="A133" s="70" t="str">
        <f>SiteAttendu!$A133</f>
        <v>C2173</v>
      </c>
      <c r="B133" s="71" t="str">
        <f>VLOOKUP($A133,SiteAttendu!$A$2:$C$366,2,0)</f>
        <v>CENTRE ANTITUBERCULEUX YAMOUSSOUKRO</v>
      </c>
      <c r="C133" s="72" t="str">
        <f>VLOOKUP($A133,SiteAttendu!$A$2:$C$366,3,0)</f>
        <v>BELIER</v>
      </c>
      <c r="D133" s="73" t="str">
        <f>IF(VLOOKUP($A133,SiteAttendu!$A$2:$P$366,4,0)="NA","NA",COUNTIFS(soccode,A133,socprog,"PNLS/ANTIRETROVIRAUX ET IO",soctrans,"OUI"))</f>
        <v>NA</v>
      </c>
      <c r="E133" s="73" t="str">
        <f>IF(VLOOKUP($A133,SiteAttendu!$A$2:$P$366,5,0)="NA","NA",COUNTIFS(soccode,A133,socprog,"PNLS/TESTS RAPIDES ET CONSOMMABLES",soctrans,"OUI"))</f>
        <v>NA</v>
      </c>
      <c r="F133" s="73" t="str">
        <f>IF(VLOOKUP($A133,SiteAttendu!$A$2:$P$366,6,0)="NA","NA",COUNTIFS(soccode,A133,socprog,"PNLS/PRODUITS DE LABORATOIRE",soctrans,"OUI"))</f>
        <v>NA</v>
      </c>
      <c r="G133" s="73" t="str">
        <f>IF(VLOOKUP($A133,SiteAttendu!$A$2:$P$366,7,0)="NA","NA",COUNTIFS(soccode,A133,socprog,"PNLS/CHARGES VIRALES",soctrans,"OUI"))</f>
        <v>NA</v>
      </c>
      <c r="H133" s="73" t="str">
        <f>IF(VLOOKUP($A133,SiteAttendu!$A$2:$P$366,9,0)="NA","NA",COUNTIFS(soccode,A133,socprog,"PNLP/MEDICAMENTS ET INTRANTS",soctrans,"OUI"))</f>
        <v>NA</v>
      </c>
      <c r="I133" s="74" t="str">
        <f>IF(VLOOKUP($A133,SiteAttendu!$A$2:$P$366,10,0)="NA","NA",COUNTIFS(soccode,$A133,socprog,"PNSME/MEDICAMENTS ET INTRANTS",soctrans,"OUI"))</f>
        <v>NA</v>
      </c>
      <c r="J133" s="73" t="str">
        <f>IF(VLOOKUP($A133,SiteAttendu!$A$2:$P$366,11,0)="NA","NA",COUNTIFS(soccode,$A133,socprog,"PNN/MEDICAMENTS ET INTRANTS",soctrans,"OUI"))</f>
        <v>NA</v>
      </c>
      <c r="K133" s="73">
        <f>IF(VLOOKUP($A133,SiteAttendu!$A$2:$O$366,15,0)="NA","NA",IF(COUNTIF(socprog,"PNLT/SENSIBLE MEDICAMENTS ET INTRANTS")=0,"NA",COUNTIFS(soccode,$A133,socprog,"PNLT/SENSIBLE MEDICAMENTS ET INTRANTS",soctrans,"OUI")))</f>
        <v>1</v>
      </c>
      <c r="L133" s="67"/>
      <c r="M133" s="67">
        <f t="shared" ref="M133:S133" si="135">IFERROR(SUMIFS(E$2:E$364,$C$2:$C$364,$C133)/COUNTIFS(E$2:E$364,"&lt;&gt;NA",$C$2:$C$364,$C133),"")</f>
        <v>1</v>
      </c>
      <c r="N133" s="67">
        <f t="shared" si="135"/>
        <v>1</v>
      </c>
      <c r="O133" s="67">
        <f t="shared" si="135"/>
        <v>1</v>
      </c>
      <c r="P133" s="67">
        <f t="shared" si="135"/>
        <v>1</v>
      </c>
      <c r="Q133" s="67">
        <f t="shared" si="135"/>
        <v>0.6</v>
      </c>
      <c r="R133" s="67">
        <f t="shared" si="135"/>
        <v>1</v>
      </c>
      <c r="S133" s="67">
        <f t="shared" si="135"/>
        <v>0.8333333333</v>
      </c>
      <c r="T133" s="68">
        <f t="shared" si="3"/>
        <v>1</v>
      </c>
      <c r="U133" s="53">
        <f t="shared" si="4"/>
        <v>0</v>
      </c>
      <c r="V133" s="54">
        <f t="shared" si="5"/>
        <v>0</v>
      </c>
    </row>
    <row r="134" ht="15.75" customHeight="1">
      <c r="A134" s="46" t="str">
        <f>SiteAttendu!$A358</f>
        <v>C5083</v>
      </c>
      <c r="B134" s="47" t="str">
        <f>VLOOKUP($A134,SiteAttendu!$A$2:$C$366,2,0)</f>
        <v> DISTRICT SANITAIRE DIANRA</v>
      </c>
      <c r="C134" s="75" t="str">
        <f>VLOOKUP($A134,SiteAttendu!$A$2:$C$366,3,0)</f>
        <v>BERE</v>
      </c>
      <c r="D134" s="49">
        <f>IF(VLOOKUP($A134,SiteAttendu!$A$2:$P$366,4,0)="NA","NA",COUNTIFS(soccode,A134,socprog,"PNLS/ANTIRETROVIRAUX ET IO",soctrans,"OUI"))</f>
        <v>1</v>
      </c>
      <c r="E134" s="49">
        <f>IF(VLOOKUP($A134,SiteAttendu!$A$2:$P$366,5,0)="NA","NA",COUNTIFS(soccode,A134,socprog,"PNLS/TESTS RAPIDES ET CONSOMMABLES",soctrans,"OUI"))</f>
        <v>1</v>
      </c>
      <c r="F134" s="49" t="str">
        <f>IF(VLOOKUP($A134,SiteAttendu!$A$2:$P$366,6,0)="NA","NA",COUNTIFS(soccode,A134,socprog,"PNLS/PRODUITS DE LABORATOIRE",soctrans,"OUI"))</f>
        <v>NA</v>
      </c>
      <c r="G134" s="49" t="str">
        <f>IF(VLOOKUP($A134,SiteAttendu!$A$2:$P$366,7,0)="NA","NA",COUNTIFS(soccode,A134,socprog,"PNLS/CHARGES VIRALES",soctrans,"OUI"))</f>
        <v>NA</v>
      </c>
      <c r="H134" s="49">
        <f>IF(VLOOKUP($A134,SiteAttendu!$A$2:$P$366,9,0)="NA","NA",COUNTIFS(soccode,A134,socprog,"PNLP/MEDICAMENTS ET INTRANTS",soctrans,"OUI"))</f>
        <v>1</v>
      </c>
      <c r="I134" s="49">
        <f>IF(VLOOKUP($A134,SiteAttendu!$A$2:$P$366,10,0)="NA","NA",COUNTIFS(soccode,$A134,socprog,"PNSME/MEDICAMENTS ET INTRANTS",soctrans,"OUI"))</f>
        <v>1</v>
      </c>
      <c r="J134" s="49">
        <f>IF(VLOOKUP($A134,SiteAttendu!$A$2:$P$366,11,0)="NA","NA",COUNTIFS(soccode,$A134,socprog,"PNN/MEDICAMENTS ET INTRANTS",soctrans,"OUI"))</f>
        <v>1</v>
      </c>
      <c r="K134" s="49" t="str">
        <f>IF(VLOOKUP($A134,SiteAttendu!$A$2:$O$366,15,0)="NA","NA",IF(COUNTIF(socprog,"PNLT/SENSIBLE MEDICAMENTS ET INTRANTS")=0,"NA",COUNTIFS(soccode,$A134,socprog,"PNLT/SENSIBLE MEDICAMENTS ET INTRANTS",soctrans,"OUI")))</f>
        <v>NA</v>
      </c>
      <c r="L134" s="76">
        <f t="shared" ref="L134:S134" si="136">IFERROR(SUMIFS(D$2:D$364,$C$2:$C$364,$C134)/COUNTIFS(D$2:D$364,"&lt;&gt;NA",$C$2:$C$364,$C134),"")</f>
        <v>0.8333333333</v>
      </c>
      <c r="M134" s="51">
        <f t="shared" si="136"/>
        <v>0.8333333333</v>
      </c>
      <c r="N134" s="51">
        <f t="shared" si="136"/>
        <v>0.75</v>
      </c>
      <c r="O134" s="51">
        <f t="shared" si="136"/>
        <v>1</v>
      </c>
      <c r="P134" s="51">
        <f t="shared" si="136"/>
        <v>1</v>
      </c>
      <c r="Q134" s="51">
        <f t="shared" si="136"/>
        <v>1</v>
      </c>
      <c r="R134" s="51">
        <f t="shared" si="136"/>
        <v>1</v>
      </c>
      <c r="S134" s="51">
        <f t="shared" si="136"/>
        <v>0.6666666667</v>
      </c>
      <c r="T134" s="51">
        <f t="shared" si="3"/>
        <v>0.8235294118</v>
      </c>
      <c r="U134" s="53">
        <f t="shared" si="4"/>
        <v>2</v>
      </c>
      <c r="V134" s="54">
        <f t="shared" si="5"/>
        <v>2</v>
      </c>
    </row>
    <row r="135" ht="15.75" customHeight="1">
      <c r="A135" s="55" t="str">
        <f>SiteAttendu!$A359</f>
        <v>C5091</v>
      </c>
      <c r="B135" s="56" t="str">
        <f>VLOOKUP($A135,SiteAttendu!$A$2:$C$366,2,0)</f>
        <v>HOPITAL GENERAL DIANRA</v>
      </c>
      <c r="C135" s="77" t="str">
        <f>VLOOKUP($A135,SiteAttendu!$A$2:$C$366,3,0)</f>
        <v>BERE</v>
      </c>
      <c r="D135" s="58">
        <f>IF(VLOOKUP($A135,SiteAttendu!$A$2:$P$366,4,0)="NA","NA",COUNTIFS(soccode,A135,socprog,"PNLS/ANTIRETROVIRAUX ET IO",soctrans,"OUI"))</f>
        <v>1</v>
      </c>
      <c r="E135" s="58">
        <f>IF(VLOOKUP($A135,SiteAttendu!$A$2:$P$366,5,0)="NA","NA",COUNTIFS(soccode,A135,socprog,"PNLS/TESTS RAPIDES ET CONSOMMABLES",soctrans,"OUI"))</f>
        <v>1</v>
      </c>
      <c r="F135" s="58">
        <f>IF(VLOOKUP($A135,SiteAttendu!$A$2:$P$366,6,0)="NA","NA",COUNTIFS(soccode,A135,socprog,"PNLS/PRODUITS DE LABORATOIRE",soctrans,"OUI"))</f>
        <v>1</v>
      </c>
      <c r="G135" s="58" t="str">
        <f>IF(VLOOKUP($A135,SiteAttendu!$A$2:$P$366,7,0)="NA","NA",COUNTIFS(soccode,A135,socprog,"PNLS/CHARGES VIRALES",soctrans,"OUI"))</f>
        <v>NA</v>
      </c>
      <c r="H135" s="58">
        <f>IF(VLOOKUP($A135,SiteAttendu!$A$2:$P$366,9,0)="NA","NA",COUNTIFS(soccode,A135,socprog,"PNLP/MEDICAMENTS ET INTRANTS",soctrans,"OUI"))</f>
        <v>1</v>
      </c>
      <c r="I135" s="58">
        <f>IF(VLOOKUP($A135,SiteAttendu!$A$2:$P$366,10,0)="NA","NA",COUNTIFS(soccode,$A135,socprog,"PNSME/MEDICAMENTS ET INTRANTS",soctrans,"OUI"))</f>
        <v>1</v>
      </c>
      <c r="J135" s="58">
        <f>IF(VLOOKUP($A135,SiteAttendu!$A$2:$P$366,11,0)="NA","NA",COUNTIFS(soccode,$A135,socprog,"PNN/MEDICAMENTS ET INTRANTS",soctrans,"OUI"))</f>
        <v>1</v>
      </c>
      <c r="K135" s="58">
        <f>IF(VLOOKUP($A135,SiteAttendu!$A$2:$O$366,15,0)="NA","NA",IF(COUNTIF(socprog,"PNLT/SENSIBLE MEDICAMENTS ET INTRANTS")=0,"NA",COUNTIFS(soccode,$A135,socprog,"PNLT/SENSIBLE MEDICAMENTS ET INTRANTS",soctrans,"OUI")))</f>
        <v>1</v>
      </c>
      <c r="L135" s="78"/>
      <c r="M135" s="60">
        <f t="shared" ref="M135:S135" si="137">IFERROR(SUMIFS(E$2:E$364,$C$2:$C$364,$C135)/COUNTIFS(E$2:E$364,"&lt;&gt;NA",$C$2:$C$364,$C135),"")</f>
        <v>0.8333333333</v>
      </c>
      <c r="N135" s="60">
        <f t="shared" si="137"/>
        <v>0.75</v>
      </c>
      <c r="O135" s="60">
        <f t="shared" si="137"/>
        <v>1</v>
      </c>
      <c r="P135" s="60">
        <f t="shared" si="137"/>
        <v>1</v>
      </c>
      <c r="Q135" s="60">
        <f t="shared" si="137"/>
        <v>1</v>
      </c>
      <c r="R135" s="60">
        <f t="shared" si="137"/>
        <v>1</v>
      </c>
      <c r="S135" s="60">
        <f t="shared" si="137"/>
        <v>0.6666666667</v>
      </c>
      <c r="T135" s="60">
        <f t="shared" si="3"/>
        <v>0.8235294118</v>
      </c>
      <c r="U135" s="53">
        <f t="shared" si="4"/>
        <v>3</v>
      </c>
      <c r="V135" s="54">
        <f t="shared" si="5"/>
        <v>3</v>
      </c>
    </row>
    <row r="136" ht="15.75" customHeight="1">
      <c r="A136" s="55" t="str">
        <f>SiteAttendu!$A134</f>
        <v>C5080</v>
      </c>
      <c r="B136" s="56" t="str">
        <f>VLOOKUP($A136,SiteAttendu!$A$2:$C$366,2,0)</f>
        <v>DISTRICT SANITAIRE KOUNAHIRI</v>
      </c>
      <c r="C136" s="77" t="str">
        <f>VLOOKUP($A136,SiteAttendu!$A$2:$C$366,3,0)</f>
        <v>BERE</v>
      </c>
      <c r="D136" s="58">
        <f>IF(VLOOKUP($A136,SiteAttendu!$A$2:$P$366,4,0)="NA","NA",COUNTIFS(soccode,A136,socprog,"PNLS/ANTIRETROVIRAUX ET IO",soctrans,"OUI"))</f>
        <v>1</v>
      </c>
      <c r="E136" s="58">
        <f>IF(VLOOKUP($A136,SiteAttendu!$A$2:$P$366,5,0)="NA","NA",COUNTIFS(soccode,A136,socprog,"PNLS/TESTS RAPIDES ET CONSOMMABLES",soctrans,"OUI"))</f>
        <v>1</v>
      </c>
      <c r="F136" s="58" t="str">
        <f>IF(VLOOKUP($A136,SiteAttendu!$A$2:$P$366,6,0)="NA","NA",COUNTIFS(soccode,A136,socprog,"PNLS/PRODUITS DE LABORATOIRE",soctrans,"OUI"))</f>
        <v>NA</v>
      </c>
      <c r="G136" s="58" t="str">
        <f>IF(VLOOKUP($A136,SiteAttendu!$A$2:$P$366,7,0)="NA","NA",COUNTIFS(soccode,A136,socprog,"PNLS/CHARGES VIRALES",soctrans,"OUI"))</f>
        <v>NA</v>
      </c>
      <c r="H136" s="58">
        <f>IF(VLOOKUP($A136,SiteAttendu!$A$2:$P$366,9,0)="NA","NA",COUNTIFS(soccode,A136,socprog,"PNLP/MEDICAMENTS ET INTRANTS",soctrans,"OUI"))</f>
        <v>1</v>
      </c>
      <c r="I136" s="58">
        <f>IF(VLOOKUP($A136,SiteAttendu!$A$2:$P$366,10,0)="NA","NA",COUNTIFS(soccode,$A136,socprog,"PNSME/MEDICAMENTS ET INTRANTS",soctrans,"OUI"))</f>
        <v>1</v>
      </c>
      <c r="J136" s="58">
        <f>IF(VLOOKUP($A136,SiteAttendu!$A$2:$P$366,11,0)="NA","NA",COUNTIFS(soccode,$A136,socprog,"PNN/MEDICAMENTS ET INTRANTS",soctrans,"OUI"))</f>
        <v>1</v>
      </c>
      <c r="K136" s="58" t="str">
        <f>IF(VLOOKUP($A136,SiteAttendu!$A$2:$O$366,15,0)="NA","NA",IF(COUNTIF(socprog,"PNLT/SENSIBLE MEDICAMENTS ET INTRANTS")=0,"NA",COUNTIFS(soccode,$A136,socprog,"PNLT/SENSIBLE MEDICAMENTS ET INTRANTS",soctrans,"OUI")))</f>
        <v>NA</v>
      </c>
      <c r="L136" s="78"/>
      <c r="M136" s="60">
        <f t="shared" ref="M136:S136" si="138">IFERROR(SUMIFS(E$2:E$364,$C$2:$C$364,$C136)/COUNTIFS(E$2:E$364,"&lt;&gt;NA",$C$2:$C$364,$C136),"")</f>
        <v>0.8333333333</v>
      </c>
      <c r="N136" s="60">
        <f t="shared" si="138"/>
        <v>0.75</v>
      </c>
      <c r="O136" s="60">
        <f t="shared" si="138"/>
        <v>1</v>
      </c>
      <c r="P136" s="60">
        <f t="shared" si="138"/>
        <v>1</v>
      </c>
      <c r="Q136" s="60">
        <f t="shared" si="138"/>
        <v>1</v>
      </c>
      <c r="R136" s="60">
        <f t="shared" si="138"/>
        <v>1</v>
      </c>
      <c r="S136" s="60">
        <f t="shared" si="138"/>
        <v>0.6666666667</v>
      </c>
      <c r="T136" s="60">
        <f t="shared" si="3"/>
        <v>0.8235294118</v>
      </c>
      <c r="U136" s="53">
        <f t="shared" si="4"/>
        <v>2</v>
      </c>
      <c r="V136" s="54">
        <f t="shared" si="5"/>
        <v>2</v>
      </c>
    </row>
    <row r="137" ht="16.5" customHeight="1">
      <c r="A137" s="55" t="str">
        <f>SiteAttendu!$A135</f>
        <v>C5084</v>
      </c>
      <c r="B137" s="56" t="str">
        <f>VLOOKUP($A137,SiteAttendu!$A$2:$C$366,2,0)</f>
        <v>HOPITAL GENERAL KOUNAHIRI</v>
      </c>
      <c r="C137" s="77" t="str">
        <f>VLOOKUP($A137,SiteAttendu!$A$2:$C$366,3,0)</f>
        <v>BERE</v>
      </c>
      <c r="D137" s="58">
        <f>IF(VLOOKUP($A137,SiteAttendu!$A$2:$P$366,4,0)="NA","NA",COUNTIFS(soccode,A137,socprog,"PNLS/ANTIRETROVIRAUX ET IO",soctrans,"OUI"))</f>
        <v>1</v>
      </c>
      <c r="E137" s="58">
        <f>IF(VLOOKUP($A137,SiteAttendu!$A$2:$P$366,5,0)="NA","NA",COUNTIFS(soccode,A137,socprog,"PNLS/TESTS RAPIDES ET CONSOMMABLES",soctrans,"OUI"))</f>
        <v>1</v>
      </c>
      <c r="F137" s="58">
        <f>IF(VLOOKUP($A137,SiteAttendu!$A$2:$P$366,6,0)="NA","NA",COUNTIFS(soccode,A137,socprog,"PNLS/PRODUITS DE LABORATOIRE",soctrans,"OUI"))</f>
        <v>1</v>
      </c>
      <c r="G137" s="58" t="str">
        <f>IF(VLOOKUP($A137,SiteAttendu!$A$2:$P$366,7,0)="NA","NA",COUNTIFS(soccode,A137,socprog,"PNLS/CHARGES VIRALES",soctrans,"OUI"))</f>
        <v>NA</v>
      </c>
      <c r="H137" s="58">
        <f>IF(VLOOKUP($A137,SiteAttendu!$A$2:$P$366,9,0)="NA","NA",COUNTIFS(soccode,A137,socprog,"PNLP/MEDICAMENTS ET INTRANTS",soctrans,"OUI"))</f>
        <v>1</v>
      </c>
      <c r="I137" s="58">
        <f>IF(VLOOKUP($A137,SiteAttendu!$A$2:$P$366,10,0)="NA","NA",COUNTIFS(soccode,$A137,socprog,"PNSME/MEDICAMENTS ET INTRANTS",soctrans,"OUI"))</f>
        <v>1</v>
      </c>
      <c r="J137" s="58">
        <f>IF(VLOOKUP($A137,SiteAttendu!$A$2:$P$366,11,0)="NA","NA",COUNTIFS(soccode,$A137,socprog,"PNN/MEDICAMENTS ET INTRANTS",soctrans,"OUI"))</f>
        <v>1</v>
      </c>
      <c r="K137" s="58">
        <f>IF(VLOOKUP($A137,SiteAttendu!$A$2:$O$366,15,0)="NA","NA",IF(COUNTIF(socprog,"PNLT/SENSIBLE MEDICAMENTS ET INTRANTS")=0,"NA",COUNTIFS(soccode,$A137,socprog,"PNLT/SENSIBLE MEDICAMENTS ET INTRANTS",soctrans,"OUI")))</f>
        <v>1</v>
      </c>
      <c r="L137" s="78"/>
      <c r="M137" s="60">
        <f t="shared" ref="M137:S137" si="139">IFERROR(SUMIFS(E$2:E$364,$C$2:$C$364,$C137)/COUNTIFS(E$2:E$364,"&lt;&gt;NA",$C$2:$C$364,$C137),"")</f>
        <v>0.8333333333</v>
      </c>
      <c r="N137" s="60">
        <f t="shared" si="139"/>
        <v>0.75</v>
      </c>
      <c r="O137" s="60">
        <f t="shared" si="139"/>
        <v>1</v>
      </c>
      <c r="P137" s="60">
        <f t="shared" si="139"/>
        <v>1</v>
      </c>
      <c r="Q137" s="60">
        <f t="shared" si="139"/>
        <v>1</v>
      </c>
      <c r="R137" s="60">
        <f t="shared" si="139"/>
        <v>1</v>
      </c>
      <c r="S137" s="60">
        <f t="shared" si="139"/>
        <v>0.6666666667</v>
      </c>
      <c r="T137" s="60">
        <f t="shared" si="3"/>
        <v>0.8235294118</v>
      </c>
      <c r="U137" s="53">
        <f t="shared" si="4"/>
        <v>3</v>
      </c>
      <c r="V137" s="54">
        <f t="shared" si="5"/>
        <v>3</v>
      </c>
    </row>
    <row r="138" ht="15.75" customHeight="1">
      <c r="A138" s="55" t="str">
        <f>SiteAttendu!$A136</f>
        <v>C3007</v>
      </c>
      <c r="B138" s="56" t="str">
        <f>VLOOKUP($A138,SiteAttendu!$A$2:$C$366,2,0)</f>
        <v>DISTRICT SANITAIRE MANKONO</v>
      </c>
      <c r="C138" s="77" t="str">
        <f>VLOOKUP($A138,SiteAttendu!$A$2:$C$366,3,0)</f>
        <v>BERE</v>
      </c>
      <c r="D138" s="58">
        <f>IF(VLOOKUP($A138,SiteAttendu!$A$2:$P$366,4,0)="NA","NA",COUNTIFS(soccode,A138,socprog,"PNLS/ANTIRETROVIRAUX ET IO",soctrans,"OUI"))</f>
        <v>0</v>
      </c>
      <c r="E138" s="58">
        <f>IF(VLOOKUP($A138,SiteAttendu!$A$2:$P$366,5,0)="NA","NA",COUNTIFS(soccode,A138,socprog,"PNLS/TESTS RAPIDES ET CONSOMMABLES",soctrans,"OUI"))</f>
        <v>0</v>
      </c>
      <c r="F138" s="58">
        <f>IF(VLOOKUP($A138,SiteAttendu!$A$2:$P$366,6,0)="NA","NA",COUNTIFS(soccode,A138,socprog,"PNLS/PRODUITS DE LABORATOIRE",soctrans,"OUI"))</f>
        <v>0</v>
      </c>
      <c r="G138" s="58" t="str">
        <f>IF(VLOOKUP($A138,SiteAttendu!$A$2:$P$366,7,0)="NA","NA",COUNTIFS(soccode,A138,socprog,"PNLS/CHARGES VIRALES",soctrans,"OUI"))</f>
        <v>NA</v>
      </c>
      <c r="H138" s="58">
        <f>IF(VLOOKUP($A138,SiteAttendu!$A$2:$P$366,9,0)="NA","NA",COUNTIFS(soccode,A138,socprog,"PNLP/MEDICAMENTS ET INTRANTS",soctrans,"OUI"))</f>
        <v>1</v>
      </c>
      <c r="I138" s="58">
        <f>IF(VLOOKUP($A138,SiteAttendu!$A$2:$P$366,10,0)="NA","NA",COUNTIFS(soccode,$A138,socprog,"PNSME/MEDICAMENTS ET INTRANTS",soctrans,"OUI"))</f>
        <v>1</v>
      </c>
      <c r="J138" s="58">
        <f>IF(VLOOKUP($A138,SiteAttendu!$A$2:$P$366,11,0)="NA","NA",COUNTIFS(soccode,$A138,socprog,"PNN/MEDICAMENTS ET INTRANTS",soctrans,"OUI"))</f>
        <v>1</v>
      </c>
      <c r="K138" s="58" t="str">
        <f>IF(VLOOKUP($A138,SiteAttendu!$A$2:$O$366,15,0)="NA","NA",IF(COUNTIF(socprog,"PNLT/SENSIBLE MEDICAMENTS ET INTRANTS")=0,"NA",COUNTIFS(soccode,$A138,socprog,"PNLT/SENSIBLE MEDICAMENTS ET INTRANTS",soctrans,"OUI")))</f>
        <v>NA</v>
      </c>
      <c r="L138" s="78"/>
      <c r="M138" s="60">
        <f t="shared" ref="M138:S138" si="140">IFERROR(SUMIFS(E$2:E$364,$C$2:$C$364,$C138)/COUNTIFS(E$2:E$364,"&lt;&gt;NA",$C$2:$C$364,$C138),"")</f>
        <v>0.8333333333</v>
      </c>
      <c r="N138" s="60">
        <f t="shared" si="140"/>
        <v>0.75</v>
      </c>
      <c r="O138" s="60">
        <f t="shared" si="140"/>
        <v>1</v>
      </c>
      <c r="P138" s="60">
        <f t="shared" si="140"/>
        <v>1</v>
      </c>
      <c r="Q138" s="60">
        <f t="shared" si="140"/>
        <v>1</v>
      </c>
      <c r="R138" s="60">
        <f t="shared" si="140"/>
        <v>1</v>
      </c>
      <c r="S138" s="60">
        <f t="shared" si="140"/>
        <v>0.6666666667</v>
      </c>
      <c r="T138" s="60">
        <f t="shared" si="3"/>
        <v>0.8235294118</v>
      </c>
      <c r="U138" s="53">
        <f t="shared" si="4"/>
        <v>0</v>
      </c>
      <c r="V138" s="54">
        <f t="shared" si="5"/>
        <v>3</v>
      </c>
    </row>
    <row r="139" ht="15.75" customHeight="1">
      <c r="A139" s="62" t="str">
        <f>SiteAttendu!$A137</f>
        <v>C3017</v>
      </c>
      <c r="B139" s="63" t="str">
        <f>VLOOKUP($A139,SiteAttendu!$A$2:$C$366,2,0)</f>
        <v>HOPITAL GENERAL MANKONO</v>
      </c>
      <c r="C139" s="79" t="str">
        <f>VLOOKUP($A139,SiteAttendu!$A$2:$C$366,3,0)</f>
        <v>BERE</v>
      </c>
      <c r="D139" s="65">
        <f>IF(VLOOKUP($A139,SiteAttendu!$A$2:$P$366,4,0)="NA","NA",COUNTIFS(soccode,A139,socprog,"PNLS/ANTIRETROVIRAUX ET IO",soctrans,"OUI"))</f>
        <v>1</v>
      </c>
      <c r="E139" s="65">
        <f>IF(VLOOKUP($A139,SiteAttendu!$A$2:$P$366,5,0)="NA","NA",COUNTIFS(soccode,A139,socprog,"PNLS/TESTS RAPIDES ET CONSOMMABLES",soctrans,"OUI"))</f>
        <v>1</v>
      </c>
      <c r="F139" s="65">
        <f>IF(VLOOKUP($A139,SiteAttendu!$A$2:$P$366,6,0)="NA","NA",COUNTIFS(soccode,A139,socprog,"PNLS/PRODUITS DE LABORATOIRE",soctrans,"OUI"))</f>
        <v>1</v>
      </c>
      <c r="G139" s="65">
        <f>IF(VLOOKUP($A139,SiteAttendu!$A$2:$P$366,7,0)="NA","NA",COUNTIFS(soccode,A139,socprog,"PNLS/CHARGES VIRALES",soctrans,"OUI"))</f>
        <v>1</v>
      </c>
      <c r="H139" s="65">
        <f>IF(VLOOKUP($A139,SiteAttendu!$A$2:$P$366,9,0)="NA","NA",COUNTIFS(soccode,A139,socprog,"PNLP/MEDICAMENTS ET INTRANTS",soctrans,"OUI"))</f>
        <v>1</v>
      </c>
      <c r="I139" s="65">
        <f>IF(VLOOKUP($A139,SiteAttendu!$A$2:$P$366,10,0)="NA","NA",COUNTIFS(soccode,$A139,socprog,"PNSME/MEDICAMENTS ET INTRANTS",soctrans,"OUI"))</f>
        <v>1</v>
      </c>
      <c r="J139" s="65">
        <f>IF(VLOOKUP($A139,SiteAttendu!$A$2:$P$366,11,0)="NA","NA",COUNTIFS(soccode,$A139,socprog,"PNN/MEDICAMENTS ET INTRANTS",soctrans,"OUI"))</f>
        <v>1</v>
      </c>
      <c r="K139" s="65">
        <f>IF(VLOOKUP($A139,SiteAttendu!$A$2:$O$366,15,0)="NA","NA",IF(COUNTIF(socprog,"PNLT/SENSIBLE MEDICAMENTS ET INTRANTS")=0,"NA",COUNTIFS(soccode,$A139,socprog,"PNLT/SENSIBLE MEDICAMENTS ET INTRANTS",soctrans,"OUI")))</f>
        <v>0</v>
      </c>
      <c r="L139" s="80"/>
      <c r="M139" s="67">
        <f t="shared" ref="M139:S139" si="141">IFERROR(SUMIFS(E$2:E$364,$C$2:$C$364,$C139)/COUNTIFS(E$2:E$364,"&lt;&gt;NA",$C$2:$C$364,$C139),"")</f>
        <v>0.8333333333</v>
      </c>
      <c r="N139" s="67">
        <f t="shared" si="141"/>
        <v>0.75</v>
      </c>
      <c r="O139" s="67">
        <f t="shared" si="141"/>
        <v>1</v>
      </c>
      <c r="P139" s="67">
        <f t="shared" si="141"/>
        <v>1</v>
      </c>
      <c r="Q139" s="67">
        <f t="shared" si="141"/>
        <v>1</v>
      </c>
      <c r="R139" s="67">
        <f t="shared" si="141"/>
        <v>1</v>
      </c>
      <c r="S139" s="67">
        <f t="shared" si="141"/>
        <v>0.6666666667</v>
      </c>
      <c r="T139" s="67">
        <f t="shared" si="3"/>
        <v>0.8235294118</v>
      </c>
      <c r="U139" s="53">
        <f t="shared" si="4"/>
        <v>4</v>
      </c>
      <c r="V139" s="54">
        <f t="shared" si="5"/>
        <v>4</v>
      </c>
    </row>
    <row r="140" ht="15.75" customHeight="1">
      <c r="A140" s="81" t="str">
        <f>SiteAttendu!$A138</f>
        <v>C4010</v>
      </c>
      <c r="B140" s="82" t="str">
        <f>VLOOKUP($A140,SiteAttendu!$A$2:$C$366,2,0)</f>
        <v>DISTRICT SANITAIRE BOUNA</v>
      </c>
      <c r="C140" s="83" t="str">
        <f>VLOOKUP($A140,SiteAttendu!$A$2:$C$366,3,0)</f>
        <v>BOUNKANI</v>
      </c>
      <c r="D140" s="84">
        <f>IF(VLOOKUP($A140,SiteAttendu!$A$2:$P$366,4,0)="NA","NA",COUNTIFS(soccode,A140,socprog,"PNLS/ANTIRETROVIRAUX ET IO",soctrans,"OUI"))</f>
        <v>1</v>
      </c>
      <c r="E140" s="84">
        <f>IF(VLOOKUP($A140,SiteAttendu!$A$2:$P$366,5,0)="NA","NA",COUNTIFS(soccode,A140,socprog,"PNLS/TESTS RAPIDES ET CONSOMMABLES",soctrans,"OUI"))</f>
        <v>1</v>
      </c>
      <c r="F140" s="84">
        <f>IF(VLOOKUP($A140,SiteAttendu!$A$2:$P$366,6,0)="NA","NA",COUNTIFS(soccode,A140,socprog,"PNLS/PRODUITS DE LABORATOIRE",soctrans,"OUI"))</f>
        <v>1</v>
      </c>
      <c r="G140" s="84" t="str">
        <f>IF(VLOOKUP($A140,SiteAttendu!$A$2:$P$366,7,0)="NA","NA",COUNTIFS(soccode,A140,socprog,"PNLS/CHARGES VIRALES",soctrans,"OUI"))</f>
        <v>NA</v>
      </c>
      <c r="H140" s="84">
        <f>IF(VLOOKUP($A140,SiteAttendu!$A$2:$P$366,9,0)="NA","NA",COUNTIFS(soccode,A140,socprog,"PNLP/MEDICAMENTS ET INTRANTS",soctrans,"OUI"))</f>
        <v>1</v>
      </c>
      <c r="I140" s="84">
        <f>IF(VLOOKUP($A140,SiteAttendu!$A$2:$P$366,10,0)="NA","NA",COUNTIFS(soccode,$A140,socprog,"PNSME/MEDICAMENTS ET INTRANTS",soctrans,"OUI"))</f>
        <v>0</v>
      </c>
      <c r="J140" s="84">
        <f>IF(VLOOKUP($A140,SiteAttendu!$A$2:$P$366,11,0)="NA","NA",COUNTIFS(soccode,$A140,socprog,"PNN/MEDICAMENTS ET INTRANTS",soctrans,"OUI"))</f>
        <v>0</v>
      </c>
      <c r="K140" s="84">
        <f>IF(VLOOKUP($A140,SiteAttendu!$A$2:$O$366,15,0)="NA","NA",IF(COUNTIF(socprog,"PNLT/SENSIBLE MEDICAMENTS ET INTRANTS")=0,"NA",COUNTIFS(soccode,$A140,socprog,"PNLT/SENSIBLE MEDICAMENTS ET INTRANTS",soctrans,"OUI")))</f>
        <v>0</v>
      </c>
      <c r="L140" s="78">
        <f t="shared" ref="L140:S140" si="142">IFERROR(SUMIFS(D$2:D$364,$C$2:$C$364,$C140)/COUNTIFS(D$2:D$364,"&lt;&gt;NA",$C$2:$C$364,$C140),"")</f>
        <v>1</v>
      </c>
      <c r="M140" s="85">
        <f t="shared" si="142"/>
        <v>1</v>
      </c>
      <c r="N140" s="85">
        <f t="shared" si="142"/>
        <v>1</v>
      </c>
      <c r="O140" s="85" t="str">
        <f t="shared" si="142"/>
        <v/>
      </c>
      <c r="P140" s="85">
        <f t="shared" si="142"/>
        <v>1</v>
      </c>
      <c r="Q140" s="85">
        <f t="shared" si="142"/>
        <v>0.875</v>
      </c>
      <c r="R140" s="85">
        <f t="shared" si="142"/>
        <v>0.8571428571</v>
      </c>
      <c r="S140" s="85">
        <f t="shared" si="142"/>
        <v>0</v>
      </c>
      <c r="T140" s="85">
        <f t="shared" si="3"/>
        <v>1</v>
      </c>
      <c r="U140" s="53">
        <f t="shared" si="4"/>
        <v>3</v>
      </c>
      <c r="V140" s="54">
        <f t="shared" si="5"/>
        <v>3</v>
      </c>
    </row>
    <row r="141" ht="15.75" customHeight="1">
      <c r="A141" s="55" t="str">
        <f>SiteAttendu!$A139</f>
        <v>C4018</v>
      </c>
      <c r="B141" s="56" t="str">
        <f>VLOOKUP($A141,SiteAttendu!$A$2:$C$366,2,0)</f>
        <v>HOPITAL GENERAL BOUNA</v>
      </c>
      <c r="C141" s="77" t="str">
        <f>VLOOKUP($A141,SiteAttendu!$A$2:$C$366,3,0)</f>
        <v>BOUNKANI</v>
      </c>
      <c r="D141" s="58">
        <f>IF(VLOOKUP($A141,SiteAttendu!$A$2:$P$366,4,0)="NA","NA",COUNTIFS(soccode,A141,socprog,"PNLS/ANTIRETROVIRAUX ET IO",soctrans,"OUI"))</f>
        <v>1</v>
      </c>
      <c r="E141" s="58">
        <f>IF(VLOOKUP($A141,SiteAttendu!$A$2:$P$366,5,0)="NA","NA",COUNTIFS(soccode,A141,socprog,"PNLS/TESTS RAPIDES ET CONSOMMABLES",soctrans,"OUI"))</f>
        <v>1</v>
      </c>
      <c r="F141" s="58">
        <f>IF(VLOOKUP($A141,SiteAttendu!$A$2:$P$366,6,0)="NA","NA",COUNTIFS(soccode,A141,socprog,"PNLS/PRODUITS DE LABORATOIRE",soctrans,"OUI"))</f>
        <v>1</v>
      </c>
      <c r="G141" s="58" t="str">
        <f>IF(VLOOKUP($A141,SiteAttendu!$A$2:$P$366,7,0)="NA","NA",COUNTIFS(soccode,A141,socprog,"PNLS/CHARGES VIRALES",soctrans,"OUI"))</f>
        <v>NA</v>
      </c>
      <c r="H141" s="58">
        <f>IF(VLOOKUP($A141,SiteAttendu!$A$2:$P$366,9,0)="NA","NA",COUNTIFS(soccode,A141,socprog,"PNLP/MEDICAMENTS ET INTRANTS",soctrans,"OUI"))</f>
        <v>1</v>
      </c>
      <c r="I141" s="58">
        <f>IF(VLOOKUP($A141,SiteAttendu!$A$2:$P$366,10,0)="NA","NA",COUNTIFS(soccode,$A141,socprog,"PNSME/MEDICAMENTS ET INTRANTS",soctrans,"OUI"))</f>
        <v>1</v>
      </c>
      <c r="J141" s="58">
        <f>IF(VLOOKUP($A141,SiteAttendu!$A$2:$P$366,11,0)="NA","NA",COUNTIFS(soccode,$A141,socprog,"PNN/MEDICAMENTS ET INTRANTS",soctrans,"OUI"))</f>
        <v>1</v>
      </c>
      <c r="K141" s="58">
        <f>IF(VLOOKUP($A141,SiteAttendu!$A$2:$O$366,15,0)="NA","NA",IF(COUNTIF(socprog,"PNLT/SENSIBLE MEDICAMENTS ET INTRANTS")=0,"NA",COUNTIFS(soccode,$A141,socprog,"PNLT/SENSIBLE MEDICAMENTS ET INTRANTS",soctrans,"OUI")))</f>
        <v>0</v>
      </c>
      <c r="L141" s="78"/>
      <c r="M141" s="85"/>
      <c r="N141" s="85">
        <f t="shared" ref="N141:S141" si="143">IFERROR(SUMIFS(F$2:F$364,$C$2:$C$364,$C141)/COUNTIFS(F$2:F$364,"&lt;&gt;NA",$C$2:$C$364,$C141),"")</f>
        <v>1</v>
      </c>
      <c r="O141" s="85" t="str">
        <f t="shared" si="143"/>
        <v/>
      </c>
      <c r="P141" s="85">
        <f t="shared" si="143"/>
        <v>1</v>
      </c>
      <c r="Q141" s="85">
        <f t="shared" si="143"/>
        <v>0.875</v>
      </c>
      <c r="R141" s="85">
        <f t="shared" si="143"/>
        <v>0.8571428571</v>
      </c>
      <c r="S141" s="85">
        <f t="shared" si="143"/>
        <v>0</v>
      </c>
      <c r="T141" s="85">
        <f t="shared" si="3"/>
        <v>1</v>
      </c>
      <c r="U141" s="53">
        <f t="shared" si="4"/>
        <v>3</v>
      </c>
      <c r="V141" s="54">
        <f t="shared" si="5"/>
        <v>3</v>
      </c>
    </row>
    <row r="142" ht="15.75" customHeight="1">
      <c r="A142" s="55" t="str">
        <f>SiteAttendu!$A140</f>
        <v>C4094</v>
      </c>
      <c r="B142" s="56" t="str">
        <f>VLOOKUP($A142,SiteAttendu!$A$2:$C$366,2,0)</f>
        <v>CENTRE ANTITUBERCULEUX BOUNA</v>
      </c>
      <c r="C142" s="77" t="str">
        <f>VLOOKUP($A142,SiteAttendu!$A$2:$C$366,3,0)</f>
        <v>BOUNKANI</v>
      </c>
      <c r="D142" s="58" t="str">
        <f>IF(VLOOKUP($A142,SiteAttendu!$A$2:$P$366,4,0)="NA","NA",COUNTIFS(soccode,A142,socprog,"PNLS/ANTIRETROVIRAUX ET IO",soctrans,"OUI"))</f>
        <v>NA</v>
      </c>
      <c r="E142" s="58" t="str">
        <f>IF(VLOOKUP($A142,SiteAttendu!$A$2:$P$366,5,0)="NA","NA",COUNTIFS(soccode,A142,socprog,"PNLS/TESTS RAPIDES ET CONSOMMABLES",soctrans,"OUI"))</f>
        <v>NA</v>
      </c>
      <c r="F142" s="58" t="str">
        <f>IF(VLOOKUP($A142,SiteAttendu!$A$2:$P$366,6,0)="NA","NA",COUNTIFS(soccode,A142,socprog,"PNLS/PRODUITS DE LABORATOIRE",soctrans,"OUI"))</f>
        <v>NA</v>
      </c>
      <c r="G142" s="58" t="str">
        <f>IF(VLOOKUP($A142,SiteAttendu!$A$2:$P$366,7,0)="NA","NA",COUNTIFS(soccode,A142,socprog,"PNLS/CHARGES VIRALES",soctrans,"OUI"))</f>
        <v>NA</v>
      </c>
      <c r="H142" s="58" t="str">
        <f>IF(VLOOKUP($A142,SiteAttendu!$A$2:$P$366,9,0)="NA","NA",COUNTIFS(soccode,A142,socprog,"PNLP/MEDICAMENTS ET INTRANTS",soctrans,"OUI"))</f>
        <v>NA</v>
      </c>
      <c r="I142" s="58" t="str">
        <f>IF(VLOOKUP($A142,SiteAttendu!$A$2:$P$366,10,0)="NA","NA",COUNTIFS(soccode,$A142,socprog,"PNSME/MEDICAMENTS ET INTRANTS",soctrans,"OUI"))</f>
        <v>NA</v>
      </c>
      <c r="J142" s="58" t="str">
        <f>IF(VLOOKUP($A142,SiteAttendu!$A$2:$P$366,11,0)="NA","NA",COUNTIFS(soccode,$A142,socprog,"PNN/MEDICAMENTS ET INTRANTS",soctrans,"OUI"))</f>
        <v>NA</v>
      </c>
      <c r="K142" s="58" t="str">
        <f>IF(VLOOKUP($A142,SiteAttendu!$A$2:$O$366,15,0)="NA","NA",IF(COUNTIF(socprog,"PNLT/SENSIBLE MEDICAMENTS ET INTRANTS")=0,"NA",COUNTIFS(soccode,$A142,socprog,"PNLT/SENSIBLE MEDICAMENTS ET INTRANTS",soctrans,"OUI")))</f>
        <v>NA</v>
      </c>
      <c r="L142" s="78"/>
      <c r="M142" s="85"/>
      <c r="N142" s="85">
        <f t="shared" ref="N142:S142" si="144">IFERROR(SUMIFS(F$2:F$364,$C$2:$C$364,$C142)/COUNTIFS(F$2:F$364,"&lt;&gt;NA",$C$2:$C$364,$C142),"")</f>
        <v>1</v>
      </c>
      <c r="O142" s="85" t="str">
        <f t="shared" si="144"/>
        <v/>
      </c>
      <c r="P142" s="85">
        <f t="shared" si="144"/>
        <v>1</v>
      </c>
      <c r="Q142" s="85">
        <f t="shared" si="144"/>
        <v>0.875</v>
      </c>
      <c r="R142" s="85">
        <f t="shared" si="144"/>
        <v>0.8571428571</v>
      </c>
      <c r="S142" s="85">
        <f t="shared" si="144"/>
        <v>0</v>
      </c>
      <c r="T142" s="85">
        <f t="shared" si="3"/>
        <v>1</v>
      </c>
      <c r="U142" s="53">
        <f t="shared" si="4"/>
        <v>0</v>
      </c>
      <c r="V142" s="54">
        <f t="shared" si="5"/>
        <v>0</v>
      </c>
    </row>
    <row r="143" ht="15.75" customHeight="1">
      <c r="A143" s="55" t="str">
        <f>SiteAttendu!$A141</f>
        <v>C4082</v>
      </c>
      <c r="B143" s="56" t="str">
        <f>VLOOKUP($A143,SiteAttendu!$A$2:$C$366,2,0)</f>
        <v>DISTRICT SANITAIRE DOROPO</v>
      </c>
      <c r="C143" s="77" t="str">
        <f>VLOOKUP($A143,SiteAttendu!$A$2:$C$366,3,0)</f>
        <v>BOUNKANI</v>
      </c>
      <c r="D143" s="58">
        <f>IF(VLOOKUP($A143,SiteAttendu!$A$2:$P$366,4,0)="NA","NA",COUNTIFS(soccode,A143,socprog,"PNLS/ANTIRETROVIRAUX ET IO",soctrans,"OUI"))</f>
        <v>1</v>
      </c>
      <c r="E143" s="58">
        <f>IF(VLOOKUP($A143,SiteAttendu!$A$2:$P$366,5,0)="NA","NA",COUNTIFS(soccode,A143,socprog,"PNLS/TESTS RAPIDES ET CONSOMMABLES",soctrans,"OUI"))</f>
        <v>1</v>
      </c>
      <c r="F143" s="58" t="str">
        <f>IF(VLOOKUP($A143,SiteAttendu!$A$2:$P$366,6,0)="NA","NA",COUNTIFS(soccode,A143,socprog,"PNLS/PRODUITS DE LABORATOIRE",soctrans,"OUI"))</f>
        <v>NA</v>
      </c>
      <c r="G143" s="58" t="str">
        <f>IF(VLOOKUP($A143,SiteAttendu!$A$2:$P$366,7,0)="NA","NA",COUNTIFS(soccode,A143,socprog,"PNLS/CHARGES VIRALES",soctrans,"OUI"))</f>
        <v>NA</v>
      </c>
      <c r="H143" s="58">
        <f>IF(VLOOKUP($A143,SiteAttendu!$A$2:$P$366,9,0)="NA","NA",COUNTIFS(soccode,A143,socprog,"PNLP/MEDICAMENTS ET INTRANTS",soctrans,"OUI"))</f>
        <v>1</v>
      </c>
      <c r="I143" s="58">
        <f>IF(VLOOKUP($A143,SiteAttendu!$A$2:$P$366,10,0)="NA","NA",COUNTIFS(soccode,$A143,socprog,"PNSME/MEDICAMENTS ET INTRANTS",soctrans,"OUI"))</f>
        <v>1</v>
      </c>
      <c r="J143" s="58">
        <f>IF(VLOOKUP($A143,SiteAttendu!$A$2:$P$366,11,0)="NA","NA",COUNTIFS(soccode,$A143,socprog,"PNN/MEDICAMENTS ET INTRANTS",soctrans,"OUI"))</f>
        <v>1</v>
      </c>
      <c r="K143" s="58">
        <f>IF(VLOOKUP($A143,SiteAttendu!$A$2:$O$366,15,0)="NA","NA",IF(COUNTIF(socprog,"PNLT/SENSIBLE MEDICAMENTS ET INTRANTS")=0,"NA",COUNTIFS(soccode,$A143,socprog,"PNLT/SENSIBLE MEDICAMENTS ET INTRANTS",soctrans,"OUI")))</f>
        <v>0</v>
      </c>
      <c r="L143" s="78"/>
      <c r="M143" s="85"/>
      <c r="N143" s="85">
        <f t="shared" ref="N143:S143" si="145">IFERROR(SUMIFS(F$2:F$364,$C$2:$C$364,$C143)/COUNTIFS(F$2:F$364,"&lt;&gt;NA",$C$2:$C$364,$C143),"")</f>
        <v>1</v>
      </c>
      <c r="O143" s="85" t="str">
        <f t="shared" si="145"/>
        <v/>
      </c>
      <c r="P143" s="85">
        <f t="shared" si="145"/>
        <v>1</v>
      </c>
      <c r="Q143" s="85">
        <f t="shared" si="145"/>
        <v>0.875</v>
      </c>
      <c r="R143" s="85">
        <f t="shared" si="145"/>
        <v>0.8571428571</v>
      </c>
      <c r="S143" s="85">
        <f t="shared" si="145"/>
        <v>0</v>
      </c>
      <c r="T143" s="85">
        <f t="shared" si="3"/>
        <v>1</v>
      </c>
      <c r="U143" s="53">
        <f t="shared" si="4"/>
        <v>2</v>
      </c>
      <c r="V143" s="54">
        <f t="shared" si="5"/>
        <v>2</v>
      </c>
    </row>
    <row r="144" ht="15.75" customHeight="1">
      <c r="A144" s="55" t="str">
        <f>SiteAttendu!$A142</f>
        <v>C4086</v>
      </c>
      <c r="B144" s="56" t="str">
        <f>VLOOKUP($A144,SiteAttendu!$A$2:$C$366,2,0)</f>
        <v>HOPITAL GENERAL DOROPO</v>
      </c>
      <c r="C144" s="77" t="str">
        <f>VLOOKUP($A144,SiteAttendu!$A$2:$C$366,3,0)</f>
        <v>BOUNKANI</v>
      </c>
      <c r="D144" s="58">
        <f>IF(VLOOKUP($A144,SiteAttendu!$A$2:$P$366,4,0)="NA","NA",COUNTIFS(soccode,A144,socprog,"PNLS/ANTIRETROVIRAUX ET IO",soctrans,"OUI"))</f>
        <v>1</v>
      </c>
      <c r="E144" s="58">
        <f>IF(VLOOKUP($A144,SiteAttendu!$A$2:$P$366,5,0)="NA","NA",COUNTIFS(soccode,A144,socprog,"PNLS/TESTS RAPIDES ET CONSOMMABLES",soctrans,"OUI"))</f>
        <v>1</v>
      </c>
      <c r="F144" s="58" t="str">
        <f>IF(VLOOKUP($A144,SiteAttendu!$A$2:$P$366,6,0)="NA","NA",COUNTIFS(soccode,A144,socprog,"PNLS/PRODUITS DE LABORATOIRE",soctrans,"OUI"))</f>
        <v>NA</v>
      </c>
      <c r="G144" s="58" t="str">
        <f>IF(VLOOKUP($A144,SiteAttendu!$A$2:$P$366,7,0)="NA","NA",COUNTIFS(soccode,A144,socprog,"PNLS/CHARGES VIRALES",soctrans,"OUI"))</f>
        <v>NA</v>
      </c>
      <c r="H144" s="58">
        <f>IF(VLOOKUP($A144,SiteAttendu!$A$2:$P$366,9,0)="NA","NA",COUNTIFS(soccode,A144,socprog,"PNLP/MEDICAMENTS ET INTRANTS",soctrans,"OUI"))</f>
        <v>1</v>
      </c>
      <c r="I144" s="58">
        <f>IF(VLOOKUP($A144,SiteAttendu!$A$2:$P$366,10,0)="NA","NA",COUNTIFS(soccode,$A144,socprog,"PNSME/MEDICAMENTS ET INTRANTS",soctrans,"OUI"))</f>
        <v>1</v>
      </c>
      <c r="J144" s="58">
        <f>IF(VLOOKUP($A144,SiteAttendu!$A$2:$P$366,11,0)="NA","NA",COUNTIFS(soccode,$A144,socprog,"PNN/MEDICAMENTS ET INTRANTS",soctrans,"OUI"))</f>
        <v>1</v>
      </c>
      <c r="K144" s="58" t="str">
        <f>IF(VLOOKUP($A144,SiteAttendu!$A$2:$O$366,15,0)="NA","NA",IF(COUNTIF(socprog,"PNLT/SENSIBLE MEDICAMENTS ET INTRANTS")=0,"NA",COUNTIFS(soccode,$A144,socprog,"PNLT/SENSIBLE MEDICAMENTS ET INTRANTS",soctrans,"OUI")))</f>
        <v>NA</v>
      </c>
      <c r="L144" s="78"/>
      <c r="M144" s="85"/>
      <c r="N144" s="85">
        <f t="shared" ref="N144:S144" si="146">IFERROR(SUMIFS(F$2:F$364,$C$2:$C$364,$C144)/COUNTIFS(F$2:F$364,"&lt;&gt;NA",$C$2:$C$364,$C144),"")</f>
        <v>1</v>
      </c>
      <c r="O144" s="85" t="str">
        <f t="shared" si="146"/>
        <v/>
      </c>
      <c r="P144" s="85">
        <f t="shared" si="146"/>
        <v>1</v>
      </c>
      <c r="Q144" s="85">
        <f t="shared" si="146"/>
        <v>0.875</v>
      </c>
      <c r="R144" s="85">
        <f t="shared" si="146"/>
        <v>0.8571428571</v>
      </c>
      <c r="S144" s="85">
        <f t="shared" si="146"/>
        <v>0</v>
      </c>
      <c r="T144" s="85">
        <f t="shared" si="3"/>
        <v>1</v>
      </c>
      <c r="U144" s="53">
        <f t="shared" si="4"/>
        <v>2</v>
      </c>
      <c r="V144" s="54">
        <f t="shared" si="5"/>
        <v>2</v>
      </c>
    </row>
    <row r="145" ht="15.75" customHeight="1">
      <c r="A145" s="55" t="str">
        <f>SiteAttendu!$A143</f>
        <v>C4003</v>
      </c>
      <c r="B145" s="56" t="str">
        <f>VLOOKUP($A145,SiteAttendu!$A$2:$C$366,2,0)</f>
        <v>HOPITAL GENERAL NASSIAN</v>
      </c>
      <c r="C145" s="77" t="str">
        <f>VLOOKUP($A145,SiteAttendu!$A$2:$C$366,3,0)</f>
        <v>BOUNKANI</v>
      </c>
      <c r="D145" s="58">
        <f>IF(VLOOKUP($A145,SiteAttendu!$A$2:$P$366,4,0)="NA","NA",COUNTIFS(soccode,A145,socprog,"PNLS/ANTIRETROVIRAUX ET IO",soctrans,"OUI"))</f>
        <v>1</v>
      </c>
      <c r="E145" s="58">
        <f>IF(VLOOKUP($A145,SiteAttendu!$A$2:$P$366,5,0)="NA","NA",COUNTIFS(soccode,A145,socprog,"PNLS/TESTS RAPIDES ET CONSOMMABLES",soctrans,"OUI"))</f>
        <v>1</v>
      </c>
      <c r="F145" s="58">
        <f>IF(VLOOKUP($A145,SiteAttendu!$A$2:$P$366,6,0)="NA","NA",COUNTIFS(soccode,A145,socprog,"PNLS/PRODUITS DE LABORATOIRE",soctrans,"OUI"))</f>
        <v>1</v>
      </c>
      <c r="G145" s="58" t="str">
        <f>IF(VLOOKUP($A145,SiteAttendu!$A$2:$P$366,7,0)="NA","NA",COUNTIFS(soccode,A145,socprog,"PNLS/CHARGES VIRALES",soctrans,"OUI"))</f>
        <v>NA</v>
      </c>
      <c r="H145" s="58">
        <f>IF(VLOOKUP($A145,SiteAttendu!$A$2:$P$366,9,0)="NA","NA",COUNTIFS(soccode,A145,socprog,"PNLP/MEDICAMENTS ET INTRANTS",soctrans,"OUI"))</f>
        <v>1</v>
      </c>
      <c r="I145" s="58">
        <f>IF(VLOOKUP($A145,SiteAttendu!$A$2:$P$366,10,0)="NA","NA",COUNTIFS(soccode,$A145,socprog,"PNSME/MEDICAMENTS ET INTRANTS",soctrans,"OUI"))</f>
        <v>1</v>
      </c>
      <c r="J145" s="58">
        <f>IF(VLOOKUP($A145,SiteAttendu!$A$2:$P$366,11,0)="NA","NA",COUNTIFS(soccode,$A145,socprog,"PNN/MEDICAMENTS ET INTRANTS",soctrans,"OUI"))</f>
        <v>1</v>
      </c>
      <c r="K145" s="58" t="str">
        <f>IF(VLOOKUP($A145,SiteAttendu!$A$2:$O$366,15,0)="NA","NA",IF(COUNTIF(socprog,"PNLT/SENSIBLE MEDICAMENTS ET INTRANTS")=0,"NA",COUNTIFS(soccode,$A145,socprog,"PNLT/SENSIBLE MEDICAMENTS ET INTRANTS",soctrans,"OUI")))</f>
        <v>NA</v>
      </c>
      <c r="L145" s="78"/>
      <c r="M145" s="85"/>
      <c r="N145" s="85">
        <f t="shared" ref="N145:S145" si="147">IFERROR(SUMIFS(F$2:F$364,$C$2:$C$364,$C145)/COUNTIFS(F$2:F$364,"&lt;&gt;NA",$C$2:$C$364,$C145),"")</f>
        <v>1</v>
      </c>
      <c r="O145" s="85" t="str">
        <f t="shared" si="147"/>
        <v/>
      </c>
      <c r="P145" s="85">
        <f t="shared" si="147"/>
        <v>1</v>
      </c>
      <c r="Q145" s="85">
        <f t="shared" si="147"/>
        <v>0.875</v>
      </c>
      <c r="R145" s="85">
        <f t="shared" si="147"/>
        <v>0.8571428571</v>
      </c>
      <c r="S145" s="85">
        <f t="shared" si="147"/>
        <v>0</v>
      </c>
      <c r="T145" s="85">
        <f t="shared" si="3"/>
        <v>1</v>
      </c>
      <c r="U145" s="53">
        <f t="shared" si="4"/>
        <v>3</v>
      </c>
      <c r="V145" s="54">
        <f t="shared" si="5"/>
        <v>3</v>
      </c>
    </row>
    <row r="146" ht="15.75" customHeight="1">
      <c r="A146" s="55" t="str">
        <f>SiteAttendu!$A144</f>
        <v>C4050</v>
      </c>
      <c r="B146" s="56" t="str">
        <f>VLOOKUP($A146,SiteAttendu!$A$2:$C$366,2,0)</f>
        <v>DISTRICT SANITAIRE NASSIAN</v>
      </c>
      <c r="C146" s="77" t="str">
        <f>VLOOKUP($A146,SiteAttendu!$A$2:$C$366,3,0)</f>
        <v>BOUNKANI</v>
      </c>
      <c r="D146" s="58">
        <f>IF(VLOOKUP($A146,SiteAttendu!$A$2:$P$366,4,0)="NA","NA",COUNTIFS(soccode,A146,socprog,"PNLS/ANTIRETROVIRAUX ET IO",soctrans,"OUI"))</f>
        <v>1</v>
      </c>
      <c r="E146" s="58">
        <f>IF(VLOOKUP($A146,SiteAttendu!$A$2:$P$366,5,0)="NA","NA",COUNTIFS(soccode,A146,socprog,"PNLS/TESTS RAPIDES ET CONSOMMABLES",soctrans,"OUI"))</f>
        <v>1</v>
      </c>
      <c r="F146" s="58" t="str">
        <f>IF(VLOOKUP($A146,SiteAttendu!$A$2:$P$366,6,0)="NA","NA",COUNTIFS(soccode,A146,socprog,"PNLS/PRODUITS DE LABORATOIRE",soctrans,"OUI"))</f>
        <v>NA</v>
      </c>
      <c r="G146" s="58" t="str">
        <f>IF(VLOOKUP($A146,SiteAttendu!$A$2:$P$366,7,0)="NA","NA",COUNTIFS(soccode,A146,socprog,"PNLS/CHARGES VIRALES",soctrans,"OUI"))</f>
        <v>NA</v>
      </c>
      <c r="H146" s="58">
        <f>IF(VLOOKUP($A146,SiteAttendu!$A$2:$P$366,9,0)="NA","NA",COUNTIFS(soccode,A146,socprog,"PNLP/MEDICAMENTS ET INTRANTS",soctrans,"OUI"))</f>
        <v>1</v>
      </c>
      <c r="I146" s="58">
        <f>IF(VLOOKUP($A146,SiteAttendu!$A$2:$P$366,10,0)="NA","NA",COUNTIFS(soccode,$A146,socprog,"PNSME/MEDICAMENTS ET INTRANTS",soctrans,"OUI"))</f>
        <v>1</v>
      </c>
      <c r="J146" s="58">
        <f>IF(VLOOKUP($A146,SiteAttendu!$A$2:$P$366,11,0)="NA","NA",COUNTIFS(soccode,$A146,socprog,"PNN/MEDICAMENTS ET INTRANTS",soctrans,"OUI"))</f>
        <v>1</v>
      </c>
      <c r="K146" s="58">
        <f>IF(VLOOKUP($A146,SiteAttendu!$A$2:$O$366,15,0)="NA","NA",IF(COUNTIF(socprog,"PNLT/SENSIBLE MEDICAMENTS ET INTRANTS")=0,"NA",COUNTIFS(soccode,$A146,socprog,"PNLT/SENSIBLE MEDICAMENTS ET INTRANTS",soctrans,"OUI")))</f>
        <v>0</v>
      </c>
      <c r="L146" s="78"/>
      <c r="M146" s="85"/>
      <c r="N146" s="85">
        <f t="shared" ref="N146:S146" si="148">IFERROR(SUMIFS(F$2:F$364,$C$2:$C$364,$C146)/COUNTIFS(F$2:F$364,"&lt;&gt;NA",$C$2:$C$364,$C146),"")</f>
        <v>1</v>
      </c>
      <c r="O146" s="85" t="str">
        <f t="shared" si="148"/>
        <v/>
      </c>
      <c r="P146" s="85">
        <f t="shared" si="148"/>
        <v>1</v>
      </c>
      <c r="Q146" s="85">
        <f t="shared" si="148"/>
        <v>0.875</v>
      </c>
      <c r="R146" s="85">
        <f t="shared" si="148"/>
        <v>0.8571428571</v>
      </c>
      <c r="S146" s="85">
        <f t="shared" si="148"/>
        <v>0</v>
      </c>
      <c r="T146" s="85">
        <f t="shared" si="3"/>
        <v>1</v>
      </c>
      <c r="U146" s="53">
        <f t="shared" si="4"/>
        <v>2</v>
      </c>
      <c r="V146" s="54">
        <f t="shared" si="5"/>
        <v>2</v>
      </c>
    </row>
    <row r="147" ht="15.75" customHeight="1">
      <c r="A147" s="55" t="str">
        <f>SiteAttendu!$A145</f>
        <v>C4084</v>
      </c>
      <c r="B147" s="56" t="str">
        <f>VLOOKUP($A147,SiteAttendu!$A$2:$C$366,2,0)</f>
        <v>DISTRICT SANITAIRE TEHINI</v>
      </c>
      <c r="C147" s="77" t="str">
        <f>VLOOKUP($A147,SiteAttendu!$A$2:$C$366,3,0)</f>
        <v>BOUNKANI</v>
      </c>
      <c r="D147" s="58">
        <f>IF(VLOOKUP($A147,SiteAttendu!$A$2:$P$366,4,0)="NA","NA",COUNTIFS(soccode,A147,socprog,"PNLS/ANTIRETROVIRAUX ET IO",soctrans,"OUI"))</f>
        <v>1</v>
      </c>
      <c r="E147" s="58">
        <f>IF(VLOOKUP($A147,SiteAttendu!$A$2:$P$366,5,0)="NA","NA",COUNTIFS(soccode,A147,socprog,"PNLS/TESTS RAPIDES ET CONSOMMABLES",soctrans,"OUI"))</f>
        <v>1</v>
      </c>
      <c r="F147" s="58" t="str">
        <f>IF(VLOOKUP($A147,SiteAttendu!$A$2:$P$366,6,0)="NA","NA",COUNTIFS(soccode,A147,socprog,"PNLS/PRODUITS DE LABORATOIRE",soctrans,"OUI"))</f>
        <v>NA</v>
      </c>
      <c r="G147" s="58" t="str">
        <f>IF(VLOOKUP($A147,SiteAttendu!$A$2:$P$366,7,0)="NA","NA",COUNTIFS(soccode,A147,socprog,"PNLS/CHARGES VIRALES",soctrans,"OUI"))</f>
        <v>NA</v>
      </c>
      <c r="H147" s="58">
        <f>IF(VLOOKUP($A147,SiteAttendu!$A$2:$P$366,9,0)="NA","NA",COUNTIFS(soccode,A147,socprog,"PNLP/MEDICAMENTS ET INTRANTS",soctrans,"OUI"))</f>
        <v>1</v>
      </c>
      <c r="I147" s="58">
        <f>IF(VLOOKUP($A147,SiteAttendu!$A$2:$P$366,10,0)="NA","NA",COUNTIFS(soccode,$A147,socprog,"PNSME/MEDICAMENTS ET INTRANTS",soctrans,"OUI"))</f>
        <v>1</v>
      </c>
      <c r="J147" s="58">
        <f>IF(VLOOKUP($A147,SiteAttendu!$A$2:$P$366,11,0)="NA","NA",COUNTIFS(soccode,$A147,socprog,"PNN/MEDICAMENTS ET INTRANTS",soctrans,"OUI"))</f>
        <v>1</v>
      </c>
      <c r="K147" s="58" t="str">
        <f>IF(VLOOKUP($A147,SiteAttendu!$A$2:$O$366,15,0)="NA","NA",IF(COUNTIF(socprog,"PNLT/SENSIBLE MEDICAMENTS ET INTRANTS")=0,"NA",COUNTIFS(soccode,$A147,socprog,"PNLT/SENSIBLE MEDICAMENTS ET INTRANTS",soctrans,"OUI")))</f>
        <v>NA</v>
      </c>
      <c r="L147" s="78"/>
      <c r="M147" s="85"/>
      <c r="N147" s="85">
        <f t="shared" ref="N147:S147" si="149">IFERROR(SUMIFS(F$2:F$364,$C$2:$C$364,$C147)/COUNTIFS(F$2:F$364,"&lt;&gt;NA",$C$2:$C$364,$C147),"")</f>
        <v>1</v>
      </c>
      <c r="O147" s="85" t="str">
        <f t="shared" si="149"/>
        <v/>
      </c>
      <c r="P147" s="85">
        <f t="shared" si="149"/>
        <v>1</v>
      </c>
      <c r="Q147" s="85">
        <f t="shared" si="149"/>
        <v>0.875</v>
      </c>
      <c r="R147" s="85">
        <f t="shared" si="149"/>
        <v>0.8571428571</v>
      </c>
      <c r="S147" s="85">
        <f t="shared" si="149"/>
        <v>0</v>
      </c>
      <c r="T147" s="85">
        <f t="shared" si="3"/>
        <v>1</v>
      </c>
      <c r="U147" s="53">
        <f t="shared" si="4"/>
        <v>2</v>
      </c>
      <c r="V147" s="54">
        <f t="shared" si="5"/>
        <v>2</v>
      </c>
    </row>
    <row r="148" ht="16.5" customHeight="1">
      <c r="A148" s="55" t="str">
        <f>SiteAttendu!$A146</f>
        <v>C4088</v>
      </c>
      <c r="B148" s="56" t="str">
        <f>VLOOKUP($A148,SiteAttendu!$A$2:$C$366,2,0)</f>
        <v>HOPITAL GENERAL TEHINI</v>
      </c>
      <c r="C148" s="77" t="str">
        <f>VLOOKUP($A148,SiteAttendu!$A$2:$C$366,3,0)</f>
        <v>BOUNKANI</v>
      </c>
      <c r="D148" s="65" t="str">
        <f>IF(VLOOKUP($A148,SiteAttendu!$A$2:$P$366,4,0)="NA","NA",COUNTIFS(soccode,A148,socprog,"PNLS/ANTIRETROVIRAUX ET IO",soctrans,"OUI"))</f>
        <v>NA</v>
      </c>
      <c r="E148" s="65" t="str">
        <f>IF(VLOOKUP($A148,SiteAttendu!$A$2:$P$366,5,0)="NA","NA",COUNTIFS(soccode,A148,socprog,"PNLS/TESTS RAPIDES ET CONSOMMABLES",soctrans,"OUI"))</f>
        <v>NA</v>
      </c>
      <c r="F148" s="65" t="str">
        <f>IF(VLOOKUP($A148,SiteAttendu!$A$2:$P$366,6,0)="NA","NA",COUNTIFS(soccode,A148,socprog,"PNLS/PRODUITS DE LABORATOIRE",soctrans,"OUI"))</f>
        <v>NA</v>
      </c>
      <c r="G148" s="65" t="str">
        <f>IF(VLOOKUP($A148,SiteAttendu!$A$2:$P$366,7,0)="NA","NA",COUNTIFS(soccode,A148,socprog,"PNLS/CHARGES VIRALES",soctrans,"OUI"))</f>
        <v>NA</v>
      </c>
      <c r="H148" s="65">
        <f>IF(VLOOKUP($A148,SiteAttendu!$A$2:$P$366,9,0)="NA","NA",COUNTIFS(soccode,A148,socprog,"PNLP/MEDICAMENTS ET INTRANTS",soctrans,"OUI"))</f>
        <v>1</v>
      </c>
      <c r="I148" s="65">
        <f>IF(VLOOKUP($A148,SiteAttendu!$A$2:$P$366,10,0)="NA","NA",COUNTIFS(soccode,$A148,socprog,"PNSME/MEDICAMENTS ET INTRANTS",soctrans,"OUI"))</f>
        <v>1</v>
      </c>
      <c r="J148" s="65" t="str">
        <f>IF(VLOOKUP($A148,SiteAttendu!$A$2:$P$366,11,0)="NA","NA",COUNTIFS(soccode,$A148,socprog,"PNN/MEDICAMENTS ET INTRANTS",soctrans,"OUI"))</f>
        <v>NA</v>
      </c>
      <c r="K148" s="65" t="str">
        <f>IF(VLOOKUP($A148,SiteAttendu!$A$2:$O$366,15,0)="NA","NA",IF(COUNTIF(socprog,"PNLT/SENSIBLE MEDICAMENTS ET INTRANTS")=0,"NA",COUNTIFS(soccode,$A148,socprog,"PNLT/SENSIBLE MEDICAMENTS ET INTRANTS",soctrans,"OUI")))</f>
        <v>NA</v>
      </c>
      <c r="L148" s="80"/>
      <c r="M148" s="86"/>
      <c r="N148" s="86">
        <f t="shared" ref="N148:S148" si="150">IFERROR(SUMIFS(F$2:F$364,$C$2:$C$364,$C148)/COUNTIFS(F$2:F$364,"&lt;&gt;NA",$C$2:$C$364,$C148),"")</f>
        <v>1</v>
      </c>
      <c r="O148" s="86" t="str">
        <f t="shared" si="150"/>
        <v/>
      </c>
      <c r="P148" s="86">
        <f t="shared" si="150"/>
        <v>1</v>
      </c>
      <c r="Q148" s="86">
        <f t="shared" si="150"/>
        <v>0.875</v>
      </c>
      <c r="R148" s="86">
        <f t="shared" si="150"/>
        <v>0.8571428571</v>
      </c>
      <c r="S148" s="86">
        <f t="shared" si="150"/>
        <v>0</v>
      </c>
      <c r="T148" s="86">
        <f t="shared" si="3"/>
        <v>1</v>
      </c>
      <c r="U148" s="53">
        <f t="shared" si="4"/>
        <v>0</v>
      </c>
      <c r="V148" s="54">
        <f t="shared" si="5"/>
        <v>0</v>
      </c>
    </row>
    <row r="149" ht="15.75" customHeight="1">
      <c r="A149" s="46" t="str">
        <f>SiteAttendu!$A149</f>
        <v>C5017</v>
      </c>
      <c r="B149" s="47" t="str">
        <f>VLOOKUP($A149,SiteAttendu!$A$2:$C$366,2,0)</f>
        <v>HOPITAL GENERAL BLOLEQUIN</v>
      </c>
      <c r="C149" s="48" t="str">
        <f>VLOOKUP($A149,SiteAttendu!$A$2:$C$366,3,0)</f>
        <v>CAVALLY</v>
      </c>
      <c r="D149" s="84">
        <f>IF(VLOOKUP($A149,SiteAttendu!$A$2:$P$366,4,0)="NA","NA",COUNTIFS(soccode,A149,socprog,"PNLS/ANTIRETROVIRAUX ET IO",soctrans,"OUI"))</f>
        <v>1</v>
      </c>
      <c r="E149" s="84">
        <f>IF(VLOOKUP($A149,SiteAttendu!$A$2:$P$366,5,0)="NA","NA",COUNTIFS(soccode,A149,socprog,"PNLS/TESTS RAPIDES ET CONSOMMABLES",soctrans,"OUI"))</f>
        <v>1</v>
      </c>
      <c r="F149" s="84">
        <f>IF(VLOOKUP($A149,SiteAttendu!$A$2:$P$366,6,0)="NA","NA",COUNTIFS(soccode,A149,socprog,"PNLS/PRODUITS DE LABORATOIRE",soctrans,"OUI"))</f>
        <v>1</v>
      </c>
      <c r="G149" s="84" t="str">
        <f>IF(VLOOKUP($A149,SiteAttendu!$A$2:$P$366,7,0)="NA","NA",COUNTIFS(soccode,A149,socprog,"PNLS/CHARGES VIRALES",soctrans,"OUI"))</f>
        <v>NA</v>
      </c>
      <c r="H149" s="84">
        <f>IF(VLOOKUP($A149,SiteAttendu!$A$2:$P$366,9,0)="NA","NA",COUNTIFS(soccode,A149,socprog,"PNLP/MEDICAMENTS ET INTRANTS",soctrans,"OUI"))</f>
        <v>1</v>
      </c>
      <c r="I149" s="87">
        <f>IF(VLOOKUP($A149,SiteAttendu!$A$2:$P$366,10,0)="NA","NA",COUNTIFS(soccode,$A149,socprog,"PNSME/MEDICAMENTS ET INTRANTS",soctrans,"OUI"))</f>
        <v>1</v>
      </c>
      <c r="J149" s="84">
        <f>IF(VLOOKUP($A149,SiteAttendu!$A$2:$P$366,11,0)="NA","NA",COUNTIFS(soccode,$A149,socprog,"PNN/MEDICAMENTS ET INTRANTS",soctrans,"OUI"))</f>
        <v>1</v>
      </c>
      <c r="K149" s="84">
        <f>IF(VLOOKUP($A149,SiteAttendu!$A$2:$O$366,15,0)="NA","NA",IF(COUNTIF(socprog,"PNLT/SENSIBLE MEDICAMENTS ET INTRANTS")=0,"NA",COUNTIFS(soccode,$A149,socprog,"PNLT/SENSIBLE MEDICAMENTS ET INTRANTS",soctrans,"OUI")))</f>
        <v>1</v>
      </c>
      <c r="L149" s="51">
        <f t="shared" ref="L149:S149" si="151">IFERROR(SUMIFS(D$2:D$364,$C$2:$C$364,$C149)/COUNTIFS(D$2:D$364,"&lt;&gt;NA",$C$2:$C$364,$C149),"")</f>
        <v>1</v>
      </c>
      <c r="M149" s="51">
        <f t="shared" si="151"/>
        <v>1</v>
      </c>
      <c r="N149" s="51">
        <f t="shared" si="151"/>
        <v>1</v>
      </c>
      <c r="O149" s="51">
        <f t="shared" si="151"/>
        <v>1</v>
      </c>
      <c r="P149" s="51">
        <f t="shared" si="151"/>
        <v>1</v>
      </c>
      <c r="Q149" s="51">
        <f t="shared" si="151"/>
        <v>1</v>
      </c>
      <c r="R149" s="51">
        <f t="shared" si="151"/>
        <v>1</v>
      </c>
      <c r="S149" s="51">
        <f t="shared" si="151"/>
        <v>1</v>
      </c>
      <c r="T149" s="52">
        <f t="shared" si="3"/>
        <v>1</v>
      </c>
      <c r="U149" s="53">
        <f t="shared" si="4"/>
        <v>3</v>
      </c>
      <c r="V149" s="54">
        <f t="shared" si="5"/>
        <v>3</v>
      </c>
    </row>
    <row r="150" ht="15.75" customHeight="1">
      <c r="A150" s="55" t="str">
        <f>SiteAttendu!$A150</f>
        <v>C5045</v>
      </c>
      <c r="B150" s="56" t="str">
        <f>VLOOKUP($A150,SiteAttendu!$A$2:$C$366,2,0)</f>
        <v>DISTRICT SANITAIRE  BLOLEQUIN</v>
      </c>
      <c r="C150" s="57" t="str">
        <f>VLOOKUP($A150,SiteAttendu!$A$2:$C$366,3,0)</f>
        <v>CAVALLY</v>
      </c>
      <c r="D150" s="58">
        <f>IF(VLOOKUP($A150,SiteAttendu!$A$2:$P$366,4,0)="NA","NA",COUNTIFS(soccode,A150,socprog,"PNLS/ANTIRETROVIRAUX ET IO",soctrans,"OUI"))</f>
        <v>1</v>
      </c>
      <c r="E150" s="58">
        <f>IF(VLOOKUP($A150,SiteAttendu!$A$2:$P$366,5,0)="NA","NA",COUNTIFS(soccode,A150,socprog,"PNLS/TESTS RAPIDES ET CONSOMMABLES",soctrans,"OUI"))</f>
        <v>1</v>
      </c>
      <c r="F150" s="58" t="str">
        <f>IF(VLOOKUP($A150,SiteAttendu!$A$2:$P$366,6,0)="NA","NA",COUNTIFS(soccode,A150,socprog,"PNLS/PRODUITS DE LABORATOIRE",soctrans,"OUI"))</f>
        <v>NA</v>
      </c>
      <c r="G150" s="58" t="str">
        <f>IF(VLOOKUP($A150,SiteAttendu!$A$2:$P$366,7,0)="NA","NA",COUNTIFS(soccode,A150,socprog,"PNLS/CHARGES VIRALES",soctrans,"OUI"))</f>
        <v>NA</v>
      </c>
      <c r="H150" s="58">
        <f>IF(VLOOKUP($A150,SiteAttendu!$A$2:$P$366,9,0)="NA","NA",COUNTIFS(soccode,A150,socprog,"PNLP/MEDICAMENTS ET INTRANTS",soctrans,"OUI"))</f>
        <v>1</v>
      </c>
      <c r="I150" s="59">
        <f>IF(VLOOKUP($A150,SiteAttendu!$A$2:$P$366,10,0)="NA","NA",COUNTIFS(soccode,$A150,socprog,"PNSME/MEDICAMENTS ET INTRANTS",soctrans,"OUI"))</f>
        <v>1</v>
      </c>
      <c r="J150" s="58">
        <f>IF(VLOOKUP($A150,SiteAttendu!$A$2:$P$366,11,0)="NA","NA",COUNTIFS(soccode,$A150,socprog,"PNN/MEDICAMENTS ET INTRANTS",soctrans,"OUI"))</f>
        <v>1</v>
      </c>
      <c r="K150" s="58" t="str">
        <f>IF(VLOOKUP($A150,SiteAttendu!$A$2:$O$366,15,0)="NA","NA",IF(COUNTIF(socprog,"PNLT/SENSIBLE MEDICAMENTS ET INTRANTS")=0,"NA",COUNTIFS(soccode,$A150,socprog,"PNLT/SENSIBLE MEDICAMENTS ET INTRANTS",soctrans,"OUI")))</f>
        <v>NA</v>
      </c>
      <c r="L150" s="60"/>
      <c r="M150" s="60">
        <f t="shared" ref="M150:S150" si="152">IFERROR(SUMIFS(E$2:E$364,$C$2:$C$364,$C150)/COUNTIFS(E$2:E$364,"&lt;&gt;NA",$C$2:$C$364,$C150),"")</f>
        <v>1</v>
      </c>
      <c r="N150" s="60">
        <f t="shared" si="152"/>
        <v>1</v>
      </c>
      <c r="O150" s="60">
        <f t="shared" si="152"/>
        <v>1</v>
      </c>
      <c r="P150" s="60">
        <f t="shared" si="152"/>
        <v>1</v>
      </c>
      <c r="Q150" s="60">
        <f t="shared" si="152"/>
        <v>1</v>
      </c>
      <c r="R150" s="60">
        <f t="shared" si="152"/>
        <v>1</v>
      </c>
      <c r="S150" s="60">
        <f t="shared" si="152"/>
        <v>1</v>
      </c>
      <c r="T150" s="61">
        <f t="shared" si="3"/>
        <v>1</v>
      </c>
      <c r="U150" s="53">
        <f t="shared" si="4"/>
        <v>2</v>
      </c>
      <c r="V150" s="54">
        <f t="shared" si="5"/>
        <v>2</v>
      </c>
    </row>
    <row r="151" ht="15.75" customHeight="1">
      <c r="A151" s="55" t="str">
        <f>SiteAttendu!$A151</f>
        <v>C5002</v>
      </c>
      <c r="B151" s="56" t="str">
        <f>VLOOKUP($A151,SiteAttendu!$A$2:$C$366,2,0)</f>
        <v>CHR GUIGLO</v>
      </c>
      <c r="C151" s="57" t="str">
        <f>VLOOKUP($A151,SiteAttendu!$A$2:$C$366,3,0)</f>
        <v>CAVALLY</v>
      </c>
      <c r="D151" s="58">
        <f>IF(VLOOKUP($A151,SiteAttendu!$A$2:$P$366,4,0)="NA","NA",COUNTIFS(soccode,A151,socprog,"PNLS/ANTIRETROVIRAUX ET IO",soctrans,"OUI"))</f>
        <v>1</v>
      </c>
      <c r="E151" s="58">
        <f>IF(VLOOKUP($A151,SiteAttendu!$A$2:$P$366,5,0)="NA","NA",COUNTIFS(soccode,A151,socprog,"PNLS/TESTS RAPIDES ET CONSOMMABLES",soctrans,"OUI"))</f>
        <v>1</v>
      </c>
      <c r="F151" s="58">
        <f>IF(VLOOKUP($A151,SiteAttendu!$A$2:$P$366,6,0)="NA","NA",COUNTIFS(soccode,A151,socprog,"PNLS/PRODUITS DE LABORATOIRE",soctrans,"OUI"))</f>
        <v>1</v>
      </c>
      <c r="G151" s="58">
        <f>IF(VLOOKUP($A151,SiteAttendu!$A$2:$P$366,7,0)="NA","NA",COUNTIFS(soccode,A151,socprog,"PNLS/CHARGES VIRALES",soctrans,"OUI"))</f>
        <v>1</v>
      </c>
      <c r="H151" s="58">
        <f>IF(VLOOKUP($A151,SiteAttendu!$A$2:$P$366,9,0)="NA","NA",COUNTIFS(soccode,A151,socprog,"PNLP/MEDICAMENTS ET INTRANTS",soctrans,"OUI"))</f>
        <v>1</v>
      </c>
      <c r="I151" s="59">
        <f>IF(VLOOKUP($A151,SiteAttendu!$A$2:$P$366,10,0)="NA","NA",COUNTIFS(soccode,$A151,socprog,"PNSME/MEDICAMENTS ET INTRANTS",soctrans,"OUI"))</f>
        <v>1</v>
      </c>
      <c r="J151" s="58">
        <f>IF(VLOOKUP($A151,SiteAttendu!$A$2:$P$366,11,0)="NA","NA",COUNTIFS(soccode,$A151,socprog,"PNN/MEDICAMENTS ET INTRANTS",soctrans,"OUI"))</f>
        <v>1</v>
      </c>
      <c r="K151" s="58" t="str">
        <f>IF(VLOOKUP($A151,SiteAttendu!$A$2:$O$366,15,0)="NA","NA",IF(COUNTIF(socprog,"PNLT/SENSIBLE MEDICAMENTS ET INTRANTS")=0,"NA",COUNTIFS(soccode,$A151,socprog,"PNLT/SENSIBLE MEDICAMENTS ET INTRANTS",soctrans,"OUI")))</f>
        <v>NA</v>
      </c>
      <c r="L151" s="60"/>
      <c r="M151" s="60">
        <f t="shared" ref="M151:S151" si="153">IFERROR(SUMIFS(E$2:E$364,$C$2:$C$364,$C151)/COUNTIFS(E$2:E$364,"&lt;&gt;NA",$C$2:$C$364,$C151),"")</f>
        <v>1</v>
      </c>
      <c r="N151" s="60">
        <f t="shared" si="153"/>
        <v>1</v>
      </c>
      <c r="O151" s="60">
        <f t="shared" si="153"/>
        <v>1</v>
      </c>
      <c r="P151" s="60">
        <f t="shared" si="153"/>
        <v>1</v>
      </c>
      <c r="Q151" s="60">
        <f t="shared" si="153"/>
        <v>1</v>
      </c>
      <c r="R151" s="60">
        <f t="shared" si="153"/>
        <v>1</v>
      </c>
      <c r="S151" s="60">
        <f t="shared" si="153"/>
        <v>1</v>
      </c>
      <c r="T151" s="61">
        <f t="shared" si="3"/>
        <v>1</v>
      </c>
      <c r="U151" s="53">
        <f t="shared" si="4"/>
        <v>4</v>
      </c>
      <c r="V151" s="54">
        <f t="shared" si="5"/>
        <v>4</v>
      </c>
    </row>
    <row r="152" ht="15.75" customHeight="1">
      <c r="A152" s="55" t="str">
        <f>SiteAttendu!$A152</f>
        <v>C5011</v>
      </c>
      <c r="B152" s="56" t="str">
        <f>VLOOKUP($A152,SiteAttendu!$A$2:$C$366,2,0)</f>
        <v>DISTRICT SANITAIRE  GUIGLO</v>
      </c>
      <c r="C152" s="57" t="str">
        <f>VLOOKUP($A152,SiteAttendu!$A$2:$C$366,3,0)</f>
        <v>CAVALLY</v>
      </c>
      <c r="D152" s="58">
        <f>IF(VLOOKUP($A152,SiteAttendu!$A$2:$P$366,4,0)="NA","NA",COUNTIFS(soccode,A152,socprog,"PNLS/ANTIRETROVIRAUX ET IO",soctrans,"OUI"))</f>
        <v>1</v>
      </c>
      <c r="E152" s="58">
        <f>IF(VLOOKUP($A152,SiteAttendu!$A$2:$P$366,5,0)="NA","NA",COUNTIFS(soccode,A152,socprog,"PNLS/TESTS RAPIDES ET CONSOMMABLES",soctrans,"OUI"))</f>
        <v>1</v>
      </c>
      <c r="F152" s="58">
        <f>IF(VLOOKUP($A152,SiteAttendu!$A$2:$P$366,6,0)="NA","NA",COUNTIFS(soccode,A152,socprog,"PNLS/PRODUITS DE LABORATOIRE",soctrans,"OUI"))</f>
        <v>1</v>
      </c>
      <c r="G152" s="58" t="str">
        <f>IF(VLOOKUP($A152,SiteAttendu!$A$2:$P$366,7,0)="NA","NA",COUNTIFS(soccode,A152,socprog,"PNLS/CHARGES VIRALES",soctrans,"OUI"))</f>
        <v>NA</v>
      </c>
      <c r="H152" s="58">
        <f>IF(VLOOKUP($A152,SiteAttendu!$A$2:$P$366,9,0)="NA","NA",COUNTIFS(soccode,A152,socprog,"PNLP/MEDICAMENTS ET INTRANTS",soctrans,"OUI"))</f>
        <v>1</v>
      </c>
      <c r="I152" s="59">
        <f>IF(VLOOKUP($A152,SiteAttendu!$A$2:$P$366,10,0)="NA","NA",COUNTIFS(soccode,$A152,socprog,"PNSME/MEDICAMENTS ET INTRANTS",soctrans,"OUI"))</f>
        <v>1</v>
      </c>
      <c r="J152" s="58">
        <f>IF(VLOOKUP($A152,SiteAttendu!$A$2:$P$366,11,0)="NA","NA",COUNTIFS(soccode,$A152,socprog,"PNN/MEDICAMENTS ET INTRANTS",soctrans,"OUI"))</f>
        <v>1</v>
      </c>
      <c r="K152" s="58">
        <f>IF(VLOOKUP($A152,SiteAttendu!$A$2:$O$366,15,0)="NA","NA",IF(COUNTIF(socprog,"PNLT/SENSIBLE MEDICAMENTS ET INTRANTS")=0,"NA",COUNTIFS(soccode,$A152,socprog,"PNLT/SENSIBLE MEDICAMENTS ET INTRANTS",soctrans,"OUI")))</f>
        <v>1</v>
      </c>
      <c r="L152" s="60"/>
      <c r="M152" s="60">
        <f t="shared" ref="M152:S152" si="154">IFERROR(SUMIFS(E$2:E$364,$C$2:$C$364,$C152)/COUNTIFS(E$2:E$364,"&lt;&gt;NA",$C$2:$C$364,$C152),"")</f>
        <v>1</v>
      </c>
      <c r="N152" s="60">
        <f t="shared" si="154"/>
        <v>1</v>
      </c>
      <c r="O152" s="60">
        <f t="shared" si="154"/>
        <v>1</v>
      </c>
      <c r="P152" s="60">
        <f t="shared" si="154"/>
        <v>1</v>
      </c>
      <c r="Q152" s="60">
        <f t="shared" si="154"/>
        <v>1</v>
      </c>
      <c r="R152" s="60">
        <f t="shared" si="154"/>
        <v>1</v>
      </c>
      <c r="S152" s="60">
        <f t="shared" si="154"/>
        <v>1</v>
      </c>
      <c r="T152" s="61">
        <f t="shared" si="3"/>
        <v>1</v>
      </c>
      <c r="U152" s="53">
        <f t="shared" si="4"/>
        <v>3</v>
      </c>
      <c r="V152" s="54">
        <f t="shared" si="5"/>
        <v>3</v>
      </c>
    </row>
    <row r="153" ht="15.75" customHeight="1">
      <c r="A153" s="55" t="str">
        <f>SiteAttendu!$A153</f>
        <v>C5068</v>
      </c>
      <c r="B153" s="56" t="str">
        <f>VLOOKUP($A153,SiteAttendu!$A$2:$C$366,2,0)</f>
        <v>CENTRE ANTITUBERCULEUX GUIGLO</v>
      </c>
      <c r="C153" s="57" t="str">
        <f>VLOOKUP($A153,SiteAttendu!$A$2:$C$366,3,0)</f>
        <v>CAVALLY</v>
      </c>
      <c r="D153" s="58" t="str">
        <f>IF(VLOOKUP($A153,SiteAttendu!$A$2:$P$366,4,0)="NA","NA",COUNTIFS(soccode,A153,socprog,"PNLS/ANTIRETROVIRAUX ET IO",soctrans,"OUI"))</f>
        <v>NA</v>
      </c>
      <c r="E153" s="58" t="str">
        <f>IF(VLOOKUP($A153,SiteAttendu!$A$2:$P$366,5,0)="NA","NA",COUNTIFS(soccode,A153,socprog,"PNLS/TESTS RAPIDES ET CONSOMMABLES",soctrans,"OUI"))</f>
        <v>NA</v>
      </c>
      <c r="F153" s="58" t="str">
        <f>IF(VLOOKUP($A153,SiteAttendu!$A$2:$P$366,6,0)="NA","NA",COUNTIFS(soccode,A153,socprog,"PNLS/PRODUITS DE LABORATOIRE",soctrans,"OUI"))</f>
        <v>NA</v>
      </c>
      <c r="G153" s="58" t="str">
        <f>IF(VLOOKUP($A153,SiteAttendu!$A$2:$P$366,7,0)="NA","NA",COUNTIFS(soccode,A153,socprog,"PNLS/CHARGES VIRALES",soctrans,"OUI"))</f>
        <v>NA</v>
      </c>
      <c r="H153" s="58" t="str">
        <f>IF(VLOOKUP($A153,SiteAttendu!$A$2:$P$366,9,0)="NA","NA",COUNTIFS(soccode,A153,socprog,"PNLP/MEDICAMENTS ET INTRANTS",soctrans,"OUI"))</f>
        <v>NA</v>
      </c>
      <c r="I153" s="59" t="str">
        <f>IF(VLOOKUP($A153,SiteAttendu!$A$2:$P$366,10,0)="NA","NA",COUNTIFS(soccode,$A153,socprog,"PNSME/MEDICAMENTS ET INTRANTS",soctrans,"OUI"))</f>
        <v>NA</v>
      </c>
      <c r="J153" s="58" t="str">
        <f>IF(VLOOKUP($A153,SiteAttendu!$A$2:$P$366,11,0)="NA","NA",COUNTIFS(soccode,$A153,socprog,"PNN/MEDICAMENTS ET INTRANTS",soctrans,"OUI"))</f>
        <v>NA</v>
      </c>
      <c r="K153" s="58">
        <f>IF(VLOOKUP($A153,SiteAttendu!$A$2:$O$366,15,0)="NA","NA",IF(COUNTIF(socprog,"PNLT/SENSIBLE MEDICAMENTS ET INTRANTS")=0,"NA",COUNTIFS(soccode,$A153,socprog,"PNLT/SENSIBLE MEDICAMENTS ET INTRANTS",soctrans,"OUI")))</f>
        <v>1</v>
      </c>
      <c r="L153" s="60"/>
      <c r="M153" s="60">
        <f t="shared" ref="M153:S153" si="155">IFERROR(SUMIFS(E$2:E$364,$C$2:$C$364,$C153)/COUNTIFS(E$2:E$364,"&lt;&gt;NA",$C$2:$C$364,$C153),"")</f>
        <v>1</v>
      </c>
      <c r="N153" s="60">
        <f t="shared" si="155"/>
        <v>1</v>
      </c>
      <c r="O153" s="60">
        <f t="shared" si="155"/>
        <v>1</v>
      </c>
      <c r="P153" s="60">
        <f t="shared" si="155"/>
        <v>1</v>
      </c>
      <c r="Q153" s="60">
        <f t="shared" si="155"/>
        <v>1</v>
      </c>
      <c r="R153" s="60">
        <f t="shared" si="155"/>
        <v>1</v>
      </c>
      <c r="S153" s="60">
        <f t="shared" si="155"/>
        <v>1</v>
      </c>
      <c r="T153" s="61">
        <f t="shared" si="3"/>
        <v>1</v>
      </c>
      <c r="U153" s="53">
        <f t="shared" si="4"/>
        <v>0</v>
      </c>
      <c r="V153" s="54">
        <f t="shared" si="5"/>
        <v>0</v>
      </c>
    </row>
    <row r="154" ht="15.75" customHeight="1">
      <c r="A154" s="55" t="str">
        <f>SiteAttendu!$A154</f>
        <v>C5070</v>
      </c>
      <c r="B154" s="56" t="str">
        <f>VLOOKUP($A154,SiteAttendu!$A$2:$C$366,2,0)</f>
        <v>DISTRICT SANITAIRE TAI</v>
      </c>
      <c r="C154" s="57" t="str">
        <f>VLOOKUP($A154,SiteAttendu!$A$2:$C$366,3,0)</f>
        <v>CAVALLY</v>
      </c>
      <c r="D154" s="58">
        <f>IF(VLOOKUP($A154,SiteAttendu!$A$2:$P$366,4,0)="NA","NA",COUNTIFS(soccode,A154,socprog,"PNLS/ANTIRETROVIRAUX ET IO",soctrans,"OUI"))</f>
        <v>1</v>
      </c>
      <c r="E154" s="58">
        <f>IF(VLOOKUP($A154,SiteAttendu!$A$2:$P$366,5,0)="NA","NA",COUNTIFS(soccode,A154,socprog,"PNLS/TESTS RAPIDES ET CONSOMMABLES",soctrans,"OUI"))</f>
        <v>1</v>
      </c>
      <c r="F154" s="58" t="str">
        <f>IF(VLOOKUP($A154,SiteAttendu!$A$2:$P$366,6,0)="NA","NA",COUNTIFS(soccode,A154,socprog,"PNLS/PRODUITS DE LABORATOIRE",soctrans,"OUI"))</f>
        <v>NA</v>
      </c>
      <c r="G154" s="58" t="str">
        <f>IF(VLOOKUP($A154,SiteAttendu!$A$2:$P$366,7,0)="NA","NA",COUNTIFS(soccode,A154,socprog,"PNLS/CHARGES VIRALES",soctrans,"OUI"))</f>
        <v>NA</v>
      </c>
      <c r="H154" s="58">
        <f>IF(VLOOKUP($A154,SiteAttendu!$A$2:$P$366,9,0)="NA","NA",COUNTIFS(soccode,A154,socprog,"PNLP/MEDICAMENTS ET INTRANTS",soctrans,"OUI"))</f>
        <v>1</v>
      </c>
      <c r="I154" s="59">
        <f>IF(VLOOKUP($A154,SiteAttendu!$A$2:$P$366,10,0)="NA","NA",COUNTIFS(soccode,$A154,socprog,"PNSME/MEDICAMENTS ET INTRANTS",soctrans,"OUI"))</f>
        <v>1</v>
      </c>
      <c r="J154" s="58">
        <f>IF(VLOOKUP($A154,SiteAttendu!$A$2:$P$366,11,0)="NA","NA",COUNTIFS(soccode,$A154,socprog,"PNN/MEDICAMENTS ET INTRANTS",soctrans,"OUI"))</f>
        <v>1</v>
      </c>
      <c r="K154" s="58">
        <f>IF(VLOOKUP($A154,SiteAttendu!$A$2:$O$366,15,0)="NA","NA",IF(COUNTIF(socprog,"PNLT/SENSIBLE MEDICAMENTS ET INTRANTS")=0,"NA",COUNTIFS(soccode,$A154,socprog,"PNLT/SENSIBLE MEDICAMENTS ET INTRANTS",soctrans,"OUI")))</f>
        <v>1</v>
      </c>
      <c r="L154" s="60"/>
      <c r="M154" s="60">
        <f t="shared" ref="M154:S154" si="156">IFERROR(SUMIFS(E$2:E$364,$C$2:$C$364,$C154)/COUNTIFS(E$2:E$364,"&lt;&gt;NA",$C$2:$C$364,$C154),"")</f>
        <v>1</v>
      </c>
      <c r="N154" s="60">
        <f t="shared" si="156"/>
        <v>1</v>
      </c>
      <c r="O154" s="60">
        <f t="shared" si="156"/>
        <v>1</v>
      </c>
      <c r="P154" s="60">
        <f t="shared" si="156"/>
        <v>1</v>
      </c>
      <c r="Q154" s="60">
        <f t="shared" si="156"/>
        <v>1</v>
      </c>
      <c r="R154" s="60">
        <f t="shared" si="156"/>
        <v>1</v>
      </c>
      <c r="S154" s="60">
        <f t="shared" si="156"/>
        <v>1</v>
      </c>
      <c r="T154" s="61">
        <f t="shared" si="3"/>
        <v>1</v>
      </c>
      <c r="U154" s="53">
        <f t="shared" si="4"/>
        <v>2</v>
      </c>
      <c r="V154" s="54">
        <f t="shared" si="5"/>
        <v>2</v>
      </c>
    </row>
    <row r="155" ht="15.75" customHeight="1">
      <c r="A155" s="55" t="str">
        <f>SiteAttendu!$A155</f>
        <v>C5085</v>
      </c>
      <c r="B155" s="56" t="str">
        <f>VLOOKUP($A155,SiteAttendu!$A$2:$C$366,2,0)</f>
        <v>HOPITAL GENERAL TAI</v>
      </c>
      <c r="C155" s="57" t="str">
        <f>VLOOKUP($A155,SiteAttendu!$A$2:$C$366,3,0)</f>
        <v>CAVALLY</v>
      </c>
      <c r="D155" s="58">
        <f>IF(VLOOKUP($A155,SiteAttendu!$A$2:$P$366,4,0)="NA","NA",COUNTIFS(soccode,A155,socprog,"PNLS/ANTIRETROVIRAUX ET IO",soctrans,"OUI"))</f>
        <v>1</v>
      </c>
      <c r="E155" s="58">
        <f>IF(VLOOKUP($A155,SiteAttendu!$A$2:$P$366,5,0)="NA","NA",COUNTIFS(soccode,A155,socprog,"PNLS/TESTS RAPIDES ET CONSOMMABLES",soctrans,"OUI"))</f>
        <v>1</v>
      </c>
      <c r="F155" s="58">
        <f>IF(VLOOKUP($A155,SiteAttendu!$A$2:$P$366,6,0)="NA","NA",COUNTIFS(soccode,A155,socprog,"PNLS/PRODUITS DE LABORATOIRE",soctrans,"OUI"))</f>
        <v>1</v>
      </c>
      <c r="G155" s="58" t="str">
        <f>IF(VLOOKUP($A155,SiteAttendu!$A$2:$P$366,7,0)="NA","NA",COUNTIFS(soccode,A155,socprog,"PNLS/CHARGES VIRALES",soctrans,"OUI"))</f>
        <v>NA</v>
      </c>
      <c r="H155" s="58">
        <f>IF(VLOOKUP($A155,SiteAttendu!$A$2:$P$366,9,0)="NA","NA",COUNTIFS(soccode,A155,socprog,"PNLP/MEDICAMENTS ET INTRANTS",soctrans,"OUI"))</f>
        <v>1</v>
      </c>
      <c r="I155" s="59">
        <f>IF(VLOOKUP($A155,SiteAttendu!$A$2:$P$366,10,0)="NA","NA",COUNTIFS(soccode,$A155,socprog,"PNSME/MEDICAMENTS ET INTRANTS",soctrans,"OUI"))</f>
        <v>1</v>
      </c>
      <c r="J155" s="58">
        <f>IF(VLOOKUP($A155,SiteAttendu!$A$2:$P$366,11,0)="NA","NA",COUNTIFS(soccode,$A155,socprog,"PNN/MEDICAMENTS ET INTRANTS",soctrans,"OUI"))</f>
        <v>1</v>
      </c>
      <c r="K155" s="58">
        <f>IF(VLOOKUP($A155,SiteAttendu!$A$2:$O$366,15,0)="NA","NA",IF(COUNTIF(socprog,"PNLT/SENSIBLE MEDICAMENTS ET INTRANTS")=0,"NA",COUNTIFS(soccode,$A155,socprog,"PNLT/SENSIBLE MEDICAMENTS ET INTRANTS",soctrans,"OUI")))</f>
        <v>1</v>
      </c>
      <c r="L155" s="60"/>
      <c r="M155" s="60">
        <f t="shared" ref="M155:S155" si="157">IFERROR(SUMIFS(E$2:E$364,$C$2:$C$364,$C155)/COUNTIFS(E$2:E$364,"&lt;&gt;NA",$C$2:$C$364,$C155),"")</f>
        <v>1</v>
      </c>
      <c r="N155" s="60">
        <f t="shared" si="157"/>
        <v>1</v>
      </c>
      <c r="O155" s="60">
        <f t="shared" si="157"/>
        <v>1</v>
      </c>
      <c r="P155" s="60">
        <f t="shared" si="157"/>
        <v>1</v>
      </c>
      <c r="Q155" s="60">
        <f t="shared" si="157"/>
        <v>1</v>
      </c>
      <c r="R155" s="60">
        <f t="shared" si="157"/>
        <v>1</v>
      </c>
      <c r="S155" s="60">
        <f t="shared" si="157"/>
        <v>1</v>
      </c>
      <c r="T155" s="61">
        <f t="shared" si="3"/>
        <v>1</v>
      </c>
      <c r="U155" s="53">
        <f t="shared" si="4"/>
        <v>3</v>
      </c>
      <c r="V155" s="54">
        <f t="shared" si="5"/>
        <v>3</v>
      </c>
    </row>
    <row r="156" ht="15.75" customHeight="1">
      <c r="A156" s="55" t="str">
        <f>SiteAttendu!$A156</f>
        <v>C5014</v>
      </c>
      <c r="B156" s="56" t="str">
        <f>VLOOKUP($A156,SiteAttendu!$A$2:$C$366,2,0)</f>
        <v>DISTRICT SANITAIRE TOULEPLEU</v>
      </c>
      <c r="C156" s="57" t="str">
        <f>VLOOKUP($A156,SiteAttendu!$A$2:$C$366,3,0)</f>
        <v>CAVALLY</v>
      </c>
      <c r="D156" s="58">
        <f>IF(VLOOKUP($A156,SiteAttendu!$A$2:$P$366,4,0)="NA","NA",COUNTIFS(soccode,A156,socprog,"PNLS/ANTIRETROVIRAUX ET IO",soctrans,"OUI"))</f>
        <v>1</v>
      </c>
      <c r="E156" s="58">
        <f>IF(VLOOKUP($A156,SiteAttendu!$A$2:$P$366,5,0)="NA","NA",COUNTIFS(soccode,A156,socprog,"PNLS/TESTS RAPIDES ET CONSOMMABLES",soctrans,"OUI"))</f>
        <v>1</v>
      </c>
      <c r="F156" s="58" t="str">
        <f>IF(VLOOKUP($A156,SiteAttendu!$A$2:$P$366,6,0)="NA","NA",COUNTIFS(soccode,A156,socprog,"PNLS/PRODUITS DE LABORATOIRE",soctrans,"OUI"))</f>
        <v>NA</v>
      </c>
      <c r="G156" s="58" t="str">
        <f>IF(VLOOKUP($A156,SiteAttendu!$A$2:$P$366,7,0)="NA","NA",COUNTIFS(soccode,A156,socprog,"PNLS/CHARGES VIRALES",soctrans,"OUI"))</f>
        <v>NA</v>
      </c>
      <c r="H156" s="58">
        <f>IF(VLOOKUP($A156,SiteAttendu!$A$2:$P$366,9,0)="NA","NA",COUNTIFS(soccode,A156,socprog,"PNLP/MEDICAMENTS ET INTRANTS",soctrans,"OUI"))</f>
        <v>1</v>
      </c>
      <c r="I156" s="59">
        <f>IF(VLOOKUP($A156,SiteAttendu!$A$2:$P$366,10,0)="NA","NA",COUNTIFS(soccode,$A156,socprog,"PNSME/MEDICAMENTS ET INTRANTS",soctrans,"OUI"))</f>
        <v>1</v>
      </c>
      <c r="J156" s="58">
        <f>IF(VLOOKUP($A156,SiteAttendu!$A$2:$P$366,11,0)="NA","NA",COUNTIFS(soccode,$A156,socprog,"PNN/MEDICAMENTS ET INTRANTS",soctrans,"OUI"))</f>
        <v>1</v>
      </c>
      <c r="K156" s="58">
        <f>IF(VLOOKUP($A156,SiteAttendu!$A$2:$O$366,15,0)="NA","NA",IF(COUNTIF(socprog,"PNLT/SENSIBLE MEDICAMENTS ET INTRANTS")=0,"NA",COUNTIFS(soccode,$A156,socprog,"PNLT/SENSIBLE MEDICAMENTS ET INTRANTS",soctrans,"OUI")))</f>
        <v>1</v>
      </c>
      <c r="L156" s="60"/>
      <c r="M156" s="60">
        <f t="shared" ref="M156:S156" si="158">IFERROR(SUMIFS(E$2:E$364,$C$2:$C$364,$C156)/COUNTIFS(E$2:E$364,"&lt;&gt;NA",$C$2:$C$364,$C156),"")</f>
        <v>1</v>
      </c>
      <c r="N156" s="60">
        <f t="shared" si="158"/>
        <v>1</v>
      </c>
      <c r="O156" s="60">
        <f t="shared" si="158"/>
        <v>1</v>
      </c>
      <c r="P156" s="60">
        <f t="shared" si="158"/>
        <v>1</v>
      </c>
      <c r="Q156" s="60">
        <f t="shared" si="158"/>
        <v>1</v>
      </c>
      <c r="R156" s="60">
        <f t="shared" si="158"/>
        <v>1</v>
      </c>
      <c r="S156" s="60">
        <f t="shared" si="158"/>
        <v>1</v>
      </c>
      <c r="T156" s="61">
        <f t="shared" si="3"/>
        <v>1</v>
      </c>
      <c r="U156" s="53">
        <f t="shared" si="4"/>
        <v>2</v>
      </c>
      <c r="V156" s="54">
        <f t="shared" si="5"/>
        <v>2</v>
      </c>
    </row>
    <row r="157" ht="16.5" customHeight="1">
      <c r="A157" s="62" t="str">
        <f>SiteAttendu!$A157</f>
        <v>C5021</v>
      </c>
      <c r="B157" s="63" t="str">
        <f>VLOOKUP($A157,SiteAttendu!$A$2:$C$366,2,0)</f>
        <v>HOPITAL GENERAL TOULEPLEU</v>
      </c>
      <c r="C157" s="64" t="str">
        <f>VLOOKUP($A157,SiteAttendu!$A$2:$C$366,3,0)</f>
        <v>CAVALLY</v>
      </c>
      <c r="D157" s="65">
        <f>IF(VLOOKUP($A157,SiteAttendu!$A$2:$P$366,4,0)="NA","NA",COUNTIFS(soccode,A157,socprog,"PNLS/ANTIRETROVIRAUX ET IO",soctrans,"OUI"))</f>
        <v>1</v>
      </c>
      <c r="E157" s="65">
        <f>IF(VLOOKUP($A157,SiteAttendu!$A$2:$P$366,5,0)="NA","NA",COUNTIFS(soccode,A157,socprog,"PNLS/TESTS RAPIDES ET CONSOMMABLES",soctrans,"OUI"))</f>
        <v>1</v>
      </c>
      <c r="F157" s="65">
        <f>IF(VLOOKUP($A157,SiteAttendu!$A$2:$P$366,6,0)="NA","NA",COUNTIFS(soccode,A157,socprog,"PNLS/PRODUITS DE LABORATOIRE",soctrans,"OUI"))</f>
        <v>1</v>
      </c>
      <c r="G157" s="65" t="str">
        <f>IF(VLOOKUP($A157,SiteAttendu!$A$2:$P$366,7,0)="NA","NA",COUNTIFS(soccode,A157,socprog,"PNLS/CHARGES VIRALES",soctrans,"OUI"))</f>
        <v>NA</v>
      </c>
      <c r="H157" s="65">
        <f>IF(VLOOKUP($A157,SiteAttendu!$A$2:$P$366,9,0)="NA","NA",COUNTIFS(soccode,A157,socprog,"PNLP/MEDICAMENTS ET INTRANTS",soctrans,"OUI"))</f>
        <v>1</v>
      </c>
      <c r="I157" s="66">
        <f>IF(VLOOKUP($A157,SiteAttendu!$A$2:$P$366,10,0)="NA","NA",COUNTIFS(soccode,$A157,socprog,"PNSME/MEDICAMENTS ET INTRANTS",soctrans,"OUI"))</f>
        <v>1</v>
      </c>
      <c r="J157" s="65">
        <f>IF(VLOOKUP($A157,SiteAttendu!$A$2:$P$366,11,0)="NA","NA",COUNTIFS(soccode,$A157,socprog,"PNN/MEDICAMENTS ET INTRANTS",soctrans,"OUI"))</f>
        <v>1</v>
      </c>
      <c r="K157" s="65" t="str">
        <f>IF(VLOOKUP($A157,SiteAttendu!$A$2:$O$366,15,0)="NA","NA",IF(COUNTIF(socprog,"PNLT/SENSIBLE MEDICAMENTS ET INTRANTS")=0,"NA",COUNTIFS(soccode,$A157,socprog,"PNLT/SENSIBLE MEDICAMENTS ET INTRANTS",soctrans,"OUI")))</f>
        <v>NA</v>
      </c>
      <c r="L157" s="67"/>
      <c r="M157" s="67">
        <f t="shared" ref="M157:S157" si="159">IFERROR(SUMIFS(E$2:E$364,$C$2:$C$364,$C157)/COUNTIFS(E$2:E$364,"&lt;&gt;NA",$C$2:$C$364,$C157),"")</f>
        <v>1</v>
      </c>
      <c r="N157" s="67">
        <f t="shared" si="159"/>
        <v>1</v>
      </c>
      <c r="O157" s="67">
        <f t="shared" si="159"/>
        <v>1</v>
      </c>
      <c r="P157" s="67">
        <f t="shared" si="159"/>
        <v>1</v>
      </c>
      <c r="Q157" s="67">
        <f t="shared" si="159"/>
        <v>1</v>
      </c>
      <c r="R157" s="67">
        <f t="shared" si="159"/>
        <v>1</v>
      </c>
      <c r="S157" s="67">
        <f t="shared" si="159"/>
        <v>1</v>
      </c>
      <c r="T157" s="68">
        <f t="shared" si="3"/>
        <v>1</v>
      </c>
      <c r="U157" s="53">
        <f t="shared" si="4"/>
        <v>3</v>
      </c>
      <c r="V157" s="54">
        <f t="shared" si="5"/>
        <v>3</v>
      </c>
    </row>
    <row r="158" ht="15.75" customHeight="1">
      <c r="A158" s="46" t="str">
        <f>SiteAttendu!$A158</f>
        <v>C5074</v>
      </c>
      <c r="B158" s="47" t="str">
        <f>VLOOKUP($A158,SiteAttendu!$A$2:$C$366,2,0)</f>
        <v>HOPITAL GENERAL KANIASSO</v>
      </c>
      <c r="C158" s="48" t="str">
        <f>VLOOKUP($A158,SiteAttendu!$A$2:$C$366,3,0)</f>
        <v>FOLON</v>
      </c>
      <c r="D158" s="49">
        <f>IF(VLOOKUP($A158,SiteAttendu!$A$2:$P$366,4,0)="NA","NA",COUNTIFS(soccode,A158,socprog,"PNLS/ANTIRETROVIRAUX ET IO",soctrans,"OUI"))</f>
        <v>1</v>
      </c>
      <c r="E158" s="49">
        <f>IF(VLOOKUP($A158,SiteAttendu!$A$2:$P$366,5,0)="NA","NA",COUNTIFS(soccode,A158,socprog,"PNLS/TESTS RAPIDES ET CONSOMMABLES",soctrans,"OUI"))</f>
        <v>1</v>
      </c>
      <c r="F158" s="49" t="str">
        <f>IF(VLOOKUP($A158,SiteAttendu!$A$2:$P$366,6,0)="NA","NA",COUNTIFS(soccode,A158,socprog,"PNLS/PRODUITS DE LABORATOIRE",soctrans,"OUI"))</f>
        <v>NA</v>
      </c>
      <c r="G158" s="49" t="str">
        <f>IF(VLOOKUP($A158,SiteAttendu!$A$2:$P$366,7,0)="NA","NA",COUNTIFS(soccode,A158,socprog,"PNLS/CHARGES VIRALES",soctrans,"OUI"))</f>
        <v>NA</v>
      </c>
      <c r="H158" s="49">
        <f>IF(VLOOKUP($A158,SiteAttendu!$A$2:$P$366,9,0)="NA","NA",COUNTIFS(soccode,A158,socprog,"PNLP/MEDICAMENTS ET INTRANTS",soctrans,"OUI"))</f>
        <v>1</v>
      </c>
      <c r="I158" s="50">
        <f>IF(VLOOKUP($A158,SiteAttendu!$A$2:$P$366,10,0)="NA","NA",COUNTIFS(soccode,$A158,socprog,"PNSME/MEDICAMENTS ET INTRANTS",soctrans,"OUI"))</f>
        <v>1</v>
      </c>
      <c r="J158" s="49">
        <f>IF(VLOOKUP($A158,SiteAttendu!$A$2:$P$366,11,0)="NA","NA",COUNTIFS(soccode,$A158,socprog,"PNN/MEDICAMENTS ET INTRANTS",soctrans,"OUI"))</f>
        <v>1</v>
      </c>
      <c r="K158" s="49" t="str">
        <f>IF(VLOOKUP($A158,SiteAttendu!$A$2:$O$366,15,0)="NA","NA",IF(COUNTIF(socprog,"PNLT/SENSIBLE MEDICAMENTS ET INTRANTS")=0,"NA",COUNTIFS(soccode,$A158,socprog,"PNLT/SENSIBLE MEDICAMENTS ET INTRANTS",soctrans,"OUI")))</f>
        <v>NA</v>
      </c>
      <c r="L158" s="51">
        <f t="shared" ref="L158:S158" si="160">IFERROR(SUMIFS(D$2:D$364,$C$2:$C$364,$C158)/COUNTIFS(D$2:D$364,"&lt;&gt;NA",$C$2:$C$364,$C158),"")</f>
        <v>1</v>
      </c>
      <c r="M158" s="51">
        <f t="shared" si="160"/>
        <v>1</v>
      </c>
      <c r="N158" s="51" t="str">
        <f t="shared" si="160"/>
        <v/>
      </c>
      <c r="O158" s="51" t="str">
        <f t="shared" si="160"/>
        <v/>
      </c>
      <c r="P158" s="51">
        <f t="shared" si="160"/>
        <v>1</v>
      </c>
      <c r="Q158" s="51">
        <f t="shared" si="160"/>
        <v>1</v>
      </c>
      <c r="R158" s="51">
        <f t="shared" si="160"/>
        <v>1</v>
      </c>
      <c r="S158" s="51">
        <f t="shared" si="160"/>
        <v>0.6666666667</v>
      </c>
      <c r="T158" s="52">
        <f t="shared" si="3"/>
        <v>1</v>
      </c>
      <c r="U158" s="53">
        <f t="shared" si="4"/>
        <v>2</v>
      </c>
      <c r="V158" s="54">
        <f t="shared" si="5"/>
        <v>2</v>
      </c>
    </row>
    <row r="159" ht="15.75" customHeight="1">
      <c r="A159" s="55" t="str">
        <f>SiteAttendu!$A159</f>
        <v>C5082</v>
      </c>
      <c r="B159" s="56" t="str">
        <f>VLOOKUP($A159,SiteAttendu!$A$2:$C$366,2,0)</f>
        <v>DISTRICT SANITAIRE KANIASSO</v>
      </c>
      <c r="C159" s="57" t="str">
        <f>VLOOKUP($A159,SiteAttendu!$A$2:$C$366,3,0)</f>
        <v>FOLON</v>
      </c>
      <c r="D159" s="58">
        <f>IF(VLOOKUP($A159,SiteAttendu!$A$2:$P$366,4,0)="NA","NA",COUNTIFS(soccode,A159,socprog,"PNLS/ANTIRETROVIRAUX ET IO",soctrans,"OUI"))</f>
        <v>1</v>
      </c>
      <c r="E159" s="58">
        <f>IF(VLOOKUP($A159,SiteAttendu!$A$2:$P$366,5,0)="NA","NA",COUNTIFS(soccode,A159,socprog,"PNLS/TESTS RAPIDES ET CONSOMMABLES",soctrans,"OUI"))</f>
        <v>1</v>
      </c>
      <c r="F159" s="58" t="str">
        <f>IF(VLOOKUP($A159,SiteAttendu!$A$2:$P$366,6,0)="NA","NA",COUNTIFS(soccode,A159,socprog,"PNLS/PRODUITS DE LABORATOIRE",soctrans,"OUI"))</f>
        <v>NA</v>
      </c>
      <c r="G159" s="58" t="str">
        <f>IF(VLOOKUP($A159,SiteAttendu!$A$2:$P$366,7,0)="NA","NA",COUNTIFS(soccode,A159,socprog,"PNLS/CHARGES VIRALES",soctrans,"OUI"))</f>
        <v>NA</v>
      </c>
      <c r="H159" s="58">
        <f>IF(VLOOKUP($A159,SiteAttendu!$A$2:$P$366,9,0)="NA","NA",COUNTIFS(soccode,A159,socprog,"PNLP/MEDICAMENTS ET INTRANTS",soctrans,"OUI"))</f>
        <v>1</v>
      </c>
      <c r="I159" s="59">
        <f>IF(VLOOKUP($A159,SiteAttendu!$A$2:$P$366,10,0)="NA","NA",COUNTIFS(soccode,$A159,socprog,"PNSME/MEDICAMENTS ET INTRANTS",soctrans,"OUI"))</f>
        <v>1</v>
      </c>
      <c r="J159" s="58">
        <f>IF(VLOOKUP($A159,SiteAttendu!$A$2:$P$366,11,0)="NA","NA",COUNTIFS(soccode,$A159,socprog,"PNN/MEDICAMENTS ET INTRANTS",soctrans,"OUI"))</f>
        <v>1</v>
      </c>
      <c r="K159" s="58">
        <f>IF(VLOOKUP($A159,SiteAttendu!$A$2:$O$366,15,0)="NA","NA",IF(COUNTIF(socprog,"PNLT/SENSIBLE MEDICAMENTS ET INTRANTS")=0,"NA",COUNTIFS(soccode,$A159,socprog,"PNLT/SENSIBLE MEDICAMENTS ET INTRANTS",soctrans,"OUI")))</f>
        <v>1</v>
      </c>
      <c r="L159" s="60"/>
      <c r="M159" s="60">
        <f t="shared" ref="M159:S159" si="161">IFERROR(SUMIFS(E$2:E$364,$C$2:$C$364,$C159)/COUNTIFS(E$2:E$364,"&lt;&gt;NA",$C$2:$C$364,$C159),"")</f>
        <v>1</v>
      </c>
      <c r="N159" s="60" t="str">
        <f t="shared" si="161"/>
        <v/>
      </c>
      <c r="O159" s="60" t="str">
        <f t="shared" si="161"/>
        <v/>
      </c>
      <c r="P159" s="60">
        <f t="shared" si="161"/>
        <v>1</v>
      </c>
      <c r="Q159" s="60">
        <f t="shared" si="161"/>
        <v>1</v>
      </c>
      <c r="R159" s="60">
        <f t="shared" si="161"/>
        <v>1</v>
      </c>
      <c r="S159" s="60">
        <f t="shared" si="161"/>
        <v>0.6666666667</v>
      </c>
      <c r="T159" s="61">
        <f t="shared" si="3"/>
        <v>1</v>
      </c>
      <c r="U159" s="53">
        <f t="shared" si="4"/>
        <v>2</v>
      </c>
      <c r="V159" s="54">
        <f t="shared" si="5"/>
        <v>2</v>
      </c>
    </row>
    <row r="160" ht="15.75" customHeight="1">
      <c r="A160" s="55" t="str">
        <f>SiteAttendu!$A160</f>
        <v>C5038</v>
      </c>
      <c r="B160" s="56" t="str">
        <f>VLOOKUP($A160,SiteAttendu!$A$2:$C$366,2,0)</f>
        <v>DISTRICT SANITAIRE MINIGNAN</v>
      </c>
      <c r="C160" s="57" t="str">
        <f>VLOOKUP($A160,SiteAttendu!$A$2:$C$366,3,0)</f>
        <v>FOLON</v>
      </c>
      <c r="D160" s="58">
        <f>IF(VLOOKUP($A160,SiteAttendu!$A$2:$P$366,4,0)="NA","NA",COUNTIFS(soccode,A160,socprog,"PNLS/ANTIRETROVIRAUX ET IO",soctrans,"OUI"))</f>
        <v>1</v>
      </c>
      <c r="E160" s="58">
        <f>IF(VLOOKUP($A160,SiteAttendu!$A$2:$P$366,5,0)="NA","NA",COUNTIFS(soccode,A160,socprog,"PNLS/TESTS RAPIDES ET CONSOMMABLES",soctrans,"OUI"))</f>
        <v>1</v>
      </c>
      <c r="F160" s="58" t="str">
        <f>IF(VLOOKUP($A160,SiteAttendu!$A$2:$P$366,6,0)="NA","NA",COUNTIFS(soccode,A160,socprog,"PNLS/PRODUITS DE LABORATOIRE",soctrans,"OUI"))</f>
        <v>NA</v>
      </c>
      <c r="G160" s="58" t="str">
        <f>IF(VLOOKUP($A160,SiteAttendu!$A$2:$P$366,7,0)="NA","NA",COUNTIFS(soccode,A160,socprog,"PNLS/CHARGES VIRALES",soctrans,"OUI"))</f>
        <v>NA</v>
      </c>
      <c r="H160" s="58">
        <f>IF(VLOOKUP($A160,SiteAttendu!$A$2:$P$366,9,0)="NA","NA",COUNTIFS(soccode,A160,socprog,"PNLP/MEDICAMENTS ET INTRANTS",soctrans,"OUI"))</f>
        <v>1</v>
      </c>
      <c r="I160" s="59">
        <f>IF(VLOOKUP($A160,SiteAttendu!$A$2:$P$366,10,0)="NA","NA",COUNTIFS(soccode,$A160,socprog,"PNSME/MEDICAMENTS ET INTRANTS",soctrans,"OUI"))</f>
        <v>1</v>
      </c>
      <c r="J160" s="58">
        <f>IF(VLOOKUP($A160,SiteAttendu!$A$2:$P$366,11,0)="NA","NA",COUNTIFS(soccode,$A160,socprog,"PNN/MEDICAMENTS ET INTRANTS",soctrans,"OUI"))</f>
        <v>1</v>
      </c>
      <c r="K160" s="58">
        <f>IF(VLOOKUP($A160,SiteAttendu!$A$2:$O$366,15,0)="NA","NA",IF(COUNTIF(socprog,"PNLT/SENSIBLE MEDICAMENTS ET INTRANTS")=0,"NA",COUNTIFS(soccode,$A160,socprog,"PNLT/SENSIBLE MEDICAMENTS ET INTRANTS",soctrans,"OUI")))</f>
        <v>1</v>
      </c>
      <c r="L160" s="60"/>
      <c r="M160" s="60">
        <f t="shared" ref="M160:S160" si="162">IFERROR(SUMIFS(E$2:E$364,$C$2:$C$364,$C160)/COUNTIFS(E$2:E$364,"&lt;&gt;NA",$C$2:$C$364,$C160),"")</f>
        <v>1</v>
      </c>
      <c r="N160" s="60" t="str">
        <f t="shared" si="162"/>
        <v/>
      </c>
      <c r="O160" s="60" t="str">
        <f t="shared" si="162"/>
        <v/>
      </c>
      <c r="P160" s="60">
        <f t="shared" si="162"/>
        <v>1</v>
      </c>
      <c r="Q160" s="60">
        <f t="shared" si="162"/>
        <v>1</v>
      </c>
      <c r="R160" s="60">
        <f t="shared" si="162"/>
        <v>1</v>
      </c>
      <c r="S160" s="60">
        <f t="shared" si="162"/>
        <v>0.6666666667</v>
      </c>
      <c r="T160" s="61">
        <f t="shared" si="3"/>
        <v>1</v>
      </c>
      <c r="U160" s="53">
        <f t="shared" si="4"/>
        <v>2</v>
      </c>
      <c r="V160" s="54">
        <f t="shared" si="5"/>
        <v>2</v>
      </c>
    </row>
    <row r="161" ht="15.75" customHeight="1">
      <c r="A161" s="62" t="str">
        <f>SiteAttendu!$A161</f>
        <v>C5066</v>
      </c>
      <c r="B161" s="63" t="str">
        <f>VLOOKUP($A161,SiteAttendu!$A$2:$C$366,2,0)</f>
        <v>HOPITAL GENERAL MINIGNAN</v>
      </c>
      <c r="C161" s="64" t="str">
        <f>VLOOKUP($A161,SiteAttendu!$A$2:$C$366,3,0)</f>
        <v>FOLON</v>
      </c>
      <c r="D161" s="65">
        <f>IF(VLOOKUP($A161,SiteAttendu!$A$2:$P$366,4,0)="NA","NA",COUNTIFS(soccode,A161,socprog,"PNLS/ANTIRETROVIRAUX ET IO",soctrans,"OUI"))</f>
        <v>1</v>
      </c>
      <c r="E161" s="65">
        <f>IF(VLOOKUP($A161,SiteAttendu!$A$2:$P$366,5,0)="NA","NA",COUNTIFS(soccode,A161,socprog,"PNLS/TESTS RAPIDES ET CONSOMMABLES",soctrans,"OUI"))</f>
        <v>1</v>
      </c>
      <c r="F161" s="65" t="str">
        <f>IF(VLOOKUP($A161,SiteAttendu!$A$2:$P$366,6,0)="NA","NA",COUNTIFS(soccode,A161,socprog,"PNLS/PRODUITS DE LABORATOIRE",soctrans,"OUI"))</f>
        <v>NA</v>
      </c>
      <c r="G161" s="65" t="str">
        <f>IF(VLOOKUP($A161,SiteAttendu!$A$2:$P$366,7,0)="NA","NA",COUNTIFS(soccode,A161,socprog,"PNLS/CHARGES VIRALES",soctrans,"OUI"))</f>
        <v>NA</v>
      </c>
      <c r="H161" s="65">
        <f>IF(VLOOKUP($A161,SiteAttendu!$A$2:$P$366,9,0)="NA","NA",COUNTIFS(soccode,A161,socprog,"PNLP/MEDICAMENTS ET INTRANTS",soctrans,"OUI"))</f>
        <v>1</v>
      </c>
      <c r="I161" s="66">
        <f>IF(VLOOKUP($A161,SiteAttendu!$A$2:$P$366,10,0)="NA","NA",COUNTIFS(soccode,$A161,socprog,"PNSME/MEDICAMENTS ET INTRANTS",soctrans,"OUI"))</f>
        <v>1</v>
      </c>
      <c r="J161" s="65">
        <f>IF(VLOOKUP($A161,SiteAttendu!$A$2:$P$366,11,0)="NA","NA",COUNTIFS(soccode,$A161,socprog,"PNN/MEDICAMENTS ET INTRANTS",soctrans,"OUI"))</f>
        <v>1</v>
      </c>
      <c r="K161" s="65">
        <f>IF(VLOOKUP($A161,SiteAttendu!$A$2:$O$366,15,0)="NA","NA",IF(COUNTIF(socprog,"PNLT/SENSIBLE MEDICAMENTS ET INTRANTS")=0,"NA",COUNTIFS(soccode,$A161,socprog,"PNLT/SENSIBLE MEDICAMENTS ET INTRANTS",soctrans,"OUI")))</f>
        <v>0</v>
      </c>
      <c r="L161" s="67"/>
      <c r="M161" s="67">
        <f t="shared" ref="M161:S161" si="163">IFERROR(SUMIFS(E$2:E$364,$C$2:$C$364,$C161)/COUNTIFS(E$2:E$364,"&lt;&gt;NA",$C$2:$C$364,$C161),"")</f>
        <v>1</v>
      </c>
      <c r="N161" s="67" t="str">
        <f t="shared" si="163"/>
        <v/>
      </c>
      <c r="O161" s="67" t="str">
        <f t="shared" si="163"/>
        <v/>
      </c>
      <c r="P161" s="67">
        <f t="shared" si="163"/>
        <v>1</v>
      </c>
      <c r="Q161" s="67">
        <f t="shared" si="163"/>
        <v>1</v>
      </c>
      <c r="R161" s="67">
        <f t="shared" si="163"/>
        <v>1</v>
      </c>
      <c r="S161" s="67">
        <f t="shared" si="163"/>
        <v>0.6666666667</v>
      </c>
      <c r="T161" s="68">
        <f t="shared" si="3"/>
        <v>1</v>
      </c>
      <c r="U161" s="53">
        <f t="shared" si="4"/>
        <v>2</v>
      </c>
      <c r="V161" s="54">
        <f t="shared" si="5"/>
        <v>2</v>
      </c>
    </row>
    <row r="162" ht="15.75" customHeight="1">
      <c r="A162" s="46" t="str">
        <f>SiteAttendu!$A162</f>
        <v>C2047</v>
      </c>
      <c r="B162" s="47" t="str">
        <f>VLOOKUP($A162,SiteAttendu!$A$2:$C$366,2,0)</f>
        <v>HOPITAL GENERAL BEOUMI</v>
      </c>
      <c r="C162" s="48" t="str">
        <f>VLOOKUP($A162,SiteAttendu!$A$2:$C$366,3,0)</f>
        <v>GBEKE</v>
      </c>
      <c r="D162" s="49">
        <f>IF(VLOOKUP($A162,SiteAttendu!$A$2:$P$366,4,0)="NA","NA",COUNTIFS(soccode,A162,socprog,"PNLS/ANTIRETROVIRAUX ET IO",soctrans,"OUI"))</f>
        <v>1</v>
      </c>
      <c r="E162" s="49">
        <f>IF(VLOOKUP($A162,SiteAttendu!$A$2:$P$366,5,0)="NA","NA",COUNTIFS(soccode,A162,socprog,"PNLS/TESTS RAPIDES ET CONSOMMABLES",soctrans,"OUI"))</f>
        <v>1</v>
      </c>
      <c r="F162" s="49">
        <f>IF(VLOOKUP($A162,SiteAttendu!$A$2:$P$366,6,0)="NA","NA",COUNTIFS(soccode,A162,socprog,"PNLS/PRODUITS DE LABORATOIRE",soctrans,"OUI"))</f>
        <v>1</v>
      </c>
      <c r="G162" s="49" t="str">
        <f>IF(VLOOKUP($A162,SiteAttendu!$A$2:$P$366,7,0)="NA","NA",COUNTIFS(soccode,A162,socprog,"PNLS/CHARGES VIRALES",soctrans,"OUI"))</f>
        <v>NA</v>
      </c>
      <c r="H162" s="49">
        <f>IF(VLOOKUP($A162,SiteAttendu!$A$2:$P$366,9,0)="NA","NA",COUNTIFS(soccode,A162,socprog,"PNLP/MEDICAMENTS ET INTRANTS",soctrans,"OUI"))</f>
        <v>1</v>
      </c>
      <c r="I162" s="50">
        <f>IF(VLOOKUP($A162,SiteAttendu!$A$2:$P$366,10,0)="NA","NA",COUNTIFS(soccode,$A162,socprog,"PNSME/MEDICAMENTS ET INTRANTS",soctrans,"OUI"))</f>
        <v>1</v>
      </c>
      <c r="J162" s="49" t="str">
        <f>IF(VLOOKUP($A162,SiteAttendu!$A$2:$P$366,11,0)="NA","NA",COUNTIFS(soccode,$A162,socprog,"PNN/MEDICAMENTS ET INTRANTS",soctrans,"OUI"))</f>
        <v>NA</v>
      </c>
      <c r="K162" s="49">
        <f>IF(VLOOKUP($A162,SiteAttendu!$A$2:$O$366,15,0)="NA","NA",IF(COUNTIF(socprog,"PNLT/SENSIBLE MEDICAMENTS ET INTRANTS")=0,"NA",COUNTIFS(soccode,$A162,socprog,"PNLT/SENSIBLE MEDICAMENTS ET INTRANTS",soctrans,"OUI")))</f>
        <v>1</v>
      </c>
      <c r="L162" s="51">
        <f t="shared" ref="L162:S162" si="164">IFERROR(SUMIFS(D$2:D$364,$C$2:$C$364,$C162)/COUNTIFS(D$2:D$364,"&lt;&gt;NA",$C$2:$C$364,$C162),"")</f>
        <v>1</v>
      </c>
      <c r="M162" s="51">
        <f t="shared" si="164"/>
        <v>1</v>
      </c>
      <c r="N162" s="51">
        <f t="shared" si="164"/>
        <v>1</v>
      </c>
      <c r="O162" s="51">
        <f t="shared" si="164"/>
        <v>1</v>
      </c>
      <c r="P162" s="51">
        <f t="shared" si="164"/>
        <v>1</v>
      </c>
      <c r="Q162" s="51">
        <f t="shared" si="164"/>
        <v>1</v>
      </c>
      <c r="R162" s="51" t="str">
        <f t="shared" si="164"/>
        <v/>
      </c>
      <c r="S162" s="51">
        <f t="shared" si="164"/>
        <v>0.9</v>
      </c>
      <c r="T162" s="52">
        <f t="shared" si="3"/>
        <v>1</v>
      </c>
      <c r="U162" s="53">
        <f t="shared" si="4"/>
        <v>3</v>
      </c>
      <c r="V162" s="54">
        <f t="shared" si="5"/>
        <v>3</v>
      </c>
    </row>
    <row r="163" ht="15.75" customHeight="1">
      <c r="A163" s="55" t="str">
        <f>SiteAttendu!$A163</f>
        <v>C2048</v>
      </c>
      <c r="B163" s="56" t="str">
        <f>VLOOKUP($A163,SiteAttendu!$A$2:$C$366,2,0)</f>
        <v>DISTRICT SANITAIRE BEOUMI</v>
      </c>
      <c r="C163" s="57" t="str">
        <f>VLOOKUP($A163,SiteAttendu!$A$2:$C$366,3,0)</f>
        <v>GBEKE</v>
      </c>
      <c r="D163" s="58">
        <f>IF(VLOOKUP($A163,SiteAttendu!$A$2:$P$366,4,0)="NA","NA",COUNTIFS(soccode,A163,socprog,"PNLS/ANTIRETROVIRAUX ET IO",soctrans,"OUI"))</f>
        <v>1</v>
      </c>
      <c r="E163" s="58">
        <f>IF(VLOOKUP($A163,SiteAttendu!$A$2:$P$366,5,0)="NA","NA",COUNTIFS(soccode,A163,socprog,"PNLS/TESTS RAPIDES ET CONSOMMABLES",soctrans,"OUI"))</f>
        <v>1</v>
      </c>
      <c r="F163" s="58">
        <f>IF(VLOOKUP($A163,SiteAttendu!$A$2:$P$366,6,0)="NA","NA",COUNTIFS(soccode,A163,socprog,"PNLS/PRODUITS DE LABORATOIRE",soctrans,"OUI"))</f>
        <v>1</v>
      </c>
      <c r="G163" s="58" t="str">
        <f>IF(VLOOKUP($A163,SiteAttendu!$A$2:$P$366,7,0)="NA","NA",COUNTIFS(soccode,A163,socprog,"PNLS/CHARGES VIRALES",soctrans,"OUI"))</f>
        <v>NA</v>
      </c>
      <c r="H163" s="58">
        <f>IF(VLOOKUP($A163,SiteAttendu!$A$2:$P$366,9,0)="NA","NA",COUNTIFS(soccode,A163,socprog,"PNLP/MEDICAMENTS ET INTRANTS",soctrans,"OUI"))</f>
        <v>1</v>
      </c>
      <c r="I163" s="59">
        <f>IF(VLOOKUP($A163,SiteAttendu!$A$2:$P$366,10,0)="NA","NA",COUNTIFS(soccode,$A163,socprog,"PNSME/MEDICAMENTS ET INTRANTS",soctrans,"OUI"))</f>
        <v>1</v>
      </c>
      <c r="J163" s="58" t="str">
        <f>IF(VLOOKUP($A163,SiteAttendu!$A$2:$P$366,11,0)="NA","NA",COUNTIFS(soccode,$A163,socprog,"PNN/MEDICAMENTS ET INTRANTS",soctrans,"OUI"))</f>
        <v>NA</v>
      </c>
      <c r="K163" s="58">
        <f>IF(VLOOKUP($A163,SiteAttendu!$A$2:$O$366,15,0)="NA","NA",IF(COUNTIF(socprog,"PNLT/SENSIBLE MEDICAMENTS ET INTRANTS")=0,"NA",COUNTIFS(soccode,$A163,socprog,"PNLT/SENSIBLE MEDICAMENTS ET INTRANTS",soctrans,"OUI")))</f>
        <v>1</v>
      </c>
      <c r="L163" s="60"/>
      <c r="M163" s="60">
        <f t="shared" ref="M163:S163" si="165">IFERROR(SUMIFS(E$2:E$364,$C$2:$C$364,$C163)/COUNTIFS(E$2:E$364,"&lt;&gt;NA",$C$2:$C$364,$C163),"")</f>
        <v>1</v>
      </c>
      <c r="N163" s="60">
        <f t="shared" si="165"/>
        <v>1</v>
      </c>
      <c r="O163" s="60">
        <f t="shared" si="165"/>
        <v>1</v>
      </c>
      <c r="P163" s="60">
        <f t="shared" si="165"/>
        <v>1</v>
      </c>
      <c r="Q163" s="60">
        <f t="shared" si="165"/>
        <v>1</v>
      </c>
      <c r="R163" s="60" t="str">
        <f t="shared" si="165"/>
        <v/>
      </c>
      <c r="S163" s="60">
        <f t="shared" si="165"/>
        <v>0.9</v>
      </c>
      <c r="T163" s="61">
        <f t="shared" si="3"/>
        <v>1</v>
      </c>
      <c r="U163" s="53">
        <f t="shared" si="4"/>
        <v>3</v>
      </c>
      <c r="V163" s="54">
        <f t="shared" si="5"/>
        <v>3</v>
      </c>
    </row>
    <row r="164" ht="15.75" customHeight="1">
      <c r="A164" s="55" t="str">
        <f>SiteAttendu!$A164</f>
        <v>C2222</v>
      </c>
      <c r="B164" s="56" t="str">
        <f>VLOOKUP($A164,SiteAttendu!$A$2:$C$366,2,0)</f>
        <v>DISTRICT SANITAIRE BOTRO</v>
      </c>
      <c r="C164" s="57" t="str">
        <f>VLOOKUP($A164,SiteAttendu!$A$2:$C$366,3,0)</f>
        <v>GBEKE</v>
      </c>
      <c r="D164" s="58">
        <f>IF(VLOOKUP($A164,SiteAttendu!$A$2:$P$366,4,0)="NA","NA",COUNTIFS(soccode,A164,socprog,"PNLS/ANTIRETROVIRAUX ET IO",soctrans,"OUI"))</f>
        <v>1</v>
      </c>
      <c r="E164" s="58">
        <f>IF(VLOOKUP($A164,SiteAttendu!$A$2:$P$366,5,0)="NA","NA",COUNTIFS(soccode,A164,socprog,"PNLS/TESTS RAPIDES ET CONSOMMABLES",soctrans,"OUI"))</f>
        <v>1</v>
      </c>
      <c r="F164" s="58" t="str">
        <f>IF(VLOOKUP($A164,SiteAttendu!$A$2:$P$366,6,0)="NA","NA",COUNTIFS(soccode,A164,socprog,"PNLS/PRODUITS DE LABORATOIRE",soctrans,"OUI"))</f>
        <v>NA</v>
      </c>
      <c r="G164" s="58" t="str">
        <f>IF(VLOOKUP($A164,SiteAttendu!$A$2:$P$366,7,0)="NA","NA",COUNTIFS(soccode,A164,socprog,"PNLS/CHARGES VIRALES",soctrans,"OUI"))</f>
        <v>NA</v>
      </c>
      <c r="H164" s="58">
        <f>IF(VLOOKUP($A164,SiteAttendu!$A$2:$P$366,9,0)="NA","NA",COUNTIFS(soccode,A164,socprog,"PNLP/MEDICAMENTS ET INTRANTS",soctrans,"OUI"))</f>
        <v>1</v>
      </c>
      <c r="I164" s="59">
        <f>IF(VLOOKUP($A164,SiteAttendu!$A$2:$P$366,10,0)="NA","NA",COUNTIFS(soccode,$A164,socprog,"PNSME/MEDICAMENTS ET INTRANTS",soctrans,"OUI"))</f>
        <v>1</v>
      </c>
      <c r="J164" s="58" t="str">
        <f>IF(VLOOKUP($A164,SiteAttendu!$A$2:$P$366,11,0)="NA","NA",COUNTIFS(soccode,$A164,socprog,"PNN/MEDICAMENTS ET INTRANTS",soctrans,"OUI"))</f>
        <v>NA</v>
      </c>
      <c r="K164" s="58">
        <f>IF(VLOOKUP($A164,SiteAttendu!$A$2:$O$366,15,0)="NA","NA",IF(COUNTIF(socprog,"PNLT/SENSIBLE MEDICAMENTS ET INTRANTS")=0,"NA",COUNTIFS(soccode,$A164,socprog,"PNLT/SENSIBLE MEDICAMENTS ET INTRANTS",soctrans,"OUI")))</f>
        <v>1</v>
      </c>
      <c r="L164" s="60"/>
      <c r="M164" s="60">
        <f t="shared" ref="M164:S164" si="166">IFERROR(SUMIFS(E$2:E$364,$C$2:$C$364,$C164)/COUNTIFS(E$2:E$364,"&lt;&gt;NA",$C$2:$C$364,$C164),"")</f>
        <v>1</v>
      </c>
      <c r="N164" s="60">
        <f t="shared" si="166"/>
        <v>1</v>
      </c>
      <c r="O164" s="60">
        <f t="shared" si="166"/>
        <v>1</v>
      </c>
      <c r="P164" s="60">
        <f t="shared" si="166"/>
        <v>1</v>
      </c>
      <c r="Q164" s="60">
        <f t="shared" si="166"/>
        <v>1</v>
      </c>
      <c r="R164" s="60" t="str">
        <f t="shared" si="166"/>
        <v/>
      </c>
      <c r="S164" s="60">
        <f t="shared" si="166"/>
        <v>0.9</v>
      </c>
      <c r="T164" s="61">
        <f t="shared" si="3"/>
        <v>1</v>
      </c>
      <c r="U164" s="53">
        <f t="shared" si="4"/>
        <v>2</v>
      </c>
      <c r="V164" s="54">
        <f t="shared" si="5"/>
        <v>2</v>
      </c>
    </row>
    <row r="165" ht="15.75" customHeight="1">
      <c r="A165" s="55" t="str">
        <f>SiteAttendu!$A165</f>
        <v>C2224</v>
      </c>
      <c r="B165" s="56" t="str">
        <f>VLOOKUP($A165,SiteAttendu!$A$2:$C$366,2,0)</f>
        <v>HOPITAL GENERAL BOTRO</v>
      </c>
      <c r="C165" s="57" t="str">
        <f>VLOOKUP($A165,SiteAttendu!$A$2:$C$366,3,0)</f>
        <v>GBEKE</v>
      </c>
      <c r="D165" s="58">
        <f>IF(VLOOKUP($A165,SiteAttendu!$A$2:$P$366,4,0)="NA","NA",COUNTIFS(soccode,A165,socprog,"PNLS/ANTIRETROVIRAUX ET IO",soctrans,"OUI"))</f>
        <v>1</v>
      </c>
      <c r="E165" s="58">
        <f>IF(VLOOKUP($A165,SiteAttendu!$A$2:$P$366,5,0)="NA","NA",COUNTIFS(soccode,A165,socprog,"PNLS/TESTS RAPIDES ET CONSOMMABLES",soctrans,"OUI"))</f>
        <v>1</v>
      </c>
      <c r="F165" s="58">
        <f>IF(VLOOKUP($A165,SiteAttendu!$A$2:$P$366,6,0)="NA","NA",COUNTIFS(soccode,A165,socprog,"PNLS/PRODUITS DE LABORATOIRE",soctrans,"OUI"))</f>
        <v>1</v>
      </c>
      <c r="G165" s="58" t="str">
        <f>IF(VLOOKUP($A165,SiteAttendu!$A$2:$P$366,7,0)="NA","NA",COUNTIFS(soccode,A165,socprog,"PNLS/CHARGES VIRALES",soctrans,"OUI"))</f>
        <v>NA</v>
      </c>
      <c r="H165" s="58">
        <f>IF(VLOOKUP($A165,SiteAttendu!$A$2:$P$366,9,0)="NA","NA",COUNTIFS(soccode,A165,socprog,"PNLP/MEDICAMENTS ET INTRANTS",soctrans,"OUI"))</f>
        <v>1</v>
      </c>
      <c r="I165" s="59">
        <f>IF(VLOOKUP($A165,SiteAttendu!$A$2:$P$366,10,0)="NA","NA",COUNTIFS(soccode,$A165,socprog,"PNSME/MEDICAMENTS ET INTRANTS",soctrans,"OUI"))</f>
        <v>1</v>
      </c>
      <c r="J165" s="58" t="str">
        <f>IF(VLOOKUP($A165,SiteAttendu!$A$2:$P$366,11,0)="NA","NA",COUNTIFS(soccode,$A165,socprog,"PNN/MEDICAMENTS ET INTRANTS",soctrans,"OUI"))</f>
        <v>NA</v>
      </c>
      <c r="K165" s="58" t="str">
        <f>IF(VLOOKUP($A165,SiteAttendu!$A$2:$O$366,15,0)="NA","NA",IF(COUNTIF(socprog,"PNLT/SENSIBLE MEDICAMENTS ET INTRANTS")=0,"NA",COUNTIFS(soccode,$A165,socprog,"PNLT/SENSIBLE MEDICAMENTS ET INTRANTS",soctrans,"OUI")))</f>
        <v>NA</v>
      </c>
      <c r="L165" s="60"/>
      <c r="M165" s="60">
        <f t="shared" ref="M165:S165" si="167">IFERROR(SUMIFS(E$2:E$364,$C$2:$C$364,$C165)/COUNTIFS(E$2:E$364,"&lt;&gt;NA",$C$2:$C$364,$C165),"")</f>
        <v>1</v>
      </c>
      <c r="N165" s="60">
        <f t="shared" si="167"/>
        <v>1</v>
      </c>
      <c r="O165" s="60">
        <f t="shared" si="167"/>
        <v>1</v>
      </c>
      <c r="P165" s="60">
        <f t="shared" si="167"/>
        <v>1</v>
      </c>
      <c r="Q165" s="60">
        <f t="shared" si="167"/>
        <v>1</v>
      </c>
      <c r="R165" s="60" t="str">
        <f t="shared" si="167"/>
        <v/>
      </c>
      <c r="S165" s="60">
        <f t="shared" si="167"/>
        <v>0.9</v>
      </c>
      <c r="T165" s="61">
        <f t="shared" si="3"/>
        <v>1</v>
      </c>
      <c r="U165" s="53">
        <f t="shared" si="4"/>
        <v>3</v>
      </c>
      <c r="V165" s="54">
        <f t="shared" si="5"/>
        <v>3</v>
      </c>
    </row>
    <row r="166" ht="15.75" customHeight="1">
      <c r="A166" s="55" t="str">
        <f>SiteAttendu!$A166</f>
        <v>C2022</v>
      </c>
      <c r="B166" s="56" t="str">
        <f>VLOOKUP($A166,SiteAttendu!$A$2:$C$366,2,0)</f>
        <v>DISTRICT SANITAIRE BOUAKE EST</v>
      </c>
      <c r="C166" s="57" t="str">
        <f>VLOOKUP($A166,SiteAttendu!$A$2:$C$366,3,0)</f>
        <v>GBEKE</v>
      </c>
      <c r="D166" s="58">
        <f>IF(VLOOKUP($A166,SiteAttendu!$A$2:$P$366,4,0)="NA","NA",COUNTIFS(soccode,A166,socprog,"PNLS/ANTIRETROVIRAUX ET IO",soctrans,"OUI"))</f>
        <v>1</v>
      </c>
      <c r="E166" s="58">
        <f>IF(VLOOKUP($A166,SiteAttendu!$A$2:$P$366,5,0)="NA","NA",COUNTIFS(soccode,A166,socprog,"PNLS/TESTS RAPIDES ET CONSOMMABLES",soctrans,"OUI"))</f>
        <v>1</v>
      </c>
      <c r="F166" s="58">
        <f>IF(VLOOKUP($A166,SiteAttendu!$A$2:$P$366,6,0)="NA","NA",COUNTIFS(soccode,A166,socprog,"PNLS/PRODUITS DE LABORATOIRE",soctrans,"OUI"))</f>
        <v>1</v>
      </c>
      <c r="G166" s="58" t="str">
        <f>IF(VLOOKUP($A166,SiteAttendu!$A$2:$P$366,7,0)="NA","NA",COUNTIFS(soccode,A166,socprog,"PNLS/CHARGES VIRALES",soctrans,"OUI"))</f>
        <v>NA</v>
      </c>
      <c r="H166" s="58">
        <f>IF(VLOOKUP($A166,SiteAttendu!$A$2:$P$366,9,0)="NA","NA",COUNTIFS(soccode,A166,socprog,"PNLP/MEDICAMENTS ET INTRANTS",soctrans,"OUI"))</f>
        <v>1</v>
      </c>
      <c r="I166" s="59">
        <f>IF(VLOOKUP($A166,SiteAttendu!$A$2:$P$366,10,0)="NA","NA",COUNTIFS(soccode,$A166,socprog,"PNSME/MEDICAMENTS ET INTRANTS",soctrans,"OUI"))</f>
        <v>1</v>
      </c>
      <c r="J166" s="58" t="str">
        <f>IF(VLOOKUP($A166,SiteAttendu!$A$2:$P$366,11,0)="NA","NA",COUNTIFS(soccode,$A166,socprog,"PNN/MEDICAMENTS ET INTRANTS",soctrans,"OUI"))</f>
        <v>NA</v>
      </c>
      <c r="K166" s="58">
        <f>IF(VLOOKUP($A166,SiteAttendu!$A$2:$O$366,15,0)="NA","NA",IF(COUNTIF(socprog,"PNLT/SENSIBLE MEDICAMENTS ET INTRANTS")=0,"NA",COUNTIFS(soccode,$A166,socprog,"PNLT/SENSIBLE MEDICAMENTS ET INTRANTS",soctrans,"OUI")))</f>
        <v>1</v>
      </c>
      <c r="L166" s="60"/>
      <c r="M166" s="60">
        <f t="shared" ref="M166:S166" si="168">IFERROR(SUMIFS(E$2:E$364,$C$2:$C$364,$C166)/COUNTIFS(E$2:E$364,"&lt;&gt;NA",$C$2:$C$364,$C166),"")</f>
        <v>1</v>
      </c>
      <c r="N166" s="60">
        <f t="shared" si="168"/>
        <v>1</v>
      </c>
      <c r="O166" s="60">
        <f t="shared" si="168"/>
        <v>1</v>
      </c>
      <c r="P166" s="60">
        <f t="shared" si="168"/>
        <v>1</v>
      </c>
      <c r="Q166" s="60">
        <f t="shared" si="168"/>
        <v>1</v>
      </c>
      <c r="R166" s="60" t="str">
        <f t="shared" si="168"/>
        <v/>
      </c>
      <c r="S166" s="60">
        <f t="shared" si="168"/>
        <v>0.9</v>
      </c>
      <c r="T166" s="61">
        <f t="shared" si="3"/>
        <v>1</v>
      </c>
      <c r="U166" s="53">
        <f t="shared" si="4"/>
        <v>3</v>
      </c>
      <c r="V166" s="54">
        <f t="shared" si="5"/>
        <v>3</v>
      </c>
    </row>
    <row r="167" ht="15.75" customHeight="1">
      <c r="A167" s="55" t="str">
        <f>SiteAttendu!$A167</f>
        <v>C2010</v>
      </c>
      <c r="B167" s="56" t="str">
        <f>VLOOKUP($A167,SiteAttendu!$A$2:$C$366,2,0)</f>
        <v>CHU BOUAKE</v>
      </c>
      <c r="C167" s="57" t="str">
        <f>VLOOKUP($A167,SiteAttendu!$A$2:$C$366,3,0)</f>
        <v>GBEKE</v>
      </c>
      <c r="D167" s="58">
        <f>IF(VLOOKUP($A167,SiteAttendu!$A$2:$P$366,4,0)="NA","NA",COUNTIFS(soccode,A167,socprog,"PNLS/ANTIRETROVIRAUX ET IO",soctrans,"OUI"))</f>
        <v>1</v>
      </c>
      <c r="E167" s="58">
        <f>IF(VLOOKUP($A167,SiteAttendu!$A$2:$P$366,5,0)="NA","NA",COUNTIFS(soccode,A167,socprog,"PNLS/TESTS RAPIDES ET CONSOMMABLES",soctrans,"OUI"))</f>
        <v>1</v>
      </c>
      <c r="F167" s="58">
        <f>IF(VLOOKUP($A167,SiteAttendu!$A$2:$P$366,6,0)="NA","NA",COUNTIFS(soccode,A167,socprog,"PNLS/PRODUITS DE LABORATOIRE",soctrans,"OUI"))</f>
        <v>1</v>
      </c>
      <c r="G167" s="58">
        <f>IF(VLOOKUP($A167,SiteAttendu!$A$2:$P$366,7,0)="NA","NA",COUNTIFS(soccode,A167,socprog,"PNLS/CHARGES VIRALES",soctrans,"OUI"))</f>
        <v>1</v>
      </c>
      <c r="H167" s="58">
        <f>IF(VLOOKUP($A167,SiteAttendu!$A$2:$P$366,9,0)="NA","NA",COUNTIFS(soccode,A167,socprog,"PNLP/MEDICAMENTS ET INTRANTS",soctrans,"OUI"))</f>
        <v>1</v>
      </c>
      <c r="I167" s="59">
        <f>IF(VLOOKUP($A167,SiteAttendu!$A$2:$P$366,10,0)="NA","NA",COUNTIFS(soccode,$A167,socprog,"PNSME/MEDICAMENTS ET INTRANTS",soctrans,"OUI"))</f>
        <v>1</v>
      </c>
      <c r="J167" s="58" t="str">
        <f>IF(VLOOKUP($A167,SiteAttendu!$A$2:$P$366,11,0)="NA","NA",COUNTIFS(soccode,$A167,socprog,"PNN/MEDICAMENTS ET INTRANTS",soctrans,"OUI"))</f>
        <v>NA</v>
      </c>
      <c r="K167" s="58">
        <f>IF(VLOOKUP($A167,SiteAttendu!$A$2:$O$366,15,0)="NA","NA",IF(COUNTIF(socprog,"PNLT/SENSIBLE MEDICAMENTS ET INTRANTS")=0,"NA",COUNTIFS(soccode,$A167,socprog,"PNLT/SENSIBLE MEDICAMENTS ET INTRANTS",soctrans,"OUI")))</f>
        <v>1</v>
      </c>
      <c r="L167" s="60"/>
      <c r="M167" s="60">
        <f t="shared" ref="M167:S167" si="169">IFERROR(SUMIFS(E$2:E$364,$C$2:$C$364,$C167)/COUNTIFS(E$2:E$364,"&lt;&gt;NA",$C$2:$C$364,$C167),"")</f>
        <v>1</v>
      </c>
      <c r="N167" s="60">
        <f t="shared" si="169"/>
        <v>1</v>
      </c>
      <c r="O167" s="60">
        <f t="shared" si="169"/>
        <v>1</v>
      </c>
      <c r="P167" s="60">
        <f t="shared" si="169"/>
        <v>1</v>
      </c>
      <c r="Q167" s="60">
        <f t="shared" si="169"/>
        <v>1</v>
      </c>
      <c r="R167" s="60" t="str">
        <f t="shared" si="169"/>
        <v/>
      </c>
      <c r="S167" s="60">
        <f t="shared" si="169"/>
        <v>0.9</v>
      </c>
      <c r="T167" s="61">
        <f t="shared" si="3"/>
        <v>1</v>
      </c>
      <c r="U167" s="53">
        <f t="shared" si="4"/>
        <v>4</v>
      </c>
      <c r="V167" s="54">
        <f t="shared" si="5"/>
        <v>4</v>
      </c>
    </row>
    <row r="168" ht="15.75" customHeight="1">
      <c r="A168" s="55" t="str">
        <f>SiteAttendu!$A168</f>
        <v>C2023</v>
      </c>
      <c r="B168" s="56" t="str">
        <f>VLOOKUP($A168,SiteAttendu!$A$2:$C$366,2,0)</f>
        <v>DISTRICT SANITAIRE BOUAKE NORD-OUEST</v>
      </c>
      <c r="C168" s="57" t="str">
        <f>VLOOKUP($A168,SiteAttendu!$A$2:$C$366,3,0)</f>
        <v>GBEKE</v>
      </c>
      <c r="D168" s="58">
        <f>IF(VLOOKUP($A168,SiteAttendu!$A$2:$P$366,4,0)="NA","NA",COUNTIFS(soccode,A168,socprog,"PNLS/ANTIRETROVIRAUX ET IO",soctrans,"OUI"))</f>
        <v>1</v>
      </c>
      <c r="E168" s="58">
        <f>IF(VLOOKUP($A168,SiteAttendu!$A$2:$P$366,5,0)="NA","NA",COUNTIFS(soccode,A168,socprog,"PNLS/TESTS RAPIDES ET CONSOMMABLES",soctrans,"OUI"))</f>
        <v>1</v>
      </c>
      <c r="F168" s="58">
        <f>IF(VLOOKUP($A168,SiteAttendu!$A$2:$P$366,6,0)="NA","NA",COUNTIFS(soccode,A168,socprog,"PNLS/PRODUITS DE LABORATOIRE",soctrans,"OUI"))</f>
        <v>1</v>
      </c>
      <c r="G168" s="58" t="str">
        <f>IF(VLOOKUP($A168,SiteAttendu!$A$2:$P$366,7,0)="NA","NA",COUNTIFS(soccode,A168,socprog,"PNLS/CHARGES VIRALES",soctrans,"OUI"))</f>
        <v>NA</v>
      </c>
      <c r="H168" s="58">
        <f>IF(VLOOKUP($A168,SiteAttendu!$A$2:$P$366,9,0)="NA","NA",COUNTIFS(soccode,A168,socprog,"PNLP/MEDICAMENTS ET INTRANTS",soctrans,"OUI"))</f>
        <v>1</v>
      </c>
      <c r="I168" s="59">
        <f>IF(VLOOKUP($A168,SiteAttendu!$A$2:$P$366,10,0)="NA","NA",COUNTIFS(soccode,$A168,socprog,"PNSME/MEDICAMENTS ET INTRANTS",soctrans,"OUI"))</f>
        <v>1</v>
      </c>
      <c r="J168" s="58" t="str">
        <f>IF(VLOOKUP($A168,SiteAttendu!$A$2:$P$366,11,0)="NA","NA",COUNTIFS(soccode,$A168,socprog,"PNN/MEDICAMENTS ET INTRANTS",soctrans,"OUI"))</f>
        <v>NA</v>
      </c>
      <c r="K168" s="58">
        <f>IF(VLOOKUP($A168,SiteAttendu!$A$2:$O$366,15,0)="NA","NA",IF(COUNTIF(socprog,"PNLT/SENSIBLE MEDICAMENTS ET INTRANTS")=0,"NA",COUNTIFS(soccode,$A168,socprog,"PNLT/SENSIBLE MEDICAMENTS ET INTRANTS",soctrans,"OUI")))</f>
        <v>1</v>
      </c>
      <c r="L168" s="60"/>
      <c r="M168" s="60">
        <f t="shared" ref="M168:S168" si="170">IFERROR(SUMIFS(E$2:E$364,$C$2:$C$364,$C168)/COUNTIFS(E$2:E$364,"&lt;&gt;NA",$C$2:$C$364,$C168),"")</f>
        <v>1</v>
      </c>
      <c r="N168" s="60">
        <f t="shared" si="170"/>
        <v>1</v>
      </c>
      <c r="O168" s="60">
        <f t="shared" si="170"/>
        <v>1</v>
      </c>
      <c r="P168" s="60">
        <f t="shared" si="170"/>
        <v>1</v>
      </c>
      <c r="Q168" s="60">
        <f t="shared" si="170"/>
        <v>1</v>
      </c>
      <c r="R168" s="60" t="str">
        <f t="shared" si="170"/>
        <v/>
      </c>
      <c r="S168" s="60">
        <f t="shared" si="170"/>
        <v>0.9</v>
      </c>
      <c r="T168" s="61">
        <f t="shared" si="3"/>
        <v>1</v>
      </c>
      <c r="U168" s="53">
        <f t="shared" si="4"/>
        <v>3</v>
      </c>
      <c r="V168" s="54">
        <f t="shared" si="5"/>
        <v>3</v>
      </c>
    </row>
    <row r="169" ht="15.75" customHeight="1">
      <c r="A169" s="55" t="str">
        <f>SiteAttendu!$A169</f>
        <v>C2170</v>
      </c>
      <c r="B169" s="56" t="str">
        <f>VLOOKUP($A169,SiteAttendu!$A$2:$C$366,2,0)</f>
        <v>CENTRE ANTITUBERCULEUX BOUAKE</v>
      </c>
      <c r="C169" s="57" t="str">
        <f>VLOOKUP($A169,SiteAttendu!$A$2:$C$366,3,0)</f>
        <v>GBEKE</v>
      </c>
      <c r="D169" s="58" t="str">
        <f>IF(VLOOKUP($A169,SiteAttendu!$A$2:$P$366,4,0)="NA","NA",COUNTIFS(soccode,A169,socprog,"PNLS/ANTIRETROVIRAUX ET IO",soctrans,"OUI"))</f>
        <v>NA</v>
      </c>
      <c r="E169" s="58" t="str">
        <f>IF(VLOOKUP($A169,SiteAttendu!$A$2:$P$366,5,0)="NA","NA",COUNTIFS(soccode,A169,socprog,"PNLS/TESTS RAPIDES ET CONSOMMABLES",soctrans,"OUI"))</f>
        <v>NA</v>
      </c>
      <c r="F169" s="58" t="str">
        <f>IF(VLOOKUP($A169,SiteAttendu!$A$2:$P$366,6,0)="NA","NA",COUNTIFS(soccode,A169,socprog,"PNLS/PRODUITS DE LABORATOIRE",soctrans,"OUI"))</f>
        <v>NA</v>
      </c>
      <c r="G169" s="58" t="str">
        <f>IF(VLOOKUP($A169,SiteAttendu!$A$2:$P$366,7,0)="NA","NA",COUNTIFS(soccode,A169,socprog,"PNLS/CHARGES VIRALES",soctrans,"OUI"))</f>
        <v>NA</v>
      </c>
      <c r="H169" s="58" t="str">
        <f>IF(VLOOKUP($A169,SiteAttendu!$A$2:$P$366,9,0)="NA","NA",COUNTIFS(soccode,A169,socprog,"PNLP/MEDICAMENTS ET INTRANTS",soctrans,"OUI"))</f>
        <v>NA</v>
      </c>
      <c r="I169" s="59" t="str">
        <f>IF(VLOOKUP($A169,SiteAttendu!$A$2:$P$366,10,0)="NA","NA",COUNTIFS(soccode,$A169,socprog,"PNSME/MEDICAMENTS ET INTRANTS",soctrans,"OUI"))</f>
        <v>NA</v>
      </c>
      <c r="J169" s="58" t="str">
        <f>IF(VLOOKUP($A169,SiteAttendu!$A$2:$P$366,11,0)="NA","NA",COUNTIFS(soccode,$A169,socprog,"PNN/MEDICAMENTS ET INTRANTS",soctrans,"OUI"))</f>
        <v>NA</v>
      </c>
      <c r="K169" s="58">
        <f>IF(VLOOKUP($A169,SiteAttendu!$A$2:$O$366,15,0)="NA","NA",IF(COUNTIF(socprog,"PNLT/SENSIBLE MEDICAMENTS ET INTRANTS")=0,"NA",COUNTIFS(soccode,$A169,socprog,"PNLT/SENSIBLE MEDICAMENTS ET INTRANTS",soctrans,"OUI")))</f>
        <v>1</v>
      </c>
      <c r="L169" s="60"/>
      <c r="M169" s="60">
        <f t="shared" ref="M169:S169" si="171">IFERROR(SUMIFS(E$2:E$364,$C$2:$C$364,$C169)/COUNTIFS(E$2:E$364,"&lt;&gt;NA",$C$2:$C$364,$C169),"")</f>
        <v>1</v>
      </c>
      <c r="N169" s="60">
        <f t="shared" si="171"/>
        <v>1</v>
      </c>
      <c r="O169" s="60">
        <f t="shared" si="171"/>
        <v>1</v>
      </c>
      <c r="P169" s="60">
        <f t="shared" si="171"/>
        <v>1</v>
      </c>
      <c r="Q169" s="60">
        <f t="shared" si="171"/>
        <v>1</v>
      </c>
      <c r="R169" s="60" t="str">
        <f t="shared" si="171"/>
        <v/>
      </c>
      <c r="S169" s="60">
        <f t="shared" si="171"/>
        <v>0.9</v>
      </c>
      <c r="T169" s="61">
        <f t="shared" si="3"/>
        <v>1</v>
      </c>
      <c r="U169" s="53">
        <f t="shared" si="4"/>
        <v>0</v>
      </c>
      <c r="V169" s="54">
        <f t="shared" si="5"/>
        <v>0</v>
      </c>
    </row>
    <row r="170" ht="15.75" customHeight="1">
      <c r="A170" s="55" t="str">
        <f>SiteAttendu!$A170</f>
        <v>C2024</v>
      </c>
      <c r="B170" s="56" t="str">
        <f>VLOOKUP($A170,SiteAttendu!$A$2:$C$366,2,0)</f>
        <v>DISTRICT SANITAIRE BOUAKE SUD</v>
      </c>
      <c r="C170" s="57" t="str">
        <f>VLOOKUP($A170,SiteAttendu!$A$2:$C$366,3,0)</f>
        <v>GBEKE</v>
      </c>
      <c r="D170" s="58">
        <f>IF(VLOOKUP($A170,SiteAttendu!$A$2:$P$366,4,0)="NA","NA",COUNTIFS(soccode,A170,socprog,"PNLS/ANTIRETROVIRAUX ET IO",soctrans,"OUI"))</f>
        <v>1</v>
      </c>
      <c r="E170" s="58">
        <f>IF(VLOOKUP($A170,SiteAttendu!$A$2:$P$366,5,0)="NA","NA",COUNTIFS(soccode,A170,socprog,"PNLS/TESTS RAPIDES ET CONSOMMABLES",soctrans,"OUI"))</f>
        <v>1</v>
      </c>
      <c r="F170" s="58">
        <f>IF(VLOOKUP($A170,SiteAttendu!$A$2:$P$366,6,0)="NA","NA",COUNTIFS(soccode,A170,socprog,"PNLS/PRODUITS DE LABORATOIRE",soctrans,"OUI"))</f>
        <v>1</v>
      </c>
      <c r="G170" s="58" t="str">
        <f>IF(VLOOKUP($A170,SiteAttendu!$A$2:$P$366,7,0)="NA","NA",COUNTIFS(soccode,A170,socprog,"PNLS/CHARGES VIRALES",soctrans,"OUI"))</f>
        <v>NA</v>
      </c>
      <c r="H170" s="58">
        <f>IF(VLOOKUP($A170,SiteAttendu!$A$2:$P$366,9,0)="NA","NA",COUNTIFS(soccode,A170,socprog,"PNLP/MEDICAMENTS ET INTRANTS",soctrans,"OUI"))</f>
        <v>1</v>
      </c>
      <c r="I170" s="59">
        <f>IF(VLOOKUP($A170,SiteAttendu!$A$2:$P$366,10,0)="NA","NA",COUNTIFS(soccode,$A170,socprog,"PNSME/MEDICAMENTS ET INTRANTS",soctrans,"OUI"))</f>
        <v>1</v>
      </c>
      <c r="J170" s="58" t="str">
        <f>IF(VLOOKUP($A170,SiteAttendu!$A$2:$P$366,11,0)="NA","NA",COUNTIFS(soccode,$A170,socprog,"PNN/MEDICAMENTS ET INTRANTS",soctrans,"OUI"))</f>
        <v>NA</v>
      </c>
      <c r="K170" s="58">
        <f>IF(VLOOKUP($A170,SiteAttendu!$A$2:$O$366,15,0)="NA","NA",IF(COUNTIF(socprog,"PNLT/SENSIBLE MEDICAMENTS ET INTRANTS")=0,"NA",COUNTIFS(soccode,$A170,socprog,"PNLT/SENSIBLE MEDICAMENTS ET INTRANTS",soctrans,"OUI")))</f>
        <v>1</v>
      </c>
      <c r="L170" s="60"/>
      <c r="M170" s="60">
        <f t="shared" ref="M170:S170" si="172">IFERROR(SUMIFS(E$2:E$364,$C$2:$C$364,$C170)/COUNTIFS(E$2:E$364,"&lt;&gt;NA",$C$2:$C$364,$C170),"")</f>
        <v>1</v>
      </c>
      <c r="N170" s="60">
        <f t="shared" si="172"/>
        <v>1</v>
      </c>
      <c r="O170" s="60">
        <f t="shared" si="172"/>
        <v>1</v>
      </c>
      <c r="P170" s="60">
        <f t="shared" si="172"/>
        <v>1</v>
      </c>
      <c r="Q170" s="60">
        <f t="shared" si="172"/>
        <v>1</v>
      </c>
      <c r="R170" s="60" t="str">
        <f t="shared" si="172"/>
        <v/>
      </c>
      <c r="S170" s="60">
        <f t="shared" si="172"/>
        <v>0.9</v>
      </c>
      <c r="T170" s="61">
        <f t="shared" si="3"/>
        <v>1</v>
      </c>
      <c r="U170" s="53">
        <f t="shared" si="4"/>
        <v>3</v>
      </c>
      <c r="V170" s="54">
        <f t="shared" si="5"/>
        <v>3</v>
      </c>
    </row>
    <row r="171" ht="15.75" customHeight="1">
      <c r="A171" s="55" t="str">
        <f>SiteAttendu!$A171</f>
        <v>C2034</v>
      </c>
      <c r="B171" s="56" t="str">
        <f>VLOOKUP($A171,SiteAttendu!$A$2:$C$366,2,0)</f>
        <v>DISTRICT SANITAIRE SAKASSOU</v>
      </c>
      <c r="C171" s="57" t="str">
        <f>VLOOKUP($A171,SiteAttendu!$A$2:$C$366,3,0)</f>
        <v>GBEKE</v>
      </c>
      <c r="D171" s="58">
        <f>IF(VLOOKUP($A171,SiteAttendu!$A$2:$P$366,4,0)="NA","NA",COUNTIFS(soccode,A171,socprog,"PNLS/ANTIRETROVIRAUX ET IO",soctrans,"OUI"))</f>
        <v>1</v>
      </c>
      <c r="E171" s="58">
        <f>IF(VLOOKUP($A171,SiteAttendu!$A$2:$P$366,5,0)="NA","NA",COUNTIFS(soccode,A171,socprog,"PNLS/TESTS RAPIDES ET CONSOMMABLES",soctrans,"OUI"))</f>
        <v>1</v>
      </c>
      <c r="F171" s="58" t="str">
        <f>IF(VLOOKUP($A171,SiteAttendu!$A$2:$P$366,6,0)="NA","NA",COUNTIFS(soccode,A171,socprog,"PNLS/PRODUITS DE LABORATOIRE",soctrans,"OUI"))</f>
        <v>NA</v>
      </c>
      <c r="G171" s="58" t="str">
        <f>IF(VLOOKUP($A171,SiteAttendu!$A$2:$P$366,7,0)="NA","NA",COUNTIFS(soccode,A171,socprog,"PNLS/CHARGES VIRALES",soctrans,"OUI"))</f>
        <v>NA</v>
      </c>
      <c r="H171" s="58">
        <f>IF(VLOOKUP($A171,SiteAttendu!$A$2:$P$366,9,0)="NA","NA",COUNTIFS(soccode,A171,socprog,"PNLP/MEDICAMENTS ET INTRANTS",soctrans,"OUI"))</f>
        <v>1</v>
      </c>
      <c r="I171" s="59">
        <f>IF(VLOOKUP($A171,SiteAttendu!$A$2:$P$366,10,0)="NA","NA",COUNTIFS(soccode,$A171,socprog,"PNSME/MEDICAMENTS ET INTRANTS",soctrans,"OUI"))</f>
        <v>1</v>
      </c>
      <c r="J171" s="58" t="str">
        <f>IF(VLOOKUP($A171,SiteAttendu!$A$2:$P$366,11,0)="NA","NA",COUNTIFS(soccode,$A171,socprog,"PNN/MEDICAMENTS ET INTRANTS",soctrans,"OUI"))</f>
        <v>NA</v>
      </c>
      <c r="K171" s="58">
        <f>IF(VLOOKUP($A171,SiteAttendu!$A$2:$O$366,15,0)="NA","NA",IF(COUNTIF(socprog,"PNLT/SENSIBLE MEDICAMENTS ET INTRANTS")=0,"NA",COUNTIFS(soccode,$A171,socprog,"PNLT/SENSIBLE MEDICAMENTS ET INTRANTS",soctrans,"OUI")))</f>
        <v>1</v>
      </c>
      <c r="L171" s="60"/>
      <c r="M171" s="60">
        <f t="shared" ref="M171:S171" si="173">IFERROR(SUMIFS(E$2:E$364,$C$2:$C$364,$C171)/COUNTIFS(E$2:E$364,"&lt;&gt;NA",$C$2:$C$364,$C171),"")</f>
        <v>1</v>
      </c>
      <c r="N171" s="60">
        <f t="shared" si="173"/>
        <v>1</v>
      </c>
      <c r="O171" s="60">
        <f t="shared" si="173"/>
        <v>1</v>
      </c>
      <c r="P171" s="60">
        <f t="shared" si="173"/>
        <v>1</v>
      </c>
      <c r="Q171" s="60">
        <f t="shared" si="173"/>
        <v>1</v>
      </c>
      <c r="R171" s="60" t="str">
        <f t="shared" si="173"/>
        <v/>
      </c>
      <c r="S171" s="60">
        <f t="shared" si="173"/>
        <v>0.9</v>
      </c>
      <c r="T171" s="61">
        <f t="shared" si="3"/>
        <v>1</v>
      </c>
      <c r="U171" s="53">
        <f t="shared" si="4"/>
        <v>2</v>
      </c>
      <c r="V171" s="54">
        <f t="shared" si="5"/>
        <v>2</v>
      </c>
    </row>
    <row r="172" ht="16.5" customHeight="1">
      <c r="A172" s="62" t="str">
        <f>SiteAttendu!$A172</f>
        <v>C2062</v>
      </c>
      <c r="B172" s="63" t="str">
        <f>VLOOKUP($A172,SiteAttendu!$A$2:$C$366,2,0)</f>
        <v>HOPITAL GENERAL SAKASSOU</v>
      </c>
      <c r="C172" s="64" t="str">
        <f>VLOOKUP($A172,SiteAttendu!$A$2:$C$366,3,0)</f>
        <v>GBEKE</v>
      </c>
      <c r="D172" s="65">
        <f>IF(VLOOKUP($A172,SiteAttendu!$A$2:$P$366,4,0)="NA","NA",COUNTIFS(soccode,A172,socprog,"PNLS/ANTIRETROVIRAUX ET IO",soctrans,"OUI"))</f>
        <v>1</v>
      </c>
      <c r="E172" s="65">
        <f>IF(VLOOKUP($A172,SiteAttendu!$A$2:$P$366,5,0)="NA","NA",COUNTIFS(soccode,A172,socprog,"PNLS/TESTS RAPIDES ET CONSOMMABLES",soctrans,"OUI"))</f>
        <v>1</v>
      </c>
      <c r="F172" s="65">
        <f>IF(VLOOKUP($A172,SiteAttendu!$A$2:$P$366,6,0)="NA","NA",COUNTIFS(soccode,A172,socprog,"PNLS/PRODUITS DE LABORATOIRE",soctrans,"OUI"))</f>
        <v>1</v>
      </c>
      <c r="G172" s="65" t="str">
        <f>IF(VLOOKUP($A172,SiteAttendu!$A$2:$P$366,7,0)="NA","NA",COUNTIFS(soccode,A172,socprog,"PNLS/CHARGES VIRALES",soctrans,"OUI"))</f>
        <v>NA</v>
      </c>
      <c r="H172" s="65">
        <f>IF(VLOOKUP($A172,SiteAttendu!$A$2:$P$366,9,0)="NA","NA",COUNTIFS(soccode,A172,socprog,"PNLP/MEDICAMENTS ET INTRANTS",soctrans,"OUI"))</f>
        <v>1</v>
      </c>
      <c r="I172" s="66">
        <f>IF(VLOOKUP($A172,SiteAttendu!$A$2:$P$366,10,0)="NA","NA",COUNTIFS(soccode,$A172,socprog,"PNSME/MEDICAMENTS ET INTRANTS",soctrans,"OUI"))</f>
        <v>1</v>
      </c>
      <c r="J172" s="65" t="str">
        <f>IF(VLOOKUP($A172,SiteAttendu!$A$2:$P$366,11,0)="NA","NA",COUNTIFS(soccode,$A172,socprog,"PNN/MEDICAMENTS ET INTRANTS",soctrans,"OUI"))</f>
        <v>NA</v>
      </c>
      <c r="K172" s="65">
        <f>IF(VLOOKUP($A172,SiteAttendu!$A$2:$O$366,15,0)="NA","NA",IF(COUNTIF(socprog,"PNLT/SENSIBLE MEDICAMENTS ET INTRANTS")=0,"NA",COUNTIFS(soccode,$A172,socprog,"PNLT/SENSIBLE MEDICAMENTS ET INTRANTS",soctrans,"OUI")))</f>
        <v>0</v>
      </c>
      <c r="L172" s="67"/>
      <c r="M172" s="67">
        <f t="shared" ref="M172:S172" si="174">IFERROR(SUMIFS(E$2:E$364,$C$2:$C$364,$C172)/COUNTIFS(E$2:E$364,"&lt;&gt;NA",$C$2:$C$364,$C172),"")</f>
        <v>1</v>
      </c>
      <c r="N172" s="67">
        <f t="shared" si="174"/>
        <v>1</v>
      </c>
      <c r="O172" s="67">
        <f t="shared" si="174"/>
        <v>1</v>
      </c>
      <c r="P172" s="67">
        <f t="shared" si="174"/>
        <v>1</v>
      </c>
      <c r="Q172" s="67">
        <f t="shared" si="174"/>
        <v>1</v>
      </c>
      <c r="R172" s="67" t="str">
        <f t="shared" si="174"/>
        <v/>
      </c>
      <c r="S172" s="67">
        <f t="shared" si="174"/>
        <v>0.9</v>
      </c>
      <c r="T172" s="68">
        <f t="shared" si="3"/>
        <v>1</v>
      </c>
      <c r="U172" s="53">
        <f t="shared" si="4"/>
        <v>3</v>
      </c>
      <c r="V172" s="54">
        <f t="shared" si="5"/>
        <v>3</v>
      </c>
    </row>
    <row r="173" ht="16.5" customHeight="1">
      <c r="A173" s="46" t="str">
        <f>SiteAttendu!$A173</f>
        <v>C1089</v>
      </c>
      <c r="B173" s="47" t="str">
        <f>VLOOKUP($A173,SiteAttendu!$A$2:$C$366,2,0)</f>
        <v>HOPITAL GENERAL FRESCO</v>
      </c>
      <c r="C173" s="48" t="str">
        <f>VLOOKUP($A173,SiteAttendu!$A$2:$C$366,3,0)</f>
        <v>GBOKLE</v>
      </c>
      <c r="D173" s="49">
        <f>IF(VLOOKUP($A173,SiteAttendu!$A$2:$P$366,4,0)="NA","NA",COUNTIFS(soccode,A173,socprog,"PNLS/ANTIRETROVIRAUX ET IO",soctrans,"OUI"))</f>
        <v>1</v>
      </c>
      <c r="E173" s="49">
        <f>IF(VLOOKUP($A173,SiteAttendu!$A$2:$P$366,5,0)="NA","NA",COUNTIFS(soccode,A173,socprog,"PNLS/TESTS RAPIDES ET CONSOMMABLES",soctrans,"OUI"))</f>
        <v>1</v>
      </c>
      <c r="F173" s="49">
        <f>IF(VLOOKUP($A173,SiteAttendu!$A$2:$P$366,6,0)="NA","NA",COUNTIFS(soccode,A173,socprog,"PNLS/PRODUITS DE LABORATOIRE",soctrans,"OUI"))</f>
        <v>1</v>
      </c>
      <c r="G173" s="49">
        <f>IF(VLOOKUP($A173,SiteAttendu!$A$2:$P$366,7,0)="NA","NA",COUNTIFS(soccode,A173,socprog,"PNLS/CHARGES VIRALES",soctrans,"OUI"))</f>
        <v>1</v>
      </c>
      <c r="H173" s="49">
        <f>IF(VLOOKUP($A173,SiteAttendu!$A$2:$P$366,9,0)="NA","NA",COUNTIFS(soccode,A173,socprog,"PNLP/MEDICAMENTS ET INTRANTS",soctrans,"OUI"))</f>
        <v>1</v>
      </c>
      <c r="I173" s="50">
        <f>IF(VLOOKUP($A173,SiteAttendu!$A$2:$P$366,10,0)="NA","NA",COUNTIFS(soccode,$A173,socprog,"PNSME/MEDICAMENTS ET INTRANTS",soctrans,"OUI"))</f>
        <v>1</v>
      </c>
      <c r="J173" s="49" t="str">
        <f>IF(VLOOKUP($A173,SiteAttendu!$A$2:$P$366,11,0)="NA","NA",COUNTIFS(soccode,$A173,socprog,"PNN/MEDICAMENTS ET INTRANTS",soctrans,"OUI"))</f>
        <v>NA</v>
      </c>
      <c r="K173" s="49" t="str">
        <f>IF(VLOOKUP($A173,SiteAttendu!$A$2:$O$366,15,0)="NA","NA",IF(COUNTIF(socprog,"PNLT/SENSIBLE MEDICAMENTS ET INTRANTS")=0,"NA",COUNTIFS(soccode,$A173,socprog,"PNLT/SENSIBLE MEDICAMENTS ET INTRANTS",soctrans,"OUI")))</f>
        <v>NA</v>
      </c>
      <c r="L173" s="51">
        <f t="shared" ref="L173:S173" si="175">IFERROR(SUMIFS(D$2:D$364,$C$2:$C$364,$C173)/COUNTIFS(D$2:D$364,"&lt;&gt;NA",$C$2:$C$364,$C173),"")</f>
        <v>0.75</v>
      </c>
      <c r="M173" s="51">
        <f t="shared" si="175"/>
        <v>0.75</v>
      </c>
      <c r="N173" s="51">
        <f t="shared" si="175"/>
        <v>1</v>
      </c>
      <c r="O173" s="51">
        <f t="shared" si="175"/>
        <v>1</v>
      </c>
      <c r="P173" s="51">
        <f t="shared" si="175"/>
        <v>0.75</v>
      </c>
      <c r="Q173" s="51">
        <f t="shared" si="175"/>
        <v>1</v>
      </c>
      <c r="R173" s="51">
        <f t="shared" si="175"/>
        <v>0.5</v>
      </c>
      <c r="S173" s="51">
        <f t="shared" si="175"/>
        <v>1</v>
      </c>
      <c r="T173" s="52">
        <f t="shared" si="3"/>
        <v>0.8571428571</v>
      </c>
      <c r="U173" s="53">
        <f t="shared" si="4"/>
        <v>4</v>
      </c>
      <c r="V173" s="54">
        <f t="shared" si="5"/>
        <v>4</v>
      </c>
    </row>
    <row r="174" ht="15.75" customHeight="1">
      <c r="A174" s="55" t="str">
        <f>SiteAttendu!$A174</f>
        <v>C1097</v>
      </c>
      <c r="B174" s="56" t="str">
        <f>VLOOKUP($A174,SiteAttendu!$A$2:$C$366,2,0)</f>
        <v>DISTRICT SANITAIRE FRESCO</v>
      </c>
      <c r="C174" s="57" t="str">
        <f>VLOOKUP($A174,SiteAttendu!$A$2:$C$366,3,0)</f>
        <v>GBOKLE</v>
      </c>
      <c r="D174" s="58">
        <f>IF(VLOOKUP($A174,SiteAttendu!$A$2:$P$366,4,0)="NA","NA",COUNTIFS(soccode,A174,socprog,"PNLS/ANTIRETROVIRAUX ET IO",soctrans,"OUI"))</f>
        <v>1</v>
      </c>
      <c r="E174" s="58">
        <f>IF(VLOOKUP($A174,SiteAttendu!$A$2:$P$366,5,0)="NA","NA",COUNTIFS(soccode,A174,socprog,"PNLS/TESTS RAPIDES ET CONSOMMABLES",soctrans,"OUI"))</f>
        <v>1</v>
      </c>
      <c r="F174" s="58">
        <f>IF(VLOOKUP($A174,SiteAttendu!$A$2:$P$366,6,0)="NA","NA",COUNTIFS(soccode,A174,socprog,"PNLS/PRODUITS DE LABORATOIRE",soctrans,"OUI"))</f>
        <v>1</v>
      </c>
      <c r="G174" s="58" t="str">
        <f>IF(VLOOKUP($A174,SiteAttendu!$A$2:$P$366,7,0)="NA","NA",COUNTIFS(soccode,A174,socprog,"PNLS/CHARGES VIRALES",soctrans,"OUI"))</f>
        <v>NA</v>
      </c>
      <c r="H174" s="58">
        <f>IF(VLOOKUP($A174,SiteAttendu!$A$2:$P$366,9,0)="NA","NA",COUNTIFS(soccode,A174,socprog,"PNLP/MEDICAMENTS ET INTRANTS",soctrans,"OUI"))</f>
        <v>1</v>
      </c>
      <c r="I174" s="59">
        <f>IF(VLOOKUP($A174,SiteAttendu!$A$2:$P$366,10,0)="NA","NA",COUNTIFS(soccode,$A174,socprog,"PNSME/MEDICAMENTS ET INTRANTS",soctrans,"OUI"))</f>
        <v>1</v>
      </c>
      <c r="J174" s="58" t="str">
        <f>IF(VLOOKUP($A174,SiteAttendu!$A$2:$P$366,11,0)="NA","NA",COUNTIFS(soccode,$A174,socprog,"PNN/MEDICAMENTS ET INTRANTS",soctrans,"OUI"))</f>
        <v>NA</v>
      </c>
      <c r="K174" s="58" t="str">
        <f>IF(VLOOKUP($A174,SiteAttendu!$A$2:$O$366,15,0)="NA","NA",IF(COUNTIF(socprog,"PNLT/SENSIBLE MEDICAMENTS ET INTRANTS")=0,"NA",COUNTIFS(soccode,$A174,socprog,"PNLT/SENSIBLE MEDICAMENTS ET INTRANTS",soctrans,"OUI")))</f>
        <v>NA</v>
      </c>
      <c r="L174" s="60"/>
      <c r="M174" s="60">
        <f t="shared" ref="M174:S174" si="176">IFERROR(SUMIFS(E$2:E$364,$C$2:$C$364,$C174)/COUNTIFS(E$2:E$364,"&lt;&gt;NA",$C$2:$C$364,$C174),"")</f>
        <v>0.75</v>
      </c>
      <c r="N174" s="60">
        <f t="shared" si="176"/>
        <v>1</v>
      </c>
      <c r="O174" s="60">
        <f t="shared" si="176"/>
        <v>1</v>
      </c>
      <c r="P174" s="60">
        <f t="shared" si="176"/>
        <v>0.75</v>
      </c>
      <c r="Q174" s="60">
        <f t="shared" si="176"/>
        <v>1</v>
      </c>
      <c r="R174" s="60">
        <f t="shared" si="176"/>
        <v>0.5</v>
      </c>
      <c r="S174" s="60">
        <f t="shared" si="176"/>
        <v>1</v>
      </c>
      <c r="T174" s="61">
        <f t="shared" si="3"/>
        <v>0.8571428571</v>
      </c>
      <c r="U174" s="53">
        <f t="shared" si="4"/>
        <v>3</v>
      </c>
      <c r="V174" s="54">
        <f t="shared" si="5"/>
        <v>3</v>
      </c>
    </row>
    <row r="175" ht="15.75" customHeight="1">
      <c r="A175" s="55" t="str">
        <f>SiteAttendu!$A175</f>
        <v>C1095</v>
      </c>
      <c r="B175" s="56" t="str">
        <f>VLOOKUP($A175,SiteAttendu!$A$2:$C$366,2,0)</f>
        <v>HOPITAL GENERAL SASSANDRA</v>
      </c>
      <c r="C175" s="57" t="str">
        <f>VLOOKUP($A175,SiteAttendu!$A$2:$C$366,3,0)</f>
        <v>GBOKLE</v>
      </c>
      <c r="D175" s="58">
        <f>IF(VLOOKUP($A175,SiteAttendu!$A$2:$P$366,4,0)="NA","NA",COUNTIFS(soccode,A175,socprog,"PNLS/ANTIRETROVIRAUX ET IO",soctrans,"OUI"))</f>
        <v>1</v>
      </c>
      <c r="E175" s="58">
        <f>IF(VLOOKUP($A175,SiteAttendu!$A$2:$P$366,5,0)="NA","NA",COUNTIFS(soccode,A175,socprog,"PNLS/TESTS RAPIDES ET CONSOMMABLES",soctrans,"OUI"))</f>
        <v>1</v>
      </c>
      <c r="F175" s="58">
        <f>IF(VLOOKUP($A175,SiteAttendu!$A$2:$P$366,6,0)="NA","NA",COUNTIFS(soccode,A175,socprog,"PNLS/PRODUITS DE LABORATOIRE",soctrans,"OUI"))</f>
        <v>1</v>
      </c>
      <c r="G175" s="58">
        <f>IF(VLOOKUP($A175,SiteAttendu!$A$2:$P$366,7,0)="NA","NA",COUNTIFS(soccode,A175,socprog,"PNLS/CHARGES VIRALES",soctrans,"OUI"))</f>
        <v>1</v>
      </c>
      <c r="H175" s="58">
        <f>IF(VLOOKUP($A175,SiteAttendu!$A$2:$P$366,9,0)="NA","NA",COUNTIFS(soccode,A175,socprog,"PNLP/MEDICAMENTS ET INTRANTS",soctrans,"OUI"))</f>
        <v>1</v>
      </c>
      <c r="I175" s="59">
        <f>IF(VLOOKUP($A175,SiteAttendu!$A$2:$P$366,10,0)="NA","NA",COUNTIFS(soccode,$A175,socprog,"PNSME/MEDICAMENTS ET INTRANTS",soctrans,"OUI"))</f>
        <v>1</v>
      </c>
      <c r="J175" s="58">
        <f>IF(VLOOKUP($A175,SiteAttendu!$A$2:$P$366,11,0)="NA","NA",COUNTIFS(soccode,$A175,socprog,"PNN/MEDICAMENTS ET INTRANTS",soctrans,"OUI"))</f>
        <v>1</v>
      </c>
      <c r="K175" s="58">
        <f>IF(VLOOKUP($A175,SiteAttendu!$A$2:$O$366,15,0)="NA","NA",IF(COUNTIF(socprog,"PNLT/SENSIBLE MEDICAMENTS ET INTRANTS")=0,"NA",COUNTIFS(soccode,$A175,socprog,"PNLT/SENSIBLE MEDICAMENTS ET INTRANTS",soctrans,"OUI")))</f>
        <v>1</v>
      </c>
      <c r="L175" s="60"/>
      <c r="M175" s="60">
        <f t="shared" ref="M175:S175" si="177">IFERROR(SUMIFS(E$2:E$364,$C$2:$C$364,$C175)/COUNTIFS(E$2:E$364,"&lt;&gt;NA",$C$2:$C$364,$C175),"")</f>
        <v>0.75</v>
      </c>
      <c r="N175" s="60">
        <f t="shared" si="177"/>
        <v>1</v>
      </c>
      <c r="O175" s="60">
        <f t="shared" si="177"/>
        <v>1</v>
      </c>
      <c r="P175" s="60">
        <f t="shared" si="177"/>
        <v>0.75</v>
      </c>
      <c r="Q175" s="60">
        <f t="shared" si="177"/>
        <v>1</v>
      </c>
      <c r="R175" s="60">
        <f t="shared" si="177"/>
        <v>0.5</v>
      </c>
      <c r="S175" s="60">
        <f t="shared" si="177"/>
        <v>1</v>
      </c>
      <c r="T175" s="61">
        <f t="shared" si="3"/>
        <v>0.8571428571</v>
      </c>
      <c r="U175" s="53">
        <f t="shared" si="4"/>
        <v>4</v>
      </c>
      <c r="V175" s="54">
        <f t="shared" si="5"/>
        <v>4</v>
      </c>
    </row>
    <row r="176" ht="15.75" customHeight="1">
      <c r="A176" s="62" t="str">
        <f>SiteAttendu!$A176</f>
        <v>C1096</v>
      </c>
      <c r="B176" s="63" t="str">
        <f>VLOOKUP($A176,SiteAttendu!$A$2:$C$366,2,0)</f>
        <v>DISTRICT SANITAIRE SASSANDRA</v>
      </c>
      <c r="C176" s="64" t="str">
        <f>VLOOKUP($A176,SiteAttendu!$A$2:$C$366,3,0)</f>
        <v>GBOKLE</v>
      </c>
      <c r="D176" s="65">
        <f>IF(VLOOKUP($A176,SiteAttendu!$A$2:$P$366,4,0)="NA","NA",COUNTIFS(soccode,A176,socprog,"PNLS/ANTIRETROVIRAUX ET IO",soctrans,"OUI"))</f>
        <v>0</v>
      </c>
      <c r="E176" s="65">
        <f>IF(VLOOKUP($A176,SiteAttendu!$A$2:$P$366,5,0)="NA","NA",COUNTIFS(soccode,A176,socprog,"PNLS/TESTS RAPIDES ET CONSOMMABLES",soctrans,"OUI"))</f>
        <v>0</v>
      </c>
      <c r="F176" s="65">
        <f>IF(VLOOKUP($A176,SiteAttendu!$A$2:$P$366,6,0)="NA","NA",COUNTIFS(soccode,A176,socprog,"PNLS/PRODUITS DE LABORATOIRE",soctrans,"OUI"))</f>
        <v>1</v>
      </c>
      <c r="G176" s="65" t="str">
        <f>IF(VLOOKUP($A176,SiteAttendu!$A$2:$P$366,7,0)="NA","NA",COUNTIFS(soccode,A176,socprog,"PNLS/CHARGES VIRALES",soctrans,"OUI"))</f>
        <v>NA</v>
      </c>
      <c r="H176" s="65">
        <f>IF(VLOOKUP($A176,SiteAttendu!$A$2:$P$366,9,0)="NA","NA",COUNTIFS(soccode,A176,socprog,"PNLP/MEDICAMENTS ET INTRANTS",soctrans,"OUI"))</f>
        <v>0</v>
      </c>
      <c r="I176" s="66">
        <f>IF(VLOOKUP($A176,SiteAttendu!$A$2:$P$366,10,0)="NA","NA",COUNTIFS(soccode,$A176,socprog,"PNSME/MEDICAMENTS ET INTRANTS",soctrans,"OUI"))</f>
        <v>1</v>
      </c>
      <c r="J176" s="65">
        <f>IF(VLOOKUP($A176,SiteAttendu!$A$2:$P$366,11,0)="NA","NA",COUNTIFS(soccode,$A176,socprog,"PNN/MEDICAMENTS ET INTRANTS",soctrans,"OUI"))</f>
        <v>0</v>
      </c>
      <c r="K176" s="65">
        <f>IF(VLOOKUP($A176,SiteAttendu!$A$2:$O$366,15,0)="NA","NA",IF(COUNTIF(socprog,"PNLT/SENSIBLE MEDICAMENTS ET INTRANTS")=0,"NA",COUNTIFS(soccode,$A176,socprog,"PNLT/SENSIBLE MEDICAMENTS ET INTRANTS",soctrans,"OUI")))</f>
        <v>1</v>
      </c>
      <c r="L176" s="67"/>
      <c r="M176" s="67">
        <f t="shared" ref="M176:S176" si="178">IFERROR(SUMIFS(E$2:E$364,$C$2:$C$364,$C176)/COUNTIFS(E$2:E$364,"&lt;&gt;NA",$C$2:$C$364,$C176),"")</f>
        <v>0.75</v>
      </c>
      <c r="N176" s="67">
        <f t="shared" si="178"/>
        <v>1</v>
      </c>
      <c r="O176" s="67">
        <f t="shared" si="178"/>
        <v>1</v>
      </c>
      <c r="P176" s="67">
        <f t="shared" si="178"/>
        <v>0.75</v>
      </c>
      <c r="Q176" s="67">
        <f t="shared" si="178"/>
        <v>1</v>
      </c>
      <c r="R176" s="67">
        <f t="shared" si="178"/>
        <v>0.5</v>
      </c>
      <c r="S176" s="67">
        <f t="shared" si="178"/>
        <v>1</v>
      </c>
      <c r="T176" s="68">
        <f t="shared" si="3"/>
        <v>0.8571428571</v>
      </c>
      <c r="U176" s="53">
        <f t="shared" si="4"/>
        <v>1</v>
      </c>
      <c r="V176" s="54">
        <f t="shared" si="5"/>
        <v>3</v>
      </c>
    </row>
    <row r="177" ht="15.75" customHeight="1">
      <c r="A177" s="46" t="str">
        <f>SiteAttendu!$A177</f>
        <v>C2006</v>
      </c>
      <c r="B177" s="47" t="str">
        <f>VLOOKUP($A177,SiteAttendu!$A$2:$C$366,2,0)</f>
        <v>CHR GAGNOA</v>
      </c>
      <c r="C177" s="48" t="str">
        <f>VLOOKUP($A177,SiteAttendu!$A$2:$C$366,3,0)</f>
        <v>GOH</v>
      </c>
      <c r="D177" s="49">
        <f>IF(VLOOKUP($A177,SiteAttendu!$A$2:$P$366,4,0)="NA","NA",COUNTIFS(soccode,A177,socprog,"PNLS/ANTIRETROVIRAUX ET IO",soctrans,"OUI"))</f>
        <v>1</v>
      </c>
      <c r="E177" s="49">
        <f>IF(VLOOKUP($A177,SiteAttendu!$A$2:$P$366,5,0)="NA","NA",COUNTIFS(soccode,A177,socprog,"PNLS/TESTS RAPIDES ET CONSOMMABLES",soctrans,"OUI"))</f>
        <v>1</v>
      </c>
      <c r="F177" s="49">
        <f>IF(VLOOKUP($A177,SiteAttendu!$A$2:$P$366,6,0)="NA","NA",COUNTIFS(soccode,A177,socprog,"PNLS/PRODUITS DE LABORATOIRE",soctrans,"OUI"))</f>
        <v>1</v>
      </c>
      <c r="G177" s="49">
        <f>IF(VLOOKUP($A177,SiteAttendu!$A$2:$P$366,7,0)="NA","NA",COUNTIFS(soccode,A177,socprog,"PNLS/CHARGES VIRALES",soctrans,"OUI"))</f>
        <v>1</v>
      </c>
      <c r="H177" s="49">
        <f>IF(VLOOKUP($A177,SiteAttendu!$A$2:$P$366,9,0)="NA","NA",COUNTIFS(soccode,A177,socprog,"PNLP/MEDICAMENTS ET INTRANTS",soctrans,"OUI"))</f>
        <v>1</v>
      </c>
      <c r="I177" s="50">
        <f>IF(VLOOKUP($A177,SiteAttendu!$A$2:$P$366,10,0)="NA","NA",COUNTIFS(soccode,$A177,socprog,"PNSME/MEDICAMENTS ET INTRANTS",soctrans,"OUI"))</f>
        <v>1</v>
      </c>
      <c r="J177" s="49" t="str">
        <f>IF(VLOOKUP($A177,SiteAttendu!$A$2:$P$366,11,0)="NA","NA",COUNTIFS(soccode,$A177,socprog,"PNN/MEDICAMENTS ET INTRANTS",soctrans,"OUI"))</f>
        <v>NA</v>
      </c>
      <c r="K177" s="49" t="str">
        <f>IF(VLOOKUP($A177,SiteAttendu!$A$2:$O$366,15,0)="NA","NA",IF(COUNTIF(socprog,"PNLT/SENSIBLE MEDICAMENTS ET INTRANTS")=0,"NA",COUNTIFS(soccode,$A177,socprog,"PNLT/SENSIBLE MEDICAMENTS ET INTRANTS",soctrans,"OUI")))</f>
        <v>NA</v>
      </c>
      <c r="L177" s="51">
        <f t="shared" ref="L177:S177" si="179">IFERROR(SUMIFS(D$2:D$364,$C$2:$C$364,$C177)/COUNTIFS(D$2:D$364,"&lt;&gt;NA",$C$2:$C$364,$C177),"")</f>
        <v>1</v>
      </c>
      <c r="M177" s="51">
        <f t="shared" si="179"/>
        <v>1</v>
      </c>
      <c r="N177" s="51">
        <f t="shared" si="179"/>
        <v>1</v>
      </c>
      <c r="O177" s="51">
        <f t="shared" si="179"/>
        <v>1</v>
      </c>
      <c r="P177" s="51">
        <f t="shared" si="179"/>
        <v>1</v>
      </c>
      <c r="Q177" s="51">
        <f t="shared" si="179"/>
        <v>1</v>
      </c>
      <c r="R177" s="51" t="str">
        <f t="shared" si="179"/>
        <v/>
      </c>
      <c r="S177" s="51">
        <f t="shared" si="179"/>
        <v>1</v>
      </c>
      <c r="T177" s="51">
        <f t="shared" si="3"/>
        <v>1</v>
      </c>
      <c r="U177" s="53">
        <f t="shared" si="4"/>
        <v>4</v>
      </c>
      <c r="V177" s="54">
        <f t="shared" si="5"/>
        <v>4</v>
      </c>
    </row>
    <row r="178" ht="15.75" customHeight="1">
      <c r="A178" s="55" t="str">
        <f>SiteAttendu!$A178</f>
        <v>C2017</v>
      </c>
      <c r="B178" s="56" t="str">
        <f>VLOOKUP($A178,SiteAttendu!$A$2:$C$366,2,0)</f>
        <v>CSU OURAGAHIO</v>
      </c>
      <c r="C178" s="57" t="str">
        <f>VLOOKUP($A178,SiteAttendu!$A$2:$C$366,3,0)</f>
        <v>GOH</v>
      </c>
      <c r="D178" s="58" t="str">
        <f>IF(VLOOKUP($A178,SiteAttendu!$A$2:$P$366,4,0)="NA","NA",COUNTIFS(soccode,A178,socprog,"PNLS/ANTIRETROVIRAUX ET IO",soctrans,"OUI"))</f>
        <v>NA</v>
      </c>
      <c r="E178" s="58" t="str">
        <f>IF(VLOOKUP($A178,SiteAttendu!$A$2:$P$366,5,0)="NA","NA",COUNTIFS(soccode,A178,socprog,"PNLS/TESTS RAPIDES ET CONSOMMABLES",soctrans,"OUI"))</f>
        <v>NA</v>
      </c>
      <c r="F178" s="58" t="str">
        <f>IF(VLOOKUP($A178,SiteAttendu!$A$2:$P$366,6,0)="NA","NA",COUNTIFS(soccode,A178,socprog,"PNLS/PRODUITS DE LABORATOIRE",soctrans,"OUI"))</f>
        <v>NA</v>
      </c>
      <c r="G178" s="58" t="str">
        <f>IF(VLOOKUP($A178,SiteAttendu!$A$2:$P$366,7,0)="NA","NA",COUNTIFS(soccode,A178,socprog,"PNLS/CHARGES VIRALES",soctrans,"OUI"))</f>
        <v>NA</v>
      </c>
      <c r="H178" s="58">
        <f>IF(VLOOKUP($A178,SiteAttendu!$A$2:$P$366,9,0)="NA","NA",COUNTIFS(soccode,A178,socprog,"PNLP/MEDICAMENTS ET INTRANTS",soctrans,"OUI"))</f>
        <v>1</v>
      </c>
      <c r="I178" s="59">
        <f>IF(VLOOKUP($A178,SiteAttendu!$A$2:$P$366,10,0)="NA","NA",COUNTIFS(soccode,$A178,socprog,"PNSME/MEDICAMENTS ET INTRANTS",soctrans,"OUI"))</f>
        <v>1</v>
      </c>
      <c r="J178" s="58" t="str">
        <f>IF(VLOOKUP($A178,SiteAttendu!$A$2:$P$366,11,0)="NA","NA",COUNTIFS(soccode,$A178,socprog,"PNN/MEDICAMENTS ET INTRANTS",soctrans,"OUI"))</f>
        <v>NA</v>
      </c>
      <c r="K178" s="58">
        <f>IF(VLOOKUP($A178,SiteAttendu!$A$2:$O$366,15,0)="NA","NA",IF(COUNTIF(socprog,"PNLT/SENSIBLE MEDICAMENTS ET INTRANTS")=0,"NA",COUNTIFS(soccode,$A178,socprog,"PNLT/SENSIBLE MEDICAMENTS ET INTRANTS",soctrans,"OUI")))</f>
        <v>1</v>
      </c>
      <c r="L178" s="60"/>
      <c r="M178" s="60">
        <f t="shared" ref="M178:S178" si="180">IFERROR(SUMIFS(E$2:E$364,$C$2:$C$364,$C178)/COUNTIFS(E$2:E$364,"&lt;&gt;NA",$C$2:$C$364,$C178),"")</f>
        <v>1</v>
      </c>
      <c r="N178" s="60">
        <f t="shared" si="180"/>
        <v>1</v>
      </c>
      <c r="O178" s="60">
        <f t="shared" si="180"/>
        <v>1</v>
      </c>
      <c r="P178" s="60">
        <f t="shared" si="180"/>
        <v>1</v>
      </c>
      <c r="Q178" s="60">
        <f t="shared" si="180"/>
        <v>1</v>
      </c>
      <c r="R178" s="60" t="str">
        <f t="shared" si="180"/>
        <v/>
      </c>
      <c r="S178" s="60">
        <f t="shared" si="180"/>
        <v>1</v>
      </c>
      <c r="T178" s="60">
        <f t="shared" si="3"/>
        <v>1</v>
      </c>
      <c r="U178" s="53">
        <f t="shared" si="4"/>
        <v>0</v>
      </c>
      <c r="V178" s="54">
        <f t="shared" si="5"/>
        <v>0</v>
      </c>
    </row>
    <row r="179" ht="15.75" customHeight="1">
      <c r="A179" s="55" t="str">
        <f>SiteAttendu!$A179</f>
        <v>C2029</v>
      </c>
      <c r="B179" s="56" t="str">
        <f>VLOOKUP($A179,SiteAttendu!$A$2:$C$366,2,0)</f>
        <v>DISTRICT SANITAIRE GAGNOA</v>
      </c>
      <c r="C179" s="57" t="str">
        <f>VLOOKUP($A179,SiteAttendu!$A$2:$C$366,3,0)</f>
        <v>GOH</v>
      </c>
      <c r="D179" s="58">
        <f>IF(VLOOKUP($A179,SiteAttendu!$A$2:$P$366,4,0)="NA","NA",COUNTIFS(soccode,A179,socprog,"PNLS/ANTIRETROVIRAUX ET IO",soctrans,"OUI"))</f>
        <v>1</v>
      </c>
      <c r="E179" s="58">
        <f>IF(VLOOKUP($A179,SiteAttendu!$A$2:$P$366,5,0)="NA","NA",COUNTIFS(soccode,A179,socprog,"PNLS/TESTS RAPIDES ET CONSOMMABLES",soctrans,"OUI"))</f>
        <v>1</v>
      </c>
      <c r="F179" s="58">
        <f>IF(VLOOKUP($A179,SiteAttendu!$A$2:$P$366,6,0)="NA","NA",COUNTIFS(soccode,A179,socprog,"PNLS/PRODUITS DE LABORATOIRE",soctrans,"OUI"))</f>
        <v>1</v>
      </c>
      <c r="G179" s="58" t="str">
        <f>IF(VLOOKUP($A179,SiteAttendu!$A$2:$P$366,7,0)="NA","NA",COUNTIFS(soccode,A179,socprog,"PNLS/CHARGES VIRALES",soctrans,"OUI"))</f>
        <v>NA</v>
      </c>
      <c r="H179" s="58">
        <f>IF(VLOOKUP($A179,SiteAttendu!$A$2:$P$366,9,0)="NA","NA",COUNTIFS(soccode,A179,socprog,"PNLP/MEDICAMENTS ET INTRANTS",soctrans,"OUI"))</f>
        <v>1</v>
      </c>
      <c r="I179" s="59">
        <f>IF(VLOOKUP($A179,SiteAttendu!$A$2:$P$366,10,0)="NA","NA",COUNTIFS(soccode,$A179,socprog,"PNSME/MEDICAMENTS ET INTRANTS",soctrans,"OUI"))</f>
        <v>1</v>
      </c>
      <c r="J179" s="58" t="str">
        <f>IF(VLOOKUP($A179,SiteAttendu!$A$2:$P$366,11,0)="NA","NA",COUNTIFS(soccode,$A179,socprog,"PNN/MEDICAMENTS ET INTRANTS",soctrans,"OUI"))</f>
        <v>NA</v>
      </c>
      <c r="K179" s="58">
        <f>IF(VLOOKUP($A179,SiteAttendu!$A$2:$O$366,15,0)="NA","NA",IF(COUNTIF(socprog,"PNLT/SENSIBLE MEDICAMENTS ET INTRANTS")=0,"NA",COUNTIFS(soccode,$A179,socprog,"PNLT/SENSIBLE MEDICAMENTS ET INTRANTS",soctrans,"OUI")))</f>
        <v>1</v>
      </c>
      <c r="L179" s="60"/>
      <c r="M179" s="60">
        <f t="shared" ref="M179:S179" si="181">IFERROR(SUMIFS(E$2:E$364,$C$2:$C$364,$C179)/COUNTIFS(E$2:E$364,"&lt;&gt;NA",$C$2:$C$364,$C179),"")</f>
        <v>1</v>
      </c>
      <c r="N179" s="60">
        <f t="shared" si="181"/>
        <v>1</v>
      </c>
      <c r="O179" s="60">
        <f t="shared" si="181"/>
        <v>1</v>
      </c>
      <c r="P179" s="60">
        <f t="shared" si="181"/>
        <v>1</v>
      </c>
      <c r="Q179" s="60">
        <f t="shared" si="181"/>
        <v>1</v>
      </c>
      <c r="R179" s="60" t="str">
        <f t="shared" si="181"/>
        <v/>
      </c>
      <c r="S179" s="60">
        <f t="shared" si="181"/>
        <v>1</v>
      </c>
      <c r="T179" s="60">
        <f t="shared" si="3"/>
        <v>1</v>
      </c>
      <c r="U179" s="53">
        <f t="shared" si="4"/>
        <v>3</v>
      </c>
      <c r="V179" s="54">
        <f t="shared" si="5"/>
        <v>3</v>
      </c>
    </row>
    <row r="180" ht="15.75" customHeight="1">
      <c r="A180" s="55" t="str">
        <f>SiteAttendu!$A180</f>
        <v>C2053</v>
      </c>
      <c r="B180" s="56" t="str">
        <f>VLOOKUP($A180,SiteAttendu!$A$2:$C$366,2,0)</f>
        <v>HOPITAL GENERAL GAGNOA</v>
      </c>
      <c r="C180" s="57" t="str">
        <f>VLOOKUP($A180,SiteAttendu!$A$2:$C$366,3,0)</f>
        <v>GOH</v>
      </c>
      <c r="D180" s="58">
        <f>IF(VLOOKUP($A180,SiteAttendu!$A$2:$P$366,4,0)="NA","NA",COUNTIFS(soccode,A180,socprog,"PNLS/ANTIRETROVIRAUX ET IO",soctrans,"OUI"))</f>
        <v>1</v>
      </c>
      <c r="E180" s="58">
        <f>IF(VLOOKUP($A180,SiteAttendu!$A$2:$P$366,5,0)="NA","NA",COUNTIFS(soccode,A180,socprog,"PNLS/TESTS RAPIDES ET CONSOMMABLES",soctrans,"OUI"))</f>
        <v>1</v>
      </c>
      <c r="F180" s="58">
        <f>IF(VLOOKUP($A180,SiteAttendu!$A$2:$P$366,6,0)="NA","NA",COUNTIFS(soccode,A180,socprog,"PNLS/PRODUITS DE LABORATOIRE",soctrans,"OUI"))</f>
        <v>1</v>
      </c>
      <c r="G180" s="58">
        <f>IF(VLOOKUP($A180,SiteAttendu!$A$2:$P$366,7,0)="NA","NA",COUNTIFS(soccode,A180,socprog,"PNLS/CHARGES VIRALES",soctrans,"OUI"))</f>
        <v>1</v>
      </c>
      <c r="H180" s="58">
        <f>IF(VLOOKUP($A180,SiteAttendu!$A$2:$P$366,9,0)="NA","NA",COUNTIFS(soccode,A180,socprog,"PNLP/MEDICAMENTS ET INTRANTS",soctrans,"OUI"))</f>
        <v>1</v>
      </c>
      <c r="I180" s="59">
        <f>IF(VLOOKUP($A180,SiteAttendu!$A$2:$P$366,10,0)="NA","NA",COUNTIFS(soccode,$A180,socprog,"PNSME/MEDICAMENTS ET INTRANTS",soctrans,"OUI"))</f>
        <v>1</v>
      </c>
      <c r="J180" s="58" t="str">
        <f>IF(VLOOKUP($A180,SiteAttendu!$A$2:$P$366,11,0)="NA","NA",COUNTIFS(soccode,$A180,socprog,"PNN/MEDICAMENTS ET INTRANTS",soctrans,"OUI"))</f>
        <v>NA</v>
      </c>
      <c r="K180" s="58" t="str">
        <f>IF(VLOOKUP($A180,SiteAttendu!$A$2:$O$366,15,0)="NA","NA",IF(COUNTIF(socprog,"PNLT/SENSIBLE MEDICAMENTS ET INTRANTS")=0,"NA",COUNTIFS(soccode,$A180,socprog,"PNLT/SENSIBLE MEDICAMENTS ET INTRANTS",soctrans,"OUI")))</f>
        <v>NA</v>
      </c>
      <c r="L180" s="60"/>
      <c r="M180" s="60">
        <f t="shared" ref="M180:S180" si="182">IFERROR(SUMIFS(E$2:E$364,$C$2:$C$364,$C180)/COUNTIFS(E$2:E$364,"&lt;&gt;NA",$C$2:$C$364,$C180),"")</f>
        <v>1</v>
      </c>
      <c r="N180" s="60">
        <f t="shared" si="182"/>
        <v>1</v>
      </c>
      <c r="O180" s="60">
        <f t="shared" si="182"/>
        <v>1</v>
      </c>
      <c r="P180" s="60">
        <f t="shared" si="182"/>
        <v>1</v>
      </c>
      <c r="Q180" s="60">
        <f t="shared" si="182"/>
        <v>1</v>
      </c>
      <c r="R180" s="60" t="str">
        <f t="shared" si="182"/>
        <v/>
      </c>
      <c r="S180" s="60">
        <f t="shared" si="182"/>
        <v>1</v>
      </c>
      <c r="T180" s="60">
        <f t="shared" si="3"/>
        <v>1</v>
      </c>
      <c r="U180" s="53">
        <f t="shared" si="4"/>
        <v>4</v>
      </c>
      <c r="V180" s="54">
        <f t="shared" si="5"/>
        <v>4</v>
      </c>
    </row>
    <row r="181" ht="15.75" customHeight="1">
      <c r="A181" s="55" t="str">
        <f>SiteAttendu!$A181</f>
        <v>C2001</v>
      </c>
      <c r="B181" s="56" t="str">
        <f>VLOOKUP($A181,SiteAttendu!$A$2:$C$366,2,0)</f>
        <v>CENTRE ANTI-TUBERCULEUX GAGNOA</v>
      </c>
      <c r="C181" s="57" t="str">
        <f>VLOOKUP($A181,SiteAttendu!$A$2:$C$366,3,0)</f>
        <v>GOH</v>
      </c>
      <c r="D181" s="58" t="str">
        <f>IF(VLOOKUP($A181,SiteAttendu!$A$2:$P$366,4,0)="NA","NA",COUNTIFS(soccode,A181,socprog,"PNLS/ANTIRETROVIRAUX ET IO",soctrans,"OUI"))</f>
        <v>NA</v>
      </c>
      <c r="E181" s="58" t="str">
        <f>IF(VLOOKUP($A181,SiteAttendu!$A$2:$P$366,5,0)="NA","NA",COUNTIFS(soccode,A181,socprog,"PNLS/TESTS RAPIDES ET CONSOMMABLES",soctrans,"OUI"))</f>
        <v>NA</v>
      </c>
      <c r="F181" s="58" t="str">
        <f>IF(VLOOKUP($A181,SiteAttendu!$A$2:$P$366,6,0)="NA","NA",COUNTIFS(soccode,A181,socprog,"PNLS/PRODUITS DE LABORATOIRE",soctrans,"OUI"))</f>
        <v>NA</v>
      </c>
      <c r="G181" s="58" t="str">
        <f>IF(VLOOKUP($A181,SiteAttendu!$A$2:$P$366,7,0)="NA","NA",COUNTIFS(soccode,A181,socprog,"PNLS/CHARGES VIRALES",soctrans,"OUI"))</f>
        <v>NA</v>
      </c>
      <c r="H181" s="58" t="str">
        <f>IF(VLOOKUP($A181,SiteAttendu!$A$2:$P$366,9,0)="NA","NA",COUNTIFS(soccode,A181,socprog,"PNLP/MEDICAMENTS ET INTRANTS",soctrans,"OUI"))</f>
        <v>NA</v>
      </c>
      <c r="I181" s="59" t="str">
        <f>IF(VLOOKUP($A181,SiteAttendu!$A$2:$P$366,10,0)="NA","NA",COUNTIFS(soccode,$A181,socprog,"PNSME/MEDICAMENTS ET INTRANTS",soctrans,"OUI"))</f>
        <v>NA</v>
      </c>
      <c r="J181" s="58" t="str">
        <f>IF(VLOOKUP($A181,SiteAttendu!$A$2:$P$366,11,0)="NA","NA",COUNTIFS(soccode,$A181,socprog,"PNN/MEDICAMENTS ET INTRANTS",soctrans,"OUI"))</f>
        <v>NA</v>
      </c>
      <c r="K181" s="58">
        <f>IF(VLOOKUP($A181,SiteAttendu!$A$2:$O$366,15,0)="NA","NA",IF(COUNTIF(socprog,"PNLT/SENSIBLE MEDICAMENTS ET INTRANTS")=0,"NA",COUNTIFS(soccode,$A181,socprog,"PNLT/SENSIBLE MEDICAMENTS ET INTRANTS",soctrans,"OUI")))</f>
        <v>1</v>
      </c>
      <c r="L181" s="60"/>
      <c r="M181" s="60">
        <f t="shared" ref="M181:S181" si="183">IFERROR(SUMIFS(E$2:E$364,$C$2:$C$364,$C181)/COUNTIFS(E$2:E$364,"&lt;&gt;NA",$C$2:$C$364,$C181),"")</f>
        <v>1</v>
      </c>
      <c r="N181" s="60">
        <f t="shared" si="183"/>
        <v>1</v>
      </c>
      <c r="O181" s="60">
        <f t="shared" si="183"/>
        <v>1</v>
      </c>
      <c r="P181" s="60">
        <f t="shared" si="183"/>
        <v>1</v>
      </c>
      <c r="Q181" s="60">
        <f t="shared" si="183"/>
        <v>1</v>
      </c>
      <c r="R181" s="60" t="str">
        <f t="shared" si="183"/>
        <v/>
      </c>
      <c r="S181" s="60">
        <f t="shared" si="183"/>
        <v>1</v>
      </c>
      <c r="T181" s="60">
        <f t="shared" si="3"/>
        <v>1</v>
      </c>
      <c r="U181" s="53">
        <f t="shared" si="4"/>
        <v>0</v>
      </c>
      <c r="V181" s="54">
        <f t="shared" si="5"/>
        <v>0</v>
      </c>
    </row>
    <row r="182" ht="16.5" customHeight="1">
      <c r="A182" s="55" t="str">
        <f>SiteAttendu!$A184</f>
        <v>C2088</v>
      </c>
      <c r="B182" s="56" t="str">
        <f>VLOOKUP($A182,SiteAttendu!$A$2:$C$366,2,0)</f>
        <v>DISTRICT SANITAIRE GAGNOA 2</v>
      </c>
      <c r="C182" s="57" t="str">
        <f>VLOOKUP($A182,SiteAttendu!$A$2:$C$366,3,0)</f>
        <v>GOH</v>
      </c>
      <c r="D182" s="58">
        <f>IF(VLOOKUP($A182,SiteAttendu!$A$2:$P$366,4,0)="NA","NA",COUNTIFS(soccode,A182,socprog,"PNLS/ANTIRETROVIRAUX ET IO",soctrans,"OUI"))</f>
        <v>1</v>
      </c>
      <c r="E182" s="58">
        <f>IF(VLOOKUP($A182,SiteAttendu!$A$2:$P$366,5,0)="NA","NA",COUNTIFS(soccode,A182,socprog,"PNLS/TESTS RAPIDES ET CONSOMMABLES",soctrans,"OUI"))</f>
        <v>1</v>
      </c>
      <c r="F182" s="58">
        <f>IF(VLOOKUP($A182,SiteAttendu!$A$2:$P$366,6,0)="NA","NA",COUNTIFS(soccode,A182,socprog,"PNLS/PRODUITS DE LABORATOIRE",soctrans,"OUI"))</f>
        <v>1</v>
      </c>
      <c r="G182" s="58" t="str">
        <f>IF(VLOOKUP($A182,SiteAttendu!$A$2:$P$366,7,0)="NA","NA",COUNTIFS(soccode,A182,socprog,"PNLS/CHARGES VIRALES",soctrans,"OUI"))</f>
        <v>NA</v>
      </c>
      <c r="H182" s="58">
        <f>IF(VLOOKUP($A182,SiteAttendu!$A$2:$P$366,9,0)="NA","NA",COUNTIFS(soccode,A182,socprog,"PNLP/MEDICAMENTS ET INTRANTS",soctrans,"OUI"))</f>
        <v>1</v>
      </c>
      <c r="I182" s="59">
        <f>IF(VLOOKUP($A182,SiteAttendu!$A$2:$P$366,10,0)="NA","NA",COUNTIFS(soccode,$A182,socprog,"PNSME/MEDICAMENTS ET INTRANTS",soctrans,"OUI"))</f>
        <v>1</v>
      </c>
      <c r="J182" s="58" t="str">
        <f>IF(VLOOKUP($A182,SiteAttendu!$A$2:$P$366,11,0)="NA","NA",COUNTIFS(soccode,$A182,socprog,"PNN/MEDICAMENTS ET INTRANTS",soctrans,"OUI"))</f>
        <v>NA</v>
      </c>
      <c r="K182" s="58">
        <f>IF(VLOOKUP($A182,SiteAttendu!$A$2:$O$366,15,0)="NA","NA",IF(COUNTIF(socprog,"PNLT/SENSIBLE MEDICAMENTS ET INTRANTS")=0,"NA",COUNTIFS(soccode,$A182,socprog,"PNLT/SENSIBLE MEDICAMENTS ET INTRANTS",soctrans,"OUI")))</f>
        <v>1</v>
      </c>
      <c r="L182" s="60"/>
      <c r="M182" s="60">
        <f t="shared" ref="M182:S182" si="184">IFERROR(SUMIFS(E$2:E$364,$C$2:$C$364,$C182)/COUNTIFS(E$2:E$364,"&lt;&gt;NA",$C$2:$C$364,$C182),"")</f>
        <v>1</v>
      </c>
      <c r="N182" s="60">
        <f t="shared" si="184"/>
        <v>1</v>
      </c>
      <c r="O182" s="60">
        <f t="shared" si="184"/>
        <v>1</v>
      </c>
      <c r="P182" s="60">
        <f t="shared" si="184"/>
        <v>1</v>
      </c>
      <c r="Q182" s="60">
        <f t="shared" si="184"/>
        <v>1</v>
      </c>
      <c r="R182" s="60" t="str">
        <f t="shared" si="184"/>
        <v/>
      </c>
      <c r="S182" s="60">
        <f t="shared" si="184"/>
        <v>1</v>
      </c>
      <c r="T182" s="60">
        <f t="shared" si="3"/>
        <v>1</v>
      </c>
      <c r="U182" s="53">
        <f t="shared" si="4"/>
        <v>3</v>
      </c>
      <c r="V182" s="54">
        <f t="shared" si="5"/>
        <v>3</v>
      </c>
    </row>
    <row r="183" ht="15.75" customHeight="1">
      <c r="A183" s="55" t="str">
        <f>SiteAttendu!$A185</f>
        <v>C2033</v>
      </c>
      <c r="B183" s="56" t="str">
        <f>VLOOKUP($A183,SiteAttendu!$A$2:$C$366,2,0)</f>
        <v>DISTRICT SANITAIRE OUME</v>
      </c>
      <c r="C183" s="57" t="str">
        <f>VLOOKUP($A183,SiteAttendu!$A$2:$C$366,3,0)</f>
        <v>GOH</v>
      </c>
      <c r="D183" s="58">
        <f>IF(VLOOKUP($A183,SiteAttendu!$A$2:$P$366,4,0)="NA","NA",COUNTIFS(soccode,A183,socprog,"PNLS/ANTIRETROVIRAUX ET IO",soctrans,"OUI"))</f>
        <v>1</v>
      </c>
      <c r="E183" s="58">
        <f>IF(VLOOKUP($A183,SiteAttendu!$A$2:$P$366,5,0)="NA","NA",COUNTIFS(soccode,A183,socprog,"PNLS/TESTS RAPIDES ET CONSOMMABLES",soctrans,"OUI"))</f>
        <v>1</v>
      </c>
      <c r="F183" s="58">
        <f>IF(VLOOKUP($A183,SiteAttendu!$A$2:$P$366,6,0)="NA","NA",COUNTIFS(soccode,A183,socprog,"PNLS/PRODUITS DE LABORATOIRE",soctrans,"OUI"))</f>
        <v>1</v>
      </c>
      <c r="G183" s="58" t="str">
        <f>IF(VLOOKUP($A183,SiteAttendu!$A$2:$P$366,7,0)="NA","NA",COUNTIFS(soccode,A183,socprog,"PNLS/CHARGES VIRALES",soctrans,"OUI"))</f>
        <v>NA</v>
      </c>
      <c r="H183" s="58">
        <f>IF(VLOOKUP($A183,SiteAttendu!$A$2:$P$366,9,0)="NA","NA",COUNTIFS(soccode,A183,socprog,"PNLP/MEDICAMENTS ET INTRANTS",soctrans,"OUI"))</f>
        <v>1</v>
      </c>
      <c r="I183" s="59">
        <f>IF(VLOOKUP($A183,SiteAttendu!$A$2:$P$366,10,0)="NA","NA",COUNTIFS(soccode,$A183,socprog,"PNSME/MEDICAMENTS ET INTRANTS",soctrans,"OUI"))</f>
        <v>1</v>
      </c>
      <c r="J183" s="58" t="str">
        <f>IF(VLOOKUP($A183,SiteAttendu!$A$2:$P$366,11,0)="NA","NA",COUNTIFS(soccode,$A183,socprog,"PNN/MEDICAMENTS ET INTRANTS",soctrans,"OUI"))</f>
        <v>NA</v>
      </c>
      <c r="K183" s="58">
        <f>IF(VLOOKUP($A183,SiteAttendu!$A$2:$O$366,15,0)="NA","NA",IF(COUNTIF(socprog,"PNLT/SENSIBLE MEDICAMENTS ET INTRANTS")=0,"NA",COUNTIFS(soccode,$A183,socprog,"PNLT/SENSIBLE MEDICAMENTS ET INTRANTS",soctrans,"OUI")))</f>
        <v>1</v>
      </c>
      <c r="L183" s="60"/>
      <c r="M183" s="60">
        <f t="shared" ref="M183:S183" si="185">IFERROR(SUMIFS(E$2:E$364,$C$2:$C$364,$C183)/COUNTIFS(E$2:E$364,"&lt;&gt;NA",$C$2:$C$364,$C183),"")</f>
        <v>1</v>
      </c>
      <c r="N183" s="60">
        <f t="shared" si="185"/>
        <v>1</v>
      </c>
      <c r="O183" s="60">
        <f t="shared" si="185"/>
        <v>1</v>
      </c>
      <c r="P183" s="60">
        <f t="shared" si="185"/>
        <v>1</v>
      </c>
      <c r="Q183" s="60">
        <f t="shared" si="185"/>
        <v>1</v>
      </c>
      <c r="R183" s="60" t="str">
        <f t="shared" si="185"/>
        <v/>
      </c>
      <c r="S183" s="60">
        <f t="shared" si="185"/>
        <v>1</v>
      </c>
      <c r="T183" s="60">
        <f t="shared" si="3"/>
        <v>1</v>
      </c>
      <c r="U183" s="53">
        <f t="shared" si="4"/>
        <v>3</v>
      </c>
      <c r="V183" s="54">
        <f t="shared" si="5"/>
        <v>3</v>
      </c>
    </row>
    <row r="184" ht="15.75" customHeight="1">
      <c r="A184" s="70" t="str">
        <f>SiteAttendu!$A186</f>
        <v>C2060</v>
      </c>
      <c r="B184" s="71" t="str">
        <f>VLOOKUP($A184,SiteAttendu!$A$2:$C$366,2,0)</f>
        <v>HOPITAL GENERAL OUME</v>
      </c>
      <c r="C184" s="72" t="str">
        <f>VLOOKUP($A184,SiteAttendu!$A$2:$C$366,3,0)</f>
        <v>GOH</v>
      </c>
      <c r="D184" s="58">
        <f>IF(VLOOKUP($A184,SiteAttendu!$A$2:$P$366,4,0)="NA","NA",COUNTIFS(soccode,A184,socprog,"PNLS/ANTIRETROVIRAUX ET IO",soctrans,"OUI"))</f>
        <v>1</v>
      </c>
      <c r="E184" s="58">
        <f>IF(VLOOKUP($A184,SiteAttendu!$A$2:$P$366,5,0)="NA","NA",COUNTIFS(soccode,A184,socprog,"PNLS/TESTS RAPIDES ET CONSOMMABLES",soctrans,"OUI"))</f>
        <v>1</v>
      </c>
      <c r="F184" s="58">
        <f>IF(VLOOKUP($A184,SiteAttendu!$A$2:$P$366,6,0)="NA","NA",COUNTIFS(soccode,A184,socprog,"PNLS/PRODUITS DE LABORATOIRE",soctrans,"OUI"))</f>
        <v>1</v>
      </c>
      <c r="G184" s="58">
        <f>IF(VLOOKUP($A184,SiteAttendu!$A$2:$P$366,7,0)="NA","NA",COUNTIFS(soccode,A184,socprog,"PNLS/CHARGES VIRALES",soctrans,"OUI"))</f>
        <v>1</v>
      </c>
      <c r="H184" s="58">
        <f>IF(VLOOKUP($A184,SiteAttendu!$A$2:$P$366,9,0)="NA","NA",COUNTIFS(soccode,A184,socprog,"PNLP/MEDICAMENTS ET INTRANTS",soctrans,"OUI"))</f>
        <v>1</v>
      </c>
      <c r="I184" s="59">
        <f>IF(VLOOKUP($A184,SiteAttendu!$A$2:$P$366,10,0)="NA","NA",COUNTIFS(soccode,$A184,socprog,"PNSME/MEDICAMENTS ET INTRANTS",soctrans,"OUI"))</f>
        <v>1</v>
      </c>
      <c r="J184" s="58" t="str">
        <f>IF(VLOOKUP($A184,SiteAttendu!$A$2:$P$366,11,0)="NA","NA",COUNTIFS(soccode,$A184,socprog,"PNN/MEDICAMENTS ET INTRANTS",soctrans,"OUI"))</f>
        <v>NA</v>
      </c>
      <c r="K184" s="58" t="str">
        <f>IF(VLOOKUP($A184,SiteAttendu!$A$2:$O$366,15,0)="NA","NA",IF(COUNTIF(socprog,"PNLT/SENSIBLE MEDICAMENTS ET INTRANTS")=0,"NA",COUNTIFS(soccode,$A184,socprog,"PNLT/SENSIBLE MEDICAMENTS ET INTRANTS",soctrans,"OUI")))</f>
        <v>NA</v>
      </c>
      <c r="L184" s="60"/>
      <c r="M184" s="60">
        <f t="shared" ref="M184:S184" si="186">IFERROR(SUMIFS(E$2:E$364,$C$2:$C$364,$C184)/COUNTIFS(E$2:E$364,"&lt;&gt;NA",$C$2:$C$364,$C184),"")</f>
        <v>1</v>
      </c>
      <c r="N184" s="60">
        <f t="shared" si="186"/>
        <v>1</v>
      </c>
      <c r="O184" s="60">
        <f t="shared" si="186"/>
        <v>1</v>
      </c>
      <c r="P184" s="60">
        <f t="shared" si="186"/>
        <v>1</v>
      </c>
      <c r="Q184" s="60">
        <f t="shared" si="186"/>
        <v>1</v>
      </c>
      <c r="R184" s="60" t="str">
        <f t="shared" si="186"/>
        <v/>
      </c>
      <c r="S184" s="60">
        <f t="shared" si="186"/>
        <v>1</v>
      </c>
      <c r="T184" s="60">
        <f t="shared" si="3"/>
        <v>1</v>
      </c>
      <c r="U184" s="53">
        <f t="shared" si="4"/>
        <v>4</v>
      </c>
      <c r="V184" s="54">
        <f t="shared" si="5"/>
        <v>4</v>
      </c>
    </row>
    <row r="185" ht="15.75" customHeight="1">
      <c r="A185" s="46" t="str">
        <f>SiteAttendu!$A187</f>
        <v>C4002</v>
      </c>
      <c r="B185" s="47" t="str">
        <f>VLOOKUP($A185,SiteAttendu!$A$2:$C$366,2,0)</f>
        <v>CHR BONDOUKOU</v>
      </c>
      <c r="C185" s="48" t="str">
        <f>VLOOKUP($A185,SiteAttendu!$A$2:$C$366,3,0)</f>
        <v>GONTOUGO</v>
      </c>
      <c r="D185" s="58">
        <f>IF(VLOOKUP($A185,SiteAttendu!$A$2:$P$366,4,0)="NA","NA",COUNTIFS(soccode,A185,socprog,"PNLS/ANTIRETROVIRAUX ET IO",soctrans,"OUI"))</f>
        <v>1</v>
      </c>
      <c r="E185" s="58">
        <f>IF(VLOOKUP($A185,SiteAttendu!$A$2:$P$366,5,0)="NA","NA",COUNTIFS(soccode,A185,socprog,"PNLS/TESTS RAPIDES ET CONSOMMABLES",soctrans,"OUI"))</f>
        <v>1</v>
      </c>
      <c r="F185" s="58">
        <f>IF(VLOOKUP($A185,SiteAttendu!$A$2:$P$366,6,0)="NA","NA",COUNTIFS(soccode,A185,socprog,"PNLS/PRODUITS DE LABORATOIRE",soctrans,"OUI"))</f>
        <v>1</v>
      </c>
      <c r="G185" s="58">
        <f>IF(VLOOKUP($A185,SiteAttendu!$A$2:$P$366,7,0)="NA","NA",COUNTIFS(soccode,A185,socprog,"PNLS/CHARGES VIRALES",soctrans,"OUI"))</f>
        <v>1</v>
      </c>
      <c r="H185" s="58">
        <f>IF(VLOOKUP($A185,SiteAttendu!$A$2:$P$366,9,0)="NA","NA",COUNTIFS(soccode,A185,socprog,"PNLP/MEDICAMENTS ET INTRANTS",soctrans,"OUI"))</f>
        <v>1</v>
      </c>
      <c r="I185" s="59">
        <f>IF(VLOOKUP($A185,SiteAttendu!$A$2:$P$366,10,0)="NA","NA",COUNTIFS(soccode,$A185,socprog,"PNSME/MEDICAMENTS ET INTRANTS",soctrans,"OUI"))</f>
        <v>1</v>
      </c>
      <c r="J185" s="58">
        <f>IF(VLOOKUP($A185,SiteAttendu!$A$2:$P$366,11,0)="NA","NA",COUNTIFS(soccode,$A185,socprog,"PNN/MEDICAMENTS ET INTRANTS",soctrans,"OUI"))</f>
        <v>1</v>
      </c>
      <c r="K185" s="58" t="str">
        <f>IF(VLOOKUP($A185,SiteAttendu!$A$2:$O$366,15,0)="NA","NA",IF(COUNTIF(socprog,"PNLT/SENSIBLE MEDICAMENTS ET INTRANTS")=0,"NA",COUNTIFS(soccode,$A185,socprog,"PNLT/SENSIBLE MEDICAMENTS ET INTRANTS",soctrans,"OUI")))</f>
        <v>NA</v>
      </c>
      <c r="L185" s="60">
        <f>IFERROR(SUMIFS(D$2:D$364,$C$2:$C$364,$C187)/COUNTIFS(D$2:D$364,"&lt;&gt;NA",$C$2:$C$364,$C187),"")</f>
        <v>1</v>
      </c>
      <c r="M185" s="60">
        <f t="shared" ref="M185:S185" si="187">IFERROR(SUMIFS(E$2:E$364,$C$2:$C$364,$C185)/COUNTIFS(E$2:E$364,"&lt;&gt;NA",$C$2:$C$364,$C185),"")</f>
        <v>1</v>
      </c>
      <c r="N185" s="60">
        <f t="shared" si="187"/>
        <v>0.8571428571</v>
      </c>
      <c r="O185" s="60">
        <f t="shared" si="187"/>
        <v>1</v>
      </c>
      <c r="P185" s="60">
        <f t="shared" si="187"/>
        <v>1</v>
      </c>
      <c r="Q185" s="60">
        <f t="shared" si="187"/>
        <v>1</v>
      </c>
      <c r="R185" s="60">
        <f t="shared" si="187"/>
        <v>1</v>
      </c>
      <c r="S185" s="60">
        <f t="shared" si="187"/>
        <v>0.5</v>
      </c>
      <c r="T185" s="60">
        <f t="shared" si="3"/>
        <v>0.9666666667</v>
      </c>
      <c r="U185" s="53">
        <f t="shared" si="4"/>
        <v>4</v>
      </c>
      <c r="V185" s="54">
        <f t="shared" si="5"/>
        <v>4</v>
      </c>
    </row>
    <row r="186" ht="15.75" customHeight="1">
      <c r="A186" s="55" t="str">
        <f>SiteAttendu!$A147</f>
        <v>C2168</v>
      </c>
      <c r="B186" s="56" t="str">
        <f>VLOOKUP($A186,SiteAttendu!$A$2:$C$366,2,0)</f>
        <v>HOPITAL GENERAL TRANSUA</v>
      </c>
      <c r="C186" s="57" t="str">
        <f>VLOOKUP($A186,SiteAttendu!$A$2:$C$366,3,0)</f>
        <v>GONTOUGO</v>
      </c>
      <c r="D186" s="65">
        <f>IF(VLOOKUP($A186,SiteAttendu!$A$2:$P$366,4,0)="NA","NA",COUNTIFS(soccode,A186,socprog,"PNLS/ANTIRETROVIRAUX ET IO",soctrans,"OUI"))</f>
        <v>1</v>
      </c>
      <c r="E186" s="65">
        <f>IF(VLOOKUP($A186,SiteAttendu!$A$2:$P$366,5,0)="NA","NA",COUNTIFS(soccode,A186,socprog,"PNLS/TESTS RAPIDES ET CONSOMMABLES",soctrans,"OUI"))</f>
        <v>1</v>
      </c>
      <c r="F186" s="65" t="str">
        <f>IF(VLOOKUP($A186,SiteAttendu!$A$2:$P$366,6,0)="NA","NA",COUNTIFS(soccode,A186,socprog,"PNLS/PRODUITS DE LABORATOIRE",soctrans,"OUI"))</f>
        <v>NA</v>
      </c>
      <c r="G186" s="65" t="str">
        <f>IF(VLOOKUP($A186,SiteAttendu!$A$2:$P$366,7,0)="NA","NA",COUNTIFS(soccode,A186,socprog,"PNLS/CHARGES VIRALES",soctrans,"OUI"))</f>
        <v>NA</v>
      </c>
      <c r="H186" s="65">
        <f>IF(VLOOKUP($A186,SiteAttendu!$A$2:$P$366,9,0)="NA","NA",COUNTIFS(soccode,A186,socprog,"PNLP/MEDICAMENTS ET INTRANTS",soctrans,"OUI"))</f>
        <v>1</v>
      </c>
      <c r="I186" s="66">
        <f>IF(VLOOKUP($A186,SiteAttendu!$A$2:$P$366,10,0)="NA","NA",COUNTIFS(soccode,$A186,socprog,"PNSME/MEDICAMENTS ET INTRANTS",soctrans,"OUI"))</f>
        <v>1</v>
      </c>
      <c r="J186" s="65" t="str">
        <f>IF(VLOOKUP($A186,SiteAttendu!$A$2:$P$366,11,0)="NA","NA",COUNTIFS(soccode,$A186,socprog,"PNN/MEDICAMENTS ET INTRANTS",soctrans,"OUI"))</f>
        <v>NA</v>
      </c>
      <c r="K186" s="65" t="str">
        <f>IF(VLOOKUP($A186,SiteAttendu!$A$2:$O$366,15,0)="NA","NA",IF(COUNTIF(socprog,"PNLT/SENSIBLE MEDICAMENTS ET INTRANTS")=0,"NA",COUNTIFS(soccode,$A186,socprog,"PNLT/SENSIBLE MEDICAMENTS ET INTRANTS",soctrans,"OUI")))</f>
        <v>NA</v>
      </c>
      <c r="L186" s="60"/>
      <c r="M186" s="60">
        <f t="shared" ref="M186:S186" si="188">IFERROR(SUMIFS(E$2:E$364,$C$2:$C$364,$C186)/COUNTIFS(E$2:E$364,"&lt;&gt;NA",$C$2:$C$364,$C186),"")</f>
        <v>1</v>
      </c>
      <c r="N186" s="60">
        <f t="shared" si="188"/>
        <v>0.8571428571</v>
      </c>
      <c r="O186" s="60">
        <f t="shared" si="188"/>
        <v>1</v>
      </c>
      <c r="P186" s="60">
        <f t="shared" si="188"/>
        <v>1</v>
      </c>
      <c r="Q186" s="60">
        <f t="shared" si="188"/>
        <v>1</v>
      </c>
      <c r="R186" s="60">
        <f t="shared" si="188"/>
        <v>1</v>
      </c>
      <c r="S186" s="60">
        <f t="shared" si="188"/>
        <v>0.5</v>
      </c>
      <c r="T186" s="60">
        <f t="shared" si="3"/>
        <v>0.9666666667</v>
      </c>
      <c r="U186" s="53">
        <f t="shared" si="4"/>
        <v>2</v>
      </c>
      <c r="V186" s="54">
        <f t="shared" si="5"/>
        <v>2</v>
      </c>
    </row>
    <row r="187" ht="15.75" customHeight="1">
      <c r="A187" s="55" t="str">
        <f>SiteAttendu!$A148</f>
        <v>C4069</v>
      </c>
      <c r="B187" s="56" t="str">
        <f>VLOOKUP($A187,SiteAttendu!$A$2:$C$366,2,0)</f>
        <v>DISTRICT SANITAIRE TRANSUA</v>
      </c>
      <c r="C187" s="57" t="str">
        <f>VLOOKUP($A187,SiteAttendu!$A$2:$C$366,3,0)</f>
        <v>GONTOUGO</v>
      </c>
      <c r="D187" s="49">
        <f>IF(VLOOKUP($A187,SiteAttendu!$A$2:$P$366,4,0)="NA","NA",COUNTIFS(soccode,A187,socprog,"PNLS/ANTIRETROVIRAUX ET IO",soctrans,"OUI"))</f>
        <v>1</v>
      </c>
      <c r="E187" s="49">
        <f>IF(VLOOKUP($A187,SiteAttendu!$A$2:$P$366,5,0)="NA","NA",COUNTIFS(soccode,A187,socprog,"PNLS/TESTS RAPIDES ET CONSOMMABLES",soctrans,"OUI"))</f>
        <v>1</v>
      </c>
      <c r="F187" s="49">
        <f>IF(VLOOKUP($A187,SiteAttendu!$A$2:$P$366,6,0)="NA","NA",COUNTIFS(soccode,A187,socprog,"PNLS/PRODUITS DE LABORATOIRE",soctrans,"OUI"))</f>
        <v>1</v>
      </c>
      <c r="G187" s="49" t="str">
        <f>IF(VLOOKUP($A187,SiteAttendu!$A$2:$P$366,7,0)="NA","NA",COUNTIFS(soccode,A187,socprog,"PNLS/CHARGES VIRALES",soctrans,"OUI"))</f>
        <v>NA</v>
      </c>
      <c r="H187" s="49">
        <f>IF(VLOOKUP($A187,SiteAttendu!$A$2:$P$366,9,0)="NA","NA",COUNTIFS(soccode,A187,socprog,"PNLP/MEDICAMENTS ET INTRANTS",soctrans,"OUI"))</f>
        <v>1</v>
      </c>
      <c r="I187" s="50">
        <f>IF(VLOOKUP($A187,SiteAttendu!$A$2:$P$366,10,0)="NA","NA",COUNTIFS(soccode,$A187,socprog,"PNSME/MEDICAMENTS ET INTRANTS",soctrans,"OUI"))</f>
        <v>1</v>
      </c>
      <c r="J187" s="49">
        <f>IF(VLOOKUP($A187,SiteAttendu!$A$2:$P$366,11,0)="NA","NA",COUNTIFS(soccode,$A187,socprog,"PNN/MEDICAMENTS ET INTRANTS",soctrans,"OUI"))</f>
        <v>1</v>
      </c>
      <c r="K187" s="49" t="str">
        <f>IF(VLOOKUP($A187,SiteAttendu!$A$2:$O$366,15,0)="NA","NA",IF(COUNTIF(socprog,"PNLT/SENSIBLE MEDICAMENTS ET INTRANTS")=0,"NA",COUNTIFS(soccode,$A187,socprog,"PNLT/SENSIBLE MEDICAMENTS ET INTRANTS",soctrans,"OUI")))</f>
        <v>NA</v>
      </c>
      <c r="L187" s="60"/>
      <c r="M187" s="60">
        <f t="shared" ref="M187:S187" si="189">IFERROR(SUMIFS(E$2:E$364,$C$2:$C$364,$C187)/COUNTIFS(E$2:E$364,"&lt;&gt;NA",$C$2:$C$364,$C187),"")</f>
        <v>1</v>
      </c>
      <c r="N187" s="60">
        <f t="shared" si="189"/>
        <v>0.8571428571</v>
      </c>
      <c r="O187" s="60">
        <f t="shared" si="189"/>
        <v>1</v>
      </c>
      <c r="P187" s="60">
        <f t="shared" si="189"/>
        <v>1</v>
      </c>
      <c r="Q187" s="60">
        <f t="shared" si="189"/>
        <v>1</v>
      </c>
      <c r="R187" s="60">
        <f t="shared" si="189"/>
        <v>1</v>
      </c>
      <c r="S187" s="60">
        <f t="shared" si="189"/>
        <v>0.5</v>
      </c>
      <c r="T187" s="60">
        <f t="shared" si="3"/>
        <v>0.9666666667</v>
      </c>
      <c r="U187" s="53">
        <f t="shared" si="4"/>
        <v>3</v>
      </c>
      <c r="V187" s="54">
        <f t="shared" si="5"/>
        <v>3</v>
      </c>
    </row>
    <row r="188" ht="15.75" customHeight="1">
      <c r="A188" s="55" t="str">
        <f>SiteAttendu!$A188</f>
        <v>C4007</v>
      </c>
      <c r="B188" s="56" t="str">
        <f>VLOOKUP($A188,SiteAttendu!$A$2:$C$366,2,0)</f>
        <v>DISTRICT SANITAIRE BONDOUKOU</v>
      </c>
      <c r="C188" s="57" t="str">
        <f>VLOOKUP($A188,SiteAttendu!$A$2:$C$366,3,0)</f>
        <v>GONTOUGO</v>
      </c>
      <c r="D188" s="58">
        <f>IF(VLOOKUP($A188,SiteAttendu!$A$2:$P$366,4,0)="NA","NA",COUNTIFS(soccode,A188,socprog,"PNLS/ANTIRETROVIRAUX ET IO",soctrans,"OUI"))</f>
        <v>1</v>
      </c>
      <c r="E188" s="58">
        <f>IF(VLOOKUP($A188,SiteAttendu!$A$2:$P$366,5,0)="NA","NA",COUNTIFS(soccode,A188,socprog,"PNLS/TESTS RAPIDES ET CONSOMMABLES",soctrans,"OUI"))</f>
        <v>1</v>
      </c>
      <c r="F188" s="58">
        <f>IF(VLOOKUP($A188,SiteAttendu!$A$2:$P$366,6,0)="NA","NA",COUNTIFS(soccode,A188,socprog,"PNLS/PRODUITS DE LABORATOIRE",soctrans,"OUI"))</f>
        <v>1</v>
      </c>
      <c r="G188" s="58">
        <f>IF(VLOOKUP($A188,SiteAttendu!$A$2:$P$366,7,0)="NA","NA",COUNTIFS(soccode,A188,socprog,"PNLS/CHARGES VIRALES",soctrans,"OUI"))</f>
        <v>1</v>
      </c>
      <c r="H188" s="58">
        <f>IF(VLOOKUP($A188,SiteAttendu!$A$2:$P$366,9,0)="NA","NA",COUNTIFS(soccode,A188,socprog,"PNLP/MEDICAMENTS ET INTRANTS",soctrans,"OUI"))</f>
        <v>1</v>
      </c>
      <c r="I188" s="59">
        <f>IF(VLOOKUP($A188,SiteAttendu!$A$2:$P$366,10,0)="NA","NA",COUNTIFS(soccode,$A188,socprog,"PNSME/MEDICAMENTS ET INTRANTS",soctrans,"OUI"))</f>
        <v>1</v>
      </c>
      <c r="J188" s="58">
        <f>IF(VLOOKUP($A188,SiteAttendu!$A$2:$P$366,11,0)="NA","NA",COUNTIFS(soccode,$A188,socprog,"PNN/MEDICAMENTS ET INTRANTS",soctrans,"OUI"))</f>
        <v>1</v>
      </c>
      <c r="K188" s="58">
        <f>IF(VLOOKUP($A188,SiteAttendu!$A$2:$O$366,15,0)="NA","NA",IF(COUNTIF(socprog,"PNLT/SENSIBLE MEDICAMENTS ET INTRANTS")=0,"NA",COUNTIFS(soccode,$A188,socprog,"PNLT/SENSIBLE MEDICAMENTS ET INTRANTS",soctrans,"OUI")))</f>
        <v>0</v>
      </c>
      <c r="L188" s="60"/>
      <c r="M188" s="60">
        <f t="shared" ref="M188:S188" si="190">IFERROR(SUMIFS(E$2:E$364,$C$2:$C$364,$C188)/COUNTIFS(E$2:E$364,"&lt;&gt;NA",$C$2:$C$364,$C188),"")</f>
        <v>1</v>
      </c>
      <c r="N188" s="60">
        <f t="shared" si="190"/>
        <v>0.8571428571</v>
      </c>
      <c r="O188" s="60">
        <f t="shared" si="190"/>
        <v>1</v>
      </c>
      <c r="P188" s="60">
        <f t="shared" si="190"/>
        <v>1</v>
      </c>
      <c r="Q188" s="60">
        <f t="shared" si="190"/>
        <v>1</v>
      </c>
      <c r="R188" s="60">
        <f t="shared" si="190"/>
        <v>1</v>
      </c>
      <c r="S188" s="60">
        <f t="shared" si="190"/>
        <v>0.5</v>
      </c>
      <c r="T188" s="60">
        <f t="shared" si="3"/>
        <v>0.9666666667</v>
      </c>
      <c r="U188" s="53">
        <f t="shared" si="4"/>
        <v>4</v>
      </c>
      <c r="V188" s="54">
        <f t="shared" si="5"/>
        <v>4</v>
      </c>
    </row>
    <row r="189" ht="16.5" customHeight="1">
      <c r="A189" s="55" t="str">
        <f>SiteAttendu!$A189</f>
        <v>C4062</v>
      </c>
      <c r="B189" s="56" t="str">
        <f>VLOOKUP($A189,SiteAttendu!$A$2:$C$366,2,0)</f>
        <v>CENTRE ANTI-TUBERCULEUX BONDOUKOU</v>
      </c>
      <c r="C189" s="57" t="str">
        <f>VLOOKUP($A189,SiteAttendu!$A$2:$C$366,3,0)</f>
        <v>GONTOUGO</v>
      </c>
      <c r="D189" s="58" t="str">
        <f>IF(VLOOKUP($A189,SiteAttendu!$A$2:$P$366,4,0)="NA","NA",COUNTIFS(soccode,A189,socprog,"PNLS/ANTIRETROVIRAUX ET IO",soctrans,"OUI"))</f>
        <v>NA</v>
      </c>
      <c r="E189" s="58" t="str">
        <f>IF(VLOOKUP($A189,SiteAttendu!$A$2:$P$366,5,0)="NA","NA",COUNTIFS(soccode,A189,socprog,"PNLS/TESTS RAPIDES ET CONSOMMABLES",soctrans,"OUI"))</f>
        <v>NA</v>
      </c>
      <c r="F189" s="58" t="str">
        <f>IF(VLOOKUP($A189,SiteAttendu!$A$2:$P$366,6,0)="NA","NA",COUNTIFS(soccode,A189,socprog,"PNLS/PRODUITS DE LABORATOIRE",soctrans,"OUI"))</f>
        <v>NA</v>
      </c>
      <c r="G189" s="58" t="str">
        <f>IF(VLOOKUP($A189,SiteAttendu!$A$2:$P$366,7,0)="NA","NA",COUNTIFS(soccode,A189,socprog,"PNLS/CHARGES VIRALES",soctrans,"OUI"))</f>
        <v>NA</v>
      </c>
      <c r="H189" s="58" t="str">
        <f>IF(VLOOKUP($A189,SiteAttendu!$A$2:$P$366,9,0)="NA","NA",COUNTIFS(soccode,A189,socprog,"PNLP/MEDICAMENTS ET INTRANTS",soctrans,"OUI"))</f>
        <v>NA</v>
      </c>
      <c r="I189" s="59" t="str">
        <f>IF(VLOOKUP($A189,SiteAttendu!$A$2:$P$366,10,0)="NA","NA",COUNTIFS(soccode,$A189,socprog,"PNSME/MEDICAMENTS ET INTRANTS",soctrans,"OUI"))</f>
        <v>NA</v>
      </c>
      <c r="J189" s="58" t="str">
        <f>IF(VLOOKUP($A189,SiteAttendu!$A$2:$P$366,11,0)="NA","NA",COUNTIFS(soccode,$A189,socprog,"PNN/MEDICAMENTS ET INTRANTS",soctrans,"OUI"))</f>
        <v>NA</v>
      </c>
      <c r="K189" s="58">
        <f>IF(VLOOKUP($A189,SiteAttendu!$A$2:$O$366,15,0)="NA","NA",IF(COUNTIF(socprog,"PNLT/SENSIBLE MEDICAMENTS ET INTRANTS")=0,"NA",COUNTIFS(soccode,$A189,socprog,"PNLT/SENSIBLE MEDICAMENTS ET INTRANTS",soctrans,"OUI")))</f>
        <v>1</v>
      </c>
      <c r="L189" s="60"/>
      <c r="M189" s="60">
        <f t="shared" ref="M189:S189" si="191">IFERROR(SUMIFS(E$2:E$364,$C$2:$C$364,$C189)/COUNTIFS(E$2:E$364,"&lt;&gt;NA",$C$2:$C$364,$C189),"")</f>
        <v>1</v>
      </c>
      <c r="N189" s="60">
        <f t="shared" si="191"/>
        <v>0.8571428571</v>
      </c>
      <c r="O189" s="60">
        <f t="shared" si="191"/>
        <v>1</v>
      </c>
      <c r="P189" s="60">
        <f t="shared" si="191"/>
        <v>1</v>
      </c>
      <c r="Q189" s="60">
        <f t="shared" si="191"/>
        <v>1</v>
      </c>
      <c r="R189" s="60">
        <f t="shared" si="191"/>
        <v>1</v>
      </c>
      <c r="S189" s="60">
        <f t="shared" si="191"/>
        <v>0.5</v>
      </c>
      <c r="T189" s="60">
        <f t="shared" si="3"/>
        <v>0.9666666667</v>
      </c>
      <c r="U189" s="53">
        <f t="shared" si="4"/>
        <v>0</v>
      </c>
      <c r="V189" s="54">
        <f t="shared" si="5"/>
        <v>0</v>
      </c>
    </row>
    <row r="190" ht="15.75" customHeight="1">
      <c r="A190" s="55" t="str">
        <f>SiteAttendu!$A190</f>
        <v>C4070</v>
      </c>
      <c r="B190" s="56" t="str">
        <f>VLOOKUP($A190,SiteAttendu!$A$2:$C$366,2,0)</f>
        <v>DISTRICT SANITAIRE KOUN FAO</v>
      </c>
      <c r="C190" s="57" t="str">
        <f>VLOOKUP($A190,SiteAttendu!$A$2:$C$366,3,0)</f>
        <v>GONTOUGO</v>
      </c>
      <c r="D190" s="58">
        <f>IF(VLOOKUP($A190,SiteAttendu!$A$2:$P$366,4,0)="NA","NA",COUNTIFS(soccode,A190,socprog,"PNLS/ANTIRETROVIRAUX ET IO",soctrans,"OUI"))</f>
        <v>1</v>
      </c>
      <c r="E190" s="58">
        <f>IF(VLOOKUP($A190,SiteAttendu!$A$2:$P$366,5,0)="NA","NA",COUNTIFS(soccode,A190,socprog,"PNLS/TESTS RAPIDES ET CONSOMMABLES",soctrans,"OUI"))</f>
        <v>1</v>
      </c>
      <c r="F190" s="58">
        <f>IF(VLOOKUP($A190,SiteAttendu!$A$2:$P$366,6,0)="NA","NA",COUNTIFS(soccode,A190,socprog,"PNLS/PRODUITS DE LABORATOIRE",soctrans,"OUI"))</f>
        <v>1</v>
      </c>
      <c r="G190" s="58" t="str">
        <f>IF(VLOOKUP($A190,SiteAttendu!$A$2:$P$366,7,0)="NA","NA",COUNTIFS(soccode,A190,socprog,"PNLS/CHARGES VIRALES",soctrans,"OUI"))</f>
        <v>NA</v>
      </c>
      <c r="H190" s="58">
        <f>IF(VLOOKUP($A190,SiteAttendu!$A$2:$P$366,9,0)="NA","NA",COUNTIFS(soccode,A190,socprog,"PNLP/MEDICAMENTS ET INTRANTS",soctrans,"OUI"))</f>
        <v>1</v>
      </c>
      <c r="I190" s="59">
        <f>IF(VLOOKUP($A190,SiteAttendu!$A$2:$P$366,10,0)="NA","NA",COUNTIFS(soccode,$A190,socprog,"PNSME/MEDICAMENTS ET INTRANTS",soctrans,"OUI"))</f>
        <v>1</v>
      </c>
      <c r="J190" s="58" t="str">
        <f>IF(VLOOKUP($A190,SiteAttendu!$A$2:$P$366,11,0)="NA","NA",COUNTIFS(soccode,$A190,socprog,"PNN/MEDICAMENTS ET INTRANTS",soctrans,"OUI"))</f>
        <v>NA</v>
      </c>
      <c r="K190" s="58">
        <f>IF(VLOOKUP($A190,SiteAttendu!$A$2:$O$366,15,0)="NA","NA",IF(COUNTIF(socprog,"PNLT/SENSIBLE MEDICAMENTS ET INTRANTS")=0,"NA",COUNTIFS(soccode,$A190,socprog,"PNLT/SENSIBLE MEDICAMENTS ET INTRANTS",soctrans,"OUI")))</f>
        <v>1</v>
      </c>
      <c r="L190" s="60"/>
      <c r="M190" s="60">
        <f t="shared" ref="M190:S190" si="192">IFERROR(SUMIFS(E$2:E$364,$C$2:$C$364,$C190)/COUNTIFS(E$2:E$364,"&lt;&gt;NA",$C$2:$C$364,$C190),"")</f>
        <v>1</v>
      </c>
      <c r="N190" s="60">
        <f t="shared" si="192"/>
        <v>0.8571428571</v>
      </c>
      <c r="O190" s="60">
        <f t="shared" si="192"/>
        <v>1</v>
      </c>
      <c r="P190" s="60">
        <f t="shared" si="192"/>
        <v>1</v>
      </c>
      <c r="Q190" s="60">
        <f t="shared" si="192"/>
        <v>1</v>
      </c>
      <c r="R190" s="60">
        <f t="shared" si="192"/>
        <v>1</v>
      </c>
      <c r="S190" s="60">
        <f t="shared" si="192"/>
        <v>0.5</v>
      </c>
      <c r="T190" s="60">
        <f t="shared" si="3"/>
        <v>0.9666666667</v>
      </c>
      <c r="U190" s="53">
        <f t="shared" si="4"/>
        <v>3</v>
      </c>
      <c r="V190" s="54">
        <f t="shared" si="5"/>
        <v>3</v>
      </c>
    </row>
    <row r="191" ht="15.75" customHeight="1">
      <c r="A191" s="55" t="str">
        <f>SiteAttendu!$A191</f>
        <v>C4068</v>
      </c>
      <c r="B191" s="56" t="str">
        <f>VLOOKUP($A191,SiteAttendu!$A$2:$C$366,2,0)</f>
        <v>DISTRICT SANITAIRE SANDEGUE</v>
      </c>
      <c r="C191" s="57" t="str">
        <f>VLOOKUP($A191,SiteAttendu!$A$2:$C$366,3,0)</f>
        <v>GONTOUGO</v>
      </c>
      <c r="D191" s="58">
        <f>IF(VLOOKUP($A191,SiteAttendu!$A$2:$P$366,4,0)="NA","NA",COUNTIFS(soccode,A191,socprog,"PNLS/ANTIRETROVIRAUX ET IO",soctrans,"OUI"))</f>
        <v>1</v>
      </c>
      <c r="E191" s="58">
        <f>IF(VLOOKUP($A191,SiteAttendu!$A$2:$P$366,5,0)="NA","NA",COUNTIFS(soccode,A191,socprog,"PNLS/TESTS RAPIDES ET CONSOMMABLES",soctrans,"OUI"))</f>
        <v>1</v>
      </c>
      <c r="F191" s="58" t="str">
        <f>IF(VLOOKUP($A191,SiteAttendu!$A$2:$P$366,6,0)="NA","NA",COUNTIFS(soccode,A191,socprog,"PNLS/PRODUITS DE LABORATOIRE",soctrans,"OUI"))</f>
        <v>NA</v>
      </c>
      <c r="G191" s="58" t="str">
        <f>IF(VLOOKUP($A191,SiteAttendu!$A$2:$P$366,7,0)="NA","NA",COUNTIFS(soccode,A191,socprog,"PNLS/CHARGES VIRALES",soctrans,"OUI"))</f>
        <v>NA</v>
      </c>
      <c r="H191" s="58">
        <f>IF(VLOOKUP($A191,SiteAttendu!$A$2:$P$366,9,0)="NA","NA",COUNTIFS(soccode,A191,socprog,"PNLP/MEDICAMENTS ET INTRANTS",soctrans,"OUI"))</f>
        <v>1</v>
      </c>
      <c r="I191" s="59">
        <f>IF(VLOOKUP($A191,SiteAttendu!$A$2:$P$366,10,0)="NA","NA",COUNTIFS(soccode,$A191,socprog,"PNSME/MEDICAMENTS ET INTRANTS",soctrans,"OUI"))</f>
        <v>1</v>
      </c>
      <c r="J191" s="58">
        <f>IF(VLOOKUP($A191,SiteAttendu!$A$2:$P$366,11,0)="NA","NA",COUNTIFS(soccode,$A191,socprog,"PNN/MEDICAMENTS ET INTRANTS",soctrans,"OUI"))</f>
        <v>1</v>
      </c>
      <c r="K191" s="58">
        <f>IF(VLOOKUP($A191,SiteAttendu!$A$2:$O$366,15,0)="NA","NA",IF(COUNTIF(socprog,"PNLT/SENSIBLE MEDICAMENTS ET INTRANTS")=0,"NA",COUNTIFS(soccode,$A191,socprog,"PNLT/SENSIBLE MEDICAMENTS ET INTRANTS",soctrans,"OUI")))</f>
        <v>1</v>
      </c>
      <c r="L191" s="60"/>
      <c r="M191" s="60">
        <f t="shared" ref="M191:S191" si="193">IFERROR(SUMIFS(E$2:E$364,$C$2:$C$364,$C191)/COUNTIFS(E$2:E$364,"&lt;&gt;NA",$C$2:$C$364,$C191),"")</f>
        <v>1</v>
      </c>
      <c r="N191" s="60">
        <f t="shared" si="193"/>
        <v>0.8571428571</v>
      </c>
      <c r="O191" s="60">
        <f t="shared" si="193"/>
        <v>1</v>
      </c>
      <c r="P191" s="60">
        <f t="shared" si="193"/>
        <v>1</v>
      </c>
      <c r="Q191" s="60">
        <f t="shared" si="193"/>
        <v>1</v>
      </c>
      <c r="R191" s="60">
        <f t="shared" si="193"/>
        <v>1</v>
      </c>
      <c r="S191" s="60">
        <f t="shared" si="193"/>
        <v>0.5</v>
      </c>
      <c r="T191" s="60">
        <f t="shared" si="3"/>
        <v>0.9666666667</v>
      </c>
      <c r="U191" s="53">
        <f t="shared" si="4"/>
        <v>2</v>
      </c>
      <c r="V191" s="54">
        <f t="shared" si="5"/>
        <v>2</v>
      </c>
    </row>
    <row r="192" ht="15.75" customHeight="1">
      <c r="A192" s="55" t="str">
        <f>SiteAttendu!$A192</f>
        <v>C4085</v>
      </c>
      <c r="B192" s="56" t="str">
        <f>VLOOKUP($A192,SiteAttendu!$A$2:$C$366,2,0)</f>
        <v>HOPITAL GENERAL SANDEGUE</v>
      </c>
      <c r="C192" s="57" t="str">
        <f>VLOOKUP($A192,SiteAttendu!$A$2:$C$366,3,0)</f>
        <v>GONTOUGO</v>
      </c>
      <c r="D192" s="58">
        <f>IF(VLOOKUP($A192,SiteAttendu!$A$2:$P$366,4,0)="NA","NA",COUNTIFS(soccode,A192,socprog,"PNLS/ANTIRETROVIRAUX ET IO",soctrans,"OUI"))</f>
        <v>1</v>
      </c>
      <c r="E192" s="58">
        <f>IF(VLOOKUP($A192,SiteAttendu!$A$2:$P$366,5,0)="NA","NA",COUNTIFS(soccode,A192,socprog,"PNLS/TESTS RAPIDES ET CONSOMMABLES",soctrans,"OUI"))</f>
        <v>1</v>
      </c>
      <c r="F192" s="58" t="str">
        <f>IF(VLOOKUP($A192,SiteAttendu!$A$2:$P$366,6,0)="NA","NA",COUNTIFS(soccode,A192,socprog,"PNLS/PRODUITS DE LABORATOIRE",soctrans,"OUI"))</f>
        <v>NA</v>
      </c>
      <c r="G192" s="58" t="str">
        <f>IF(VLOOKUP($A192,SiteAttendu!$A$2:$P$366,7,0)="NA","NA",COUNTIFS(soccode,A192,socprog,"PNLS/CHARGES VIRALES",soctrans,"OUI"))</f>
        <v>NA</v>
      </c>
      <c r="H192" s="58">
        <f>IF(VLOOKUP($A192,SiteAttendu!$A$2:$P$366,9,0)="NA","NA",COUNTIFS(soccode,A192,socprog,"PNLP/MEDICAMENTS ET INTRANTS",soctrans,"OUI"))</f>
        <v>1</v>
      </c>
      <c r="I192" s="59">
        <f>IF(VLOOKUP($A192,SiteAttendu!$A$2:$P$366,10,0)="NA","NA",COUNTIFS(soccode,$A192,socprog,"PNSME/MEDICAMENTS ET INTRANTS",soctrans,"OUI"))</f>
        <v>1</v>
      </c>
      <c r="J192" s="58">
        <f>IF(VLOOKUP($A192,SiteAttendu!$A$2:$P$366,11,0)="NA","NA",COUNTIFS(soccode,$A192,socprog,"PNN/MEDICAMENTS ET INTRANTS",soctrans,"OUI"))</f>
        <v>1</v>
      </c>
      <c r="K192" s="58">
        <f>IF(VLOOKUP($A192,SiteAttendu!$A$2:$O$366,15,0)="NA","NA",IF(COUNTIF(socprog,"PNLT/SENSIBLE MEDICAMENTS ET INTRANTS")=0,"NA",COUNTIFS(soccode,$A192,socprog,"PNLT/SENSIBLE MEDICAMENTS ET INTRANTS",soctrans,"OUI")))</f>
        <v>0</v>
      </c>
      <c r="L192" s="60"/>
      <c r="M192" s="60">
        <f t="shared" ref="M192:S192" si="194">IFERROR(SUMIFS(E$2:E$364,$C$2:$C$364,$C192)/COUNTIFS(E$2:E$364,"&lt;&gt;NA",$C$2:$C$364,$C192),"")</f>
        <v>1</v>
      </c>
      <c r="N192" s="60">
        <f t="shared" si="194"/>
        <v>0.8571428571</v>
      </c>
      <c r="O192" s="60">
        <f t="shared" si="194"/>
        <v>1</v>
      </c>
      <c r="P192" s="60">
        <f t="shared" si="194"/>
        <v>1</v>
      </c>
      <c r="Q192" s="60">
        <f t="shared" si="194"/>
        <v>1</v>
      </c>
      <c r="R192" s="60">
        <f t="shared" si="194"/>
        <v>1</v>
      </c>
      <c r="S192" s="60">
        <f t="shared" si="194"/>
        <v>0.5</v>
      </c>
      <c r="T192" s="60">
        <f t="shared" si="3"/>
        <v>0.9666666667</v>
      </c>
      <c r="U192" s="53">
        <f t="shared" si="4"/>
        <v>2</v>
      </c>
      <c r="V192" s="54">
        <f t="shared" si="5"/>
        <v>2</v>
      </c>
    </row>
    <row r="193" ht="15.75" customHeight="1">
      <c r="A193" s="55" t="str">
        <f>SiteAttendu!$A193</f>
        <v>C4013</v>
      </c>
      <c r="B193" s="56" t="str">
        <f>VLOOKUP($A193,SiteAttendu!$A$2:$C$366,2,0)</f>
        <v>DISTRICT SANITAIRE TANDA</v>
      </c>
      <c r="C193" s="57" t="str">
        <f>VLOOKUP($A193,SiteAttendu!$A$2:$C$366,3,0)</f>
        <v>GONTOUGO</v>
      </c>
      <c r="D193" s="58">
        <f>IF(VLOOKUP($A193,SiteAttendu!$A$2:$P$366,4,0)="NA","NA",COUNTIFS(soccode,A193,socprog,"PNLS/ANTIRETROVIRAUX ET IO",soctrans,"OUI"))</f>
        <v>1</v>
      </c>
      <c r="E193" s="58">
        <f>IF(VLOOKUP($A193,SiteAttendu!$A$2:$P$366,5,0)="NA","NA",COUNTIFS(soccode,A193,socprog,"PNLS/TESTS RAPIDES ET CONSOMMABLES",soctrans,"OUI"))</f>
        <v>1</v>
      </c>
      <c r="F193" s="58">
        <f>IF(VLOOKUP($A193,SiteAttendu!$A$2:$P$366,6,0)="NA","NA",COUNTIFS(soccode,A193,socprog,"PNLS/PRODUITS DE LABORATOIRE",soctrans,"OUI"))</f>
        <v>0</v>
      </c>
      <c r="G193" s="58" t="str">
        <f>IF(VLOOKUP($A193,SiteAttendu!$A$2:$P$366,7,0)="NA","NA",COUNTIFS(soccode,A193,socprog,"PNLS/CHARGES VIRALES",soctrans,"OUI"))</f>
        <v>NA</v>
      </c>
      <c r="H193" s="58">
        <f>IF(VLOOKUP($A193,SiteAttendu!$A$2:$P$366,9,0)="NA","NA",COUNTIFS(soccode,A193,socprog,"PNLP/MEDICAMENTS ET INTRANTS",soctrans,"OUI"))</f>
        <v>1</v>
      </c>
      <c r="I193" s="59">
        <f>IF(VLOOKUP($A193,SiteAttendu!$A$2:$P$366,10,0)="NA","NA",COUNTIFS(soccode,$A193,socprog,"PNSME/MEDICAMENTS ET INTRANTS",soctrans,"OUI"))</f>
        <v>1</v>
      </c>
      <c r="J193" s="58">
        <f>IF(VLOOKUP($A193,SiteAttendu!$A$2:$P$366,11,0)="NA","NA",COUNTIFS(soccode,$A193,socprog,"PNN/MEDICAMENTS ET INTRANTS",soctrans,"OUI"))</f>
        <v>1</v>
      </c>
      <c r="K193" s="58">
        <f>IF(VLOOKUP($A193,SiteAttendu!$A$2:$O$366,15,0)="NA","NA",IF(COUNTIF(socprog,"PNLT/SENSIBLE MEDICAMENTS ET INTRANTS")=0,"NA",COUNTIFS(soccode,$A193,socprog,"PNLT/SENSIBLE MEDICAMENTS ET INTRANTS",soctrans,"OUI")))</f>
        <v>1</v>
      </c>
      <c r="L193" s="60"/>
      <c r="M193" s="60">
        <f t="shared" ref="M193:S193" si="195">IFERROR(SUMIFS(E$2:E$364,$C$2:$C$364,$C193)/COUNTIFS(E$2:E$364,"&lt;&gt;NA",$C$2:$C$364,$C193),"")</f>
        <v>1</v>
      </c>
      <c r="N193" s="60">
        <f t="shared" si="195"/>
        <v>0.8571428571</v>
      </c>
      <c r="O193" s="60">
        <f t="shared" si="195"/>
        <v>1</v>
      </c>
      <c r="P193" s="60">
        <f t="shared" si="195"/>
        <v>1</v>
      </c>
      <c r="Q193" s="60">
        <f t="shared" si="195"/>
        <v>1</v>
      </c>
      <c r="R193" s="60">
        <f t="shared" si="195"/>
        <v>1</v>
      </c>
      <c r="S193" s="60">
        <f t="shared" si="195"/>
        <v>0.5</v>
      </c>
      <c r="T193" s="60">
        <f t="shared" si="3"/>
        <v>0.9666666667</v>
      </c>
      <c r="U193" s="53">
        <f t="shared" si="4"/>
        <v>2</v>
      </c>
      <c r="V193" s="54">
        <f t="shared" si="5"/>
        <v>3</v>
      </c>
    </row>
    <row r="194" ht="15.75" customHeight="1">
      <c r="A194" s="55" t="str">
        <f>SiteAttendu!$A194</f>
        <v>C4020</v>
      </c>
      <c r="B194" s="56" t="str">
        <f>VLOOKUP($A194,SiteAttendu!$A$2:$C$366,2,0)</f>
        <v>HOPITAL GENERAL KOUASSI-DATEKRO</v>
      </c>
      <c r="C194" s="57" t="str">
        <f>VLOOKUP($A194,SiteAttendu!$A$2:$C$366,3,0)</f>
        <v>GONTOUGO</v>
      </c>
      <c r="D194" s="58" t="str">
        <f>IF(VLOOKUP($A194,SiteAttendu!$A$2:$P$366,4,0)="NA","NA",COUNTIFS(soccode,A194,socprog,"PNLS/ANTIRETROVIRAUX ET IO",soctrans,"OUI"))</f>
        <v>NA</v>
      </c>
      <c r="E194" s="58" t="str">
        <f>IF(VLOOKUP($A194,SiteAttendu!$A$2:$P$366,5,0)="NA","NA",COUNTIFS(soccode,A194,socprog,"PNLS/TESTS RAPIDES ET CONSOMMABLES",soctrans,"OUI"))</f>
        <v>NA</v>
      </c>
      <c r="F194" s="58" t="str">
        <f>IF(VLOOKUP($A194,SiteAttendu!$A$2:$P$366,6,0)="NA","NA",COUNTIFS(soccode,A194,socprog,"PNLS/PRODUITS DE LABORATOIRE",soctrans,"OUI"))</f>
        <v>NA</v>
      </c>
      <c r="G194" s="58" t="str">
        <f>IF(VLOOKUP($A194,SiteAttendu!$A$2:$P$366,7,0)="NA","NA",COUNTIFS(soccode,A194,socprog,"PNLS/CHARGES VIRALES",soctrans,"OUI"))</f>
        <v>NA</v>
      </c>
      <c r="H194" s="58">
        <f>IF(VLOOKUP($A194,SiteAttendu!$A$2:$P$366,9,0)="NA","NA",COUNTIFS(soccode,A194,socprog,"PNLP/MEDICAMENTS ET INTRANTS",soctrans,"OUI"))</f>
        <v>1</v>
      </c>
      <c r="I194" s="59">
        <f>IF(VLOOKUP($A194,SiteAttendu!$A$2:$P$366,10,0)="NA","NA",COUNTIFS(soccode,$A194,socprog,"PNSME/MEDICAMENTS ET INTRANTS",soctrans,"OUI"))</f>
        <v>1</v>
      </c>
      <c r="J194" s="58" t="str">
        <f>IF(VLOOKUP($A194,SiteAttendu!$A$2:$P$366,11,0)="NA","NA",COUNTIFS(soccode,$A194,socprog,"PNN/MEDICAMENTS ET INTRANTS",soctrans,"OUI"))</f>
        <v>NA</v>
      </c>
      <c r="K194" s="58">
        <f>IF(VLOOKUP($A194,SiteAttendu!$A$2:$O$366,15,0)="NA","NA",IF(COUNTIF(socprog,"PNLT/SENSIBLE MEDICAMENTS ET INTRANTS")=0,"NA",COUNTIFS(soccode,$A194,socprog,"PNLT/SENSIBLE MEDICAMENTS ET INTRANTS",soctrans,"OUI")))</f>
        <v>0</v>
      </c>
      <c r="L194" s="60"/>
      <c r="M194" s="60">
        <f t="shared" ref="M194:S194" si="196">IFERROR(SUMIFS(E$2:E$364,$C$2:$C$364,$C194)/COUNTIFS(E$2:E$364,"&lt;&gt;NA",$C$2:$C$364,$C194),"")</f>
        <v>1</v>
      </c>
      <c r="N194" s="60">
        <f t="shared" si="196"/>
        <v>0.8571428571</v>
      </c>
      <c r="O194" s="60">
        <f t="shared" si="196"/>
        <v>1</v>
      </c>
      <c r="P194" s="60">
        <f t="shared" si="196"/>
        <v>1</v>
      </c>
      <c r="Q194" s="60">
        <f t="shared" si="196"/>
        <v>1</v>
      </c>
      <c r="R194" s="60">
        <f t="shared" si="196"/>
        <v>1</v>
      </c>
      <c r="S194" s="60">
        <f t="shared" si="196"/>
        <v>0.5</v>
      </c>
      <c r="T194" s="60">
        <f t="shared" si="3"/>
        <v>0.9666666667</v>
      </c>
      <c r="U194" s="53">
        <f t="shared" si="4"/>
        <v>0</v>
      </c>
      <c r="V194" s="54">
        <f t="shared" si="5"/>
        <v>0</v>
      </c>
    </row>
    <row r="195" ht="15.75" customHeight="1">
      <c r="A195" s="55" t="str">
        <f>SiteAttendu!$A195</f>
        <v>C4021</v>
      </c>
      <c r="B195" s="56" t="str">
        <f>VLOOKUP($A195,SiteAttendu!$A$2:$C$366,2,0)</f>
        <v>HOPITAL GENERAL KOUN FAO</v>
      </c>
      <c r="C195" s="57" t="str">
        <f>VLOOKUP($A195,SiteAttendu!$A$2:$C$366,3,0)</f>
        <v>GONTOUGO</v>
      </c>
      <c r="D195" s="58">
        <f>IF(VLOOKUP($A195,SiteAttendu!$A$2:$P$366,4,0)="NA","NA",COUNTIFS(soccode,A195,socprog,"PNLS/ANTIRETROVIRAUX ET IO",soctrans,"OUI"))</f>
        <v>1</v>
      </c>
      <c r="E195" s="58">
        <f>IF(VLOOKUP($A195,SiteAttendu!$A$2:$P$366,5,0)="NA","NA",COUNTIFS(soccode,A195,socprog,"PNLS/TESTS RAPIDES ET CONSOMMABLES",soctrans,"OUI"))</f>
        <v>1</v>
      </c>
      <c r="F195" s="58">
        <f>IF(VLOOKUP($A195,SiteAttendu!$A$2:$P$366,6,0)="NA","NA",COUNTIFS(soccode,A195,socprog,"PNLS/PRODUITS DE LABORATOIRE",soctrans,"OUI"))</f>
        <v>1</v>
      </c>
      <c r="G195" s="58">
        <f>IF(VLOOKUP($A195,SiteAttendu!$A$2:$P$366,7,0)="NA","NA",COUNTIFS(soccode,A195,socprog,"PNLS/CHARGES VIRALES",soctrans,"OUI"))</f>
        <v>1</v>
      </c>
      <c r="H195" s="58">
        <f>IF(VLOOKUP($A195,SiteAttendu!$A$2:$P$366,9,0)="NA","NA",COUNTIFS(soccode,A195,socprog,"PNLP/MEDICAMENTS ET INTRANTS",soctrans,"OUI"))</f>
        <v>1</v>
      </c>
      <c r="I195" s="59">
        <f>IF(VLOOKUP($A195,SiteAttendu!$A$2:$P$366,10,0)="NA","NA",COUNTIFS(soccode,$A195,socprog,"PNSME/MEDICAMENTS ET INTRANTS",soctrans,"OUI"))</f>
        <v>1</v>
      </c>
      <c r="J195" s="58" t="str">
        <f>IF(VLOOKUP($A195,SiteAttendu!$A$2:$P$366,11,0)="NA","NA",COUNTIFS(soccode,$A195,socprog,"PNN/MEDICAMENTS ET INTRANTS",soctrans,"OUI"))</f>
        <v>NA</v>
      </c>
      <c r="K195" s="58">
        <f>IF(VLOOKUP($A195,SiteAttendu!$A$2:$O$366,15,0)="NA","NA",IF(COUNTIF(socprog,"PNLT/SENSIBLE MEDICAMENTS ET INTRANTS")=0,"NA",COUNTIFS(soccode,$A195,socprog,"PNLT/SENSIBLE MEDICAMENTS ET INTRANTS",soctrans,"OUI")))</f>
        <v>0</v>
      </c>
      <c r="L195" s="60"/>
      <c r="M195" s="60">
        <f t="shared" ref="M195:S195" si="197">IFERROR(SUMIFS(E$2:E$364,$C$2:$C$364,$C195)/COUNTIFS(E$2:E$364,"&lt;&gt;NA",$C$2:$C$364,$C195),"")</f>
        <v>1</v>
      </c>
      <c r="N195" s="60">
        <f t="shared" si="197"/>
        <v>0.8571428571</v>
      </c>
      <c r="O195" s="60">
        <f t="shared" si="197"/>
        <v>1</v>
      </c>
      <c r="P195" s="60">
        <f t="shared" si="197"/>
        <v>1</v>
      </c>
      <c r="Q195" s="60">
        <f t="shared" si="197"/>
        <v>1</v>
      </c>
      <c r="R195" s="60">
        <f t="shared" si="197"/>
        <v>1</v>
      </c>
      <c r="S195" s="60">
        <f t="shared" si="197"/>
        <v>0.5</v>
      </c>
      <c r="T195" s="60">
        <f t="shared" si="3"/>
        <v>0.9666666667</v>
      </c>
      <c r="U195" s="53">
        <f t="shared" si="4"/>
        <v>4</v>
      </c>
      <c r="V195" s="54">
        <f t="shared" si="5"/>
        <v>4</v>
      </c>
    </row>
    <row r="196" ht="15.75" customHeight="1">
      <c r="A196" s="62" t="str">
        <f>SiteAttendu!$A196</f>
        <v>C4026</v>
      </c>
      <c r="B196" s="63" t="str">
        <f>VLOOKUP($A196,SiteAttendu!$A$2:$C$366,2,0)</f>
        <v>HOPITAL GENERAL TANDA</v>
      </c>
      <c r="C196" s="64" t="str">
        <f>VLOOKUP($A196,SiteAttendu!$A$2:$C$366,3,0)</f>
        <v>GONTOUGO</v>
      </c>
      <c r="D196" s="65">
        <f>IF(VLOOKUP($A196,SiteAttendu!$A$2:$P$366,4,0)="NA","NA",COUNTIFS(soccode,A196,socprog,"PNLS/ANTIRETROVIRAUX ET IO",soctrans,"OUI"))</f>
        <v>1</v>
      </c>
      <c r="E196" s="65">
        <f>IF(VLOOKUP($A196,SiteAttendu!$A$2:$P$366,5,0)="NA","NA",COUNTIFS(soccode,A196,socprog,"PNLS/TESTS RAPIDES ET CONSOMMABLES",soctrans,"OUI"))</f>
        <v>1</v>
      </c>
      <c r="F196" s="65">
        <f>IF(VLOOKUP($A196,SiteAttendu!$A$2:$P$366,6,0)="NA","NA",COUNTIFS(soccode,A196,socprog,"PNLS/PRODUITS DE LABORATOIRE",soctrans,"OUI"))</f>
        <v>1</v>
      </c>
      <c r="G196" s="65" t="str">
        <f>IF(VLOOKUP($A196,SiteAttendu!$A$2:$P$366,7,0)="NA","NA",COUNTIFS(soccode,A196,socprog,"PNLS/CHARGES VIRALES",soctrans,"OUI"))</f>
        <v>NA</v>
      </c>
      <c r="H196" s="65">
        <f>IF(VLOOKUP($A196,SiteAttendu!$A$2:$P$366,9,0)="NA","NA",COUNTIFS(soccode,A196,socprog,"PNLP/MEDICAMENTS ET INTRANTS",soctrans,"OUI"))</f>
        <v>1</v>
      </c>
      <c r="I196" s="66">
        <f>IF(VLOOKUP($A196,SiteAttendu!$A$2:$P$366,10,0)="NA","NA",COUNTIFS(soccode,$A196,socprog,"PNSME/MEDICAMENTS ET INTRANTS",soctrans,"OUI"))</f>
        <v>1</v>
      </c>
      <c r="J196" s="65" t="str">
        <f>IF(VLOOKUP($A196,SiteAttendu!$A$2:$P$366,11,0)="NA","NA",COUNTIFS(soccode,$A196,socprog,"PNN/MEDICAMENTS ET INTRANTS",soctrans,"OUI"))</f>
        <v>NA</v>
      </c>
      <c r="K196" s="65" t="str">
        <f>IF(VLOOKUP($A196,SiteAttendu!$A$2:$O$366,15,0)="NA","NA",IF(COUNTIF(socprog,"PNLT/SENSIBLE MEDICAMENTS ET INTRANTS")=0,"NA",COUNTIFS(soccode,$A196,socprog,"PNLT/SENSIBLE MEDICAMENTS ET INTRANTS",soctrans,"OUI")))</f>
        <v>NA</v>
      </c>
      <c r="L196" s="67"/>
      <c r="M196" s="67">
        <f t="shared" ref="M196:S196" si="198">IFERROR(SUMIFS(E$2:E$364,$C$2:$C$364,$C196)/COUNTIFS(E$2:E$364,"&lt;&gt;NA",$C$2:$C$364,$C196),"")</f>
        <v>1</v>
      </c>
      <c r="N196" s="67">
        <f t="shared" si="198"/>
        <v>0.8571428571</v>
      </c>
      <c r="O196" s="67">
        <f t="shared" si="198"/>
        <v>1</v>
      </c>
      <c r="P196" s="67">
        <f t="shared" si="198"/>
        <v>1</v>
      </c>
      <c r="Q196" s="67">
        <f t="shared" si="198"/>
        <v>1</v>
      </c>
      <c r="R196" s="67">
        <f t="shared" si="198"/>
        <v>1</v>
      </c>
      <c r="S196" s="67">
        <f t="shared" si="198"/>
        <v>0.5</v>
      </c>
      <c r="T196" s="67">
        <f t="shared" si="3"/>
        <v>0.9666666667</v>
      </c>
      <c r="U196" s="53">
        <f t="shared" si="4"/>
        <v>3</v>
      </c>
      <c r="V196" s="54">
        <f t="shared" si="5"/>
        <v>3</v>
      </c>
    </row>
    <row r="197" ht="15.75" customHeight="1">
      <c r="A197" s="81" t="str">
        <f>SiteAttendu!$A197</f>
        <v>C1047</v>
      </c>
      <c r="B197" s="82" t="str">
        <f>VLOOKUP($A197,SiteAttendu!$A$2:$C$366,2,0)</f>
        <v>DISTRICT SANITAIRE DABOU</v>
      </c>
      <c r="C197" s="88" t="str">
        <f>VLOOKUP($A197,SiteAttendu!$A$2:$C$366,3,0)</f>
        <v>GRANDS PONTS</v>
      </c>
      <c r="D197" s="49">
        <f>IF(VLOOKUP($A197,SiteAttendu!$A$2:$P$366,4,0)="NA","NA",COUNTIFS(soccode,A197,socprog,"PNLS/ANTIRETROVIRAUX ET IO",soctrans,"OUI"))</f>
        <v>1</v>
      </c>
      <c r="E197" s="49">
        <f>IF(VLOOKUP($A197,SiteAttendu!$A$2:$P$366,5,0)="NA","NA",COUNTIFS(soccode,A197,socprog,"PNLS/TESTS RAPIDES ET CONSOMMABLES",soctrans,"OUI"))</f>
        <v>1</v>
      </c>
      <c r="F197" s="49">
        <f>IF(VLOOKUP($A197,SiteAttendu!$A$2:$P$366,6,0)="NA","NA",COUNTIFS(soccode,A197,socprog,"PNLS/PRODUITS DE LABORATOIRE",soctrans,"OUI"))</f>
        <v>1</v>
      </c>
      <c r="G197" s="49" t="str">
        <f>IF(VLOOKUP($A197,SiteAttendu!$A$2:$P$366,7,0)="NA","NA",COUNTIFS(soccode,A197,socprog,"PNLS/CHARGES VIRALES",soctrans,"OUI"))</f>
        <v>NA</v>
      </c>
      <c r="H197" s="49">
        <f>IF(VLOOKUP($A197,SiteAttendu!$A$2:$P$366,9,0)="NA","NA",COUNTIFS(soccode,A197,socprog,"PNLP/MEDICAMENTS ET INTRANTS",soctrans,"OUI"))</f>
        <v>1</v>
      </c>
      <c r="I197" s="50">
        <f>IF(VLOOKUP($A197,SiteAttendu!$A$2:$P$366,10,0)="NA","NA",COUNTIFS(soccode,$A197,socprog,"PNSME/MEDICAMENTS ET INTRANTS",soctrans,"OUI"))</f>
        <v>1</v>
      </c>
      <c r="J197" s="49" t="str">
        <f>IF(VLOOKUP($A197,SiteAttendu!$A$2:$P$366,11,0)="NA","NA",COUNTIFS(soccode,$A197,socprog,"PNN/MEDICAMENTS ET INTRANTS",soctrans,"OUI"))</f>
        <v>NA</v>
      </c>
      <c r="K197" s="49">
        <f>IF(VLOOKUP($A197,SiteAttendu!$A$2:$O$366,15,0)="NA","NA",IF(COUNTIF(socprog,"PNLT/SENSIBLE MEDICAMENTS ET INTRANTS")=0,"NA",COUNTIFS(soccode,$A197,socprog,"PNLT/SENSIBLE MEDICAMENTS ET INTRANTS",soctrans,"OUI")))</f>
        <v>1</v>
      </c>
      <c r="L197" s="51">
        <f t="shared" ref="L197:S197" si="199">IFERROR(SUMIFS(D$2:D$364,$C$2:$C$364,$C197)/COUNTIFS(D$2:D$364,"&lt;&gt;NA",$C$2:$C$364,$C197),"")</f>
        <v>1</v>
      </c>
      <c r="M197" s="51">
        <f t="shared" si="199"/>
        <v>1</v>
      </c>
      <c r="N197" s="51">
        <f t="shared" si="199"/>
        <v>1</v>
      </c>
      <c r="O197" s="51">
        <f t="shared" si="199"/>
        <v>1</v>
      </c>
      <c r="P197" s="51">
        <f t="shared" si="199"/>
        <v>1</v>
      </c>
      <c r="Q197" s="51">
        <f t="shared" si="199"/>
        <v>1</v>
      </c>
      <c r="R197" s="51">
        <f t="shared" si="199"/>
        <v>1</v>
      </c>
      <c r="S197" s="51">
        <f t="shared" si="199"/>
        <v>0.8333333333</v>
      </c>
      <c r="T197" s="52">
        <f t="shared" si="3"/>
        <v>1</v>
      </c>
      <c r="U197" s="53">
        <f t="shared" si="4"/>
        <v>3</v>
      </c>
      <c r="V197" s="54">
        <f t="shared" si="5"/>
        <v>3</v>
      </c>
    </row>
    <row r="198" ht="16.5" customHeight="1">
      <c r="A198" s="55" t="str">
        <f>SiteAttendu!$A198</f>
        <v>C1088</v>
      </c>
      <c r="B198" s="56" t="str">
        <f>VLOOKUP($A198,SiteAttendu!$A$2:$C$366,2,0)</f>
        <v>HOPITAL GENERAL DABOU</v>
      </c>
      <c r="C198" s="57" t="str">
        <f>VLOOKUP($A198,SiteAttendu!$A$2:$C$366,3,0)</f>
        <v>GRANDS PONTS</v>
      </c>
      <c r="D198" s="58">
        <f>IF(VLOOKUP($A198,SiteAttendu!$A$2:$P$366,4,0)="NA","NA",COUNTIFS(soccode,A198,socprog,"PNLS/ANTIRETROVIRAUX ET IO",soctrans,"OUI"))</f>
        <v>1</v>
      </c>
      <c r="E198" s="58">
        <f>IF(VLOOKUP($A198,SiteAttendu!$A$2:$P$366,5,0)="NA","NA",COUNTIFS(soccode,A198,socprog,"PNLS/TESTS RAPIDES ET CONSOMMABLES",soctrans,"OUI"))</f>
        <v>1</v>
      </c>
      <c r="F198" s="58">
        <f>IF(VLOOKUP($A198,SiteAttendu!$A$2:$P$366,6,0)="NA","NA",COUNTIFS(soccode,A198,socprog,"PNLS/PRODUITS DE LABORATOIRE",soctrans,"OUI"))</f>
        <v>1</v>
      </c>
      <c r="G198" s="58">
        <f>IF(VLOOKUP($A198,SiteAttendu!$A$2:$P$366,7,0)="NA","NA",COUNTIFS(soccode,A198,socprog,"PNLS/CHARGES VIRALES",soctrans,"OUI"))</f>
        <v>1</v>
      </c>
      <c r="H198" s="58">
        <f>IF(VLOOKUP($A198,SiteAttendu!$A$2:$P$366,9,0)="NA","NA",COUNTIFS(soccode,A198,socprog,"PNLP/MEDICAMENTS ET INTRANTS",soctrans,"OUI"))</f>
        <v>1</v>
      </c>
      <c r="I198" s="59">
        <f>IF(VLOOKUP($A198,SiteAttendu!$A$2:$P$366,10,0)="NA","NA",COUNTIFS(soccode,$A198,socprog,"PNSME/MEDICAMENTS ET INTRANTS",soctrans,"OUI"))</f>
        <v>1</v>
      </c>
      <c r="J198" s="58" t="str">
        <f>IF(VLOOKUP($A198,SiteAttendu!$A$2:$P$366,11,0)="NA","NA",COUNTIFS(soccode,$A198,socprog,"PNN/MEDICAMENTS ET INTRANTS",soctrans,"OUI"))</f>
        <v>NA</v>
      </c>
      <c r="K198" s="58">
        <f>IF(VLOOKUP($A198,SiteAttendu!$A$2:$O$366,15,0)="NA","NA",IF(COUNTIF(socprog,"PNLT/SENSIBLE MEDICAMENTS ET INTRANTS")=0,"NA",COUNTIFS(soccode,$A198,socprog,"PNLT/SENSIBLE MEDICAMENTS ET INTRANTS",soctrans,"OUI")))</f>
        <v>0</v>
      </c>
      <c r="L198" s="60"/>
      <c r="M198" s="60">
        <f t="shared" ref="M198:S198" si="200">IFERROR(SUMIFS(E$2:E$364,$C$2:$C$364,$C198)/COUNTIFS(E$2:E$364,"&lt;&gt;NA",$C$2:$C$364,$C198),"")</f>
        <v>1</v>
      </c>
      <c r="N198" s="60">
        <f t="shared" si="200"/>
        <v>1</v>
      </c>
      <c r="O198" s="60">
        <f t="shared" si="200"/>
        <v>1</v>
      </c>
      <c r="P198" s="60">
        <f t="shared" si="200"/>
        <v>1</v>
      </c>
      <c r="Q198" s="60">
        <f t="shared" si="200"/>
        <v>1</v>
      </c>
      <c r="R198" s="60">
        <f t="shared" si="200"/>
        <v>1</v>
      </c>
      <c r="S198" s="60">
        <f t="shared" si="200"/>
        <v>0.8333333333</v>
      </c>
      <c r="T198" s="61">
        <f t="shared" si="3"/>
        <v>1</v>
      </c>
      <c r="U198" s="53">
        <f t="shared" si="4"/>
        <v>4</v>
      </c>
      <c r="V198" s="54">
        <f t="shared" si="5"/>
        <v>4</v>
      </c>
    </row>
    <row r="199" ht="15.75" customHeight="1">
      <c r="A199" s="55" t="str">
        <f>SiteAttendu!$A199</f>
        <v>C1102</v>
      </c>
      <c r="B199" s="56" t="str">
        <f>VLOOKUP($A199,SiteAttendu!$A$2:$C$366,2,0)</f>
        <v>HOPITAL METHODISTE DE DABOU</v>
      </c>
      <c r="C199" s="57" t="str">
        <f>VLOOKUP($A199,SiteAttendu!$A$2:$C$366,3,0)</f>
        <v>GRANDS PONTS</v>
      </c>
      <c r="D199" s="58">
        <f>IF(VLOOKUP($A199,SiteAttendu!$A$2:$P$366,4,0)="NA","NA",COUNTIFS(soccode,A199,socprog,"PNLS/ANTIRETROVIRAUX ET IO",soctrans,"OUI"))</f>
        <v>1</v>
      </c>
      <c r="E199" s="58">
        <f>IF(VLOOKUP($A199,SiteAttendu!$A$2:$P$366,5,0)="NA","NA",COUNTIFS(soccode,A199,socprog,"PNLS/TESTS RAPIDES ET CONSOMMABLES",soctrans,"OUI"))</f>
        <v>1</v>
      </c>
      <c r="F199" s="58">
        <f>IF(VLOOKUP($A199,SiteAttendu!$A$2:$P$366,6,0)="NA","NA",COUNTIFS(soccode,A199,socprog,"PNLS/PRODUITS DE LABORATOIRE",soctrans,"OUI"))</f>
        <v>1</v>
      </c>
      <c r="G199" s="58" t="str">
        <f>IF(VLOOKUP($A199,SiteAttendu!$A$2:$P$366,7,0)="NA","NA",COUNTIFS(soccode,A199,socprog,"PNLS/CHARGES VIRALES",soctrans,"OUI"))</f>
        <v>NA</v>
      </c>
      <c r="H199" s="58" t="str">
        <f>IF(VLOOKUP($A199,SiteAttendu!$A$2:$P$366,9,0)="NA","NA",COUNTIFS(soccode,A199,socprog,"PNLP/MEDICAMENTS ET INTRANTS",soctrans,"OUI"))</f>
        <v>NA</v>
      </c>
      <c r="I199" s="59" t="str">
        <f>IF(VLOOKUP($A199,SiteAttendu!$A$2:$P$366,10,0)="NA","NA",COUNTIFS(soccode,$A199,socprog,"PNSME/MEDICAMENTS ET INTRANTS",soctrans,"OUI"))</f>
        <v>NA</v>
      </c>
      <c r="J199" s="58" t="str">
        <f>IF(VLOOKUP($A199,SiteAttendu!$A$2:$P$366,11,0)="NA","NA",COUNTIFS(soccode,$A199,socprog,"PNN/MEDICAMENTS ET INTRANTS",soctrans,"OUI"))</f>
        <v>NA</v>
      </c>
      <c r="K199" s="58">
        <f>IF(VLOOKUP($A199,SiteAttendu!$A$2:$O$366,15,0)="NA","NA",IF(COUNTIF(socprog,"PNLT/SENSIBLE MEDICAMENTS ET INTRANTS")=0,"NA",COUNTIFS(soccode,$A199,socprog,"PNLT/SENSIBLE MEDICAMENTS ET INTRANTS",soctrans,"OUI")))</f>
        <v>1</v>
      </c>
      <c r="L199" s="60"/>
      <c r="M199" s="60">
        <f t="shared" ref="M199:S199" si="201">IFERROR(SUMIFS(E$2:E$364,$C$2:$C$364,$C199)/COUNTIFS(E$2:E$364,"&lt;&gt;NA",$C$2:$C$364,$C199),"")</f>
        <v>1</v>
      </c>
      <c r="N199" s="60">
        <f t="shared" si="201"/>
        <v>1</v>
      </c>
      <c r="O199" s="60">
        <f t="shared" si="201"/>
        <v>1</v>
      </c>
      <c r="P199" s="60">
        <f t="shared" si="201"/>
        <v>1</v>
      </c>
      <c r="Q199" s="60">
        <f t="shared" si="201"/>
        <v>1</v>
      </c>
      <c r="R199" s="60">
        <f t="shared" si="201"/>
        <v>1</v>
      </c>
      <c r="S199" s="60">
        <f t="shared" si="201"/>
        <v>0.8333333333</v>
      </c>
      <c r="T199" s="61">
        <f t="shared" si="3"/>
        <v>1</v>
      </c>
      <c r="U199" s="53">
        <f t="shared" si="4"/>
        <v>3</v>
      </c>
      <c r="V199" s="54">
        <f t="shared" si="5"/>
        <v>3</v>
      </c>
    </row>
    <row r="200" ht="15.75" customHeight="1">
      <c r="A200" s="55" t="str">
        <f>SiteAttendu!$A200</f>
        <v>C1944</v>
      </c>
      <c r="B200" s="56" t="str">
        <f>VLOOKUP($A200,SiteAttendu!$A$2:$C$366,2,0)</f>
        <v>CENTRE ANTITUBERCULEUX DABOU</v>
      </c>
      <c r="C200" s="57" t="str">
        <f>VLOOKUP($A200,SiteAttendu!$A$2:$C$366,3,0)</f>
        <v>GRANDS PONTS</v>
      </c>
      <c r="D200" s="58" t="str">
        <f>IF(VLOOKUP($A200,SiteAttendu!$A$2:$P$366,4,0)="NA","NA",COUNTIFS(soccode,A200,socprog,"PNLS/ANTIRETROVIRAUX ET IO",soctrans,"OUI"))</f>
        <v>NA</v>
      </c>
      <c r="E200" s="58" t="str">
        <f>IF(VLOOKUP($A200,SiteAttendu!$A$2:$P$366,5,0)="NA","NA",COUNTIFS(soccode,A200,socprog,"PNLS/TESTS RAPIDES ET CONSOMMABLES",soctrans,"OUI"))</f>
        <v>NA</v>
      </c>
      <c r="F200" s="58" t="str">
        <f>IF(VLOOKUP($A200,SiteAttendu!$A$2:$P$366,6,0)="NA","NA",COUNTIFS(soccode,A200,socprog,"PNLS/PRODUITS DE LABORATOIRE",soctrans,"OUI"))</f>
        <v>NA</v>
      </c>
      <c r="G200" s="58" t="str">
        <f>IF(VLOOKUP($A200,SiteAttendu!$A$2:$P$366,7,0)="NA","NA",COUNTIFS(soccode,A200,socprog,"PNLS/CHARGES VIRALES",soctrans,"OUI"))</f>
        <v>NA</v>
      </c>
      <c r="H200" s="58" t="str">
        <f>IF(VLOOKUP($A200,SiteAttendu!$A$2:$P$366,9,0)="NA","NA",COUNTIFS(soccode,A200,socprog,"PNLP/MEDICAMENTS ET INTRANTS",soctrans,"OUI"))</f>
        <v>NA</v>
      </c>
      <c r="I200" s="59" t="str">
        <f>IF(VLOOKUP($A200,SiteAttendu!$A$2:$P$366,10,0)="NA","NA",COUNTIFS(soccode,$A200,socprog,"PNSME/MEDICAMENTS ET INTRANTS",soctrans,"OUI"))</f>
        <v>NA</v>
      </c>
      <c r="J200" s="58" t="str">
        <f>IF(VLOOKUP($A200,SiteAttendu!$A$2:$P$366,11,0)="NA","NA",COUNTIFS(soccode,$A200,socprog,"PNN/MEDICAMENTS ET INTRANTS",soctrans,"OUI"))</f>
        <v>NA</v>
      </c>
      <c r="K200" s="58" t="str">
        <f>IF(VLOOKUP($A200,SiteAttendu!$A$2:$O$366,15,0)="NA","NA",IF(COUNTIF(socprog,"PNLT/SENSIBLE MEDICAMENTS ET INTRANTS")=0,"NA",COUNTIFS(soccode,$A200,socprog,"PNLT/SENSIBLE MEDICAMENTS ET INTRANTS",soctrans,"OUI")))</f>
        <v>NA</v>
      </c>
      <c r="L200" s="60"/>
      <c r="M200" s="60">
        <f t="shared" ref="M200:S200" si="202">IFERROR(SUMIFS(E$2:E$364,$C$2:$C$364,$C200)/COUNTIFS(E$2:E$364,"&lt;&gt;NA",$C$2:$C$364,$C200),"")</f>
        <v>1</v>
      </c>
      <c r="N200" s="60">
        <f t="shared" si="202"/>
        <v>1</v>
      </c>
      <c r="O200" s="60">
        <f t="shared" si="202"/>
        <v>1</v>
      </c>
      <c r="P200" s="60">
        <f t="shared" si="202"/>
        <v>1</v>
      </c>
      <c r="Q200" s="60">
        <f t="shared" si="202"/>
        <v>1</v>
      </c>
      <c r="R200" s="60">
        <f t="shared" si="202"/>
        <v>1</v>
      </c>
      <c r="S200" s="60">
        <f t="shared" si="202"/>
        <v>0.8333333333</v>
      </c>
      <c r="T200" s="61">
        <f t="shared" si="3"/>
        <v>1</v>
      </c>
      <c r="U200" s="53">
        <f t="shared" si="4"/>
        <v>0</v>
      </c>
      <c r="V200" s="54">
        <f t="shared" si="5"/>
        <v>0</v>
      </c>
    </row>
    <row r="201" ht="15.75" customHeight="1">
      <c r="A201" s="55" t="str">
        <f>SiteAttendu!$A201</f>
        <v>C1901</v>
      </c>
      <c r="B201" s="56" t="str">
        <f>VLOOKUP($A201,SiteAttendu!$A$2:$C$366,2,0)</f>
        <v>CSU LOPOU</v>
      </c>
      <c r="C201" s="57" t="str">
        <f>VLOOKUP($A201,SiteAttendu!$A$2:$C$366,3,0)</f>
        <v>GRANDS PONTS</v>
      </c>
      <c r="D201" s="58" t="str">
        <f>IF(VLOOKUP($A201,SiteAttendu!$A$2:$P$366,4,0)="NA","NA",COUNTIFS(soccode,A201,socprog,"PNLS/ANTIRETROVIRAUX ET IO",soctrans,"OUI"))</f>
        <v>NA</v>
      </c>
      <c r="E201" s="58" t="str">
        <f>IF(VLOOKUP($A201,SiteAttendu!$A$2:$P$366,5,0)="NA","NA",COUNTIFS(soccode,A201,socprog,"PNLS/TESTS RAPIDES ET CONSOMMABLES",soctrans,"OUI"))</f>
        <v>NA</v>
      </c>
      <c r="F201" s="58" t="str">
        <f>IF(VLOOKUP($A201,SiteAttendu!$A$2:$P$366,6,0)="NA","NA",COUNTIFS(soccode,A201,socprog,"PNLS/PRODUITS DE LABORATOIRE",soctrans,"OUI"))</f>
        <v>NA</v>
      </c>
      <c r="G201" s="58" t="str">
        <f>IF(VLOOKUP($A201,SiteAttendu!$A$2:$P$366,7,0)="NA","NA",COUNTIFS(soccode,A201,socprog,"PNLS/CHARGES VIRALES",soctrans,"OUI"))</f>
        <v>NA</v>
      </c>
      <c r="H201" s="58" t="str">
        <f>IF(VLOOKUP($A201,SiteAttendu!$A$2:$P$366,9,0)="NA","NA",COUNTIFS(soccode,A201,socprog,"PNLP/MEDICAMENTS ET INTRANTS",soctrans,"OUI"))</f>
        <v>NA</v>
      </c>
      <c r="I201" s="59">
        <f>IF(VLOOKUP($A201,SiteAttendu!$A$2:$P$366,10,0)="NA","NA",COUNTIFS(soccode,$A201,socprog,"PNSME/MEDICAMENTS ET INTRANTS",soctrans,"OUI"))</f>
        <v>1</v>
      </c>
      <c r="J201" s="58" t="str">
        <f>IF(VLOOKUP($A201,SiteAttendu!$A$2:$P$366,11,0)="NA","NA",COUNTIFS(soccode,$A201,socprog,"PNN/MEDICAMENTS ET INTRANTS",soctrans,"OUI"))</f>
        <v>NA</v>
      </c>
      <c r="K201" s="58" t="str">
        <f>IF(VLOOKUP($A201,SiteAttendu!$A$2:$O$366,15,0)="NA","NA",IF(COUNTIF(socprog,"PNLT/SENSIBLE MEDICAMENTS ET INTRANTS")=0,"NA",COUNTIFS(soccode,$A201,socprog,"PNLT/SENSIBLE MEDICAMENTS ET INTRANTS",soctrans,"OUI")))</f>
        <v>NA</v>
      </c>
      <c r="L201" s="60"/>
      <c r="M201" s="60">
        <f t="shared" ref="M201:S201" si="203">IFERROR(SUMIFS(E$2:E$364,$C$2:$C$364,$C201)/COUNTIFS(E$2:E$364,"&lt;&gt;NA",$C$2:$C$364,$C201),"")</f>
        <v>1</v>
      </c>
      <c r="N201" s="60">
        <f t="shared" si="203"/>
        <v>1</v>
      </c>
      <c r="O201" s="60">
        <f t="shared" si="203"/>
        <v>1</v>
      </c>
      <c r="P201" s="60">
        <f t="shared" si="203"/>
        <v>1</v>
      </c>
      <c r="Q201" s="60">
        <f t="shared" si="203"/>
        <v>1</v>
      </c>
      <c r="R201" s="60">
        <f t="shared" si="203"/>
        <v>1</v>
      </c>
      <c r="S201" s="60">
        <f t="shared" si="203"/>
        <v>0.8333333333</v>
      </c>
      <c r="T201" s="61">
        <f t="shared" si="3"/>
        <v>1</v>
      </c>
      <c r="U201" s="53">
        <f t="shared" si="4"/>
        <v>0</v>
      </c>
      <c r="V201" s="54">
        <f t="shared" si="5"/>
        <v>0</v>
      </c>
    </row>
    <row r="202" ht="15.75" customHeight="1">
      <c r="A202" s="55" t="str">
        <f>SiteAttendu!$A202</f>
        <v>C1049</v>
      </c>
      <c r="B202" s="56" t="str">
        <f>VLOOKUP($A202,SiteAttendu!$A$2:$C$366,2,0)</f>
        <v>DISTRICT SANITAIRE GRAND-LAHOU</v>
      </c>
      <c r="C202" s="57" t="str">
        <f>VLOOKUP($A202,SiteAttendu!$A$2:$C$366,3,0)</f>
        <v>GRANDS PONTS</v>
      </c>
      <c r="D202" s="58">
        <f>IF(VLOOKUP($A202,SiteAttendu!$A$2:$P$366,4,0)="NA","NA",COUNTIFS(soccode,A202,socprog,"PNLS/ANTIRETROVIRAUX ET IO",soctrans,"OUI"))</f>
        <v>1</v>
      </c>
      <c r="E202" s="58">
        <f>IF(VLOOKUP($A202,SiteAttendu!$A$2:$P$366,5,0)="NA","NA",COUNTIFS(soccode,A202,socprog,"PNLS/TESTS RAPIDES ET CONSOMMABLES",soctrans,"OUI"))</f>
        <v>1</v>
      </c>
      <c r="F202" s="58">
        <f>IF(VLOOKUP($A202,SiteAttendu!$A$2:$P$366,6,0)="NA","NA",COUNTIFS(soccode,A202,socprog,"PNLS/PRODUITS DE LABORATOIRE",soctrans,"OUI"))</f>
        <v>1</v>
      </c>
      <c r="G202" s="58" t="str">
        <f>IF(VLOOKUP($A202,SiteAttendu!$A$2:$P$366,7,0)="NA","NA",COUNTIFS(soccode,A202,socprog,"PNLS/CHARGES VIRALES",soctrans,"OUI"))</f>
        <v>NA</v>
      </c>
      <c r="H202" s="58">
        <f>IF(VLOOKUP($A202,SiteAttendu!$A$2:$P$366,9,0)="NA","NA",COUNTIFS(soccode,A202,socprog,"PNLP/MEDICAMENTS ET INTRANTS",soctrans,"OUI"))</f>
        <v>1</v>
      </c>
      <c r="I202" s="59">
        <f>IF(VLOOKUP($A202,SiteAttendu!$A$2:$P$366,10,0)="NA","NA",COUNTIFS(soccode,$A202,socprog,"PNSME/MEDICAMENTS ET INTRANTS",soctrans,"OUI"))</f>
        <v>1</v>
      </c>
      <c r="J202" s="58" t="str">
        <f>IF(VLOOKUP($A202,SiteAttendu!$A$2:$P$366,11,0)="NA","NA",COUNTIFS(soccode,$A202,socprog,"PNN/MEDICAMENTS ET INTRANTS",soctrans,"OUI"))</f>
        <v>NA</v>
      </c>
      <c r="K202" s="58" t="str">
        <f>IF(VLOOKUP($A202,SiteAttendu!$A$2:$O$366,15,0)="NA","NA",IF(COUNTIF(socprog,"PNLT/SENSIBLE MEDICAMENTS ET INTRANTS")=0,"NA",COUNTIFS(soccode,$A202,socprog,"PNLT/SENSIBLE MEDICAMENTS ET INTRANTS",soctrans,"OUI")))</f>
        <v>NA</v>
      </c>
      <c r="L202" s="60"/>
      <c r="M202" s="60">
        <f t="shared" ref="M202:S202" si="204">IFERROR(SUMIFS(E$2:E$364,$C$2:$C$364,$C202)/COUNTIFS(E$2:E$364,"&lt;&gt;NA",$C$2:$C$364,$C202),"")</f>
        <v>1</v>
      </c>
      <c r="N202" s="60">
        <f t="shared" si="204"/>
        <v>1</v>
      </c>
      <c r="O202" s="60">
        <f t="shared" si="204"/>
        <v>1</v>
      </c>
      <c r="P202" s="60">
        <f t="shared" si="204"/>
        <v>1</v>
      </c>
      <c r="Q202" s="60">
        <f t="shared" si="204"/>
        <v>1</v>
      </c>
      <c r="R202" s="60">
        <f t="shared" si="204"/>
        <v>1</v>
      </c>
      <c r="S202" s="60">
        <f t="shared" si="204"/>
        <v>0.8333333333</v>
      </c>
      <c r="T202" s="61">
        <f t="shared" si="3"/>
        <v>1</v>
      </c>
      <c r="U202" s="53">
        <f t="shared" si="4"/>
        <v>3</v>
      </c>
      <c r="V202" s="54">
        <f t="shared" si="5"/>
        <v>3</v>
      </c>
    </row>
    <row r="203" ht="15.75" customHeight="1">
      <c r="A203" s="55" t="str">
        <f>SiteAttendu!$A203</f>
        <v>C1091</v>
      </c>
      <c r="B203" s="56" t="str">
        <f>VLOOKUP($A203,SiteAttendu!$A$2:$C$366,2,0)</f>
        <v>HOPITAL GENERAL GRAND-LAHOU</v>
      </c>
      <c r="C203" s="57" t="str">
        <f>VLOOKUP($A203,SiteAttendu!$A$2:$C$366,3,0)</f>
        <v>GRANDS PONTS</v>
      </c>
      <c r="D203" s="58">
        <f>IF(VLOOKUP($A203,SiteAttendu!$A$2:$P$366,4,0)="NA","NA",COUNTIFS(soccode,A203,socprog,"PNLS/ANTIRETROVIRAUX ET IO",soctrans,"OUI"))</f>
        <v>1</v>
      </c>
      <c r="E203" s="58">
        <f>IF(VLOOKUP($A203,SiteAttendu!$A$2:$P$366,5,0)="NA","NA",COUNTIFS(soccode,A203,socprog,"PNLS/TESTS RAPIDES ET CONSOMMABLES",soctrans,"OUI"))</f>
        <v>1</v>
      </c>
      <c r="F203" s="58">
        <f>IF(VLOOKUP($A203,SiteAttendu!$A$2:$P$366,6,0)="NA","NA",COUNTIFS(soccode,A203,socprog,"PNLS/PRODUITS DE LABORATOIRE",soctrans,"OUI"))</f>
        <v>1</v>
      </c>
      <c r="G203" s="58">
        <f>IF(VLOOKUP($A203,SiteAttendu!$A$2:$P$366,7,0)="NA","NA",COUNTIFS(soccode,A203,socprog,"PNLS/CHARGES VIRALES",soctrans,"OUI"))</f>
        <v>1</v>
      </c>
      <c r="H203" s="58">
        <f>IF(VLOOKUP($A203,SiteAttendu!$A$2:$P$366,9,0)="NA","NA",COUNTIFS(soccode,A203,socprog,"PNLP/MEDICAMENTS ET INTRANTS",soctrans,"OUI"))</f>
        <v>1</v>
      </c>
      <c r="I203" s="59">
        <f>IF(VLOOKUP($A203,SiteAttendu!$A$2:$P$366,10,0)="NA","NA",COUNTIFS(soccode,$A203,socprog,"PNSME/MEDICAMENTS ET INTRANTS",soctrans,"OUI"))</f>
        <v>1</v>
      </c>
      <c r="J203" s="58" t="str">
        <f>IF(VLOOKUP($A203,SiteAttendu!$A$2:$P$366,11,0)="NA","NA",COUNTIFS(soccode,$A203,socprog,"PNN/MEDICAMENTS ET INTRANTS",soctrans,"OUI"))</f>
        <v>NA</v>
      </c>
      <c r="K203" s="58">
        <f>IF(VLOOKUP($A203,SiteAttendu!$A$2:$O$366,15,0)="NA","NA",IF(COUNTIF(socprog,"PNLT/SENSIBLE MEDICAMENTS ET INTRANTS")=0,"NA",COUNTIFS(soccode,$A203,socprog,"PNLT/SENSIBLE MEDICAMENTS ET INTRANTS",soctrans,"OUI")))</f>
        <v>1</v>
      </c>
      <c r="L203" s="60"/>
      <c r="M203" s="60">
        <f t="shared" ref="M203:S203" si="205">IFERROR(SUMIFS(E$2:E$364,$C$2:$C$364,$C203)/COUNTIFS(E$2:E$364,"&lt;&gt;NA",$C$2:$C$364,$C203),"")</f>
        <v>1</v>
      </c>
      <c r="N203" s="60">
        <f t="shared" si="205"/>
        <v>1</v>
      </c>
      <c r="O203" s="60">
        <f t="shared" si="205"/>
        <v>1</v>
      </c>
      <c r="P203" s="60">
        <f t="shared" si="205"/>
        <v>1</v>
      </c>
      <c r="Q203" s="60">
        <f t="shared" si="205"/>
        <v>1</v>
      </c>
      <c r="R203" s="60">
        <f t="shared" si="205"/>
        <v>1</v>
      </c>
      <c r="S203" s="60">
        <f t="shared" si="205"/>
        <v>0.8333333333</v>
      </c>
      <c r="T203" s="61">
        <f t="shared" si="3"/>
        <v>1</v>
      </c>
      <c r="U203" s="53">
        <f t="shared" si="4"/>
        <v>4</v>
      </c>
      <c r="V203" s="54">
        <f t="shared" si="5"/>
        <v>4</v>
      </c>
    </row>
    <row r="204" ht="15.75" customHeight="1">
      <c r="A204" s="55" t="str">
        <f>SiteAttendu!$A204</f>
        <v>C1050</v>
      </c>
      <c r="B204" s="56" t="str">
        <f>VLOOKUP($A204,SiteAttendu!$A$2:$C$366,2,0)</f>
        <v>DISTRICT SANITAIRE JACQUEVILLE</v>
      </c>
      <c r="C204" s="57" t="str">
        <f>VLOOKUP($A204,SiteAttendu!$A$2:$C$366,3,0)</f>
        <v>GRANDS PONTS</v>
      </c>
      <c r="D204" s="58">
        <f>IF(VLOOKUP($A204,SiteAttendu!$A$2:$P$366,4,0)="NA","NA",COUNTIFS(soccode,A204,socprog,"PNLS/ANTIRETROVIRAUX ET IO",soctrans,"OUI"))</f>
        <v>1</v>
      </c>
      <c r="E204" s="58">
        <f>IF(VLOOKUP($A204,SiteAttendu!$A$2:$P$366,5,0)="NA","NA",COUNTIFS(soccode,A204,socprog,"PNLS/TESTS RAPIDES ET CONSOMMABLES",soctrans,"OUI"))</f>
        <v>1</v>
      </c>
      <c r="F204" s="58" t="str">
        <f>IF(VLOOKUP($A204,SiteAttendu!$A$2:$P$366,6,0)="NA","NA",COUNTIFS(soccode,A204,socprog,"PNLS/PRODUITS DE LABORATOIRE",soctrans,"OUI"))</f>
        <v>NA</v>
      </c>
      <c r="G204" s="58" t="str">
        <f>IF(VLOOKUP($A204,SiteAttendu!$A$2:$P$366,7,0)="NA","NA",COUNTIFS(soccode,A204,socprog,"PNLS/CHARGES VIRALES",soctrans,"OUI"))</f>
        <v>NA</v>
      </c>
      <c r="H204" s="58">
        <f>IF(VLOOKUP($A204,SiteAttendu!$A$2:$P$366,9,0)="NA","NA",COUNTIFS(soccode,A204,socprog,"PNLP/MEDICAMENTS ET INTRANTS",soctrans,"OUI"))</f>
        <v>1</v>
      </c>
      <c r="I204" s="59">
        <f>IF(VLOOKUP($A204,SiteAttendu!$A$2:$P$366,10,0)="NA","NA",COUNTIFS(soccode,$A204,socprog,"PNSME/MEDICAMENTS ET INTRANTS",soctrans,"OUI"))</f>
        <v>1</v>
      </c>
      <c r="J204" s="58">
        <f>IF(VLOOKUP($A204,SiteAttendu!$A$2:$P$366,11,0)="NA","NA",COUNTIFS(soccode,$A204,socprog,"PNN/MEDICAMENTS ET INTRANTS",soctrans,"OUI"))</f>
        <v>1</v>
      </c>
      <c r="K204" s="58">
        <f>IF(VLOOKUP($A204,SiteAttendu!$A$2:$O$366,15,0)="NA","NA",IF(COUNTIF(socprog,"PNLT/SENSIBLE MEDICAMENTS ET INTRANTS")=0,"NA",COUNTIFS(soccode,$A204,socprog,"PNLT/SENSIBLE MEDICAMENTS ET INTRANTS",soctrans,"OUI")))</f>
        <v>1</v>
      </c>
      <c r="L204" s="60"/>
      <c r="M204" s="60">
        <f t="shared" ref="M204:S204" si="206">IFERROR(SUMIFS(E$2:E$364,$C$2:$C$364,$C204)/COUNTIFS(E$2:E$364,"&lt;&gt;NA",$C$2:$C$364,$C204),"")</f>
        <v>1</v>
      </c>
      <c r="N204" s="60">
        <f t="shared" si="206"/>
        <v>1</v>
      </c>
      <c r="O204" s="60">
        <f t="shared" si="206"/>
        <v>1</v>
      </c>
      <c r="P204" s="60">
        <f t="shared" si="206"/>
        <v>1</v>
      </c>
      <c r="Q204" s="60">
        <f t="shared" si="206"/>
        <v>1</v>
      </c>
      <c r="R204" s="60">
        <f t="shared" si="206"/>
        <v>1</v>
      </c>
      <c r="S204" s="60">
        <f t="shared" si="206"/>
        <v>0.8333333333</v>
      </c>
      <c r="T204" s="61">
        <f t="shared" si="3"/>
        <v>1</v>
      </c>
      <c r="U204" s="53">
        <f t="shared" si="4"/>
        <v>2</v>
      </c>
      <c r="V204" s="54">
        <f t="shared" si="5"/>
        <v>2</v>
      </c>
    </row>
    <row r="205" ht="16.5" customHeight="1">
      <c r="A205" s="62" t="str">
        <f>SiteAttendu!$A205</f>
        <v>C1092</v>
      </c>
      <c r="B205" s="63" t="str">
        <f>VLOOKUP($A205,SiteAttendu!$A$2:$C$366,2,0)</f>
        <v>HOPITAL GENERAL JACQUEVILLE</v>
      </c>
      <c r="C205" s="64" t="str">
        <f>VLOOKUP($A205,SiteAttendu!$A$2:$C$366,3,0)</f>
        <v>GRANDS PONTS</v>
      </c>
      <c r="D205" s="65">
        <f>IF(VLOOKUP($A205,SiteAttendu!$A$2:$P$366,4,0)="NA","NA",COUNTIFS(soccode,A205,socprog,"PNLS/ANTIRETROVIRAUX ET IO",soctrans,"OUI"))</f>
        <v>1</v>
      </c>
      <c r="E205" s="65">
        <f>IF(VLOOKUP($A205,SiteAttendu!$A$2:$P$366,5,0)="NA","NA",COUNTIFS(soccode,A205,socprog,"PNLS/TESTS RAPIDES ET CONSOMMABLES",soctrans,"OUI"))</f>
        <v>1</v>
      </c>
      <c r="F205" s="65">
        <f>IF(VLOOKUP($A205,SiteAttendu!$A$2:$P$366,6,0)="NA","NA",COUNTIFS(soccode,A205,socprog,"PNLS/PRODUITS DE LABORATOIRE",soctrans,"OUI"))</f>
        <v>1</v>
      </c>
      <c r="G205" s="65">
        <f>IF(VLOOKUP($A205,SiteAttendu!$A$2:$P$366,7,0)="NA","NA",COUNTIFS(soccode,A205,socprog,"PNLS/CHARGES VIRALES",soctrans,"OUI"))</f>
        <v>1</v>
      </c>
      <c r="H205" s="65">
        <f>IF(VLOOKUP($A205,SiteAttendu!$A$2:$P$366,9,0)="NA","NA",COUNTIFS(soccode,A205,socprog,"PNLP/MEDICAMENTS ET INTRANTS",soctrans,"OUI"))</f>
        <v>1</v>
      </c>
      <c r="I205" s="66">
        <f>IF(VLOOKUP($A205,SiteAttendu!$A$2:$P$366,10,0)="NA","NA",COUNTIFS(soccode,$A205,socprog,"PNSME/MEDICAMENTS ET INTRANTS",soctrans,"OUI"))</f>
        <v>1</v>
      </c>
      <c r="J205" s="65">
        <f>IF(VLOOKUP($A205,SiteAttendu!$A$2:$P$366,11,0)="NA","NA",COUNTIFS(soccode,$A205,socprog,"PNN/MEDICAMENTS ET INTRANTS",soctrans,"OUI"))</f>
        <v>1</v>
      </c>
      <c r="K205" s="65">
        <f>IF(VLOOKUP($A205,SiteAttendu!$A$2:$O$366,15,0)="NA","NA",IF(COUNTIF(socprog,"PNLT/SENSIBLE MEDICAMENTS ET INTRANTS")=0,"NA",COUNTIFS(soccode,$A205,socprog,"PNLT/SENSIBLE MEDICAMENTS ET INTRANTS",soctrans,"OUI")))</f>
        <v>1</v>
      </c>
      <c r="L205" s="67"/>
      <c r="M205" s="67">
        <f t="shared" ref="M205:S205" si="207">IFERROR(SUMIFS(E$2:E$364,$C$2:$C$364,$C205)/COUNTIFS(E$2:E$364,"&lt;&gt;NA",$C$2:$C$364,$C205),"")</f>
        <v>1</v>
      </c>
      <c r="N205" s="67">
        <f t="shared" si="207"/>
        <v>1</v>
      </c>
      <c r="O205" s="67">
        <f t="shared" si="207"/>
        <v>1</v>
      </c>
      <c r="P205" s="67">
        <f t="shared" si="207"/>
        <v>1</v>
      </c>
      <c r="Q205" s="67">
        <f t="shared" si="207"/>
        <v>1</v>
      </c>
      <c r="R205" s="67">
        <f t="shared" si="207"/>
        <v>1</v>
      </c>
      <c r="S205" s="67">
        <f t="shared" si="207"/>
        <v>0.8333333333</v>
      </c>
      <c r="T205" s="68">
        <f t="shared" si="3"/>
        <v>1</v>
      </c>
      <c r="U205" s="53">
        <f t="shared" si="4"/>
        <v>4</v>
      </c>
      <c r="V205" s="54">
        <f t="shared" si="5"/>
        <v>4</v>
      </c>
    </row>
    <row r="206" ht="15.75" customHeight="1">
      <c r="A206" s="46" t="str">
        <f>SiteAttendu!$A206</f>
        <v>C5007</v>
      </c>
      <c r="B206" s="47" t="str">
        <f>VLOOKUP($A206,SiteAttendu!$A$2:$C$366,2,0)</f>
        <v>DISTRICT SANITAIRE BANGOLO</v>
      </c>
      <c r="C206" s="48" t="str">
        <f>VLOOKUP($A206,SiteAttendu!$A$2:$C$366,3,0)</f>
        <v>GUEMON</v>
      </c>
      <c r="D206" s="49">
        <f>IF(VLOOKUP($A206,SiteAttendu!$A$2:$P$366,4,0)="NA","NA",COUNTIFS(soccode,A206,socprog,"PNLS/ANTIRETROVIRAUX ET IO",soctrans,"OUI"))</f>
        <v>1</v>
      </c>
      <c r="E206" s="49">
        <f>IF(VLOOKUP($A206,SiteAttendu!$A$2:$P$366,5,0)="NA","NA",COUNTIFS(soccode,A206,socprog,"PNLS/TESTS RAPIDES ET CONSOMMABLES",soctrans,"OUI"))</f>
        <v>1</v>
      </c>
      <c r="F206" s="49">
        <f>IF(VLOOKUP($A206,SiteAttendu!$A$2:$P$366,6,0)="NA","NA",COUNTIFS(soccode,A206,socprog,"PNLS/PRODUITS DE LABORATOIRE",soctrans,"OUI"))</f>
        <v>1</v>
      </c>
      <c r="G206" s="49" t="str">
        <f>IF(VLOOKUP($A206,SiteAttendu!$A$2:$P$366,7,0)="NA","NA",COUNTIFS(soccode,A206,socprog,"PNLS/CHARGES VIRALES",soctrans,"OUI"))</f>
        <v>NA</v>
      </c>
      <c r="H206" s="49">
        <f>IF(VLOOKUP($A206,SiteAttendu!$A$2:$P$366,9,0)="NA","NA",COUNTIFS(soccode,A206,socprog,"PNLP/MEDICAMENTS ET INTRANTS",soctrans,"OUI"))</f>
        <v>1</v>
      </c>
      <c r="I206" s="50">
        <f>IF(VLOOKUP($A206,SiteAttendu!$A$2:$P$366,10,0)="NA","NA",COUNTIFS(soccode,$A206,socprog,"PNSME/MEDICAMENTS ET INTRANTS",soctrans,"OUI"))</f>
        <v>1</v>
      </c>
      <c r="J206" s="49">
        <f>IF(VLOOKUP($A206,SiteAttendu!$A$2:$P$366,11,0)="NA","NA",COUNTIFS(soccode,$A206,socprog,"PNN/MEDICAMENTS ET INTRANTS",soctrans,"OUI"))</f>
        <v>1</v>
      </c>
      <c r="K206" s="49" t="str">
        <f>IF(VLOOKUP($A206,SiteAttendu!$A$2:$O$366,15,0)="NA","NA",IF(COUNTIF(socprog,"PNLT/SENSIBLE MEDICAMENTS ET INTRANTS")=0,"NA",COUNTIFS(soccode,$A206,socprog,"PNLT/SENSIBLE MEDICAMENTS ET INTRANTS",soctrans,"OUI")))</f>
        <v>NA</v>
      </c>
      <c r="L206" s="51">
        <f t="shared" ref="L206:S206" si="208">IFERROR(SUMIFS(D$2:D$364,$C$2:$C$364,$C206)/COUNTIFS(D$2:D$364,"&lt;&gt;NA",$C$2:$C$364,$C206),"")</f>
        <v>1</v>
      </c>
      <c r="M206" s="51">
        <f t="shared" si="208"/>
        <v>1</v>
      </c>
      <c r="N206" s="51">
        <f t="shared" si="208"/>
        <v>1</v>
      </c>
      <c r="O206" s="51">
        <f t="shared" si="208"/>
        <v>1</v>
      </c>
      <c r="P206" s="51">
        <f t="shared" si="208"/>
        <v>1</v>
      </c>
      <c r="Q206" s="51">
        <f t="shared" si="208"/>
        <v>1</v>
      </c>
      <c r="R206" s="51">
        <f t="shared" si="208"/>
        <v>1</v>
      </c>
      <c r="S206" s="51">
        <f t="shared" si="208"/>
        <v>0.8</v>
      </c>
      <c r="T206" s="52">
        <f t="shared" si="3"/>
        <v>1</v>
      </c>
      <c r="U206" s="53">
        <f t="shared" si="4"/>
        <v>3</v>
      </c>
      <c r="V206" s="54">
        <f t="shared" si="5"/>
        <v>3</v>
      </c>
    </row>
    <row r="207" ht="15.75" customHeight="1">
      <c r="A207" s="55" t="str">
        <f>SiteAttendu!$A207</f>
        <v>C5015</v>
      </c>
      <c r="B207" s="56" t="str">
        <f>VLOOKUP($A207,SiteAttendu!$A$2:$C$366,2,0)</f>
        <v>HOPITAL GENERAL BANGOLO</v>
      </c>
      <c r="C207" s="57" t="str">
        <f>VLOOKUP($A207,SiteAttendu!$A$2:$C$366,3,0)</f>
        <v>GUEMON</v>
      </c>
      <c r="D207" s="58">
        <f>IF(VLOOKUP($A207,SiteAttendu!$A$2:$P$366,4,0)="NA","NA",COUNTIFS(soccode,A207,socprog,"PNLS/ANTIRETROVIRAUX ET IO",soctrans,"OUI"))</f>
        <v>1</v>
      </c>
      <c r="E207" s="58">
        <f>IF(VLOOKUP($A207,SiteAttendu!$A$2:$P$366,5,0)="NA","NA",COUNTIFS(soccode,A207,socprog,"PNLS/TESTS RAPIDES ET CONSOMMABLES",soctrans,"OUI"))</f>
        <v>1</v>
      </c>
      <c r="F207" s="58">
        <f>IF(VLOOKUP($A207,SiteAttendu!$A$2:$P$366,6,0)="NA","NA",COUNTIFS(soccode,A207,socprog,"PNLS/PRODUITS DE LABORATOIRE",soctrans,"OUI"))</f>
        <v>1</v>
      </c>
      <c r="G207" s="58">
        <f>IF(VLOOKUP($A207,SiteAttendu!$A$2:$P$366,7,0)="NA","NA",COUNTIFS(soccode,A207,socprog,"PNLS/CHARGES VIRALES",soctrans,"OUI"))</f>
        <v>1</v>
      </c>
      <c r="H207" s="58">
        <f>IF(VLOOKUP($A207,SiteAttendu!$A$2:$P$366,9,0)="NA","NA",COUNTIFS(soccode,A207,socprog,"PNLP/MEDICAMENTS ET INTRANTS",soctrans,"OUI"))</f>
        <v>1</v>
      </c>
      <c r="I207" s="59">
        <f>IF(VLOOKUP($A207,SiteAttendu!$A$2:$P$366,10,0)="NA","NA",COUNTIFS(soccode,$A207,socprog,"PNSME/MEDICAMENTS ET INTRANTS",soctrans,"OUI"))</f>
        <v>1</v>
      </c>
      <c r="J207" s="58">
        <f>IF(VLOOKUP($A207,SiteAttendu!$A$2:$P$366,11,0)="NA","NA",COUNTIFS(soccode,$A207,socprog,"PNN/MEDICAMENTS ET INTRANTS",soctrans,"OUI"))</f>
        <v>1</v>
      </c>
      <c r="K207" s="58">
        <f>IF(VLOOKUP($A207,SiteAttendu!$A$2:$O$366,15,0)="NA","NA",IF(COUNTIF(socprog,"PNLT/SENSIBLE MEDICAMENTS ET INTRANTS")=0,"NA",COUNTIFS(soccode,$A207,socprog,"PNLT/SENSIBLE MEDICAMENTS ET INTRANTS",soctrans,"OUI")))</f>
        <v>1</v>
      </c>
      <c r="L207" s="60"/>
      <c r="M207" s="60">
        <f t="shared" ref="M207:S207" si="209">IFERROR(SUMIFS(E$2:E$364,$C$2:$C$364,$C207)/COUNTIFS(E$2:E$364,"&lt;&gt;NA",$C$2:$C$364,$C207),"")</f>
        <v>1</v>
      </c>
      <c r="N207" s="60">
        <f t="shared" si="209"/>
        <v>1</v>
      </c>
      <c r="O207" s="60">
        <f t="shared" si="209"/>
        <v>1</v>
      </c>
      <c r="P207" s="60">
        <f t="shared" si="209"/>
        <v>1</v>
      </c>
      <c r="Q207" s="60">
        <f t="shared" si="209"/>
        <v>1</v>
      </c>
      <c r="R207" s="60">
        <f t="shared" si="209"/>
        <v>1</v>
      </c>
      <c r="S207" s="60">
        <f t="shared" si="209"/>
        <v>0.8</v>
      </c>
      <c r="T207" s="61">
        <f t="shared" si="3"/>
        <v>1</v>
      </c>
      <c r="U207" s="53">
        <f t="shared" si="4"/>
        <v>4</v>
      </c>
      <c r="V207" s="54">
        <f t="shared" si="5"/>
        <v>4</v>
      </c>
    </row>
    <row r="208" ht="15.75" customHeight="1">
      <c r="A208" s="55" t="str">
        <f>SiteAttendu!$A208</f>
        <v>C5010</v>
      </c>
      <c r="B208" s="56" t="str">
        <f>VLOOKUP($A208,SiteAttendu!$A$2:$C$366,2,0)</f>
        <v>DISTRICT SANITAIRE  DUEKOUE</v>
      </c>
      <c r="C208" s="57" t="str">
        <f>VLOOKUP($A208,SiteAttendu!$A$2:$C$366,3,0)</f>
        <v>GUEMON</v>
      </c>
      <c r="D208" s="58">
        <f>IF(VLOOKUP($A208,SiteAttendu!$A$2:$P$366,4,0)="NA","NA",COUNTIFS(soccode,A208,socprog,"PNLS/ANTIRETROVIRAUX ET IO",soctrans,"OUI"))</f>
        <v>1</v>
      </c>
      <c r="E208" s="58">
        <f>IF(VLOOKUP($A208,SiteAttendu!$A$2:$P$366,5,0)="NA","NA",COUNTIFS(soccode,A208,socprog,"PNLS/TESTS RAPIDES ET CONSOMMABLES",soctrans,"OUI"))</f>
        <v>1</v>
      </c>
      <c r="F208" s="58" t="str">
        <f>IF(VLOOKUP($A208,SiteAttendu!$A$2:$P$366,6,0)="NA","NA",COUNTIFS(soccode,A208,socprog,"PNLS/PRODUITS DE LABORATOIRE",soctrans,"OUI"))</f>
        <v>NA</v>
      </c>
      <c r="G208" s="58" t="str">
        <f>IF(VLOOKUP($A208,SiteAttendu!$A$2:$P$366,7,0)="NA","NA",COUNTIFS(soccode,A208,socprog,"PNLS/CHARGES VIRALES",soctrans,"OUI"))</f>
        <v>NA</v>
      </c>
      <c r="H208" s="58">
        <f>IF(VLOOKUP($A208,SiteAttendu!$A$2:$P$366,9,0)="NA","NA",COUNTIFS(soccode,A208,socprog,"PNLP/MEDICAMENTS ET INTRANTS",soctrans,"OUI"))</f>
        <v>1</v>
      </c>
      <c r="I208" s="59">
        <f>IF(VLOOKUP($A208,SiteAttendu!$A$2:$P$366,10,0)="NA","NA",COUNTIFS(soccode,$A208,socprog,"PNSME/MEDICAMENTS ET INTRANTS",soctrans,"OUI"))</f>
        <v>1</v>
      </c>
      <c r="J208" s="58">
        <f>IF(VLOOKUP($A208,SiteAttendu!$A$2:$P$366,11,0)="NA","NA",COUNTIFS(soccode,$A208,socprog,"PNN/MEDICAMENTS ET INTRANTS",soctrans,"OUI"))</f>
        <v>1</v>
      </c>
      <c r="K208" s="58">
        <f>IF(VLOOKUP($A208,SiteAttendu!$A$2:$O$366,15,0)="NA","NA",IF(COUNTIF(socprog,"PNLT/SENSIBLE MEDICAMENTS ET INTRANTS")=0,"NA",COUNTIFS(soccode,$A208,socprog,"PNLT/SENSIBLE MEDICAMENTS ET INTRANTS",soctrans,"OUI")))</f>
        <v>1</v>
      </c>
      <c r="L208" s="60"/>
      <c r="M208" s="60">
        <f t="shared" ref="M208:S208" si="210">IFERROR(SUMIFS(E$2:E$364,$C$2:$C$364,$C208)/COUNTIFS(E$2:E$364,"&lt;&gt;NA",$C$2:$C$364,$C208),"")</f>
        <v>1</v>
      </c>
      <c r="N208" s="60">
        <f t="shared" si="210"/>
        <v>1</v>
      </c>
      <c r="O208" s="60">
        <f t="shared" si="210"/>
        <v>1</v>
      </c>
      <c r="P208" s="60">
        <f t="shared" si="210"/>
        <v>1</v>
      </c>
      <c r="Q208" s="60">
        <f t="shared" si="210"/>
        <v>1</v>
      </c>
      <c r="R208" s="60">
        <f t="shared" si="210"/>
        <v>1</v>
      </c>
      <c r="S208" s="60">
        <f t="shared" si="210"/>
        <v>0.8</v>
      </c>
      <c r="T208" s="61">
        <f t="shared" si="3"/>
        <v>1</v>
      </c>
      <c r="U208" s="53">
        <f t="shared" si="4"/>
        <v>2</v>
      </c>
      <c r="V208" s="54">
        <f t="shared" si="5"/>
        <v>2</v>
      </c>
    </row>
    <row r="209" ht="15.75" customHeight="1">
      <c r="A209" s="55" t="str">
        <f>SiteAttendu!$A209</f>
        <v>C5019</v>
      </c>
      <c r="B209" s="56" t="str">
        <f>VLOOKUP($A209,SiteAttendu!$A$2:$C$366,2,0)</f>
        <v>HOPITAL GENERAL DUEKOUE</v>
      </c>
      <c r="C209" s="57" t="str">
        <f>VLOOKUP($A209,SiteAttendu!$A$2:$C$366,3,0)</f>
        <v>GUEMON</v>
      </c>
      <c r="D209" s="58">
        <f>IF(VLOOKUP($A209,SiteAttendu!$A$2:$P$366,4,0)="NA","NA",COUNTIFS(soccode,A209,socprog,"PNLS/ANTIRETROVIRAUX ET IO",soctrans,"OUI"))</f>
        <v>1</v>
      </c>
      <c r="E209" s="58">
        <f>IF(VLOOKUP($A209,SiteAttendu!$A$2:$P$366,5,0)="NA","NA",COUNTIFS(soccode,A209,socprog,"PNLS/TESTS RAPIDES ET CONSOMMABLES",soctrans,"OUI"))</f>
        <v>1</v>
      </c>
      <c r="F209" s="58">
        <f>IF(VLOOKUP($A209,SiteAttendu!$A$2:$P$366,6,0)="NA","NA",COUNTIFS(soccode,A209,socprog,"PNLS/PRODUITS DE LABORATOIRE",soctrans,"OUI"))</f>
        <v>1</v>
      </c>
      <c r="G209" s="58">
        <f>IF(VLOOKUP($A209,SiteAttendu!$A$2:$P$366,7,0)="NA","NA",COUNTIFS(soccode,A209,socprog,"PNLS/CHARGES VIRALES",soctrans,"OUI"))</f>
        <v>1</v>
      </c>
      <c r="H209" s="58">
        <f>IF(VLOOKUP($A209,SiteAttendu!$A$2:$P$366,9,0)="NA","NA",COUNTIFS(soccode,A209,socprog,"PNLP/MEDICAMENTS ET INTRANTS",soctrans,"OUI"))</f>
        <v>1</v>
      </c>
      <c r="I209" s="59">
        <f>IF(VLOOKUP($A209,SiteAttendu!$A$2:$P$366,10,0)="NA","NA",COUNTIFS(soccode,$A209,socprog,"PNSME/MEDICAMENTS ET INTRANTS",soctrans,"OUI"))</f>
        <v>1</v>
      </c>
      <c r="J209" s="58">
        <f>IF(VLOOKUP($A209,SiteAttendu!$A$2:$P$366,11,0)="NA","NA",COUNTIFS(soccode,$A209,socprog,"PNN/MEDICAMENTS ET INTRANTS",soctrans,"OUI"))</f>
        <v>1</v>
      </c>
      <c r="K209" s="58">
        <f>IF(VLOOKUP($A209,SiteAttendu!$A$2:$O$366,15,0)="NA","NA",IF(COUNTIF(socprog,"PNLT/SENSIBLE MEDICAMENTS ET INTRANTS")=0,"NA",COUNTIFS(soccode,$A209,socprog,"PNLT/SENSIBLE MEDICAMENTS ET INTRANTS",soctrans,"OUI")))</f>
        <v>0</v>
      </c>
      <c r="L209" s="60"/>
      <c r="M209" s="60">
        <f t="shared" ref="M209:S209" si="211">IFERROR(SUMIFS(E$2:E$364,$C$2:$C$364,$C209)/COUNTIFS(E$2:E$364,"&lt;&gt;NA",$C$2:$C$364,$C209),"")</f>
        <v>1</v>
      </c>
      <c r="N209" s="60">
        <f t="shared" si="211"/>
        <v>1</v>
      </c>
      <c r="O209" s="60">
        <f t="shared" si="211"/>
        <v>1</v>
      </c>
      <c r="P209" s="60">
        <f t="shared" si="211"/>
        <v>1</v>
      </c>
      <c r="Q209" s="60">
        <f t="shared" si="211"/>
        <v>1</v>
      </c>
      <c r="R209" s="60">
        <f t="shared" si="211"/>
        <v>1</v>
      </c>
      <c r="S209" s="60">
        <f t="shared" si="211"/>
        <v>0.8</v>
      </c>
      <c r="T209" s="61">
        <f t="shared" si="3"/>
        <v>1</v>
      </c>
      <c r="U209" s="53">
        <f t="shared" si="4"/>
        <v>4</v>
      </c>
      <c r="V209" s="54">
        <f t="shared" si="5"/>
        <v>4</v>
      </c>
    </row>
    <row r="210" ht="15.75" customHeight="1">
      <c r="A210" s="55" t="str">
        <f>SiteAttendu!$A210</f>
        <v>C5020</v>
      </c>
      <c r="B210" s="56" t="str">
        <f>VLOOKUP($A210,SiteAttendu!$A$2:$C$366,2,0)</f>
        <v>HOPITAL GENERAL KOUIBLY</v>
      </c>
      <c r="C210" s="57" t="str">
        <f>VLOOKUP($A210,SiteAttendu!$A$2:$C$366,3,0)</f>
        <v>GUEMON</v>
      </c>
      <c r="D210" s="58">
        <f>IF(VLOOKUP($A210,SiteAttendu!$A$2:$P$366,4,0)="NA","NA",COUNTIFS(soccode,A210,socprog,"PNLS/ANTIRETROVIRAUX ET IO",soctrans,"OUI"))</f>
        <v>1</v>
      </c>
      <c r="E210" s="58">
        <f>IF(VLOOKUP($A210,SiteAttendu!$A$2:$P$366,5,0)="NA","NA",COUNTIFS(soccode,A210,socprog,"PNLS/TESTS RAPIDES ET CONSOMMABLES",soctrans,"OUI"))</f>
        <v>1</v>
      </c>
      <c r="F210" s="58">
        <f>IF(VLOOKUP($A210,SiteAttendu!$A$2:$P$366,6,0)="NA","NA",COUNTIFS(soccode,A210,socprog,"PNLS/PRODUITS DE LABORATOIRE",soctrans,"OUI"))</f>
        <v>1</v>
      </c>
      <c r="G210" s="58" t="str">
        <f>IF(VLOOKUP($A210,SiteAttendu!$A$2:$P$366,7,0)="NA","NA",COUNTIFS(soccode,A210,socprog,"PNLS/CHARGES VIRALES",soctrans,"OUI"))</f>
        <v>NA</v>
      </c>
      <c r="H210" s="58">
        <f>IF(VLOOKUP($A210,SiteAttendu!$A$2:$P$366,9,0)="NA","NA",COUNTIFS(soccode,A210,socprog,"PNLP/MEDICAMENTS ET INTRANTS",soctrans,"OUI"))</f>
        <v>1</v>
      </c>
      <c r="I210" s="59">
        <f>IF(VLOOKUP($A210,SiteAttendu!$A$2:$P$366,10,0)="NA","NA",COUNTIFS(soccode,$A210,socprog,"PNSME/MEDICAMENTS ET INTRANTS",soctrans,"OUI"))</f>
        <v>1</v>
      </c>
      <c r="J210" s="58">
        <f>IF(VLOOKUP($A210,SiteAttendu!$A$2:$P$366,11,0)="NA","NA",COUNTIFS(soccode,$A210,socprog,"PNN/MEDICAMENTS ET INTRANTS",soctrans,"OUI"))</f>
        <v>1</v>
      </c>
      <c r="K210" s="58">
        <f>IF(VLOOKUP($A210,SiteAttendu!$A$2:$O$366,15,0)="NA","NA",IF(COUNTIF(socprog,"PNLT/SENSIBLE MEDICAMENTS ET INTRANTS")=0,"NA",COUNTIFS(soccode,$A210,socprog,"PNLT/SENSIBLE MEDICAMENTS ET INTRANTS",soctrans,"OUI")))</f>
        <v>1</v>
      </c>
      <c r="L210" s="60"/>
      <c r="M210" s="60">
        <f t="shared" ref="M210:S210" si="212">IFERROR(SUMIFS(E$2:E$364,$C$2:$C$364,$C210)/COUNTIFS(E$2:E$364,"&lt;&gt;NA",$C$2:$C$364,$C210),"")</f>
        <v>1</v>
      </c>
      <c r="N210" s="60">
        <f t="shared" si="212"/>
        <v>1</v>
      </c>
      <c r="O210" s="60">
        <f t="shared" si="212"/>
        <v>1</v>
      </c>
      <c r="P210" s="60">
        <f t="shared" si="212"/>
        <v>1</v>
      </c>
      <c r="Q210" s="60">
        <f t="shared" si="212"/>
        <v>1</v>
      </c>
      <c r="R210" s="60">
        <f t="shared" si="212"/>
        <v>1</v>
      </c>
      <c r="S210" s="60">
        <f t="shared" si="212"/>
        <v>0.8</v>
      </c>
      <c r="T210" s="61">
        <f t="shared" si="3"/>
        <v>1</v>
      </c>
      <c r="U210" s="53">
        <f t="shared" si="4"/>
        <v>3</v>
      </c>
      <c r="V210" s="54">
        <f t="shared" si="5"/>
        <v>3</v>
      </c>
    </row>
    <row r="211" ht="15.75" customHeight="1">
      <c r="A211" s="62" t="str">
        <f>SiteAttendu!$A211</f>
        <v>C5035</v>
      </c>
      <c r="B211" s="63" t="str">
        <f>VLOOKUP($A211,SiteAttendu!$A$2:$C$366,2,0)</f>
        <v>DISTRICT SANITAIRE KOUIBLY</v>
      </c>
      <c r="C211" s="64" t="str">
        <f>VLOOKUP($A211,SiteAttendu!$A$2:$C$366,3,0)</f>
        <v>GUEMON</v>
      </c>
      <c r="D211" s="65">
        <f>IF(VLOOKUP($A211,SiteAttendu!$A$2:$P$366,4,0)="NA","NA",COUNTIFS(soccode,A211,socprog,"PNLS/ANTIRETROVIRAUX ET IO",soctrans,"OUI"))</f>
        <v>1</v>
      </c>
      <c r="E211" s="65">
        <f>IF(VLOOKUP($A211,SiteAttendu!$A$2:$P$366,5,0)="NA","NA",COUNTIFS(soccode,A211,socprog,"PNLS/TESTS RAPIDES ET CONSOMMABLES",soctrans,"OUI"))</f>
        <v>1</v>
      </c>
      <c r="F211" s="65" t="str">
        <f>IF(VLOOKUP($A211,SiteAttendu!$A$2:$P$366,6,0)="NA","NA",COUNTIFS(soccode,A211,socprog,"PNLS/PRODUITS DE LABORATOIRE",soctrans,"OUI"))</f>
        <v>NA</v>
      </c>
      <c r="G211" s="65" t="str">
        <f>IF(VLOOKUP($A211,SiteAttendu!$A$2:$P$366,7,0)="NA","NA",COUNTIFS(soccode,A211,socprog,"PNLS/CHARGES VIRALES",soctrans,"OUI"))</f>
        <v>NA</v>
      </c>
      <c r="H211" s="65">
        <f>IF(VLOOKUP($A211,SiteAttendu!$A$2:$P$366,9,0)="NA","NA",COUNTIFS(soccode,A211,socprog,"PNLP/MEDICAMENTS ET INTRANTS",soctrans,"OUI"))</f>
        <v>1</v>
      </c>
      <c r="I211" s="66">
        <f>IF(VLOOKUP($A211,SiteAttendu!$A$2:$P$366,10,0)="NA","NA",COUNTIFS(soccode,$A211,socprog,"PNSME/MEDICAMENTS ET INTRANTS",soctrans,"OUI"))</f>
        <v>1</v>
      </c>
      <c r="J211" s="65">
        <f>IF(VLOOKUP($A211,SiteAttendu!$A$2:$P$366,11,0)="NA","NA",COUNTIFS(soccode,$A211,socprog,"PNN/MEDICAMENTS ET INTRANTS",soctrans,"OUI"))</f>
        <v>1</v>
      </c>
      <c r="K211" s="65">
        <f>IF(VLOOKUP($A211,SiteAttendu!$A$2:$O$366,15,0)="NA","NA",IF(COUNTIF(socprog,"PNLT/SENSIBLE MEDICAMENTS ET INTRANTS")=0,"NA",COUNTIFS(soccode,$A211,socprog,"PNLT/SENSIBLE MEDICAMENTS ET INTRANTS",soctrans,"OUI")))</f>
        <v>1</v>
      </c>
      <c r="L211" s="67"/>
      <c r="M211" s="67">
        <f t="shared" ref="M211:S211" si="213">IFERROR(SUMIFS(E$2:E$364,$C$2:$C$364,$C211)/COUNTIFS(E$2:E$364,"&lt;&gt;NA",$C$2:$C$364,$C211),"")</f>
        <v>1</v>
      </c>
      <c r="N211" s="67">
        <f t="shared" si="213"/>
        <v>1</v>
      </c>
      <c r="O211" s="67">
        <f t="shared" si="213"/>
        <v>1</v>
      </c>
      <c r="P211" s="67">
        <f t="shared" si="213"/>
        <v>1</v>
      </c>
      <c r="Q211" s="67">
        <f t="shared" si="213"/>
        <v>1</v>
      </c>
      <c r="R211" s="67">
        <f t="shared" si="213"/>
        <v>1</v>
      </c>
      <c r="S211" s="67">
        <f t="shared" si="213"/>
        <v>0.8</v>
      </c>
      <c r="T211" s="68">
        <f t="shared" si="3"/>
        <v>1</v>
      </c>
      <c r="U211" s="53">
        <f t="shared" si="4"/>
        <v>2</v>
      </c>
      <c r="V211" s="54">
        <f t="shared" si="5"/>
        <v>2</v>
      </c>
    </row>
    <row r="212" ht="15.75" customHeight="1">
      <c r="A212" s="46" t="str">
        <f>SiteAttendu!$A212</f>
        <v>C3003</v>
      </c>
      <c r="B212" s="47" t="str">
        <f>VLOOKUP($A212,SiteAttendu!$A$2:$C$366,2,0)</f>
        <v>DISTRICT SANITAIRE DABAKALA</v>
      </c>
      <c r="C212" s="48" t="str">
        <f>VLOOKUP($A212,SiteAttendu!$A$2:$C$366,3,0)</f>
        <v>HAMBOL</v>
      </c>
      <c r="D212" s="49">
        <f>IF(VLOOKUP($A212,SiteAttendu!$A$2:$P$366,4,0)="NA","NA",COUNTIFS(soccode,A212,socprog,"PNLS/ANTIRETROVIRAUX ET IO",soctrans,"OUI"))</f>
        <v>1</v>
      </c>
      <c r="E212" s="49">
        <f>IF(VLOOKUP($A212,SiteAttendu!$A$2:$P$366,5,0)="NA","NA",COUNTIFS(soccode,A212,socprog,"PNLS/TESTS RAPIDES ET CONSOMMABLES",soctrans,"OUI"))</f>
        <v>1</v>
      </c>
      <c r="F212" s="49">
        <f>IF(VLOOKUP($A212,SiteAttendu!$A$2:$P$366,6,0)="NA","NA",COUNTIFS(soccode,A212,socprog,"PNLS/PRODUITS DE LABORATOIRE",soctrans,"OUI"))</f>
        <v>1</v>
      </c>
      <c r="G212" s="49" t="str">
        <f>IF(VLOOKUP($A212,SiteAttendu!$A$2:$P$366,7,0)="NA","NA",COUNTIFS(soccode,A212,socprog,"PNLS/CHARGES VIRALES",soctrans,"OUI"))</f>
        <v>NA</v>
      </c>
      <c r="H212" s="49">
        <f>IF(VLOOKUP($A212,SiteAttendu!$A$2:$P$366,9,0)="NA","NA",COUNTIFS(soccode,A212,socprog,"PNLP/MEDICAMENTS ET INTRANTS",soctrans,"OUI"))</f>
        <v>1</v>
      </c>
      <c r="I212" s="50">
        <f>IF(VLOOKUP($A212,SiteAttendu!$A$2:$P$366,10,0)="NA","NA",COUNTIFS(soccode,$A212,socprog,"PNSME/MEDICAMENTS ET INTRANTS",soctrans,"OUI"))</f>
        <v>1</v>
      </c>
      <c r="J212" s="49">
        <f>IF(VLOOKUP($A212,SiteAttendu!$A$2:$P$366,11,0)="NA","NA",COUNTIFS(soccode,$A212,socprog,"PNN/MEDICAMENTS ET INTRANTS",soctrans,"OUI"))</f>
        <v>1</v>
      </c>
      <c r="K212" s="49">
        <f>IF(VLOOKUP($A212,SiteAttendu!$A$2:$O$366,15,0)="NA","NA",IF(COUNTIF(socprog,"PNLT/SENSIBLE MEDICAMENTS ET INTRANTS")=0,"NA",COUNTIFS(soccode,$A212,socprog,"PNLT/SENSIBLE MEDICAMENTS ET INTRANTS",soctrans,"OUI")))</f>
        <v>1</v>
      </c>
      <c r="L212" s="51">
        <f t="shared" ref="L212:S212" si="214">IFERROR(SUMIFS(D$2:D$364,$C$2:$C$364,$C212)/COUNTIFS(D$2:D$364,"&lt;&gt;NA",$C$2:$C$364,$C212),"")</f>
        <v>1</v>
      </c>
      <c r="M212" s="51">
        <f t="shared" si="214"/>
        <v>1</v>
      </c>
      <c r="N212" s="51">
        <f t="shared" si="214"/>
        <v>1</v>
      </c>
      <c r="O212" s="51">
        <f t="shared" si="214"/>
        <v>1</v>
      </c>
      <c r="P212" s="51">
        <f t="shared" si="214"/>
        <v>1</v>
      </c>
      <c r="Q212" s="51">
        <f t="shared" si="214"/>
        <v>0.8571428571</v>
      </c>
      <c r="R212" s="51">
        <f t="shared" si="214"/>
        <v>1</v>
      </c>
      <c r="S212" s="51">
        <f t="shared" si="214"/>
        <v>1</v>
      </c>
      <c r="T212" s="52">
        <f t="shared" si="3"/>
        <v>1</v>
      </c>
      <c r="U212" s="53">
        <f t="shared" si="4"/>
        <v>3</v>
      </c>
      <c r="V212" s="54">
        <f t="shared" si="5"/>
        <v>3</v>
      </c>
    </row>
    <row r="213" ht="16.5" customHeight="1">
      <c r="A213" s="55" t="str">
        <f>SiteAttendu!$A213</f>
        <v>C3011</v>
      </c>
      <c r="B213" s="56" t="str">
        <f>VLOOKUP($A213,SiteAttendu!$A$2:$C$366,2,0)</f>
        <v>HOPITAL GENERAL DABAKALA</v>
      </c>
      <c r="C213" s="57" t="str">
        <f>VLOOKUP($A213,SiteAttendu!$A$2:$C$366,3,0)</f>
        <v>HAMBOL</v>
      </c>
      <c r="D213" s="58">
        <f>IF(VLOOKUP($A213,SiteAttendu!$A$2:$P$366,4,0)="NA","NA",COUNTIFS(soccode,A213,socprog,"PNLS/ANTIRETROVIRAUX ET IO",soctrans,"OUI"))</f>
        <v>1</v>
      </c>
      <c r="E213" s="58">
        <f>IF(VLOOKUP($A213,SiteAttendu!$A$2:$P$366,5,0)="NA","NA",COUNTIFS(soccode,A213,socprog,"PNLS/TESTS RAPIDES ET CONSOMMABLES",soctrans,"OUI"))</f>
        <v>1</v>
      </c>
      <c r="F213" s="58">
        <f>IF(VLOOKUP($A213,SiteAttendu!$A$2:$P$366,6,0)="NA","NA",COUNTIFS(soccode,A213,socprog,"PNLS/PRODUITS DE LABORATOIRE",soctrans,"OUI"))</f>
        <v>1</v>
      </c>
      <c r="G213" s="58" t="str">
        <f>IF(VLOOKUP($A213,SiteAttendu!$A$2:$P$366,7,0)="NA","NA",COUNTIFS(soccode,A213,socprog,"PNLS/CHARGES VIRALES",soctrans,"OUI"))</f>
        <v>NA</v>
      </c>
      <c r="H213" s="58">
        <f>IF(VLOOKUP($A213,SiteAttendu!$A$2:$P$366,9,0)="NA","NA",COUNTIFS(soccode,A213,socprog,"PNLP/MEDICAMENTS ET INTRANTS",soctrans,"OUI"))</f>
        <v>1</v>
      </c>
      <c r="I213" s="59">
        <f>IF(VLOOKUP($A213,SiteAttendu!$A$2:$P$366,10,0)="NA","NA",COUNTIFS(soccode,$A213,socprog,"PNSME/MEDICAMENTS ET INTRANTS",soctrans,"OUI"))</f>
        <v>1</v>
      </c>
      <c r="J213" s="58">
        <f>IF(VLOOKUP($A213,SiteAttendu!$A$2:$P$366,11,0)="NA","NA",COUNTIFS(soccode,$A213,socprog,"PNN/MEDICAMENTS ET INTRANTS",soctrans,"OUI"))</f>
        <v>1</v>
      </c>
      <c r="K213" s="58" t="str">
        <f>IF(VLOOKUP($A213,SiteAttendu!$A$2:$O$366,15,0)="NA","NA",IF(COUNTIF(socprog,"PNLT/SENSIBLE MEDICAMENTS ET INTRANTS")=0,"NA",COUNTIFS(soccode,$A213,socprog,"PNLT/SENSIBLE MEDICAMENTS ET INTRANTS",soctrans,"OUI")))</f>
        <v>NA</v>
      </c>
      <c r="L213" s="60"/>
      <c r="M213" s="60">
        <f t="shared" ref="M213:S213" si="215">IFERROR(SUMIFS(E$2:E$364,$C$2:$C$364,$C213)/COUNTIFS(E$2:E$364,"&lt;&gt;NA",$C$2:$C$364,$C213),"")</f>
        <v>1</v>
      </c>
      <c r="N213" s="60">
        <f t="shared" si="215"/>
        <v>1</v>
      </c>
      <c r="O213" s="60">
        <f t="shared" si="215"/>
        <v>1</v>
      </c>
      <c r="P213" s="60">
        <f t="shared" si="215"/>
        <v>1</v>
      </c>
      <c r="Q213" s="60">
        <f t="shared" si="215"/>
        <v>0.8571428571</v>
      </c>
      <c r="R213" s="60">
        <f t="shared" si="215"/>
        <v>1</v>
      </c>
      <c r="S213" s="60">
        <f t="shared" si="215"/>
        <v>1</v>
      </c>
      <c r="T213" s="61">
        <f t="shared" si="3"/>
        <v>1</v>
      </c>
      <c r="U213" s="53">
        <f t="shared" si="4"/>
        <v>3</v>
      </c>
      <c r="V213" s="54">
        <f t="shared" si="5"/>
        <v>3</v>
      </c>
    </row>
    <row r="214" ht="15.75" customHeight="1">
      <c r="A214" s="55" t="str">
        <f>SiteAttendu!$A214</f>
        <v>C3005</v>
      </c>
      <c r="B214" s="56" t="str">
        <f>VLOOKUP($A214,SiteAttendu!$A$2:$C$366,2,0)</f>
        <v>DISTRICT SANITAIRE KATIOLA</v>
      </c>
      <c r="C214" s="57" t="str">
        <f>VLOOKUP($A214,SiteAttendu!$A$2:$C$366,3,0)</f>
        <v>HAMBOL</v>
      </c>
      <c r="D214" s="58">
        <f>IF(VLOOKUP($A214,SiteAttendu!$A$2:$P$366,4,0)="NA","NA",COUNTIFS(soccode,A214,socprog,"PNLS/ANTIRETROVIRAUX ET IO",soctrans,"OUI"))</f>
        <v>1</v>
      </c>
      <c r="E214" s="58">
        <f>IF(VLOOKUP($A214,SiteAttendu!$A$2:$P$366,5,0)="NA","NA",COUNTIFS(soccode,A214,socprog,"PNLS/TESTS RAPIDES ET CONSOMMABLES",soctrans,"OUI"))</f>
        <v>1</v>
      </c>
      <c r="F214" s="58" t="str">
        <f>IF(VLOOKUP($A214,SiteAttendu!$A$2:$P$366,6,0)="NA","NA",COUNTIFS(soccode,A214,socprog,"PNLS/PRODUITS DE LABORATOIRE",soctrans,"OUI"))</f>
        <v>NA</v>
      </c>
      <c r="G214" s="58" t="str">
        <f>IF(VLOOKUP($A214,SiteAttendu!$A$2:$P$366,7,0)="NA","NA",COUNTIFS(soccode,A214,socprog,"PNLS/CHARGES VIRALES",soctrans,"OUI"))</f>
        <v>NA</v>
      </c>
      <c r="H214" s="58">
        <f>IF(VLOOKUP($A214,SiteAttendu!$A$2:$P$366,9,0)="NA","NA",COUNTIFS(soccode,A214,socprog,"PNLP/MEDICAMENTS ET INTRANTS",soctrans,"OUI"))</f>
        <v>1</v>
      </c>
      <c r="I214" s="59">
        <f>IF(VLOOKUP($A214,SiteAttendu!$A$2:$P$366,10,0)="NA","NA",COUNTIFS(soccode,$A214,socprog,"PNSME/MEDICAMENTS ET INTRANTS",soctrans,"OUI"))</f>
        <v>1</v>
      </c>
      <c r="J214" s="58" t="str">
        <f>IF(VLOOKUP($A214,SiteAttendu!$A$2:$P$366,11,0)="NA","NA",COUNTIFS(soccode,$A214,socprog,"PNN/MEDICAMENTS ET INTRANTS",soctrans,"OUI"))</f>
        <v>NA</v>
      </c>
      <c r="K214" s="58" t="str">
        <f>IF(VLOOKUP($A214,SiteAttendu!$A$2:$O$366,15,0)="NA","NA",IF(COUNTIF(socprog,"PNLT/SENSIBLE MEDICAMENTS ET INTRANTS")=0,"NA",COUNTIFS(soccode,$A214,socprog,"PNLT/SENSIBLE MEDICAMENTS ET INTRANTS",soctrans,"OUI")))</f>
        <v>NA</v>
      </c>
      <c r="L214" s="60"/>
      <c r="M214" s="60">
        <f t="shared" ref="M214:S214" si="216">IFERROR(SUMIFS(E$2:E$364,$C$2:$C$364,$C214)/COUNTIFS(E$2:E$364,"&lt;&gt;NA",$C$2:$C$364,$C214),"")</f>
        <v>1</v>
      </c>
      <c r="N214" s="60">
        <f t="shared" si="216"/>
        <v>1</v>
      </c>
      <c r="O214" s="60">
        <f t="shared" si="216"/>
        <v>1</v>
      </c>
      <c r="P214" s="60">
        <f t="shared" si="216"/>
        <v>1</v>
      </c>
      <c r="Q214" s="60">
        <f t="shared" si="216"/>
        <v>0.8571428571</v>
      </c>
      <c r="R214" s="60">
        <f t="shared" si="216"/>
        <v>1</v>
      </c>
      <c r="S214" s="60">
        <f t="shared" si="216"/>
        <v>1</v>
      </c>
      <c r="T214" s="61">
        <f t="shared" si="3"/>
        <v>1</v>
      </c>
      <c r="U214" s="53">
        <f t="shared" si="4"/>
        <v>2</v>
      </c>
      <c r="V214" s="54">
        <f t="shared" si="5"/>
        <v>2</v>
      </c>
    </row>
    <row r="215" ht="15.75" customHeight="1">
      <c r="A215" s="55" t="str">
        <f>SiteAttendu!$A215</f>
        <v>C3013</v>
      </c>
      <c r="B215" s="56" t="str">
        <f>VLOOKUP($A215,SiteAttendu!$A$2:$C$366,2,0)</f>
        <v>CHR KATIOLA</v>
      </c>
      <c r="C215" s="57" t="str">
        <f>VLOOKUP($A215,SiteAttendu!$A$2:$C$366,3,0)</f>
        <v>HAMBOL</v>
      </c>
      <c r="D215" s="58">
        <f>IF(VLOOKUP($A215,SiteAttendu!$A$2:$P$366,4,0)="NA","NA",COUNTIFS(soccode,A215,socprog,"PNLS/ANTIRETROVIRAUX ET IO",soctrans,"OUI"))</f>
        <v>1</v>
      </c>
      <c r="E215" s="58">
        <f>IF(VLOOKUP($A215,SiteAttendu!$A$2:$P$366,5,0)="NA","NA",COUNTIFS(soccode,A215,socprog,"PNLS/TESTS RAPIDES ET CONSOMMABLES",soctrans,"OUI"))</f>
        <v>1</v>
      </c>
      <c r="F215" s="58">
        <f>IF(VLOOKUP($A215,SiteAttendu!$A$2:$P$366,6,0)="NA","NA",COUNTIFS(soccode,A215,socprog,"PNLS/PRODUITS DE LABORATOIRE",soctrans,"OUI"))</f>
        <v>1</v>
      </c>
      <c r="G215" s="58">
        <f>IF(VLOOKUP($A215,SiteAttendu!$A$2:$P$366,7,0)="NA","NA",COUNTIFS(soccode,A215,socprog,"PNLS/CHARGES VIRALES",soctrans,"OUI"))</f>
        <v>1</v>
      </c>
      <c r="H215" s="58">
        <f>IF(VLOOKUP($A215,SiteAttendu!$A$2:$P$366,9,0)="NA","NA",COUNTIFS(soccode,A215,socprog,"PNLP/MEDICAMENTS ET INTRANTS",soctrans,"OUI"))</f>
        <v>1</v>
      </c>
      <c r="I215" s="59">
        <f>IF(VLOOKUP($A215,SiteAttendu!$A$2:$P$366,10,0)="NA","NA",COUNTIFS(soccode,$A215,socprog,"PNSME/MEDICAMENTS ET INTRANTS",soctrans,"OUI"))</f>
        <v>1</v>
      </c>
      <c r="J215" s="58" t="str">
        <f>IF(VLOOKUP($A215,SiteAttendu!$A$2:$P$366,11,0)="NA","NA",COUNTIFS(soccode,$A215,socprog,"PNN/MEDICAMENTS ET INTRANTS",soctrans,"OUI"))</f>
        <v>NA</v>
      </c>
      <c r="K215" s="58" t="str">
        <f>IF(VLOOKUP($A215,SiteAttendu!$A$2:$O$366,15,0)="NA","NA",IF(COUNTIF(socprog,"PNLT/SENSIBLE MEDICAMENTS ET INTRANTS")=0,"NA",COUNTIFS(soccode,$A215,socprog,"PNLT/SENSIBLE MEDICAMENTS ET INTRANTS",soctrans,"OUI")))</f>
        <v>NA</v>
      </c>
      <c r="L215" s="60"/>
      <c r="M215" s="60">
        <f t="shared" ref="M215:S215" si="217">IFERROR(SUMIFS(E$2:E$364,$C$2:$C$364,$C215)/COUNTIFS(E$2:E$364,"&lt;&gt;NA",$C$2:$C$364,$C215),"")</f>
        <v>1</v>
      </c>
      <c r="N215" s="60">
        <f t="shared" si="217"/>
        <v>1</v>
      </c>
      <c r="O215" s="60">
        <f t="shared" si="217"/>
        <v>1</v>
      </c>
      <c r="P215" s="60">
        <f t="shared" si="217"/>
        <v>1</v>
      </c>
      <c r="Q215" s="60">
        <f t="shared" si="217"/>
        <v>0.8571428571</v>
      </c>
      <c r="R215" s="60">
        <f t="shared" si="217"/>
        <v>1</v>
      </c>
      <c r="S215" s="60">
        <f t="shared" si="217"/>
        <v>1</v>
      </c>
      <c r="T215" s="61">
        <f t="shared" si="3"/>
        <v>1</v>
      </c>
      <c r="U215" s="53">
        <f t="shared" si="4"/>
        <v>4</v>
      </c>
      <c r="V215" s="54">
        <f t="shared" si="5"/>
        <v>4</v>
      </c>
    </row>
    <row r="216" ht="15.75" customHeight="1">
      <c r="A216" s="55" t="str">
        <f>SiteAttendu!$A216</f>
        <v>C3049</v>
      </c>
      <c r="B216" s="56" t="str">
        <f>VLOOKUP($A216,SiteAttendu!$A$2:$C$366,2,0)</f>
        <v>CENTRE ANTITUBERCULEUX KATIOLA</v>
      </c>
      <c r="C216" s="57" t="str">
        <f>VLOOKUP($A216,SiteAttendu!$A$2:$C$366,3,0)</f>
        <v>HAMBOL</v>
      </c>
      <c r="D216" s="58" t="str">
        <f>IF(VLOOKUP($A216,SiteAttendu!$A$2:$P$366,4,0)="NA","NA",COUNTIFS(soccode,A216,socprog,"PNLS/ANTIRETROVIRAUX ET IO",soctrans,"OUI"))</f>
        <v>NA</v>
      </c>
      <c r="E216" s="58" t="str">
        <f>IF(VLOOKUP($A216,SiteAttendu!$A$2:$P$366,5,0)="NA","NA",COUNTIFS(soccode,A216,socprog,"PNLS/TESTS RAPIDES ET CONSOMMABLES",soctrans,"OUI"))</f>
        <v>NA</v>
      </c>
      <c r="F216" s="58" t="str">
        <f>IF(VLOOKUP($A216,SiteAttendu!$A$2:$P$366,6,0)="NA","NA",COUNTIFS(soccode,A216,socprog,"PNLS/PRODUITS DE LABORATOIRE",soctrans,"OUI"))</f>
        <v>NA</v>
      </c>
      <c r="G216" s="58" t="str">
        <f>IF(VLOOKUP($A216,SiteAttendu!$A$2:$P$366,7,0)="NA","NA",COUNTIFS(soccode,A216,socprog,"PNLS/CHARGES VIRALES",soctrans,"OUI"))</f>
        <v>NA</v>
      </c>
      <c r="H216" s="58" t="str">
        <f>IF(VLOOKUP($A216,SiteAttendu!$A$2:$P$366,9,0)="NA","NA",COUNTIFS(soccode,A216,socprog,"PNLP/MEDICAMENTS ET INTRANTS",soctrans,"OUI"))</f>
        <v>NA</v>
      </c>
      <c r="I216" s="59" t="str">
        <f>IF(VLOOKUP($A216,SiteAttendu!$A$2:$P$366,10,0)="NA","NA",COUNTIFS(soccode,$A216,socprog,"PNSME/MEDICAMENTS ET INTRANTS",soctrans,"OUI"))</f>
        <v>NA</v>
      </c>
      <c r="J216" s="58" t="str">
        <f>IF(VLOOKUP($A216,SiteAttendu!$A$2:$P$366,11,0)="NA","NA",COUNTIFS(soccode,$A216,socprog,"PNN/MEDICAMENTS ET INTRANTS",soctrans,"OUI"))</f>
        <v>NA</v>
      </c>
      <c r="K216" s="58">
        <f>IF(VLOOKUP($A216,SiteAttendu!$A$2:$O$366,15,0)="NA","NA",IF(COUNTIF(socprog,"PNLT/SENSIBLE MEDICAMENTS ET INTRANTS")=0,"NA",COUNTIFS(soccode,$A216,socprog,"PNLT/SENSIBLE MEDICAMENTS ET INTRANTS",soctrans,"OUI")))</f>
        <v>1</v>
      </c>
      <c r="L216" s="60"/>
      <c r="M216" s="60">
        <f t="shared" ref="M216:S216" si="218">IFERROR(SUMIFS(E$2:E$364,$C$2:$C$364,$C216)/COUNTIFS(E$2:E$364,"&lt;&gt;NA",$C$2:$C$364,$C216),"")</f>
        <v>1</v>
      </c>
      <c r="N216" s="60">
        <f t="shared" si="218"/>
        <v>1</v>
      </c>
      <c r="O216" s="60">
        <f t="shared" si="218"/>
        <v>1</v>
      </c>
      <c r="P216" s="60">
        <f t="shared" si="218"/>
        <v>1</v>
      </c>
      <c r="Q216" s="60">
        <f t="shared" si="218"/>
        <v>0.8571428571</v>
      </c>
      <c r="R216" s="60">
        <f t="shared" si="218"/>
        <v>1</v>
      </c>
      <c r="S216" s="60">
        <f t="shared" si="218"/>
        <v>1</v>
      </c>
      <c r="T216" s="61">
        <f t="shared" si="3"/>
        <v>1</v>
      </c>
      <c r="U216" s="53">
        <f t="shared" si="4"/>
        <v>0</v>
      </c>
      <c r="V216" s="54">
        <f t="shared" si="5"/>
        <v>0</v>
      </c>
    </row>
    <row r="217" ht="15.75" customHeight="1">
      <c r="A217" s="55" t="str">
        <f>SiteAttendu!$A217</f>
        <v>C3019</v>
      </c>
      <c r="B217" s="56" t="str">
        <f>VLOOKUP($A217,SiteAttendu!$A$2:$C$366,2,0)</f>
        <v>HOPITAL GENERAL NIAKARA</v>
      </c>
      <c r="C217" s="57" t="str">
        <f>VLOOKUP($A217,SiteAttendu!$A$2:$C$366,3,0)</f>
        <v>HAMBOL</v>
      </c>
      <c r="D217" s="58">
        <f>IF(VLOOKUP($A217,SiteAttendu!$A$2:$P$366,4,0)="NA","NA",COUNTIFS(soccode,A217,socprog,"PNLS/ANTIRETROVIRAUX ET IO",soctrans,"OUI"))</f>
        <v>1</v>
      </c>
      <c r="E217" s="58">
        <f>IF(VLOOKUP($A217,SiteAttendu!$A$2:$P$366,5,0)="NA","NA",COUNTIFS(soccode,A217,socprog,"PNLS/TESTS RAPIDES ET CONSOMMABLES",soctrans,"OUI"))</f>
        <v>1</v>
      </c>
      <c r="F217" s="58">
        <f>IF(VLOOKUP($A217,SiteAttendu!$A$2:$P$366,6,0)="NA","NA",COUNTIFS(soccode,A217,socprog,"PNLS/PRODUITS DE LABORATOIRE",soctrans,"OUI"))</f>
        <v>1</v>
      </c>
      <c r="G217" s="58" t="str">
        <f>IF(VLOOKUP($A217,SiteAttendu!$A$2:$P$366,7,0)="NA","NA",COUNTIFS(soccode,A217,socprog,"PNLS/CHARGES VIRALES",soctrans,"OUI"))</f>
        <v>NA</v>
      </c>
      <c r="H217" s="58">
        <f>IF(VLOOKUP($A217,SiteAttendu!$A$2:$P$366,9,0)="NA","NA",COUNTIFS(soccode,A217,socprog,"PNLP/MEDICAMENTS ET INTRANTS",soctrans,"OUI"))</f>
        <v>1</v>
      </c>
      <c r="I217" s="59">
        <f>IF(VLOOKUP($A217,SiteAttendu!$A$2:$P$366,10,0)="NA","NA",COUNTIFS(soccode,$A217,socprog,"PNSME/MEDICAMENTS ET INTRANTS",soctrans,"OUI"))</f>
        <v>0</v>
      </c>
      <c r="J217" s="58">
        <f>IF(VLOOKUP($A217,SiteAttendu!$A$2:$P$366,11,0)="NA","NA",COUNTIFS(soccode,$A217,socprog,"PNN/MEDICAMENTS ET INTRANTS",soctrans,"OUI"))</f>
        <v>1</v>
      </c>
      <c r="K217" s="58">
        <f>IF(VLOOKUP($A217,SiteAttendu!$A$2:$O$366,15,0)="NA","NA",IF(COUNTIF(socprog,"PNLT/SENSIBLE MEDICAMENTS ET INTRANTS")=0,"NA",COUNTIFS(soccode,$A217,socprog,"PNLT/SENSIBLE MEDICAMENTS ET INTRANTS",soctrans,"OUI")))</f>
        <v>1</v>
      </c>
      <c r="L217" s="60"/>
      <c r="M217" s="60">
        <f t="shared" ref="M217:S217" si="219">IFERROR(SUMIFS(E$2:E$364,$C$2:$C$364,$C217)/COUNTIFS(E$2:E$364,"&lt;&gt;NA",$C$2:$C$364,$C217),"")</f>
        <v>1</v>
      </c>
      <c r="N217" s="60">
        <f t="shared" si="219"/>
        <v>1</v>
      </c>
      <c r="O217" s="60">
        <f t="shared" si="219"/>
        <v>1</v>
      </c>
      <c r="P217" s="60">
        <f t="shared" si="219"/>
        <v>1</v>
      </c>
      <c r="Q217" s="60">
        <f t="shared" si="219"/>
        <v>0.8571428571</v>
      </c>
      <c r="R217" s="60">
        <f t="shared" si="219"/>
        <v>1</v>
      </c>
      <c r="S217" s="60">
        <f t="shared" si="219"/>
        <v>1</v>
      </c>
      <c r="T217" s="61">
        <f t="shared" si="3"/>
        <v>1</v>
      </c>
      <c r="U217" s="53">
        <f t="shared" si="4"/>
        <v>3</v>
      </c>
      <c r="V217" s="54">
        <f t="shared" si="5"/>
        <v>3</v>
      </c>
    </row>
    <row r="218" ht="15.75" customHeight="1">
      <c r="A218" s="55" t="str">
        <f>SiteAttendu!$A218</f>
        <v>C3022</v>
      </c>
      <c r="B218" s="56" t="str">
        <f>VLOOKUP($A218,SiteAttendu!$A$2:$C$366,2,0)</f>
        <v>HOPITAL GENERAL TAFIRE</v>
      </c>
      <c r="C218" s="57" t="str">
        <f>VLOOKUP($A218,SiteAttendu!$A$2:$C$366,3,0)</f>
        <v>HAMBOL</v>
      </c>
      <c r="D218" s="58" t="str">
        <f>IF(VLOOKUP($A218,SiteAttendu!$A$2:$P$366,4,0)="NA","NA",COUNTIFS(soccode,A218,socprog,"PNLS/ANTIRETROVIRAUX ET IO",soctrans,"OUI"))</f>
        <v>NA</v>
      </c>
      <c r="E218" s="58" t="str">
        <f>IF(VLOOKUP($A218,SiteAttendu!$A$2:$P$366,5,0)="NA","NA",COUNTIFS(soccode,A218,socprog,"PNLS/TESTS RAPIDES ET CONSOMMABLES",soctrans,"OUI"))</f>
        <v>NA</v>
      </c>
      <c r="F218" s="58" t="str">
        <f>IF(VLOOKUP($A218,SiteAttendu!$A$2:$P$366,6,0)="NA","NA",COUNTIFS(soccode,A218,socprog,"PNLS/PRODUITS DE LABORATOIRE",soctrans,"OUI"))</f>
        <v>NA</v>
      </c>
      <c r="G218" s="58" t="str">
        <f>IF(VLOOKUP($A218,SiteAttendu!$A$2:$P$366,7,0)="NA","NA",COUNTIFS(soccode,A218,socprog,"PNLS/CHARGES VIRALES",soctrans,"OUI"))</f>
        <v>NA</v>
      </c>
      <c r="H218" s="58">
        <f>IF(VLOOKUP($A218,SiteAttendu!$A$2:$P$366,9,0)="NA","NA",COUNTIFS(soccode,A218,socprog,"PNLP/MEDICAMENTS ET INTRANTS",soctrans,"OUI"))</f>
        <v>1</v>
      </c>
      <c r="I218" s="59">
        <f>IF(VLOOKUP($A218,SiteAttendu!$A$2:$P$366,10,0)="NA","NA",COUNTIFS(soccode,$A218,socprog,"PNSME/MEDICAMENTS ET INTRANTS",soctrans,"OUI"))</f>
        <v>1</v>
      </c>
      <c r="J218" s="58" t="str">
        <f>IF(VLOOKUP($A218,SiteAttendu!$A$2:$P$366,11,0)="NA","NA",COUNTIFS(soccode,$A218,socprog,"PNN/MEDICAMENTS ET INTRANTS",soctrans,"OUI"))</f>
        <v>NA</v>
      </c>
      <c r="K218" s="58">
        <f>IF(VLOOKUP($A218,SiteAttendu!$A$2:$O$366,15,0)="NA","NA",IF(COUNTIF(socprog,"PNLT/SENSIBLE MEDICAMENTS ET INTRANTS")=0,"NA",COUNTIFS(soccode,$A218,socprog,"PNLT/SENSIBLE MEDICAMENTS ET INTRANTS",soctrans,"OUI")))</f>
        <v>1</v>
      </c>
      <c r="L218" s="60"/>
      <c r="M218" s="60">
        <f t="shared" ref="M218:S218" si="220">IFERROR(SUMIFS(E$2:E$364,$C$2:$C$364,$C218)/COUNTIFS(E$2:E$364,"&lt;&gt;NA",$C$2:$C$364,$C218),"")</f>
        <v>1</v>
      </c>
      <c r="N218" s="60">
        <f t="shared" si="220"/>
        <v>1</v>
      </c>
      <c r="O218" s="60">
        <f t="shared" si="220"/>
        <v>1</v>
      </c>
      <c r="P218" s="60">
        <f t="shared" si="220"/>
        <v>1</v>
      </c>
      <c r="Q218" s="60">
        <f t="shared" si="220"/>
        <v>0.8571428571</v>
      </c>
      <c r="R218" s="60">
        <f t="shared" si="220"/>
        <v>1</v>
      </c>
      <c r="S218" s="60">
        <f t="shared" si="220"/>
        <v>1</v>
      </c>
      <c r="T218" s="61">
        <f t="shared" si="3"/>
        <v>1</v>
      </c>
      <c r="U218" s="53">
        <f t="shared" si="4"/>
        <v>0</v>
      </c>
      <c r="V218" s="54">
        <f t="shared" si="5"/>
        <v>0</v>
      </c>
    </row>
    <row r="219" ht="15.75" customHeight="1">
      <c r="A219" s="62" t="str">
        <f>SiteAttendu!$A219</f>
        <v>C3045</v>
      </c>
      <c r="B219" s="63" t="str">
        <f>VLOOKUP($A219,SiteAttendu!$A$2:$C$366,2,0)</f>
        <v>DISTRICT SANITAIRE NIAKARA</v>
      </c>
      <c r="C219" s="64" t="str">
        <f>VLOOKUP($A219,SiteAttendu!$A$2:$C$366,3,0)</f>
        <v>HAMBOL</v>
      </c>
      <c r="D219" s="65">
        <f>IF(VLOOKUP($A219,SiteAttendu!$A$2:$P$366,4,0)="NA","NA",COUNTIFS(soccode,A219,socprog,"PNLS/ANTIRETROVIRAUX ET IO",soctrans,"OUI"))</f>
        <v>1</v>
      </c>
      <c r="E219" s="65">
        <f>IF(VLOOKUP($A219,SiteAttendu!$A$2:$P$366,5,0)="NA","NA",COUNTIFS(soccode,A219,socprog,"PNLS/TESTS RAPIDES ET CONSOMMABLES",soctrans,"OUI"))</f>
        <v>1</v>
      </c>
      <c r="F219" s="65">
        <f>IF(VLOOKUP($A219,SiteAttendu!$A$2:$P$366,6,0)="NA","NA",COUNTIFS(soccode,A219,socprog,"PNLS/PRODUITS DE LABORATOIRE",soctrans,"OUI"))</f>
        <v>1</v>
      </c>
      <c r="G219" s="65" t="str">
        <f>IF(VLOOKUP($A219,SiteAttendu!$A$2:$P$366,7,0)="NA","NA",COUNTIFS(soccode,A219,socprog,"PNLS/CHARGES VIRALES",soctrans,"OUI"))</f>
        <v>NA</v>
      </c>
      <c r="H219" s="65">
        <f>IF(VLOOKUP($A219,SiteAttendu!$A$2:$P$366,9,0)="NA","NA",COUNTIFS(soccode,A219,socprog,"PNLP/MEDICAMENTS ET INTRANTS",soctrans,"OUI"))</f>
        <v>1</v>
      </c>
      <c r="I219" s="66">
        <f>IF(VLOOKUP($A219,SiteAttendu!$A$2:$P$366,10,0)="NA","NA",COUNTIFS(soccode,$A219,socprog,"PNSME/MEDICAMENTS ET INTRANTS",soctrans,"OUI"))</f>
        <v>1</v>
      </c>
      <c r="J219" s="65">
        <f>IF(VLOOKUP($A219,SiteAttendu!$A$2:$P$366,11,0)="NA","NA",COUNTIFS(soccode,$A219,socprog,"PNN/MEDICAMENTS ET INTRANTS",soctrans,"OUI"))</f>
        <v>1</v>
      </c>
      <c r="K219" s="65">
        <f>IF(VLOOKUP($A219,SiteAttendu!$A$2:$O$366,15,0)="NA","NA",IF(COUNTIF(socprog,"PNLT/SENSIBLE MEDICAMENTS ET INTRANTS")=0,"NA",COUNTIFS(soccode,$A219,socprog,"PNLT/SENSIBLE MEDICAMENTS ET INTRANTS",soctrans,"OUI")))</f>
        <v>1</v>
      </c>
      <c r="L219" s="67"/>
      <c r="M219" s="67">
        <f t="shared" ref="M219:S219" si="221">IFERROR(SUMIFS(E$2:E$364,$C$2:$C$364,$C219)/COUNTIFS(E$2:E$364,"&lt;&gt;NA",$C$2:$C$364,$C219),"")</f>
        <v>1</v>
      </c>
      <c r="N219" s="67">
        <f t="shared" si="221"/>
        <v>1</v>
      </c>
      <c r="O219" s="67">
        <f t="shared" si="221"/>
        <v>1</v>
      </c>
      <c r="P219" s="67">
        <f t="shared" si="221"/>
        <v>1</v>
      </c>
      <c r="Q219" s="67">
        <f t="shared" si="221"/>
        <v>0.8571428571</v>
      </c>
      <c r="R219" s="67">
        <f t="shared" si="221"/>
        <v>1</v>
      </c>
      <c r="S219" s="67">
        <f t="shared" si="221"/>
        <v>1</v>
      </c>
      <c r="T219" s="68">
        <f t="shared" si="3"/>
        <v>1</v>
      </c>
      <c r="U219" s="53">
        <f t="shared" si="4"/>
        <v>3</v>
      </c>
      <c r="V219" s="54">
        <f t="shared" si="5"/>
        <v>3</v>
      </c>
    </row>
    <row r="220" ht="15.75" customHeight="1">
      <c r="A220" s="46" t="str">
        <f>SiteAttendu!$A220</f>
        <v>C2003</v>
      </c>
      <c r="B220" s="47" t="str">
        <f>VLOOKUP($A220,SiteAttendu!$A$2:$C$366,2,0)</f>
        <v>CHR DALOA</v>
      </c>
      <c r="C220" s="48" t="str">
        <f>VLOOKUP($A220,SiteAttendu!$A$2:$C$366,3,0)</f>
        <v>HAUT-SASSANDRA</v>
      </c>
      <c r="D220" s="49">
        <f>IF(VLOOKUP($A220,SiteAttendu!$A$2:$P$366,4,0)="NA","NA",COUNTIFS(soccode,A220,socprog,"PNLS/ANTIRETROVIRAUX ET IO",soctrans,"OUI"))</f>
        <v>1</v>
      </c>
      <c r="E220" s="49">
        <f>IF(VLOOKUP($A220,SiteAttendu!$A$2:$P$366,5,0)="NA","NA",COUNTIFS(soccode,A220,socprog,"PNLS/TESTS RAPIDES ET CONSOMMABLES",soctrans,"OUI"))</f>
        <v>1</v>
      </c>
      <c r="F220" s="49">
        <f>IF(VLOOKUP($A220,SiteAttendu!$A$2:$P$366,6,0)="NA","NA",COUNTIFS(soccode,A220,socprog,"PNLS/PRODUITS DE LABORATOIRE",soctrans,"OUI"))</f>
        <v>1</v>
      </c>
      <c r="G220" s="49">
        <f>IF(VLOOKUP($A220,SiteAttendu!$A$2:$P$366,7,0)="NA","NA",COUNTIFS(soccode,A220,socprog,"PNLS/CHARGES VIRALES",soctrans,"OUI"))</f>
        <v>1</v>
      </c>
      <c r="H220" s="49">
        <f>IF(VLOOKUP($A220,SiteAttendu!$A$2:$P$366,9,0)="NA","NA",COUNTIFS(soccode,A220,socprog,"PNLP/MEDICAMENTS ET INTRANTS",soctrans,"OUI"))</f>
        <v>1</v>
      </c>
      <c r="I220" s="50">
        <f>IF(VLOOKUP($A220,SiteAttendu!$A$2:$P$366,10,0)="NA","NA",COUNTIFS(soccode,$A220,socprog,"PNSME/MEDICAMENTS ET INTRANTS",soctrans,"OUI"))</f>
        <v>1</v>
      </c>
      <c r="J220" s="49" t="str">
        <f>IF(VLOOKUP($A220,SiteAttendu!$A$2:$P$366,11,0)="NA","NA",COUNTIFS(soccode,$A220,socprog,"PNN/MEDICAMENTS ET INTRANTS",soctrans,"OUI"))</f>
        <v>NA</v>
      </c>
      <c r="K220" s="49" t="str">
        <f>IF(VLOOKUP($A220,SiteAttendu!$A$2:$O$366,15,0)="NA","NA",IF(COUNTIF(socprog,"PNLT/SENSIBLE MEDICAMENTS ET INTRANTS")=0,"NA",COUNTIFS(soccode,$A220,socprog,"PNLT/SENSIBLE MEDICAMENTS ET INTRANTS",soctrans,"OUI")))</f>
        <v>NA</v>
      </c>
      <c r="L220" s="51">
        <f t="shared" ref="L220:S220" si="222">IFERROR(SUMIFS(D$2:D$364,$C$2:$C$364,$C220)/COUNTIFS(D$2:D$364,"&lt;&gt;NA",$C$2:$C$364,$C220),"")</f>
        <v>0.8888888889</v>
      </c>
      <c r="M220" s="51">
        <f t="shared" si="222"/>
        <v>0.8888888889</v>
      </c>
      <c r="N220" s="51">
        <f t="shared" si="222"/>
        <v>1</v>
      </c>
      <c r="O220" s="51">
        <f t="shared" si="222"/>
        <v>1</v>
      </c>
      <c r="P220" s="51">
        <f t="shared" si="222"/>
        <v>0.8888888889</v>
      </c>
      <c r="Q220" s="51">
        <f t="shared" si="222"/>
        <v>0.8888888889</v>
      </c>
      <c r="R220" s="51">
        <f t="shared" si="222"/>
        <v>1</v>
      </c>
      <c r="S220" s="51">
        <f t="shared" si="222"/>
        <v>0.875</v>
      </c>
      <c r="T220" s="52">
        <f t="shared" si="3"/>
        <v>0.9285714286</v>
      </c>
      <c r="U220" s="53">
        <f t="shared" si="4"/>
        <v>4</v>
      </c>
      <c r="V220" s="54">
        <f t="shared" si="5"/>
        <v>4</v>
      </c>
    </row>
    <row r="221" ht="15.75" customHeight="1">
      <c r="A221" s="55" t="str">
        <f>SiteAttendu!$A221</f>
        <v>C2025</v>
      </c>
      <c r="B221" s="56" t="str">
        <f>VLOOKUP($A221,SiteAttendu!$A$2:$C$366,2,0)</f>
        <v>DISTRICT SANITAIRE DALOA</v>
      </c>
      <c r="C221" s="57" t="str">
        <f>VLOOKUP($A221,SiteAttendu!$A$2:$C$366,3,0)</f>
        <v>HAUT-SASSANDRA</v>
      </c>
      <c r="D221" s="58">
        <f>IF(VLOOKUP($A221,SiteAttendu!$A$2:$P$366,4,0)="NA","NA",COUNTIFS(soccode,A221,socprog,"PNLS/ANTIRETROVIRAUX ET IO",soctrans,"OUI"))</f>
        <v>1</v>
      </c>
      <c r="E221" s="58">
        <f>IF(VLOOKUP($A221,SiteAttendu!$A$2:$P$366,5,0)="NA","NA",COUNTIFS(soccode,A221,socprog,"PNLS/TESTS RAPIDES ET CONSOMMABLES",soctrans,"OUI"))</f>
        <v>1</v>
      </c>
      <c r="F221" s="58">
        <f>IF(VLOOKUP($A221,SiteAttendu!$A$2:$P$366,6,0)="NA","NA",COUNTIFS(soccode,A221,socprog,"PNLS/PRODUITS DE LABORATOIRE",soctrans,"OUI"))</f>
        <v>1</v>
      </c>
      <c r="G221" s="58" t="str">
        <f>IF(VLOOKUP($A221,SiteAttendu!$A$2:$P$366,7,0)="NA","NA",COUNTIFS(soccode,A221,socprog,"PNLS/CHARGES VIRALES",soctrans,"OUI"))</f>
        <v>NA</v>
      </c>
      <c r="H221" s="58">
        <f>IF(VLOOKUP($A221,SiteAttendu!$A$2:$P$366,9,0)="NA","NA",COUNTIFS(soccode,A221,socprog,"PNLP/MEDICAMENTS ET INTRANTS",soctrans,"OUI"))</f>
        <v>1</v>
      </c>
      <c r="I221" s="59">
        <f>IF(VLOOKUP($A221,SiteAttendu!$A$2:$P$366,10,0)="NA","NA",COUNTIFS(soccode,$A221,socprog,"PNSME/MEDICAMENTS ET INTRANTS",soctrans,"OUI"))</f>
        <v>1</v>
      </c>
      <c r="J221" s="58" t="str">
        <f>IF(VLOOKUP($A221,SiteAttendu!$A$2:$P$366,11,0)="NA","NA",COUNTIFS(soccode,$A221,socprog,"PNN/MEDICAMENTS ET INTRANTS",soctrans,"OUI"))</f>
        <v>NA</v>
      </c>
      <c r="K221" s="58">
        <f>IF(VLOOKUP($A221,SiteAttendu!$A$2:$O$366,15,0)="NA","NA",IF(COUNTIF(socprog,"PNLT/SENSIBLE MEDICAMENTS ET INTRANTS")=0,"NA",COUNTIFS(soccode,$A221,socprog,"PNLT/SENSIBLE MEDICAMENTS ET INTRANTS",soctrans,"OUI")))</f>
        <v>1</v>
      </c>
      <c r="L221" s="60"/>
      <c r="M221" s="60">
        <f t="shared" ref="M221:S221" si="223">IFERROR(SUMIFS(E$2:E$364,$C$2:$C$364,$C221)/COUNTIFS(E$2:E$364,"&lt;&gt;NA",$C$2:$C$364,$C221),"")</f>
        <v>0.8888888889</v>
      </c>
      <c r="N221" s="60">
        <f t="shared" si="223"/>
        <v>1</v>
      </c>
      <c r="O221" s="60">
        <f t="shared" si="223"/>
        <v>1</v>
      </c>
      <c r="P221" s="60">
        <f t="shared" si="223"/>
        <v>0.8888888889</v>
      </c>
      <c r="Q221" s="60">
        <f t="shared" si="223"/>
        <v>0.8888888889</v>
      </c>
      <c r="R221" s="60">
        <f t="shared" si="223"/>
        <v>1</v>
      </c>
      <c r="S221" s="60">
        <f t="shared" si="223"/>
        <v>0.875</v>
      </c>
      <c r="T221" s="61">
        <f t="shared" si="3"/>
        <v>0.9285714286</v>
      </c>
      <c r="U221" s="53">
        <f t="shared" si="4"/>
        <v>3</v>
      </c>
      <c r="V221" s="54">
        <f t="shared" si="5"/>
        <v>3</v>
      </c>
    </row>
    <row r="222" ht="16.5" customHeight="1">
      <c r="A222" s="55" t="str">
        <f>SiteAttendu!$A222</f>
        <v>C2172</v>
      </c>
      <c r="B222" s="56" t="str">
        <f>VLOOKUP($A222,SiteAttendu!$A$2:$C$366,2,0)</f>
        <v>CENTRE ANTITUBERCULEUX DALOA</v>
      </c>
      <c r="C222" s="57" t="str">
        <f>VLOOKUP($A222,SiteAttendu!$A$2:$C$366,3,0)</f>
        <v>HAUT-SASSANDRA</v>
      </c>
      <c r="D222" s="58" t="str">
        <f>IF(VLOOKUP($A222,SiteAttendu!$A$2:$P$366,4,0)="NA","NA",COUNTIFS(soccode,A222,socprog,"PNLS/ANTIRETROVIRAUX ET IO",soctrans,"OUI"))</f>
        <v>NA</v>
      </c>
      <c r="E222" s="58" t="str">
        <f>IF(VLOOKUP($A222,SiteAttendu!$A$2:$P$366,5,0)="NA","NA",COUNTIFS(soccode,A222,socprog,"PNLS/TESTS RAPIDES ET CONSOMMABLES",soctrans,"OUI"))</f>
        <v>NA</v>
      </c>
      <c r="F222" s="58" t="str">
        <f>IF(VLOOKUP($A222,SiteAttendu!$A$2:$P$366,6,0)="NA","NA",COUNTIFS(soccode,A222,socprog,"PNLS/PRODUITS DE LABORATOIRE",soctrans,"OUI"))</f>
        <v>NA</v>
      </c>
      <c r="G222" s="58" t="str">
        <f>IF(VLOOKUP($A222,SiteAttendu!$A$2:$P$366,7,0)="NA","NA",COUNTIFS(soccode,A222,socprog,"PNLS/CHARGES VIRALES",soctrans,"OUI"))</f>
        <v>NA</v>
      </c>
      <c r="H222" s="58" t="str">
        <f>IF(VLOOKUP($A222,SiteAttendu!$A$2:$P$366,9,0)="NA","NA",COUNTIFS(soccode,A222,socprog,"PNLP/MEDICAMENTS ET INTRANTS",soctrans,"OUI"))</f>
        <v>NA</v>
      </c>
      <c r="I222" s="59" t="str">
        <f>IF(VLOOKUP($A222,SiteAttendu!$A$2:$P$366,10,0)="NA","NA",COUNTIFS(soccode,$A222,socprog,"PNSME/MEDICAMENTS ET INTRANTS",soctrans,"OUI"))</f>
        <v>NA</v>
      </c>
      <c r="J222" s="58" t="str">
        <f>IF(VLOOKUP($A222,SiteAttendu!$A$2:$P$366,11,0)="NA","NA",COUNTIFS(soccode,$A222,socprog,"PNN/MEDICAMENTS ET INTRANTS",soctrans,"OUI"))</f>
        <v>NA</v>
      </c>
      <c r="K222" s="58">
        <f>IF(VLOOKUP($A222,SiteAttendu!$A$2:$O$366,15,0)="NA","NA",IF(COUNTIF(socprog,"PNLT/SENSIBLE MEDICAMENTS ET INTRANTS")=0,"NA",COUNTIFS(soccode,$A222,socprog,"PNLT/SENSIBLE MEDICAMENTS ET INTRANTS",soctrans,"OUI")))</f>
        <v>1</v>
      </c>
      <c r="L222" s="60"/>
      <c r="M222" s="60">
        <f t="shared" ref="M222:S222" si="224">IFERROR(SUMIFS(E$2:E$364,$C$2:$C$364,$C222)/COUNTIFS(E$2:E$364,"&lt;&gt;NA",$C$2:$C$364,$C222),"")</f>
        <v>0.8888888889</v>
      </c>
      <c r="N222" s="60">
        <f t="shared" si="224"/>
        <v>1</v>
      </c>
      <c r="O222" s="60">
        <f t="shared" si="224"/>
        <v>1</v>
      </c>
      <c r="P222" s="60">
        <f t="shared" si="224"/>
        <v>0.8888888889</v>
      </c>
      <c r="Q222" s="60">
        <f t="shared" si="224"/>
        <v>0.8888888889</v>
      </c>
      <c r="R222" s="60">
        <f t="shared" si="224"/>
        <v>1</v>
      </c>
      <c r="S222" s="60">
        <f t="shared" si="224"/>
        <v>0.875</v>
      </c>
      <c r="T222" s="61">
        <f t="shared" si="3"/>
        <v>0.9285714286</v>
      </c>
      <c r="U222" s="53">
        <f t="shared" si="4"/>
        <v>0</v>
      </c>
      <c r="V222" s="54">
        <f t="shared" si="5"/>
        <v>0</v>
      </c>
    </row>
    <row r="223" ht="15.75" customHeight="1">
      <c r="A223" s="55" t="str">
        <f>SiteAttendu!$A223</f>
        <v>C2031</v>
      </c>
      <c r="B223" s="56" t="str">
        <f>VLOOKUP($A223,SiteAttendu!$A$2:$C$366,2,0)</f>
        <v>DISTRICT SANITAIRE ISSIA</v>
      </c>
      <c r="C223" s="57" t="str">
        <f>VLOOKUP($A223,SiteAttendu!$A$2:$C$366,3,0)</f>
        <v>HAUT-SASSANDRA</v>
      </c>
      <c r="D223" s="58">
        <f>IF(VLOOKUP($A223,SiteAttendu!$A$2:$P$366,4,0)="NA","NA",COUNTIFS(soccode,A223,socprog,"PNLS/ANTIRETROVIRAUX ET IO",soctrans,"OUI"))</f>
        <v>1</v>
      </c>
      <c r="E223" s="58">
        <f>IF(VLOOKUP($A223,SiteAttendu!$A$2:$P$366,5,0)="NA","NA",COUNTIFS(soccode,A223,socprog,"PNLS/TESTS RAPIDES ET CONSOMMABLES",soctrans,"OUI"))</f>
        <v>1</v>
      </c>
      <c r="F223" s="58">
        <f>IF(VLOOKUP($A223,SiteAttendu!$A$2:$P$366,6,0)="NA","NA",COUNTIFS(soccode,A223,socprog,"PNLS/PRODUITS DE LABORATOIRE",soctrans,"OUI"))</f>
        <v>1</v>
      </c>
      <c r="G223" s="58" t="str">
        <f>IF(VLOOKUP($A223,SiteAttendu!$A$2:$P$366,7,0)="NA","NA",COUNTIFS(soccode,A223,socprog,"PNLS/CHARGES VIRALES",soctrans,"OUI"))</f>
        <v>NA</v>
      </c>
      <c r="H223" s="58">
        <f>IF(VLOOKUP($A223,SiteAttendu!$A$2:$P$366,9,0)="NA","NA",COUNTIFS(soccode,A223,socprog,"PNLP/MEDICAMENTS ET INTRANTS",soctrans,"OUI"))</f>
        <v>1</v>
      </c>
      <c r="I223" s="59">
        <f>IF(VLOOKUP($A223,SiteAttendu!$A$2:$P$366,10,0)="NA","NA",COUNTIFS(soccode,$A223,socprog,"PNSME/MEDICAMENTS ET INTRANTS",soctrans,"OUI"))</f>
        <v>1</v>
      </c>
      <c r="J223" s="58">
        <f>IF(VLOOKUP($A223,SiteAttendu!$A$2:$P$366,11,0)="NA","NA",COUNTIFS(soccode,$A223,socprog,"PNN/MEDICAMENTS ET INTRANTS",soctrans,"OUI"))</f>
        <v>1</v>
      </c>
      <c r="K223" s="58">
        <f>IF(VLOOKUP($A223,SiteAttendu!$A$2:$O$366,15,0)="NA","NA",IF(COUNTIF(socprog,"PNLT/SENSIBLE MEDICAMENTS ET INTRANTS")=0,"NA",COUNTIFS(soccode,$A223,socprog,"PNLT/SENSIBLE MEDICAMENTS ET INTRANTS",soctrans,"OUI")))</f>
        <v>1</v>
      </c>
      <c r="L223" s="60"/>
      <c r="M223" s="60">
        <f t="shared" ref="M223:S223" si="225">IFERROR(SUMIFS(E$2:E$364,$C$2:$C$364,$C223)/COUNTIFS(E$2:E$364,"&lt;&gt;NA",$C$2:$C$364,$C223),"")</f>
        <v>0.8888888889</v>
      </c>
      <c r="N223" s="60">
        <f t="shared" si="225"/>
        <v>1</v>
      </c>
      <c r="O223" s="60">
        <f t="shared" si="225"/>
        <v>1</v>
      </c>
      <c r="P223" s="60">
        <f t="shared" si="225"/>
        <v>0.8888888889</v>
      </c>
      <c r="Q223" s="60">
        <f t="shared" si="225"/>
        <v>0.8888888889</v>
      </c>
      <c r="R223" s="60">
        <f t="shared" si="225"/>
        <v>1</v>
      </c>
      <c r="S223" s="60">
        <f t="shared" si="225"/>
        <v>0.875</v>
      </c>
      <c r="T223" s="61">
        <f t="shared" si="3"/>
        <v>0.9285714286</v>
      </c>
      <c r="U223" s="53">
        <f t="shared" si="4"/>
        <v>3</v>
      </c>
      <c r="V223" s="54">
        <f t="shared" si="5"/>
        <v>3</v>
      </c>
    </row>
    <row r="224" ht="15.75" customHeight="1">
      <c r="A224" s="55" t="str">
        <f>SiteAttendu!$A224</f>
        <v>C2056</v>
      </c>
      <c r="B224" s="56" t="str">
        <f>VLOOKUP($A224,SiteAttendu!$A$2:$C$366,2,0)</f>
        <v>HOPITAL GENERAL ISSIA</v>
      </c>
      <c r="C224" s="57" t="str">
        <f>VLOOKUP($A224,SiteAttendu!$A$2:$C$366,3,0)</f>
        <v>HAUT-SASSANDRA</v>
      </c>
      <c r="D224" s="58">
        <f>IF(VLOOKUP($A224,SiteAttendu!$A$2:$P$366,4,0)="NA","NA",COUNTIFS(soccode,A224,socprog,"PNLS/ANTIRETROVIRAUX ET IO",soctrans,"OUI"))</f>
        <v>1</v>
      </c>
      <c r="E224" s="58">
        <f>IF(VLOOKUP($A224,SiteAttendu!$A$2:$P$366,5,0)="NA","NA",COUNTIFS(soccode,A224,socprog,"PNLS/TESTS RAPIDES ET CONSOMMABLES",soctrans,"OUI"))</f>
        <v>1</v>
      </c>
      <c r="F224" s="58">
        <f>IF(VLOOKUP($A224,SiteAttendu!$A$2:$P$366,6,0)="NA","NA",COUNTIFS(soccode,A224,socprog,"PNLS/PRODUITS DE LABORATOIRE",soctrans,"OUI"))</f>
        <v>1</v>
      </c>
      <c r="G224" s="58">
        <f>IF(VLOOKUP($A224,SiteAttendu!$A$2:$P$366,7,0)="NA","NA",COUNTIFS(soccode,A224,socprog,"PNLS/CHARGES VIRALES",soctrans,"OUI"))</f>
        <v>1</v>
      </c>
      <c r="H224" s="58">
        <f>IF(VLOOKUP($A224,SiteAttendu!$A$2:$P$366,9,0)="NA","NA",COUNTIFS(soccode,A224,socprog,"PNLP/MEDICAMENTS ET INTRANTS",soctrans,"OUI"))</f>
        <v>1</v>
      </c>
      <c r="I224" s="59">
        <f>IF(VLOOKUP($A224,SiteAttendu!$A$2:$P$366,10,0)="NA","NA",COUNTIFS(soccode,$A224,socprog,"PNSME/MEDICAMENTS ET INTRANTS",soctrans,"OUI"))</f>
        <v>1</v>
      </c>
      <c r="J224" s="58">
        <f>IF(VLOOKUP($A224,SiteAttendu!$A$2:$P$366,11,0)="NA","NA",COUNTIFS(soccode,$A224,socprog,"PNN/MEDICAMENTS ET INTRANTS",soctrans,"OUI"))</f>
        <v>1</v>
      </c>
      <c r="K224" s="58">
        <f>IF(VLOOKUP($A224,SiteAttendu!$A$2:$O$366,15,0)="NA","NA",IF(COUNTIF(socprog,"PNLT/SENSIBLE MEDICAMENTS ET INTRANTS")=0,"NA",COUNTIFS(soccode,$A224,socprog,"PNLT/SENSIBLE MEDICAMENTS ET INTRANTS",soctrans,"OUI")))</f>
        <v>1</v>
      </c>
      <c r="L224" s="60"/>
      <c r="M224" s="60">
        <f t="shared" ref="M224:S224" si="226">IFERROR(SUMIFS(E$2:E$364,$C$2:$C$364,$C224)/COUNTIFS(E$2:E$364,"&lt;&gt;NA",$C$2:$C$364,$C224),"")</f>
        <v>0.8888888889</v>
      </c>
      <c r="N224" s="60">
        <f t="shared" si="226"/>
        <v>1</v>
      </c>
      <c r="O224" s="60">
        <f t="shared" si="226"/>
        <v>1</v>
      </c>
      <c r="P224" s="60">
        <f t="shared" si="226"/>
        <v>0.8888888889</v>
      </c>
      <c r="Q224" s="60">
        <f t="shared" si="226"/>
        <v>0.8888888889</v>
      </c>
      <c r="R224" s="60">
        <f t="shared" si="226"/>
        <v>1</v>
      </c>
      <c r="S224" s="60">
        <f t="shared" si="226"/>
        <v>0.875</v>
      </c>
      <c r="T224" s="61">
        <f t="shared" si="3"/>
        <v>0.9285714286</v>
      </c>
      <c r="U224" s="53">
        <f t="shared" si="4"/>
        <v>4</v>
      </c>
      <c r="V224" s="54">
        <f t="shared" si="5"/>
        <v>4</v>
      </c>
    </row>
    <row r="225" ht="15.75" customHeight="1">
      <c r="A225" s="55" t="str">
        <f>SiteAttendu!$A225</f>
        <v>C2061</v>
      </c>
      <c r="B225" s="56" t="str">
        <f>VLOOKUP($A225,SiteAttendu!$A$2:$C$366,2,0)</f>
        <v>HOPITAL GENERAL SAIOUA</v>
      </c>
      <c r="C225" s="57" t="str">
        <f>VLOOKUP($A225,SiteAttendu!$A$2:$C$366,3,0)</f>
        <v>HAUT-SASSANDRA</v>
      </c>
      <c r="D225" s="58">
        <f>IF(VLOOKUP($A225,SiteAttendu!$A$2:$P$366,4,0)="NA","NA",COUNTIFS(soccode,A225,socprog,"PNLS/ANTIRETROVIRAUX ET IO",soctrans,"OUI"))</f>
        <v>1</v>
      </c>
      <c r="E225" s="58">
        <f>IF(VLOOKUP($A225,SiteAttendu!$A$2:$P$366,5,0)="NA","NA",COUNTIFS(soccode,A225,socprog,"PNLS/TESTS RAPIDES ET CONSOMMABLES",soctrans,"OUI"))</f>
        <v>1</v>
      </c>
      <c r="F225" s="58">
        <f>IF(VLOOKUP($A225,SiteAttendu!$A$2:$P$366,6,0)="NA","NA",COUNTIFS(soccode,A225,socprog,"PNLS/PRODUITS DE LABORATOIRE",soctrans,"OUI"))</f>
        <v>1</v>
      </c>
      <c r="G225" s="58" t="str">
        <f>IF(VLOOKUP($A225,SiteAttendu!$A$2:$P$366,7,0)="NA","NA",COUNTIFS(soccode,A225,socprog,"PNLS/CHARGES VIRALES",soctrans,"OUI"))</f>
        <v>NA</v>
      </c>
      <c r="H225" s="58">
        <f>IF(VLOOKUP($A225,SiteAttendu!$A$2:$P$366,9,0)="NA","NA",COUNTIFS(soccode,A225,socprog,"PNLP/MEDICAMENTS ET INTRANTS",soctrans,"OUI"))</f>
        <v>1</v>
      </c>
      <c r="I225" s="59">
        <f>IF(VLOOKUP($A225,SiteAttendu!$A$2:$P$366,10,0)="NA","NA",COUNTIFS(soccode,$A225,socprog,"PNSME/MEDICAMENTS ET INTRANTS",soctrans,"OUI"))</f>
        <v>1</v>
      </c>
      <c r="J225" s="58" t="str">
        <f>IF(VLOOKUP($A225,SiteAttendu!$A$2:$P$366,11,0)="NA","NA",COUNTIFS(soccode,$A225,socprog,"PNN/MEDICAMENTS ET INTRANTS",soctrans,"OUI"))</f>
        <v>NA</v>
      </c>
      <c r="K225" s="58">
        <f>IF(VLOOKUP($A225,SiteAttendu!$A$2:$O$366,15,0)="NA","NA",IF(COUNTIF(socprog,"PNLT/SENSIBLE MEDICAMENTS ET INTRANTS")=0,"NA",COUNTIFS(soccode,$A225,socprog,"PNLT/SENSIBLE MEDICAMENTS ET INTRANTS",soctrans,"OUI")))</f>
        <v>1</v>
      </c>
      <c r="L225" s="60"/>
      <c r="M225" s="60">
        <f t="shared" ref="M225:S225" si="227">IFERROR(SUMIFS(E$2:E$364,$C$2:$C$364,$C225)/COUNTIFS(E$2:E$364,"&lt;&gt;NA",$C$2:$C$364,$C225),"")</f>
        <v>0.8888888889</v>
      </c>
      <c r="N225" s="60">
        <f t="shared" si="227"/>
        <v>1</v>
      </c>
      <c r="O225" s="60">
        <f t="shared" si="227"/>
        <v>1</v>
      </c>
      <c r="P225" s="60">
        <f t="shared" si="227"/>
        <v>0.8888888889</v>
      </c>
      <c r="Q225" s="60">
        <f t="shared" si="227"/>
        <v>0.8888888889</v>
      </c>
      <c r="R225" s="60">
        <f t="shared" si="227"/>
        <v>1</v>
      </c>
      <c r="S225" s="60">
        <f t="shared" si="227"/>
        <v>0.875</v>
      </c>
      <c r="T225" s="61">
        <f t="shared" si="3"/>
        <v>0.9285714286</v>
      </c>
      <c r="U225" s="53">
        <f t="shared" si="4"/>
        <v>3</v>
      </c>
      <c r="V225" s="54">
        <f t="shared" si="5"/>
        <v>3</v>
      </c>
    </row>
    <row r="226" ht="15.75" customHeight="1">
      <c r="A226" s="55" t="str">
        <f>SiteAttendu!$A226</f>
        <v>C2044</v>
      </c>
      <c r="B226" s="56" t="str">
        <f>VLOOKUP($A226,SiteAttendu!$A$2:$C$366,2,0)</f>
        <v>DISTRICT SANITAIRE VAVOUA</v>
      </c>
      <c r="C226" s="57" t="str">
        <f>VLOOKUP($A226,SiteAttendu!$A$2:$C$366,3,0)</f>
        <v>HAUT-SASSANDRA</v>
      </c>
      <c r="D226" s="58">
        <f>IF(VLOOKUP($A226,SiteAttendu!$A$2:$P$366,4,0)="NA","NA",COUNTIFS(soccode,A226,socprog,"PNLS/ANTIRETROVIRAUX ET IO",soctrans,"OUI"))</f>
        <v>1</v>
      </c>
      <c r="E226" s="58">
        <f>IF(VLOOKUP($A226,SiteAttendu!$A$2:$P$366,5,0)="NA","NA",COUNTIFS(soccode,A226,socprog,"PNLS/TESTS RAPIDES ET CONSOMMABLES",soctrans,"OUI"))</f>
        <v>1</v>
      </c>
      <c r="F226" s="58" t="str">
        <f>IF(VLOOKUP($A226,SiteAttendu!$A$2:$P$366,6,0)="NA","NA",COUNTIFS(soccode,A226,socprog,"PNLS/PRODUITS DE LABORATOIRE",soctrans,"OUI"))</f>
        <v>NA</v>
      </c>
      <c r="G226" s="58" t="str">
        <f>IF(VLOOKUP($A226,SiteAttendu!$A$2:$P$366,7,0)="NA","NA",COUNTIFS(soccode,A226,socprog,"PNLS/CHARGES VIRALES",soctrans,"OUI"))</f>
        <v>NA</v>
      </c>
      <c r="H226" s="58">
        <f>IF(VLOOKUP($A226,SiteAttendu!$A$2:$P$366,9,0)="NA","NA",COUNTIFS(soccode,A226,socprog,"PNLP/MEDICAMENTS ET INTRANTS",soctrans,"OUI"))</f>
        <v>1</v>
      </c>
      <c r="I226" s="59">
        <f>IF(VLOOKUP($A226,SiteAttendu!$A$2:$P$366,10,0)="NA","NA",COUNTIFS(soccode,$A226,socprog,"PNSME/MEDICAMENTS ET INTRANTS",soctrans,"OUI"))</f>
        <v>1</v>
      </c>
      <c r="J226" s="58">
        <f>IF(VLOOKUP($A226,SiteAttendu!$A$2:$P$366,11,0)="NA","NA",COUNTIFS(soccode,$A226,socprog,"PNN/MEDICAMENTS ET INTRANTS",soctrans,"OUI"))</f>
        <v>1</v>
      </c>
      <c r="K226" s="58">
        <f>IF(VLOOKUP($A226,SiteAttendu!$A$2:$O$366,15,0)="NA","NA",IF(COUNTIF(socprog,"PNLT/SENSIBLE MEDICAMENTS ET INTRANTS")=0,"NA",COUNTIFS(soccode,$A226,socprog,"PNLT/SENSIBLE MEDICAMENTS ET INTRANTS",soctrans,"OUI")))</f>
        <v>1</v>
      </c>
      <c r="L226" s="60"/>
      <c r="M226" s="60">
        <f t="shared" ref="M226:S226" si="228">IFERROR(SUMIFS(E$2:E$364,$C$2:$C$364,$C226)/COUNTIFS(E$2:E$364,"&lt;&gt;NA",$C$2:$C$364,$C226),"")</f>
        <v>0.8888888889</v>
      </c>
      <c r="N226" s="60">
        <f t="shared" si="228"/>
        <v>1</v>
      </c>
      <c r="O226" s="60">
        <f t="shared" si="228"/>
        <v>1</v>
      </c>
      <c r="P226" s="60">
        <f t="shared" si="228"/>
        <v>0.8888888889</v>
      </c>
      <c r="Q226" s="60">
        <f t="shared" si="228"/>
        <v>0.8888888889</v>
      </c>
      <c r="R226" s="60">
        <f t="shared" si="228"/>
        <v>1</v>
      </c>
      <c r="S226" s="60">
        <f t="shared" si="228"/>
        <v>0.875</v>
      </c>
      <c r="T226" s="61">
        <f t="shared" si="3"/>
        <v>0.9285714286</v>
      </c>
      <c r="U226" s="53">
        <f t="shared" si="4"/>
        <v>2</v>
      </c>
      <c r="V226" s="54">
        <f t="shared" si="5"/>
        <v>2</v>
      </c>
    </row>
    <row r="227" ht="15.75" customHeight="1">
      <c r="A227" s="55" t="str">
        <f>SiteAttendu!$A227</f>
        <v>C2070</v>
      </c>
      <c r="B227" s="56" t="str">
        <f>VLOOKUP($A227,SiteAttendu!$A$2:$C$366,2,0)</f>
        <v>HOPITAL GENERAL VAVOUA</v>
      </c>
      <c r="C227" s="57" t="str">
        <f>VLOOKUP($A227,SiteAttendu!$A$2:$C$366,3,0)</f>
        <v>HAUT-SASSANDRA</v>
      </c>
      <c r="D227" s="58">
        <f>IF(VLOOKUP($A227,SiteAttendu!$A$2:$P$366,4,0)="NA","NA",COUNTIFS(soccode,A227,socprog,"PNLS/ANTIRETROVIRAUX ET IO",soctrans,"OUI"))</f>
        <v>1</v>
      </c>
      <c r="E227" s="58">
        <f>IF(VLOOKUP($A227,SiteAttendu!$A$2:$P$366,5,0)="NA","NA",COUNTIFS(soccode,A227,socprog,"PNLS/TESTS RAPIDES ET CONSOMMABLES",soctrans,"OUI"))</f>
        <v>1</v>
      </c>
      <c r="F227" s="58">
        <f>IF(VLOOKUP($A227,SiteAttendu!$A$2:$P$366,6,0)="NA","NA",COUNTIFS(soccode,A227,socprog,"PNLS/PRODUITS DE LABORATOIRE",soctrans,"OUI"))</f>
        <v>1</v>
      </c>
      <c r="G227" s="58">
        <f>IF(VLOOKUP($A227,SiteAttendu!$A$2:$P$366,7,0)="NA","NA",COUNTIFS(soccode,A227,socprog,"PNLS/CHARGES VIRALES",soctrans,"OUI"))</f>
        <v>1</v>
      </c>
      <c r="H227" s="58">
        <f>IF(VLOOKUP($A227,SiteAttendu!$A$2:$P$366,9,0)="NA","NA",COUNTIFS(soccode,A227,socprog,"PNLP/MEDICAMENTS ET INTRANTS",soctrans,"OUI"))</f>
        <v>1</v>
      </c>
      <c r="I227" s="59">
        <f>IF(VLOOKUP($A227,SiteAttendu!$A$2:$P$366,10,0)="NA","NA",COUNTIFS(soccode,$A227,socprog,"PNSME/MEDICAMENTS ET INTRANTS",soctrans,"OUI"))</f>
        <v>1</v>
      </c>
      <c r="J227" s="58">
        <f>IF(VLOOKUP($A227,SiteAttendu!$A$2:$P$366,11,0)="NA","NA",COUNTIFS(soccode,$A227,socprog,"PNN/MEDICAMENTS ET INTRANTS",soctrans,"OUI"))</f>
        <v>1</v>
      </c>
      <c r="K227" s="58" t="str">
        <f>IF(VLOOKUP($A227,SiteAttendu!$A$2:$O$366,15,0)="NA","NA",IF(COUNTIF(socprog,"PNLT/SENSIBLE MEDICAMENTS ET INTRANTS")=0,"NA",COUNTIFS(soccode,$A227,socprog,"PNLT/SENSIBLE MEDICAMENTS ET INTRANTS",soctrans,"OUI")))</f>
        <v>NA</v>
      </c>
      <c r="L227" s="60"/>
      <c r="M227" s="60">
        <f t="shared" ref="M227:S227" si="229">IFERROR(SUMIFS(E$2:E$364,$C$2:$C$364,$C227)/COUNTIFS(E$2:E$364,"&lt;&gt;NA",$C$2:$C$364,$C227),"")</f>
        <v>0.8888888889</v>
      </c>
      <c r="N227" s="60">
        <f t="shared" si="229"/>
        <v>1</v>
      </c>
      <c r="O227" s="60">
        <f t="shared" si="229"/>
        <v>1</v>
      </c>
      <c r="P227" s="60">
        <f t="shared" si="229"/>
        <v>0.8888888889</v>
      </c>
      <c r="Q227" s="60">
        <f t="shared" si="229"/>
        <v>0.8888888889</v>
      </c>
      <c r="R227" s="60">
        <f t="shared" si="229"/>
        <v>1</v>
      </c>
      <c r="S227" s="60">
        <f t="shared" si="229"/>
        <v>0.875</v>
      </c>
      <c r="T227" s="61">
        <f t="shared" si="3"/>
        <v>0.9285714286</v>
      </c>
      <c r="U227" s="53">
        <f t="shared" si="4"/>
        <v>4</v>
      </c>
      <c r="V227" s="54">
        <f t="shared" si="5"/>
        <v>4</v>
      </c>
    </row>
    <row r="228" ht="16.5" customHeight="1">
      <c r="A228" s="55" t="str">
        <f>SiteAttendu!$A228</f>
        <v>C5060</v>
      </c>
      <c r="B228" s="56" t="str">
        <f>VLOOKUP($A228,SiteAttendu!$A$2:$C$366,2,0)</f>
        <v>HOPITAL GENERAL ZOUKOUGBEU</v>
      </c>
      <c r="C228" s="57" t="str">
        <f>VLOOKUP($A228,SiteAttendu!$A$2:$C$366,3,0)</f>
        <v>HAUT-SASSANDRA</v>
      </c>
      <c r="D228" s="58">
        <f>IF(VLOOKUP($A228,SiteAttendu!$A$2:$P$366,4,0)="NA","NA",COUNTIFS(soccode,A228,socprog,"PNLS/ANTIRETROVIRAUX ET IO",soctrans,"OUI"))</f>
        <v>1</v>
      </c>
      <c r="E228" s="58">
        <f>IF(VLOOKUP($A228,SiteAttendu!$A$2:$P$366,5,0)="NA","NA",COUNTIFS(soccode,A228,socprog,"PNLS/TESTS RAPIDES ET CONSOMMABLES",soctrans,"OUI"))</f>
        <v>1</v>
      </c>
      <c r="F228" s="58">
        <f>IF(VLOOKUP($A228,SiteAttendu!$A$2:$P$366,6,0)="NA","NA",COUNTIFS(soccode,A228,socprog,"PNLS/PRODUITS DE LABORATOIRE",soctrans,"OUI"))</f>
        <v>1</v>
      </c>
      <c r="G228" s="58" t="str">
        <f>IF(VLOOKUP($A228,SiteAttendu!$A$2:$P$366,7,0)="NA","NA",COUNTIFS(soccode,A228,socprog,"PNLS/CHARGES VIRALES",soctrans,"OUI"))</f>
        <v>NA</v>
      </c>
      <c r="H228" s="58">
        <f>IF(VLOOKUP($A228,SiteAttendu!$A$2:$P$366,9,0)="NA","NA",COUNTIFS(soccode,A228,socprog,"PNLP/MEDICAMENTS ET INTRANTS",soctrans,"OUI"))</f>
        <v>1</v>
      </c>
      <c r="I228" s="59">
        <f>IF(VLOOKUP($A228,SiteAttendu!$A$2:$P$366,10,0)="NA","NA",COUNTIFS(soccode,$A228,socprog,"PNSME/MEDICAMENTS ET INTRANTS",soctrans,"OUI"))</f>
        <v>1</v>
      </c>
      <c r="J228" s="58" t="str">
        <f>IF(VLOOKUP($A228,SiteAttendu!$A$2:$P$366,11,0)="NA","NA",COUNTIFS(soccode,$A228,socprog,"PNN/MEDICAMENTS ET INTRANTS",soctrans,"OUI"))</f>
        <v>NA</v>
      </c>
      <c r="K228" s="58">
        <f>IF(VLOOKUP($A228,SiteAttendu!$A$2:$O$366,15,0)="NA","NA",IF(COUNTIF(socprog,"PNLT/SENSIBLE MEDICAMENTS ET INTRANTS")=0,"NA",COUNTIFS(soccode,$A228,socprog,"PNLT/SENSIBLE MEDICAMENTS ET INTRANTS",soctrans,"OUI")))</f>
        <v>1</v>
      </c>
      <c r="L228" s="60"/>
      <c r="M228" s="60">
        <f t="shared" ref="M228:S228" si="230">IFERROR(SUMIFS(E$2:E$364,$C$2:$C$364,$C228)/COUNTIFS(E$2:E$364,"&lt;&gt;NA",$C$2:$C$364,$C228),"")</f>
        <v>0.8888888889</v>
      </c>
      <c r="N228" s="60">
        <f t="shared" si="230"/>
        <v>1</v>
      </c>
      <c r="O228" s="60">
        <f t="shared" si="230"/>
        <v>1</v>
      </c>
      <c r="P228" s="60">
        <f t="shared" si="230"/>
        <v>0.8888888889</v>
      </c>
      <c r="Q228" s="60">
        <f t="shared" si="230"/>
        <v>0.8888888889</v>
      </c>
      <c r="R228" s="60">
        <f t="shared" si="230"/>
        <v>1</v>
      </c>
      <c r="S228" s="60">
        <f t="shared" si="230"/>
        <v>0.875</v>
      </c>
      <c r="T228" s="61">
        <f t="shared" si="3"/>
        <v>0.9285714286</v>
      </c>
      <c r="U228" s="53">
        <f t="shared" si="4"/>
        <v>3</v>
      </c>
      <c r="V228" s="54">
        <f t="shared" si="5"/>
        <v>3</v>
      </c>
    </row>
    <row r="229" ht="15.75" customHeight="1">
      <c r="A229" s="62" t="str">
        <f>SiteAttendu!$A229</f>
        <v>C5071</v>
      </c>
      <c r="B229" s="63" t="str">
        <f>VLOOKUP($A229,SiteAttendu!$A$2:$C$366,2,0)</f>
        <v>DISTRICT SANITAIRE ZOUKOUGBEU</v>
      </c>
      <c r="C229" s="64" t="str">
        <f>VLOOKUP($A229,SiteAttendu!$A$2:$C$366,3,0)</f>
        <v>HAUT-SASSANDRA</v>
      </c>
      <c r="D229" s="65">
        <f>IF(VLOOKUP($A229,SiteAttendu!$A$2:$P$366,4,0)="NA","NA",COUNTIFS(soccode,A229,socprog,"PNLS/ANTIRETROVIRAUX ET IO",soctrans,"OUI"))</f>
        <v>0</v>
      </c>
      <c r="E229" s="65">
        <f>IF(VLOOKUP($A229,SiteAttendu!$A$2:$P$366,5,0)="NA","NA",COUNTIFS(soccode,A229,socprog,"PNLS/TESTS RAPIDES ET CONSOMMABLES",soctrans,"OUI"))</f>
        <v>0</v>
      </c>
      <c r="F229" s="65" t="str">
        <f>IF(VLOOKUP($A229,SiteAttendu!$A$2:$P$366,6,0)="NA","NA",COUNTIFS(soccode,A229,socprog,"PNLS/PRODUITS DE LABORATOIRE",soctrans,"OUI"))</f>
        <v>NA</v>
      </c>
      <c r="G229" s="65" t="str">
        <f>IF(VLOOKUP($A229,SiteAttendu!$A$2:$P$366,7,0)="NA","NA",COUNTIFS(soccode,A229,socprog,"PNLS/CHARGES VIRALES",soctrans,"OUI"))</f>
        <v>NA</v>
      </c>
      <c r="H229" s="65">
        <f>IF(VLOOKUP($A229,SiteAttendu!$A$2:$P$366,9,0)="NA","NA",COUNTIFS(soccode,A229,socprog,"PNLP/MEDICAMENTS ET INTRANTS",soctrans,"OUI"))</f>
        <v>0</v>
      </c>
      <c r="I229" s="66">
        <f>IF(VLOOKUP($A229,SiteAttendu!$A$2:$P$366,10,0)="NA","NA",COUNTIFS(soccode,$A229,socprog,"PNSME/MEDICAMENTS ET INTRANTS",soctrans,"OUI"))</f>
        <v>0</v>
      </c>
      <c r="J229" s="65" t="str">
        <f>IF(VLOOKUP($A229,SiteAttendu!$A$2:$P$366,11,0)="NA","NA",COUNTIFS(soccode,$A229,socprog,"PNN/MEDICAMENTS ET INTRANTS",soctrans,"OUI"))</f>
        <v>NA</v>
      </c>
      <c r="K229" s="65">
        <f>IF(VLOOKUP($A229,SiteAttendu!$A$2:$O$366,15,0)="NA","NA",IF(COUNTIF(socprog,"PNLT/SENSIBLE MEDICAMENTS ET INTRANTS")=0,"NA",COUNTIFS(soccode,$A229,socprog,"PNLT/SENSIBLE MEDICAMENTS ET INTRANTS",soctrans,"OUI")))</f>
        <v>0</v>
      </c>
      <c r="L229" s="67"/>
      <c r="M229" s="67">
        <f t="shared" ref="M229:S229" si="231">IFERROR(SUMIFS(E$2:E$364,$C$2:$C$364,$C229)/COUNTIFS(E$2:E$364,"&lt;&gt;NA",$C$2:$C$364,$C229),"")</f>
        <v>0.8888888889</v>
      </c>
      <c r="N229" s="67">
        <f t="shared" si="231"/>
        <v>1</v>
      </c>
      <c r="O229" s="67">
        <f t="shared" si="231"/>
        <v>1</v>
      </c>
      <c r="P229" s="67">
        <f t="shared" si="231"/>
        <v>0.8888888889</v>
      </c>
      <c r="Q229" s="67">
        <f t="shared" si="231"/>
        <v>0.8888888889</v>
      </c>
      <c r="R229" s="67">
        <f t="shared" si="231"/>
        <v>1</v>
      </c>
      <c r="S229" s="67">
        <f t="shared" si="231"/>
        <v>0.875</v>
      </c>
      <c r="T229" s="68">
        <f t="shared" si="3"/>
        <v>0.9285714286</v>
      </c>
      <c r="U229" s="53">
        <f t="shared" si="4"/>
        <v>0</v>
      </c>
      <c r="V229" s="54">
        <f t="shared" si="5"/>
        <v>2</v>
      </c>
    </row>
    <row r="230" ht="15.75" customHeight="1">
      <c r="A230" s="46" t="str">
        <f>SiteAttendu!$A230</f>
        <v>C4011</v>
      </c>
      <c r="B230" s="47" t="str">
        <f>VLOOKUP($A230,SiteAttendu!$A$2:$C$366,2,0)</f>
        <v>DISTRICT SANITAIRE DAOUKRO</v>
      </c>
      <c r="C230" s="48" t="str">
        <f>VLOOKUP($A230,SiteAttendu!$A$2:$C$366,3,0)</f>
        <v>IFFOU</v>
      </c>
      <c r="D230" s="49">
        <f>IF(VLOOKUP($A230,SiteAttendu!$A$2:$P$366,4,0)="NA","NA",COUNTIFS(soccode,A230,socprog,"PNLS/ANTIRETROVIRAUX ET IO",soctrans,"OUI"))</f>
        <v>1</v>
      </c>
      <c r="E230" s="49">
        <f>IF(VLOOKUP($A230,SiteAttendu!$A$2:$P$366,5,0)="NA","NA",COUNTIFS(soccode,A230,socprog,"PNLS/TESTS RAPIDES ET CONSOMMABLES",soctrans,"OUI"))</f>
        <v>1</v>
      </c>
      <c r="F230" s="49">
        <f>IF(VLOOKUP($A230,SiteAttendu!$A$2:$P$366,6,0)="NA","NA",COUNTIFS(soccode,A230,socprog,"PNLS/PRODUITS DE LABORATOIRE",soctrans,"OUI"))</f>
        <v>0</v>
      </c>
      <c r="G230" s="49" t="str">
        <f>IF(VLOOKUP($A230,SiteAttendu!$A$2:$P$366,7,0)="NA","NA",COUNTIFS(soccode,A230,socprog,"PNLS/CHARGES VIRALES",soctrans,"OUI"))</f>
        <v>NA</v>
      </c>
      <c r="H230" s="49">
        <f>IF(VLOOKUP($A230,SiteAttendu!$A$2:$P$366,9,0)="NA","NA",COUNTIFS(soccode,A230,socprog,"PNLP/MEDICAMENTS ET INTRANTS",soctrans,"OUI"))</f>
        <v>1</v>
      </c>
      <c r="I230" s="50">
        <f>IF(VLOOKUP($A230,SiteAttendu!$A$2:$P$366,10,0)="NA","NA",COUNTIFS(soccode,$A230,socprog,"PNSME/MEDICAMENTS ET INTRANTS",soctrans,"OUI"))</f>
        <v>1</v>
      </c>
      <c r="J230" s="49" t="str">
        <f>IF(VLOOKUP($A230,SiteAttendu!$A$2:$P$366,11,0)="NA","NA",COUNTIFS(soccode,$A230,socprog,"PNN/MEDICAMENTS ET INTRANTS",soctrans,"OUI"))</f>
        <v>NA</v>
      </c>
      <c r="K230" s="49">
        <f>IF(VLOOKUP($A230,SiteAttendu!$A$2:$O$366,15,0)="NA","NA",IF(COUNTIF(socprog,"PNLT/SENSIBLE MEDICAMENTS ET INTRANTS")=0,"NA",COUNTIFS(soccode,$A230,socprog,"PNLT/SENSIBLE MEDICAMENTS ET INTRANTS",soctrans,"OUI")))</f>
        <v>1</v>
      </c>
      <c r="L230" s="51">
        <f t="shared" ref="L230:S230" si="232">IFERROR(SUMIFS(D$2:D$364,$C$2:$C$364,$C230)/COUNTIFS(D$2:D$364,"&lt;&gt;NA",$C$2:$C$364,$C230),"")</f>
        <v>1</v>
      </c>
      <c r="M230" s="51">
        <f t="shared" si="232"/>
        <v>0.8333333333</v>
      </c>
      <c r="N230" s="51">
        <f t="shared" si="232"/>
        <v>0.75</v>
      </c>
      <c r="O230" s="51">
        <f t="shared" si="232"/>
        <v>1</v>
      </c>
      <c r="P230" s="51">
        <f t="shared" si="232"/>
        <v>1</v>
      </c>
      <c r="Q230" s="51">
        <f t="shared" si="232"/>
        <v>1</v>
      </c>
      <c r="R230" s="51">
        <f t="shared" si="232"/>
        <v>1</v>
      </c>
      <c r="S230" s="51">
        <f t="shared" si="232"/>
        <v>0.75</v>
      </c>
      <c r="T230" s="52">
        <f t="shared" si="3"/>
        <v>0.8823529412</v>
      </c>
      <c r="U230" s="53">
        <f t="shared" si="4"/>
        <v>2</v>
      </c>
      <c r="V230" s="54">
        <f t="shared" si="5"/>
        <v>3</v>
      </c>
    </row>
    <row r="231" ht="15.75" customHeight="1">
      <c r="A231" s="55" t="str">
        <f>SiteAttendu!$A231</f>
        <v>C4019</v>
      </c>
      <c r="B231" s="56" t="str">
        <f>VLOOKUP($A231,SiteAttendu!$A$2:$C$366,2,0)</f>
        <v>HOPITAL GENERAL DAOUKRO</v>
      </c>
      <c r="C231" s="57" t="str">
        <f>VLOOKUP($A231,SiteAttendu!$A$2:$C$366,3,0)</f>
        <v>IFFOU</v>
      </c>
      <c r="D231" s="58">
        <f>IF(VLOOKUP($A231,SiteAttendu!$A$2:$P$366,4,0)="NA","NA",COUNTIFS(soccode,A231,socprog,"PNLS/ANTIRETROVIRAUX ET IO",soctrans,"OUI"))</f>
        <v>1</v>
      </c>
      <c r="E231" s="58">
        <f>IF(VLOOKUP($A231,SiteAttendu!$A$2:$P$366,5,0)="NA","NA",COUNTIFS(soccode,A231,socprog,"PNLS/TESTS RAPIDES ET CONSOMMABLES",soctrans,"OUI"))</f>
        <v>1</v>
      </c>
      <c r="F231" s="58">
        <f>IF(VLOOKUP($A231,SiteAttendu!$A$2:$P$366,6,0)="NA","NA",COUNTIFS(soccode,A231,socprog,"PNLS/PRODUITS DE LABORATOIRE",soctrans,"OUI"))</f>
        <v>1</v>
      </c>
      <c r="G231" s="58">
        <f>IF(VLOOKUP($A231,SiteAttendu!$A$2:$P$366,7,0)="NA","NA",COUNTIFS(soccode,A231,socprog,"PNLS/CHARGES VIRALES",soctrans,"OUI"))</f>
        <v>1</v>
      </c>
      <c r="H231" s="58">
        <f>IF(VLOOKUP($A231,SiteAttendu!$A$2:$P$366,9,0)="NA","NA",COUNTIFS(soccode,A231,socprog,"PNLP/MEDICAMENTS ET INTRANTS",soctrans,"OUI"))</f>
        <v>1</v>
      </c>
      <c r="I231" s="59">
        <f>IF(VLOOKUP($A231,SiteAttendu!$A$2:$P$366,10,0)="NA","NA",COUNTIFS(soccode,$A231,socprog,"PNSME/MEDICAMENTS ET INTRANTS",soctrans,"OUI"))</f>
        <v>1</v>
      </c>
      <c r="J231" s="58" t="str">
        <f>IF(VLOOKUP($A231,SiteAttendu!$A$2:$P$366,11,0)="NA","NA",COUNTIFS(soccode,$A231,socprog,"PNN/MEDICAMENTS ET INTRANTS",soctrans,"OUI"))</f>
        <v>NA</v>
      </c>
      <c r="K231" s="58" t="str">
        <f>IF(VLOOKUP($A231,SiteAttendu!$A$2:$O$366,15,0)="NA","NA",IF(COUNTIF(socprog,"PNLT/SENSIBLE MEDICAMENTS ET INTRANTS")=0,"NA",COUNTIFS(soccode,$A231,socprog,"PNLT/SENSIBLE MEDICAMENTS ET INTRANTS",soctrans,"OUI")))</f>
        <v>NA</v>
      </c>
      <c r="L231" s="60"/>
      <c r="M231" s="60">
        <f t="shared" ref="M231:S231" si="233">IFERROR(SUMIFS(E$2:E$364,$C$2:$C$364,$C231)/COUNTIFS(E$2:E$364,"&lt;&gt;NA",$C$2:$C$364,$C231),"")</f>
        <v>0.8333333333</v>
      </c>
      <c r="N231" s="60">
        <f t="shared" si="233"/>
        <v>0.75</v>
      </c>
      <c r="O231" s="60">
        <f t="shared" si="233"/>
        <v>1</v>
      </c>
      <c r="P231" s="60">
        <f t="shared" si="233"/>
        <v>1</v>
      </c>
      <c r="Q231" s="60">
        <f t="shared" si="233"/>
        <v>1</v>
      </c>
      <c r="R231" s="60">
        <f t="shared" si="233"/>
        <v>1</v>
      </c>
      <c r="S231" s="60">
        <f t="shared" si="233"/>
        <v>0.75</v>
      </c>
      <c r="T231" s="61">
        <f t="shared" si="3"/>
        <v>0.8823529412</v>
      </c>
      <c r="U231" s="53">
        <f t="shared" si="4"/>
        <v>4</v>
      </c>
      <c r="V231" s="54">
        <f t="shared" si="5"/>
        <v>4</v>
      </c>
    </row>
    <row r="232" ht="15.75" customHeight="1">
      <c r="A232" s="55" t="str">
        <f>SiteAttendu!$A232</f>
        <v>C4024</v>
      </c>
      <c r="B232" s="56" t="str">
        <f>VLOOKUP($A232,SiteAttendu!$A$2:$C$366,2,0)</f>
        <v>CSU OUELLE</v>
      </c>
      <c r="C232" s="57" t="str">
        <f>VLOOKUP($A232,SiteAttendu!$A$2:$C$366,3,0)</f>
        <v>IFFOU</v>
      </c>
      <c r="D232" s="58" t="str">
        <f>IF(VLOOKUP($A232,SiteAttendu!$A$2:$P$366,4,0)="NA","NA",COUNTIFS(soccode,A232,socprog,"PNLS/ANTIRETROVIRAUX ET IO",soctrans,"OUI"))</f>
        <v>NA</v>
      </c>
      <c r="E232" s="58" t="str">
        <f>IF(VLOOKUP($A232,SiteAttendu!$A$2:$P$366,5,0)="NA","NA",COUNTIFS(soccode,A232,socprog,"PNLS/TESTS RAPIDES ET CONSOMMABLES",soctrans,"OUI"))</f>
        <v>NA</v>
      </c>
      <c r="F232" s="58" t="str">
        <f>IF(VLOOKUP($A232,SiteAttendu!$A$2:$P$366,6,0)="NA","NA",COUNTIFS(soccode,A232,socprog,"PNLS/PRODUITS DE LABORATOIRE",soctrans,"OUI"))</f>
        <v>NA</v>
      </c>
      <c r="G232" s="58" t="str">
        <f>IF(VLOOKUP($A232,SiteAttendu!$A$2:$P$366,7,0)="NA","NA",COUNTIFS(soccode,A232,socprog,"PNLS/CHARGES VIRALES",soctrans,"OUI"))</f>
        <v>NA</v>
      </c>
      <c r="H232" s="58">
        <f>IF(VLOOKUP($A232,SiteAttendu!$A$2:$P$366,9,0)="NA","NA",COUNTIFS(soccode,A232,socprog,"PNLP/MEDICAMENTS ET INTRANTS",soctrans,"OUI"))</f>
        <v>1</v>
      </c>
      <c r="I232" s="59">
        <f>IF(VLOOKUP($A232,SiteAttendu!$A$2:$P$366,10,0)="NA","NA",COUNTIFS(soccode,$A232,socprog,"PNSME/MEDICAMENTS ET INTRANTS",soctrans,"OUI"))</f>
        <v>1</v>
      </c>
      <c r="J232" s="58" t="str">
        <f>IF(VLOOKUP($A232,SiteAttendu!$A$2:$P$366,11,0)="NA","NA",COUNTIFS(soccode,$A232,socprog,"PNN/MEDICAMENTS ET INTRANTS",soctrans,"OUI"))</f>
        <v>NA</v>
      </c>
      <c r="K232" s="58">
        <f>IF(VLOOKUP($A232,SiteAttendu!$A$2:$O$366,15,0)="NA","NA",IF(COUNTIF(socprog,"PNLT/SENSIBLE MEDICAMENTS ET INTRANTS")=0,"NA",COUNTIFS(soccode,$A232,socprog,"PNLT/SENSIBLE MEDICAMENTS ET INTRANTS",soctrans,"OUI")))</f>
        <v>1</v>
      </c>
      <c r="L232" s="60"/>
      <c r="M232" s="60">
        <f t="shared" ref="M232:S232" si="234">IFERROR(SUMIFS(E$2:E$364,$C$2:$C$364,$C232)/COUNTIFS(E$2:E$364,"&lt;&gt;NA",$C$2:$C$364,$C232),"")</f>
        <v>0.8333333333</v>
      </c>
      <c r="N232" s="60">
        <f t="shared" si="234"/>
        <v>0.75</v>
      </c>
      <c r="O232" s="60">
        <f t="shared" si="234"/>
        <v>1</v>
      </c>
      <c r="P232" s="60">
        <f t="shared" si="234"/>
        <v>1</v>
      </c>
      <c r="Q232" s="60">
        <f t="shared" si="234"/>
        <v>1</v>
      </c>
      <c r="R232" s="60">
        <f t="shared" si="234"/>
        <v>1</v>
      </c>
      <c r="S232" s="60">
        <f t="shared" si="234"/>
        <v>0.75</v>
      </c>
      <c r="T232" s="61">
        <f t="shared" si="3"/>
        <v>0.8823529412</v>
      </c>
      <c r="U232" s="53">
        <f t="shared" si="4"/>
        <v>0</v>
      </c>
      <c r="V232" s="54">
        <f t="shared" si="5"/>
        <v>0</v>
      </c>
    </row>
    <row r="233" ht="15.75" customHeight="1">
      <c r="A233" s="55" t="str">
        <f>SiteAttendu!$A233</f>
        <v>C4093</v>
      </c>
      <c r="B233" s="56" t="str">
        <f>VLOOKUP($A233,SiteAttendu!$A$2:$C$366,2,0)</f>
        <v>CENTRE ANTITUBERCULEUX DAOUKRO</v>
      </c>
      <c r="C233" s="57" t="str">
        <f>VLOOKUP($A233,SiteAttendu!$A$2:$C$366,3,0)</f>
        <v>IFFOU</v>
      </c>
      <c r="D233" s="58" t="str">
        <f>IF(VLOOKUP($A233,SiteAttendu!$A$2:$P$366,4,0)="NA","NA",COUNTIFS(soccode,A233,socprog,"PNLS/ANTIRETROVIRAUX ET IO",soctrans,"OUI"))</f>
        <v>NA</v>
      </c>
      <c r="E233" s="58" t="str">
        <f>IF(VLOOKUP($A233,SiteAttendu!$A$2:$P$366,5,0)="NA","NA",COUNTIFS(soccode,A233,socprog,"PNLS/TESTS RAPIDES ET CONSOMMABLES",soctrans,"OUI"))</f>
        <v>NA</v>
      </c>
      <c r="F233" s="58" t="str">
        <f>IF(VLOOKUP($A233,SiteAttendu!$A$2:$P$366,6,0)="NA","NA",COUNTIFS(soccode,A233,socprog,"PNLS/PRODUITS DE LABORATOIRE",soctrans,"OUI"))</f>
        <v>NA</v>
      </c>
      <c r="G233" s="58" t="str">
        <f>IF(VLOOKUP($A233,SiteAttendu!$A$2:$P$366,7,0)="NA","NA",COUNTIFS(soccode,A233,socprog,"PNLS/CHARGES VIRALES",soctrans,"OUI"))</f>
        <v>NA</v>
      </c>
      <c r="H233" s="58" t="str">
        <f>IF(VLOOKUP($A233,SiteAttendu!$A$2:$P$366,9,0)="NA","NA",COUNTIFS(soccode,A233,socprog,"PNLP/MEDICAMENTS ET INTRANTS",soctrans,"OUI"))</f>
        <v>NA</v>
      </c>
      <c r="I233" s="59" t="str">
        <f>IF(VLOOKUP($A233,SiteAttendu!$A$2:$P$366,10,0)="NA","NA",COUNTIFS(soccode,$A233,socprog,"PNSME/MEDICAMENTS ET INTRANTS",soctrans,"OUI"))</f>
        <v>NA</v>
      </c>
      <c r="J233" s="58" t="str">
        <f>IF(VLOOKUP($A233,SiteAttendu!$A$2:$P$366,11,0)="NA","NA",COUNTIFS(soccode,$A233,socprog,"PNN/MEDICAMENTS ET INTRANTS",soctrans,"OUI"))</f>
        <v>NA</v>
      </c>
      <c r="K233" s="58" t="str">
        <f>IF(VLOOKUP($A233,SiteAttendu!$A$2:$O$366,15,0)="NA","NA",IF(COUNTIF(socprog,"PNLT/SENSIBLE MEDICAMENTS ET INTRANTS")=0,"NA",COUNTIFS(soccode,$A233,socprog,"PNLT/SENSIBLE MEDICAMENTS ET INTRANTS",soctrans,"OUI")))</f>
        <v>NA</v>
      </c>
      <c r="L233" s="60"/>
      <c r="M233" s="60">
        <f t="shared" ref="M233:S233" si="235">IFERROR(SUMIFS(E$2:E$364,$C$2:$C$364,$C233)/COUNTIFS(E$2:E$364,"&lt;&gt;NA",$C$2:$C$364,$C233),"")</f>
        <v>0.8333333333</v>
      </c>
      <c r="N233" s="60">
        <f t="shared" si="235"/>
        <v>0.75</v>
      </c>
      <c r="O233" s="60">
        <f t="shared" si="235"/>
        <v>1</v>
      </c>
      <c r="P233" s="60">
        <f t="shared" si="235"/>
        <v>1</v>
      </c>
      <c r="Q233" s="60">
        <f t="shared" si="235"/>
        <v>1</v>
      </c>
      <c r="R233" s="60">
        <f t="shared" si="235"/>
        <v>1</v>
      </c>
      <c r="S233" s="60">
        <f t="shared" si="235"/>
        <v>0.75</v>
      </c>
      <c r="T233" s="61">
        <f t="shared" si="3"/>
        <v>0.8823529412</v>
      </c>
      <c r="U233" s="53">
        <f t="shared" si="4"/>
        <v>0</v>
      </c>
      <c r="V233" s="54">
        <f t="shared" si="5"/>
        <v>0</v>
      </c>
    </row>
    <row r="234" ht="15.75" customHeight="1">
      <c r="A234" s="55" t="str">
        <f>SiteAttendu!$A234</f>
        <v>C4012</v>
      </c>
      <c r="B234" s="56" t="str">
        <f>VLOOKUP($A234,SiteAttendu!$A$2:$C$366,2,0)</f>
        <v>DISTRICT SANITAIRE MBAHIAKRO</v>
      </c>
      <c r="C234" s="57" t="str">
        <f>VLOOKUP($A234,SiteAttendu!$A$2:$C$366,3,0)</f>
        <v>IFFOU</v>
      </c>
      <c r="D234" s="58">
        <f>IF(VLOOKUP($A234,SiteAttendu!$A$2:$P$366,4,0)="NA","NA",COUNTIFS(soccode,A234,socprog,"PNLS/ANTIRETROVIRAUX ET IO",soctrans,"OUI"))</f>
        <v>1</v>
      </c>
      <c r="E234" s="58">
        <f>IF(VLOOKUP($A234,SiteAttendu!$A$2:$P$366,5,0)="NA","NA",COUNTIFS(soccode,A234,socprog,"PNLS/TESTS RAPIDES ET CONSOMMABLES",soctrans,"OUI"))</f>
        <v>0</v>
      </c>
      <c r="F234" s="58" t="str">
        <f>IF(VLOOKUP($A234,SiteAttendu!$A$2:$P$366,6,0)="NA","NA",COUNTIFS(soccode,A234,socprog,"PNLS/PRODUITS DE LABORATOIRE",soctrans,"OUI"))</f>
        <v>NA</v>
      </c>
      <c r="G234" s="58" t="str">
        <f>IF(VLOOKUP($A234,SiteAttendu!$A$2:$P$366,7,0)="NA","NA",COUNTIFS(soccode,A234,socprog,"PNLS/CHARGES VIRALES",soctrans,"OUI"))</f>
        <v>NA</v>
      </c>
      <c r="H234" s="58">
        <f>IF(VLOOKUP($A234,SiteAttendu!$A$2:$P$366,9,0)="NA","NA",COUNTIFS(soccode,A234,socprog,"PNLP/MEDICAMENTS ET INTRANTS",soctrans,"OUI"))</f>
        <v>1</v>
      </c>
      <c r="I234" s="59">
        <f>IF(VLOOKUP($A234,SiteAttendu!$A$2:$P$366,10,0)="NA","NA",COUNTIFS(soccode,$A234,socprog,"PNSME/MEDICAMENTS ET INTRANTS",soctrans,"OUI"))</f>
        <v>1</v>
      </c>
      <c r="J234" s="58">
        <f>IF(VLOOKUP($A234,SiteAttendu!$A$2:$P$366,11,0)="NA","NA",COUNTIFS(soccode,$A234,socprog,"PNN/MEDICAMENTS ET INTRANTS",soctrans,"OUI"))</f>
        <v>1</v>
      </c>
      <c r="K234" s="58">
        <f>IF(VLOOKUP($A234,SiteAttendu!$A$2:$O$366,15,0)="NA","NA",IF(COUNTIF(socprog,"PNLT/SENSIBLE MEDICAMENTS ET INTRANTS")=0,"NA",COUNTIFS(soccode,$A234,socprog,"PNLT/SENSIBLE MEDICAMENTS ET INTRANTS",soctrans,"OUI")))</f>
        <v>1</v>
      </c>
      <c r="L234" s="60"/>
      <c r="M234" s="60">
        <f t="shared" ref="M234:S234" si="236">IFERROR(SUMIFS(E$2:E$364,$C$2:$C$364,$C234)/COUNTIFS(E$2:E$364,"&lt;&gt;NA",$C$2:$C$364,$C234),"")</f>
        <v>0.8333333333</v>
      </c>
      <c r="N234" s="60">
        <f t="shared" si="236"/>
        <v>0.75</v>
      </c>
      <c r="O234" s="60">
        <f t="shared" si="236"/>
        <v>1</v>
      </c>
      <c r="P234" s="60">
        <f t="shared" si="236"/>
        <v>1</v>
      </c>
      <c r="Q234" s="60">
        <f t="shared" si="236"/>
        <v>1</v>
      </c>
      <c r="R234" s="60">
        <f t="shared" si="236"/>
        <v>1</v>
      </c>
      <c r="S234" s="60">
        <f t="shared" si="236"/>
        <v>0.75</v>
      </c>
      <c r="T234" s="61">
        <f t="shared" si="3"/>
        <v>0.8823529412</v>
      </c>
      <c r="U234" s="53">
        <f t="shared" si="4"/>
        <v>1</v>
      </c>
      <c r="V234" s="54">
        <f t="shared" si="5"/>
        <v>2</v>
      </c>
    </row>
    <row r="235" ht="15.75" customHeight="1">
      <c r="A235" s="55" t="str">
        <f>SiteAttendu!$A235</f>
        <v>C4022</v>
      </c>
      <c r="B235" s="56" t="str">
        <f>VLOOKUP($A235,SiteAttendu!$A$2:$C$366,2,0)</f>
        <v>HOPITAL GENERAL MBAHIAKRO</v>
      </c>
      <c r="C235" s="57" t="str">
        <f>VLOOKUP($A235,SiteAttendu!$A$2:$C$366,3,0)</f>
        <v>IFFOU</v>
      </c>
      <c r="D235" s="58">
        <f>IF(VLOOKUP($A235,SiteAttendu!$A$2:$P$366,4,0)="NA","NA",COUNTIFS(soccode,A235,socprog,"PNLS/ANTIRETROVIRAUX ET IO",soctrans,"OUI"))</f>
        <v>1</v>
      </c>
      <c r="E235" s="58">
        <f>IF(VLOOKUP($A235,SiteAttendu!$A$2:$P$366,5,0)="NA","NA",COUNTIFS(soccode,A235,socprog,"PNLS/TESTS RAPIDES ET CONSOMMABLES",soctrans,"OUI"))</f>
        <v>1</v>
      </c>
      <c r="F235" s="58">
        <f>IF(VLOOKUP($A235,SiteAttendu!$A$2:$P$366,6,0)="NA","NA",COUNTIFS(soccode,A235,socprog,"PNLS/PRODUITS DE LABORATOIRE",soctrans,"OUI"))</f>
        <v>1</v>
      </c>
      <c r="G235" s="58" t="str">
        <f>IF(VLOOKUP($A235,SiteAttendu!$A$2:$P$366,7,0)="NA","NA",COUNTIFS(soccode,A235,socprog,"PNLS/CHARGES VIRALES",soctrans,"OUI"))</f>
        <v>NA</v>
      </c>
      <c r="H235" s="58">
        <f>IF(VLOOKUP($A235,SiteAttendu!$A$2:$P$366,9,0)="NA","NA",COUNTIFS(soccode,A235,socprog,"PNLP/MEDICAMENTS ET INTRANTS",soctrans,"OUI"))</f>
        <v>1</v>
      </c>
      <c r="I235" s="59">
        <f>IF(VLOOKUP($A235,SiteAttendu!$A$2:$P$366,10,0)="NA","NA",COUNTIFS(soccode,$A235,socprog,"PNSME/MEDICAMENTS ET INTRANTS",soctrans,"OUI"))</f>
        <v>1</v>
      </c>
      <c r="J235" s="58">
        <f>IF(VLOOKUP($A235,SiteAttendu!$A$2:$P$366,11,0)="NA","NA",COUNTIFS(soccode,$A235,socprog,"PNN/MEDICAMENTS ET INTRANTS",soctrans,"OUI"))</f>
        <v>1</v>
      </c>
      <c r="K235" s="58" t="str">
        <f>IF(VLOOKUP($A235,SiteAttendu!$A$2:$O$366,15,0)="NA","NA",IF(COUNTIF(socprog,"PNLT/SENSIBLE MEDICAMENTS ET INTRANTS")=0,"NA",COUNTIFS(soccode,$A235,socprog,"PNLT/SENSIBLE MEDICAMENTS ET INTRANTS",soctrans,"OUI")))</f>
        <v>NA</v>
      </c>
      <c r="L235" s="60"/>
      <c r="M235" s="60">
        <f t="shared" ref="M235:S235" si="237">IFERROR(SUMIFS(E$2:E$364,$C$2:$C$364,$C235)/COUNTIFS(E$2:E$364,"&lt;&gt;NA",$C$2:$C$364,$C235),"")</f>
        <v>0.8333333333</v>
      </c>
      <c r="N235" s="60">
        <f t="shared" si="237"/>
        <v>0.75</v>
      </c>
      <c r="O235" s="60">
        <f t="shared" si="237"/>
        <v>1</v>
      </c>
      <c r="P235" s="60">
        <f t="shared" si="237"/>
        <v>1</v>
      </c>
      <c r="Q235" s="60">
        <f t="shared" si="237"/>
        <v>1</v>
      </c>
      <c r="R235" s="60">
        <f t="shared" si="237"/>
        <v>1</v>
      </c>
      <c r="S235" s="60">
        <f t="shared" si="237"/>
        <v>0.75</v>
      </c>
      <c r="T235" s="61">
        <f t="shared" si="3"/>
        <v>0.8823529412</v>
      </c>
      <c r="U235" s="53">
        <f t="shared" si="4"/>
        <v>3</v>
      </c>
      <c r="V235" s="54">
        <f t="shared" si="5"/>
        <v>3</v>
      </c>
    </row>
    <row r="236" ht="15.75" customHeight="1">
      <c r="A236" s="55" t="str">
        <f>SiteAttendu!$A236</f>
        <v>C4025</v>
      </c>
      <c r="B236" s="56" t="str">
        <f>VLOOKUP($A236,SiteAttendu!$A$2:$C$366,2,0)</f>
        <v>HOPITAL GENERAL PRIKRO</v>
      </c>
      <c r="C236" s="57" t="str">
        <f>VLOOKUP($A236,SiteAttendu!$A$2:$C$366,3,0)</f>
        <v>IFFOU</v>
      </c>
      <c r="D236" s="58">
        <f>IF(VLOOKUP($A236,SiteAttendu!$A$2:$P$366,4,0)="NA","NA",COUNTIFS(soccode,A236,socprog,"PNLS/ANTIRETROVIRAUX ET IO",soctrans,"OUI"))</f>
        <v>1</v>
      </c>
      <c r="E236" s="58">
        <f>IF(VLOOKUP($A236,SiteAttendu!$A$2:$P$366,5,0)="NA","NA",COUNTIFS(soccode,A236,socprog,"PNLS/TESTS RAPIDES ET CONSOMMABLES",soctrans,"OUI"))</f>
        <v>1</v>
      </c>
      <c r="F236" s="58">
        <f>IF(VLOOKUP($A236,SiteAttendu!$A$2:$P$366,6,0)="NA","NA",COUNTIFS(soccode,A236,socprog,"PNLS/PRODUITS DE LABORATOIRE",soctrans,"OUI"))</f>
        <v>1</v>
      </c>
      <c r="G236" s="58" t="str">
        <f>IF(VLOOKUP($A236,SiteAttendu!$A$2:$P$366,7,0)="NA","NA",COUNTIFS(soccode,A236,socprog,"PNLS/CHARGES VIRALES",soctrans,"OUI"))</f>
        <v>NA</v>
      </c>
      <c r="H236" s="58">
        <f>IF(VLOOKUP($A236,SiteAttendu!$A$2:$P$366,9,0)="NA","NA",COUNTIFS(soccode,A236,socprog,"PNLP/MEDICAMENTS ET INTRANTS",soctrans,"OUI"))</f>
        <v>1</v>
      </c>
      <c r="I236" s="59">
        <f>IF(VLOOKUP($A236,SiteAttendu!$A$2:$P$366,10,0)="NA","NA",COUNTIFS(soccode,$A236,socprog,"PNSME/MEDICAMENTS ET INTRANTS",soctrans,"OUI"))</f>
        <v>1</v>
      </c>
      <c r="J236" s="58">
        <f>IF(VLOOKUP($A236,SiteAttendu!$A$2:$P$366,11,0)="NA","NA",COUNTIFS(soccode,$A236,socprog,"PNN/MEDICAMENTS ET INTRANTS",soctrans,"OUI"))</f>
        <v>1</v>
      </c>
      <c r="K236" s="58">
        <f>IF(VLOOKUP($A236,SiteAttendu!$A$2:$O$366,15,0)="NA","NA",IF(COUNTIF(socprog,"PNLT/SENSIBLE MEDICAMENTS ET INTRANTS")=0,"NA",COUNTIFS(soccode,$A236,socprog,"PNLT/SENSIBLE MEDICAMENTS ET INTRANTS",soctrans,"OUI")))</f>
        <v>0</v>
      </c>
      <c r="L236" s="60"/>
      <c r="M236" s="60">
        <f t="shared" ref="M236:S236" si="238">IFERROR(SUMIFS(E$2:E$364,$C$2:$C$364,$C236)/COUNTIFS(E$2:E$364,"&lt;&gt;NA",$C$2:$C$364,$C236),"")</f>
        <v>0.8333333333</v>
      </c>
      <c r="N236" s="60">
        <f t="shared" si="238"/>
        <v>0.75</v>
      </c>
      <c r="O236" s="60">
        <f t="shared" si="238"/>
        <v>1</v>
      </c>
      <c r="P236" s="60">
        <f t="shared" si="238"/>
        <v>1</v>
      </c>
      <c r="Q236" s="60">
        <f t="shared" si="238"/>
        <v>1</v>
      </c>
      <c r="R236" s="60">
        <f t="shared" si="238"/>
        <v>1</v>
      </c>
      <c r="S236" s="60">
        <f t="shared" si="238"/>
        <v>0.75</v>
      </c>
      <c r="T236" s="61">
        <f t="shared" si="3"/>
        <v>0.8823529412</v>
      </c>
      <c r="U236" s="53">
        <f t="shared" si="4"/>
        <v>3</v>
      </c>
      <c r="V236" s="54">
        <f t="shared" si="5"/>
        <v>3</v>
      </c>
    </row>
    <row r="237" ht="15.75" customHeight="1">
      <c r="A237" s="62" t="str">
        <f>SiteAttendu!$A237</f>
        <v>C4051</v>
      </c>
      <c r="B237" s="63" t="str">
        <f>VLOOKUP($A237,SiteAttendu!$A$2:$C$366,2,0)</f>
        <v>DISTRICT SANITAIRE PRIKRO</v>
      </c>
      <c r="C237" s="64" t="str">
        <f>VLOOKUP($A237,SiteAttendu!$A$2:$C$366,3,0)</f>
        <v>IFFOU</v>
      </c>
      <c r="D237" s="65">
        <f>IF(VLOOKUP($A237,SiteAttendu!$A$2:$P$366,4,0)="NA","NA",COUNTIFS(soccode,A237,socprog,"PNLS/ANTIRETROVIRAUX ET IO",soctrans,"OUI"))</f>
        <v>1</v>
      </c>
      <c r="E237" s="65">
        <f>IF(VLOOKUP($A237,SiteAttendu!$A$2:$P$366,5,0)="NA","NA",COUNTIFS(soccode,A237,socprog,"PNLS/TESTS RAPIDES ET CONSOMMABLES",soctrans,"OUI"))</f>
        <v>1</v>
      </c>
      <c r="F237" s="65" t="str">
        <f>IF(VLOOKUP($A237,SiteAttendu!$A$2:$P$366,6,0)="NA","NA",COUNTIFS(soccode,A237,socprog,"PNLS/PRODUITS DE LABORATOIRE",soctrans,"OUI"))</f>
        <v>NA</v>
      </c>
      <c r="G237" s="65" t="str">
        <f>IF(VLOOKUP($A237,SiteAttendu!$A$2:$P$366,7,0)="NA","NA",COUNTIFS(soccode,A237,socprog,"PNLS/CHARGES VIRALES",soctrans,"OUI"))</f>
        <v>NA</v>
      </c>
      <c r="H237" s="65">
        <f>IF(VLOOKUP($A237,SiteAttendu!$A$2:$P$366,9,0)="NA","NA",COUNTIFS(soccode,A237,socprog,"PNLP/MEDICAMENTS ET INTRANTS",soctrans,"OUI"))</f>
        <v>1</v>
      </c>
      <c r="I237" s="66">
        <f>IF(VLOOKUP($A237,SiteAttendu!$A$2:$P$366,10,0)="NA","NA",COUNTIFS(soccode,$A237,socprog,"PNSME/MEDICAMENTS ET INTRANTS",soctrans,"OUI"))</f>
        <v>1</v>
      </c>
      <c r="J237" s="65">
        <f>IF(VLOOKUP($A237,SiteAttendu!$A$2:$P$366,11,0)="NA","NA",COUNTIFS(soccode,$A237,socprog,"PNN/MEDICAMENTS ET INTRANTS",soctrans,"OUI"))</f>
        <v>1</v>
      </c>
      <c r="K237" s="65" t="str">
        <f>IF(VLOOKUP($A237,SiteAttendu!$A$2:$O$366,15,0)="NA","NA",IF(COUNTIF(socprog,"PNLT/SENSIBLE MEDICAMENTS ET INTRANTS")=0,"NA",COUNTIFS(soccode,$A237,socprog,"PNLT/SENSIBLE MEDICAMENTS ET INTRANTS",soctrans,"OUI")))</f>
        <v>NA</v>
      </c>
      <c r="L237" s="67"/>
      <c r="M237" s="67">
        <f t="shared" ref="M237:S237" si="239">IFERROR(SUMIFS(E$2:E$364,$C$2:$C$364,$C237)/COUNTIFS(E$2:E$364,"&lt;&gt;NA",$C$2:$C$364,$C237),"")</f>
        <v>0.8333333333</v>
      </c>
      <c r="N237" s="67">
        <f t="shared" si="239"/>
        <v>0.75</v>
      </c>
      <c r="O237" s="67">
        <f t="shared" si="239"/>
        <v>1</v>
      </c>
      <c r="P237" s="67">
        <f t="shared" si="239"/>
        <v>1</v>
      </c>
      <c r="Q237" s="67">
        <f t="shared" si="239"/>
        <v>1</v>
      </c>
      <c r="R237" s="67">
        <f t="shared" si="239"/>
        <v>1</v>
      </c>
      <c r="S237" s="67">
        <f t="shared" si="239"/>
        <v>0.75</v>
      </c>
      <c r="T237" s="68">
        <f t="shared" si="3"/>
        <v>0.8823529412</v>
      </c>
      <c r="U237" s="53">
        <f t="shared" si="4"/>
        <v>2</v>
      </c>
      <c r="V237" s="54">
        <f t="shared" si="5"/>
        <v>2</v>
      </c>
    </row>
    <row r="238" ht="15.75" customHeight="1">
      <c r="A238" s="46" t="str">
        <f>SiteAttendu!$A238</f>
        <v>C4001</v>
      </c>
      <c r="B238" s="47" t="str">
        <f>VLOOKUP($A238,SiteAttendu!$A$2:$C$366,2,0)</f>
        <v>CHR ABENGOUROU</v>
      </c>
      <c r="C238" s="48" t="str">
        <f>VLOOKUP($A238,SiteAttendu!$A$2:$C$366,3,0)</f>
        <v>INDENIE-DJUABLIN</v>
      </c>
      <c r="D238" s="49">
        <f>IF(VLOOKUP($A238,SiteAttendu!$A$2:$P$366,4,0)="NA","NA",COUNTIFS(soccode,A238,socprog,"PNLS/ANTIRETROVIRAUX ET IO",soctrans,"OUI"))</f>
        <v>1</v>
      </c>
      <c r="E238" s="49">
        <f>IF(VLOOKUP($A238,SiteAttendu!$A$2:$P$366,5,0)="NA","NA",COUNTIFS(soccode,A238,socprog,"PNLS/TESTS RAPIDES ET CONSOMMABLES",soctrans,"OUI"))</f>
        <v>1</v>
      </c>
      <c r="F238" s="49">
        <f>IF(VLOOKUP($A238,SiteAttendu!$A$2:$P$366,6,0)="NA","NA",COUNTIFS(soccode,A238,socprog,"PNLS/PRODUITS DE LABORATOIRE",soctrans,"OUI"))</f>
        <v>1</v>
      </c>
      <c r="G238" s="49">
        <f>IF(VLOOKUP($A238,SiteAttendu!$A$2:$P$366,7,0)="NA","NA",COUNTIFS(soccode,A238,socprog,"PNLS/CHARGES VIRALES",soctrans,"OUI"))</f>
        <v>1</v>
      </c>
      <c r="H238" s="49">
        <f>IF(VLOOKUP($A238,SiteAttendu!$A$2:$P$366,9,0)="NA","NA",COUNTIFS(soccode,A238,socprog,"PNLP/MEDICAMENTS ET INTRANTS",soctrans,"OUI"))</f>
        <v>1</v>
      </c>
      <c r="I238" s="50">
        <f>IF(VLOOKUP($A238,SiteAttendu!$A$2:$P$366,10,0)="NA","NA",COUNTIFS(soccode,$A238,socprog,"PNSME/MEDICAMENTS ET INTRANTS",soctrans,"OUI"))</f>
        <v>1</v>
      </c>
      <c r="J238" s="49" t="str">
        <f>IF(VLOOKUP($A238,SiteAttendu!$A$2:$P$366,11,0)="NA","NA",COUNTIFS(soccode,$A238,socprog,"PNN/MEDICAMENTS ET INTRANTS",soctrans,"OUI"))</f>
        <v>NA</v>
      </c>
      <c r="K238" s="49" t="str">
        <f>IF(VLOOKUP($A238,SiteAttendu!$A$2:$O$366,15,0)="NA","NA",IF(COUNTIF(socprog,"PNLT/SENSIBLE MEDICAMENTS ET INTRANTS")=0,"NA",COUNTIFS(soccode,$A238,socprog,"PNLT/SENSIBLE MEDICAMENTS ET INTRANTS",soctrans,"OUI")))</f>
        <v>NA</v>
      </c>
      <c r="L238" s="51">
        <f t="shared" ref="L238:S238" si="240">IFERROR(SUMIFS(D$2:D$364,$C$2:$C$364,$C238)/COUNTIFS(D$2:D$364,"&lt;&gt;NA",$C$2:$C$364,$C238),"")</f>
        <v>1</v>
      </c>
      <c r="M238" s="51">
        <f t="shared" si="240"/>
        <v>0.8333333333</v>
      </c>
      <c r="N238" s="51">
        <f t="shared" si="240"/>
        <v>1</v>
      </c>
      <c r="O238" s="51">
        <f t="shared" si="240"/>
        <v>1</v>
      </c>
      <c r="P238" s="51">
        <f t="shared" si="240"/>
        <v>1</v>
      </c>
      <c r="Q238" s="51">
        <f t="shared" si="240"/>
        <v>0.8571428571</v>
      </c>
      <c r="R238" s="51" t="str">
        <f t="shared" si="240"/>
        <v/>
      </c>
      <c r="S238" s="51">
        <f t="shared" si="240"/>
        <v>0.8571428571</v>
      </c>
      <c r="T238" s="52">
        <f t="shared" si="3"/>
        <v>0.9444444444</v>
      </c>
      <c r="U238" s="53">
        <f t="shared" si="4"/>
        <v>4</v>
      </c>
      <c r="V238" s="54">
        <f t="shared" si="5"/>
        <v>4</v>
      </c>
    </row>
    <row r="239" ht="15.75" customHeight="1">
      <c r="A239" s="55" t="str">
        <f>SiteAttendu!$A239</f>
        <v>C4004</v>
      </c>
      <c r="B239" s="56" t="str">
        <f>VLOOKUP($A239,SiteAttendu!$A$2:$C$366,2,0)</f>
        <v>DISTRICT SANITAIRE ABENGOUROU</v>
      </c>
      <c r="C239" s="57" t="str">
        <f>VLOOKUP($A239,SiteAttendu!$A$2:$C$366,3,0)</f>
        <v>INDENIE-DJUABLIN</v>
      </c>
      <c r="D239" s="58">
        <f>IF(VLOOKUP($A239,SiteAttendu!$A$2:$P$366,4,0)="NA","NA",COUNTIFS(soccode,A239,socprog,"PNLS/ANTIRETROVIRAUX ET IO",soctrans,"OUI"))</f>
        <v>1</v>
      </c>
      <c r="E239" s="58">
        <f>IF(VLOOKUP($A239,SiteAttendu!$A$2:$P$366,5,0)="NA","NA",COUNTIFS(soccode,A239,socprog,"PNLS/TESTS RAPIDES ET CONSOMMABLES",soctrans,"OUI"))</f>
        <v>1</v>
      </c>
      <c r="F239" s="58">
        <f>IF(VLOOKUP($A239,SiteAttendu!$A$2:$P$366,6,0)="NA","NA",COUNTIFS(soccode,A239,socprog,"PNLS/PRODUITS DE LABORATOIRE",soctrans,"OUI"))</f>
        <v>1</v>
      </c>
      <c r="G239" s="58" t="str">
        <f>IF(VLOOKUP($A239,SiteAttendu!$A$2:$P$366,7,0)="NA","NA",COUNTIFS(soccode,A239,socprog,"PNLS/CHARGES VIRALES",soctrans,"OUI"))</f>
        <v>NA</v>
      </c>
      <c r="H239" s="58">
        <f>IF(VLOOKUP($A239,SiteAttendu!$A$2:$P$366,9,0)="NA","NA",COUNTIFS(soccode,A239,socprog,"PNLP/MEDICAMENTS ET INTRANTS",soctrans,"OUI"))</f>
        <v>1</v>
      </c>
      <c r="I239" s="59">
        <f>IF(VLOOKUP($A239,SiteAttendu!$A$2:$P$366,10,0)="NA","NA",COUNTIFS(soccode,$A239,socprog,"PNSME/MEDICAMENTS ET INTRANTS",soctrans,"OUI"))</f>
        <v>1</v>
      </c>
      <c r="J239" s="58" t="str">
        <f>IF(VLOOKUP($A239,SiteAttendu!$A$2:$P$366,11,0)="NA","NA",COUNTIFS(soccode,$A239,socprog,"PNN/MEDICAMENTS ET INTRANTS",soctrans,"OUI"))</f>
        <v>NA</v>
      </c>
      <c r="K239" s="58">
        <f>IF(VLOOKUP($A239,SiteAttendu!$A$2:$O$366,15,0)="NA","NA",IF(COUNTIF(socprog,"PNLT/SENSIBLE MEDICAMENTS ET INTRANTS")=0,"NA",COUNTIFS(soccode,$A239,socprog,"PNLT/SENSIBLE MEDICAMENTS ET INTRANTS",soctrans,"OUI")))</f>
        <v>1</v>
      </c>
      <c r="L239" s="60"/>
      <c r="M239" s="60">
        <f t="shared" ref="M239:S239" si="241">IFERROR(SUMIFS(E$2:E$364,$C$2:$C$364,$C239)/COUNTIFS(E$2:E$364,"&lt;&gt;NA",$C$2:$C$364,$C239),"")</f>
        <v>0.8333333333</v>
      </c>
      <c r="N239" s="60">
        <f t="shared" si="241"/>
        <v>1</v>
      </c>
      <c r="O239" s="60">
        <f t="shared" si="241"/>
        <v>1</v>
      </c>
      <c r="P239" s="60">
        <f t="shared" si="241"/>
        <v>1</v>
      </c>
      <c r="Q239" s="60">
        <f t="shared" si="241"/>
        <v>0.8571428571</v>
      </c>
      <c r="R239" s="60" t="str">
        <f t="shared" si="241"/>
        <v/>
      </c>
      <c r="S239" s="60">
        <f t="shared" si="241"/>
        <v>0.8571428571</v>
      </c>
      <c r="T239" s="61">
        <f t="shared" si="3"/>
        <v>0.9444444444</v>
      </c>
      <c r="U239" s="53">
        <f t="shared" si="4"/>
        <v>3</v>
      </c>
      <c r="V239" s="54">
        <f t="shared" si="5"/>
        <v>3</v>
      </c>
    </row>
    <row r="240" ht="15.75" customHeight="1">
      <c r="A240" s="55" t="str">
        <f>SiteAttendu!$A240</f>
        <v>C4023</v>
      </c>
      <c r="B240" s="56" t="str">
        <f>VLOOKUP($A240,SiteAttendu!$A$2:$C$366,2,0)</f>
        <v>CSU NIABLE</v>
      </c>
      <c r="C240" s="57" t="str">
        <f>VLOOKUP($A240,SiteAttendu!$A$2:$C$366,3,0)</f>
        <v>INDENIE-DJUABLIN</v>
      </c>
      <c r="D240" s="58" t="str">
        <f>IF(VLOOKUP($A240,SiteAttendu!$A$2:$P$366,4,0)="NA","NA",COUNTIFS(soccode,A240,socprog,"PNLS/ANTIRETROVIRAUX ET IO",soctrans,"OUI"))</f>
        <v>NA</v>
      </c>
      <c r="E240" s="58" t="str">
        <f>IF(VLOOKUP($A240,SiteAttendu!$A$2:$P$366,5,0)="NA","NA",COUNTIFS(soccode,A240,socprog,"PNLS/TESTS RAPIDES ET CONSOMMABLES",soctrans,"OUI"))</f>
        <v>NA</v>
      </c>
      <c r="F240" s="58" t="str">
        <f>IF(VLOOKUP($A240,SiteAttendu!$A$2:$P$366,6,0)="NA","NA",COUNTIFS(soccode,A240,socprog,"PNLS/PRODUITS DE LABORATOIRE",soctrans,"OUI"))</f>
        <v>NA</v>
      </c>
      <c r="G240" s="58" t="str">
        <f>IF(VLOOKUP($A240,SiteAttendu!$A$2:$P$366,7,0)="NA","NA",COUNTIFS(soccode,A240,socprog,"PNLS/CHARGES VIRALES",soctrans,"OUI"))</f>
        <v>NA</v>
      </c>
      <c r="H240" s="58" t="str">
        <f>IF(VLOOKUP($A240,SiteAttendu!$A$2:$P$366,9,0)="NA","NA",COUNTIFS(soccode,A240,socprog,"PNLP/MEDICAMENTS ET INTRANTS",soctrans,"OUI"))</f>
        <v>NA</v>
      </c>
      <c r="I240" s="59">
        <f>IF(VLOOKUP($A240,SiteAttendu!$A$2:$P$366,10,0)="NA","NA",COUNTIFS(soccode,$A240,socprog,"PNSME/MEDICAMENTS ET INTRANTS",soctrans,"OUI"))</f>
        <v>1</v>
      </c>
      <c r="J240" s="58" t="str">
        <f>IF(VLOOKUP($A240,SiteAttendu!$A$2:$P$366,11,0)="NA","NA",COUNTIFS(soccode,$A240,socprog,"PNN/MEDICAMENTS ET INTRANTS",soctrans,"OUI"))</f>
        <v>NA</v>
      </c>
      <c r="K240" s="58">
        <f>IF(VLOOKUP($A240,SiteAttendu!$A$2:$O$366,15,0)="NA","NA",IF(COUNTIF(socprog,"PNLT/SENSIBLE MEDICAMENTS ET INTRANTS")=0,"NA",COUNTIFS(soccode,$A240,socprog,"PNLT/SENSIBLE MEDICAMENTS ET INTRANTS",soctrans,"OUI")))</f>
        <v>1</v>
      </c>
      <c r="L240" s="60"/>
      <c r="M240" s="60">
        <f t="shared" ref="M240:S240" si="242">IFERROR(SUMIFS(E$2:E$364,$C$2:$C$364,$C240)/COUNTIFS(E$2:E$364,"&lt;&gt;NA",$C$2:$C$364,$C240),"")</f>
        <v>0.8333333333</v>
      </c>
      <c r="N240" s="60">
        <f t="shared" si="242"/>
        <v>1</v>
      </c>
      <c r="O240" s="60">
        <f t="shared" si="242"/>
        <v>1</v>
      </c>
      <c r="P240" s="60">
        <f t="shared" si="242"/>
        <v>1</v>
      </c>
      <c r="Q240" s="60">
        <f t="shared" si="242"/>
        <v>0.8571428571</v>
      </c>
      <c r="R240" s="60" t="str">
        <f t="shared" si="242"/>
        <v/>
      </c>
      <c r="S240" s="60">
        <f t="shared" si="242"/>
        <v>0.8571428571</v>
      </c>
      <c r="T240" s="61">
        <f t="shared" si="3"/>
        <v>0.9444444444</v>
      </c>
      <c r="U240" s="53">
        <f t="shared" si="4"/>
        <v>0</v>
      </c>
      <c r="V240" s="54">
        <f t="shared" si="5"/>
        <v>0</v>
      </c>
    </row>
    <row r="241" ht="15.75" customHeight="1">
      <c r="A241" s="55" t="str">
        <f>SiteAttendu!$A241</f>
        <v>C4063</v>
      </c>
      <c r="B241" s="56" t="str">
        <f>VLOOKUP($A241,SiteAttendu!$A$2:$C$366,2,0)</f>
        <v>CENTRE ANTITUBERCULEUX ABENGOUROU</v>
      </c>
      <c r="C241" s="57" t="str">
        <f>VLOOKUP($A241,SiteAttendu!$A$2:$C$366,3,0)</f>
        <v>INDENIE-DJUABLIN</v>
      </c>
      <c r="D241" s="58" t="str">
        <f>IF(VLOOKUP($A241,SiteAttendu!$A$2:$P$366,4,0)="NA","NA",COUNTIFS(soccode,A241,socprog,"PNLS/ANTIRETROVIRAUX ET IO",soctrans,"OUI"))</f>
        <v>NA</v>
      </c>
      <c r="E241" s="58" t="str">
        <f>IF(VLOOKUP($A241,SiteAttendu!$A$2:$P$366,5,0)="NA","NA",COUNTIFS(soccode,A241,socprog,"PNLS/TESTS RAPIDES ET CONSOMMABLES",soctrans,"OUI"))</f>
        <v>NA</v>
      </c>
      <c r="F241" s="58" t="str">
        <f>IF(VLOOKUP($A241,SiteAttendu!$A$2:$P$366,6,0)="NA","NA",COUNTIFS(soccode,A241,socprog,"PNLS/PRODUITS DE LABORATOIRE",soctrans,"OUI"))</f>
        <v>NA</v>
      </c>
      <c r="G241" s="58" t="str">
        <f>IF(VLOOKUP($A241,SiteAttendu!$A$2:$P$366,7,0)="NA","NA",COUNTIFS(soccode,A241,socprog,"PNLS/CHARGES VIRALES",soctrans,"OUI"))</f>
        <v>NA</v>
      </c>
      <c r="H241" s="58" t="str">
        <f>IF(VLOOKUP($A241,SiteAttendu!$A$2:$P$366,9,0)="NA","NA",COUNTIFS(soccode,A241,socprog,"PNLP/MEDICAMENTS ET INTRANTS",soctrans,"OUI"))</f>
        <v>NA</v>
      </c>
      <c r="I241" s="59" t="str">
        <f>IF(VLOOKUP($A241,SiteAttendu!$A$2:$P$366,10,0)="NA","NA",COUNTIFS(soccode,$A241,socprog,"PNSME/MEDICAMENTS ET INTRANTS",soctrans,"OUI"))</f>
        <v>NA</v>
      </c>
      <c r="J241" s="58" t="str">
        <f>IF(VLOOKUP($A241,SiteAttendu!$A$2:$P$366,11,0)="NA","NA",COUNTIFS(soccode,$A241,socprog,"PNN/MEDICAMENTS ET INTRANTS",soctrans,"OUI"))</f>
        <v>NA</v>
      </c>
      <c r="K241" s="58">
        <f>IF(VLOOKUP($A241,SiteAttendu!$A$2:$O$366,15,0)="NA","NA",IF(COUNTIF(socprog,"PNLT/SENSIBLE MEDICAMENTS ET INTRANTS")=0,"NA",COUNTIFS(soccode,$A241,socprog,"PNLT/SENSIBLE MEDICAMENTS ET INTRANTS",soctrans,"OUI")))</f>
        <v>1</v>
      </c>
      <c r="L241" s="60"/>
      <c r="M241" s="60">
        <f t="shared" ref="M241:S241" si="243">IFERROR(SUMIFS(E$2:E$364,$C$2:$C$364,$C241)/COUNTIFS(E$2:E$364,"&lt;&gt;NA",$C$2:$C$364,$C241),"")</f>
        <v>0.8333333333</v>
      </c>
      <c r="N241" s="60">
        <f t="shared" si="243"/>
        <v>1</v>
      </c>
      <c r="O241" s="60">
        <f t="shared" si="243"/>
        <v>1</v>
      </c>
      <c r="P241" s="60">
        <f t="shared" si="243"/>
        <v>1</v>
      </c>
      <c r="Q241" s="60">
        <f t="shared" si="243"/>
        <v>0.8571428571</v>
      </c>
      <c r="R241" s="60" t="str">
        <f t="shared" si="243"/>
        <v/>
      </c>
      <c r="S241" s="60">
        <f t="shared" si="243"/>
        <v>0.8571428571</v>
      </c>
      <c r="T241" s="61">
        <f t="shared" si="3"/>
        <v>0.9444444444</v>
      </c>
      <c r="U241" s="53">
        <f t="shared" si="4"/>
        <v>0</v>
      </c>
      <c r="V241" s="54">
        <f t="shared" si="5"/>
        <v>0</v>
      </c>
    </row>
    <row r="242" ht="15.75" customHeight="1">
      <c r="A242" s="55" t="str">
        <f>SiteAttendu!$A242</f>
        <v>C4005</v>
      </c>
      <c r="B242" s="56" t="str">
        <f>VLOOKUP($A242,SiteAttendu!$A$2:$C$366,2,0)</f>
        <v>DISTRICT SANITAIRE AGNIBILEKROU</v>
      </c>
      <c r="C242" s="57" t="str">
        <f>VLOOKUP($A242,SiteAttendu!$A$2:$C$366,3,0)</f>
        <v>INDENIE-DJUABLIN</v>
      </c>
      <c r="D242" s="58">
        <f>IF(VLOOKUP($A242,SiteAttendu!$A$2:$P$366,4,0)="NA","NA",COUNTIFS(soccode,A242,socprog,"PNLS/ANTIRETROVIRAUX ET IO",soctrans,"OUI"))</f>
        <v>1</v>
      </c>
      <c r="E242" s="58">
        <f>IF(VLOOKUP($A242,SiteAttendu!$A$2:$P$366,5,0)="NA","NA",COUNTIFS(soccode,A242,socprog,"PNLS/TESTS RAPIDES ET CONSOMMABLES",soctrans,"OUI"))</f>
        <v>1</v>
      </c>
      <c r="F242" s="58" t="str">
        <f>IF(VLOOKUP($A242,SiteAttendu!$A$2:$P$366,6,0)="NA","NA",COUNTIFS(soccode,A242,socprog,"PNLS/PRODUITS DE LABORATOIRE",soctrans,"OUI"))</f>
        <v>NA</v>
      </c>
      <c r="G242" s="58" t="str">
        <f>IF(VLOOKUP($A242,SiteAttendu!$A$2:$P$366,7,0)="NA","NA",COUNTIFS(soccode,A242,socprog,"PNLS/CHARGES VIRALES",soctrans,"OUI"))</f>
        <v>NA</v>
      </c>
      <c r="H242" s="58">
        <f>IF(VLOOKUP($A242,SiteAttendu!$A$2:$P$366,9,0)="NA","NA",COUNTIFS(soccode,A242,socprog,"PNLP/MEDICAMENTS ET INTRANTS",soctrans,"OUI"))</f>
        <v>1</v>
      </c>
      <c r="I242" s="59">
        <f>IF(VLOOKUP($A242,SiteAttendu!$A$2:$P$366,10,0)="NA","NA",COUNTIFS(soccode,$A242,socprog,"PNSME/MEDICAMENTS ET INTRANTS",soctrans,"OUI"))</f>
        <v>1</v>
      </c>
      <c r="J242" s="58" t="str">
        <f>IF(VLOOKUP($A242,SiteAttendu!$A$2:$P$366,11,0)="NA","NA",COUNTIFS(soccode,$A242,socprog,"PNN/MEDICAMENTS ET INTRANTS",soctrans,"OUI"))</f>
        <v>NA</v>
      </c>
      <c r="K242" s="58">
        <f>IF(VLOOKUP($A242,SiteAttendu!$A$2:$O$366,15,0)="NA","NA",IF(COUNTIF(socprog,"PNLT/SENSIBLE MEDICAMENTS ET INTRANTS")=0,"NA",COUNTIFS(soccode,$A242,socprog,"PNLT/SENSIBLE MEDICAMENTS ET INTRANTS",soctrans,"OUI")))</f>
        <v>1</v>
      </c>
      <c r="L242" s="60"/>
      <c r="M242" s="60">
        <f t="shared" ref="M242:S242" si="244">IFERROR(SUMIFS(E$2:E$364,$C$2:$C$364,$C242)/COUNTIFS(E$2:E$364,"&lt;&gt;NA",$C$2:$C$364,$C242),"")</f>
        <v>0.8333333333</v>
      </c>
      <c r="N242" s="60">
        <f t="shared" si="244"/>
        <v>1</v>
      </c>
      <c r="O242" s="60">
        <f t="shared" si="244"/>
        <v>1</v>
      </c>
      <c r="P242" s="60">
        <f t="shared" si="244"/>
        <v>1</v>
      </c>
      <c r="Q242" s="60">
        <f t="shared" si="244"/>
        <v>0.8571428571</v>
      </c>
      <c r="R242" s="60" t="str">
        <f t="shared" si="244"/>
        <v/>
      </c>
      <c r="S242" s="60">
        <f t="shared" si="244"/>
        <v>0.8571428571</v>
      </c>
      <c r="T242" s="61">
        <f t="shared" si="3"/>
        <v>0.9444444444</v>
      </c>
      <c r="U242" s="53">
        <f t="shared" si="4"/>
        <v>2</v>
      </c>
      <c r="V242" s="54">
        <f t="shared" si="5"/>
        <v>2</v>
      </c>
    </row>
    <row r="243" ht="16.5" customHeight="1">
      <c r="A243" s="55" t="str">
        <f>SiteAttendu!$A243</f>
        <v>C4014</v>
      </c>
      <c r="B243" s="56" t="str">
        <f>VLOOKUP($A243,SiteAttendu!$A$2:$C$366,2,0)</f>
        <v>HOPITAL GENERAL AGNIBILEKROU</v>
      </c>
      <c r="C243" s="57" t="str">
        <f>VLOOKUP($A243,SiteAttendu!$A$2:$C$366,3,0)</f>
        <v>INDENIE-DJUABLIN</v>
      </c>
      <c r="D243" s="58">
        <f>IF(VLOOKUP($A243,SiteAttendu!$A$2:$P$366,4,0)="NA","NA",COUNTIFS(soccode,A243,socprog,"PNLS/ANTIRETROVIRAUX ET IO",soctrans,"OUI"))</f>
        <v>1</v>
      </c>
      <c r="E243" s="58">
        <f>IF(VLOOKUP($A243,SiteAttendu!$A$2:$P$366,5,0)="NA","NA",COUNTIFS(soccode,A243,socprog,"PNLS/TESTS RAPIDES ET CONSOMMABLES",soctrans,"OUI"))</f>
        <v>1</v>
      </c>
      <c r="F243" s="58">
        <f>IF(VLOOKUP($A243,SiteAttendu!$A$2:$P$366,6,0)="NA","NA",COUNTIFS(soccode,A243,socprog,"PNLS/PRODUITS DE LABORATOIRE",soctrans,"OUI"))</f>
        <v>1</v>
      </c>
      <c r="G243" s="58">
        <f>IF(VLOOKUP($A243,SiteAttendu!$A$2:$P$366,7,0)="NA","NA",COUNTIFS(soccode,A243,socprog,"PNLS/CHARGES VIRALES",soctrans,"OUI"))</f>
        <v>1</v>
      </c>
      <c r="H243" s="58">
        <f>IF(VLOOKUP($A243,SiteAttendu!$A$2:$P$366,9,0)="NA","NA",COUNTIFS(soccode,A243,socprog,"PNLP/MEDICAMENTS ET INTRANTS",soctrans,"OUI"))</f>
        <v>1</v>
      </c>
      <c r="I243" s="59">
        <f>IF(VLOOKUP($A243,SiteAttendu!$A$2:$P$366,10,0)="NA","NA",COUNTIFS(soccode,$A243,socprog,"PNSME/MEDICAMENTS ET INTRANTS",soctrans,"OUI"))</f>
        <v>1</v>
      </c>
      <c r="J243" s="58" t="str">
        <f>IF(VLOOKUP($A243,SiteAttendu!$A$2:$P$366,11,0)="NA","NA",COUNTIFS(soccode,$A243,socprog,"PNN/MEDICAMENTS ET INTRANTS",soctrans,"OUI"))</f>
        <v>NA</v>
      </c>
      <c r="K243" s="58">
        <f>IF(VLOOKUP($A243,SiteAttendu!$A$2:$O$366,15,0)="NA","NA",IF(COUNTIF(socprog,"PNLT/SENSIBLE MEDICAMENTS ET INTRANTS")=0,"NA",COUNTIFS(soccode,$A243,socprog,"PNLT/SENSIBLE MEDICAMENTS ET INTRANTS",soctrans,"OUI")))</f>
        <v>1</v>
      </c>
      <c r="L243" s="60"/>
      <c r="M243" s="60">
        <f t="shared" ref="M243:S243" si="245">IFERROR(SUMIFS(E$2:E$364,$C$2:$C$364,$C243)/COUNTIFS(E$2:E$364,"&lt;&gt;NA",$C$2:$C$364,$C243),"")</f>
        <v>0.8333333333</v>
      </c>
      <c r="N243" s="60">
        <f t="shared" si="245"/>
        <v>1</v>
      </c>
      <c r="O243" s="60">
        <f t="shared" si="245"/>
        <v>1</v>
      </c>
      <c r="P243" s="60">
        <f t="shared" si="245"/>
        <v>1</v>
      </c>
      <c r="Q243" s="60">
        <f t="shared" si="245"/>
        <v>0.8571428571</v>
      </c>
      <c r="R243" s="60" t="str">
        <f t="shared" si="245"/>
        <v/>
      </c>
      <c r="S243" s="60">
        <f t="shared" si="245"/>
        <v>0.8571428571</v>
      </c>
      <c r="T243" s="61">
        <f t="shared" si="3"/>
        <v>0.9444444444</v>
      </c>
      <c r="U243" s="53">
        <f t="shared" si="4"/>
        <v>4</v>
      </c>
      <c r="V243" s="54">
        <f t="shared" si="5"/>
        <v>4</v>
      </c>
    </row>
    <row r="244" ht="15.75" customHeight="1">
      <c r="A244" s="55" t="str">
        <f>SiteAttendu!$A244</f>
        <v>C4049</v>
      </c>
      <c r="B244" s="56" t="str">
        <f>VLOOKUP($A244,SiteAttendu!$A$2:$C$366,2,0)</f>
        <v>DISTRICT SANITAIRE BETTIE</v>
      </c>
      <c r="C244" s="57" t="str">
        <f>VLOOKUP($A244,SiteAttendu!$A$2:$C$366,3,0)</f>
        <v>INDENIE-DJUABLIN</v>
      </c>
      <c r="D244" s="58">
        <f>IF(VLOOKUP($A244,SiteAttendu!$A$2:$P$366,4,0)="NA","NA",COUNTIFS(soccode,A244,socprog,"PNLS/ANTIRETROVIRAUX ET IO",soctrans,"OUI"))</f>
        <v>1</v>
      </c>
      <c r="E244" s="58">
        <f>IF(VLOOKUP($A244,SiteAttendu!$A$2:$P$366,5,0)="NA","NA",COUNTIFS(soccode,A244,socprog,"PNLS/TESTS RAPIDES ET CONSOMMABLES",soctrans,"OUI"))</f>
        <v>0</v>
      </c>
      <c r="F244" s="58" t="str">
        <f>IF(VLOOKUP($A244,SiteAttendu!$A$2:$P$366,6,0)="NA","NA",COUNTIFS(soccode,A244,socprog,"PNLS/PRODUITS DE LABORATOIRE",soctrans,"OUI"))</f>
        <v>NA</v>
      </c>
      <c r="G244" s="58" t="str">
        <f>IF(VLOOKUP($A244,SiteAttendu!$A$2:$P$366,7,0)="NA","NA",COUNTIFS(soccode,A244,socprog,"PNLS/CHARGES VIRALES",soctrans,"OUI"))</f>
        <v>NA</v>
      </c>
      <c r="H244" s="58">
        <f>IF(VLOOKUP($A244,SiteAttendu!$A$2:$P$366,9,0)="NA","NA",COUNTIFS(soccode,A244,socprog,"PNLP/MEDICAMENTS ET INTRANTS",soctrans,"OUI"))</f>
        <v>1</v>
      </c>
      <c r="I244" s="59">
        <f>IF(VLOOKUP($A244,SiteAttendu!$A$2:$P$366,10,0)="NA","NA",COUNTIFS(soccode,$A244,socprog,"PNSME/MEDICAMENTS ET INTRANTS",soctrans,"OUI"))</f>
        <v>0</v>
      </c>
      <c r="J244" s="58" t="str">
        <f>IF(VLOOKUP($A244,SiteAttendu!$A$2:$P$366,11,0)="NA","NA",COUNTIFS(soccode,$A244,socprog,"PNN/MEDICAMENTS ET INTRANTS",soctrans,"OUI"))</f>
        <v>NA</v>
      </c>
      <c r="K244" s="58">
        <f>IF(VLOOKUP($A244,SiteAttendu!$A$2:$O$366,15,0)="NA","NA",IF(COUNTIF(socprog,"PNLT/SENSIBLE MEDICAMENTS ET INTRANTS")=0,"NA",COUNTIFS(soccode,$A244,socprog,"PNLT/SENSIBLE MEDICAMENTS ET INTRANTS",soctrans,"OUI")))</f>
        <v>0</v>
      </c>
      <c r="L244" s="60"/>
      <c r="M244" s="60">
        <f t="shared" ref="M244:S244" si="246">IFERROR(SUMIFS(E$2:E$364,$C$2:$C$364,$C244)/COUNTIFS(E$2:E$364,"&lt;&gt;NA",$C$2:$C$364,$C244),"")</f>
        <v>0.8333333333</v>
      </c>
      <c r="N244" s="60">
        <f t="shared" si="246"/>
        <v>1</v>
      </c>
      <c r="O244" s="60">
        <f t="shared" si="246"/>
        <v>1</v>
      </c>
      <c r="P244" s="60">
        <f t="shared" si="246"/>
        <v>1</v>
      </c>
      <c r="Q244" s="60">
        <f t="shared" si="246"/>
        <v>0.8571428571</v>
      </c>
      <c r="R244" s="60" t="str">
        <f t="shared" si="246"/>
        <v/>
      </c>
      <c r="S244" s="60">
        <f t="shared" si="246"/>
        <v>0.8571428571</v>
      </c>
      <c r="T244" s="61">
        <f t="shared" si="3"/>
        <v>0.9444444444</v>
      </c>
      <c r="U244" s="53">
        <f t="shared" si="4"/>
        <v>1</v>
      </c>
      <c r="V244" s="54">
        <f t="shared" si="5"/>
        <v>2</v>
      </c>
    </row>
    <row r="245" ht="15.75" customHeight="1">
      <c r="A245" s="62" t="str">
        <f>SiteAttendu!$A245</f>
        <v>C4056</v>
      </c>
      <c r="B245" s="63" t="str">
        <f>VLOOKUP($A245,SiteAttendu!$A$2:$C$366,2,0)</f>
        <v>HOPITAL GENERAL BETTIE</v>
      </c>
      <c r="C245" s="64" t="str">
        <f>VLOOKUP($A245,SiteAttendu!$A$2:$C$366,3,0)</f>
        <v>INDENIE-DJUABLIN</v>
      </c>
      <c r="D245" s="65">
        <f>IF(VLOOKUP($A245,SiteAttendu!$A$2:$P$366,4,0)="NA","NA",COUNTIFS(soccode,A245,socprog,"PNLS/ANTIRETROVIRAUX ET IO",soctrans,"OUI"))</f>
        <v>1</v>
      </c>
      <c r="E245" s="65">
        <f>IF(VLOOKUP($A245,SiteAttendu!$A$2:$P$366,5,0)="NA","NA",COUNTIFS(soccode,A245,socprog,"PNLS/TESTS RAPIDES ET CONSOMMABLES",soctrans,"OUI"))</f>
        <v>1</v>
      </c>
      <c r="F245" s="65">
        <f>IF(VLOOKUP($A245,SiteAttendu!$A$2:$P$366,6,0)="NA","NA",COUNTIFS(soccode,A245,socprog,"PNLS/PRODUITS DE LABORATOIRE",soctrans,"OUI"))</f>
        <v>1</v>
      </c>
      <c r="G245" s="65" t="str">
        <f>IF(VLOOKUP($A245,SiteAttendu!$A$2:$P$366,7,0)="NA","NA",COUNTIFS(soccode,A245,socprog,"PNLS/CHARGES VIRALES",soctrans,"OUI"))</f>
        <v>NA</v>
      </c>
      <c r="H245" s="65">
        <f>IF(VLOOKUP($A245,SiteAttendu!$A$2:$P$366,9,0)="NA","NA",COUNTIFS(soccode,A245,socprog,"PNLP/MEDICAMENTS ET INTRANTS",soctrans,"OUI"))</f>
        <v>1</v>
      </c>
      <c r="I245" s="66">
        <f>IF(VLOOKUP($A245,SiteAttendu!$A$2:$P$366,10,0)="NA","NA",COUNTIFS(soccode,$A245,socprog,"PNSME/MEDICAMENTS ET INTRANTS",soctrans,"OUI"))</f>
        <v>1</v>
      </c>
      <c r="J245" s="65" t="str">
        <f>IF(VLOOKUP($A245,SiteAttendu!$A$2:$P$366,11,0)="NA","NA",COUNTIFS(soccode,$A245,socprog,"PNN/MEDICAMENTS ET INTRANTS",soctrans,"OUI"))</f>
        <v>NA</v>
      </c>
      <c r="K245" s="65">
        <f>IF(VLOOKUP($A245,SiteAttendu!$A$2:$O$366,15,0)="NA","NA",IF(COUNTIF(socprog,"PNLT/SENSIBLE MEDICAMENTS ET INTRANTS")=0,"NA",COUNTIFS(soccode,$A245,socprog,"PNLT/SENSIBLE MEDICAMENTS ET INTRANTS",soctrans,"OUI")))</f>
        <v>1</v>
      </c>
      <c r="L245" s="67"/>
      <c r="M245" s="67">
        <f t="shared" ref="M245:S245" si="247">IFERROR(SUMIFS(E$2:E$364,$C$2:$C$364,$C245)/COUNTIFS(E$2:E$364,"&lt;&gt;NA",$C$2:$C$364,$C245),"")</f>
        <v>0.8333333333</v>
      </c>
      <c r="N245" s="67">
        <f t="shared" si="247"/>
        <v>1</v>
      </c>
      <c r="O245" s="67">
        <f t="shared" si="247"/>
        <v>1</v>
      </c>
      <c r="P245" s="67">
        <f t="shared" si="247"/>
        <v>1</v>
      </c>
      <c r="Q245" s="67">
        <f t="shared" si="247"/>
        <v>0.8571428571</v>
      </c>
      <c r="R245" s="67" t="str">
        <f t="shared" si="247"/>
        <v/>
      </c>
      <c r="S245" s="67">
        <f t="shared" si="247"/>
        <v>0.8571428571</v>
      </c>
      <c r="T245" s="68">
        <f t="shared" si="3"/>
        <v>0.9444444444</v>
      </c>
      <c r="U245" s="53">
        <f t="shared" si="4"/>
        <v>3</v>
      </c>
      <c r="V245" s="54">
        <f t="shared" si="5"/>
        <v>3</v>
      </c>
    </row>
    <row r="246" ht="15.75" customHeight="1">
      <c r="A246" s="46" t="str">
        <f>SiteAttendu!$A246</f>
        <v>C5063</v>
      </c>
      <c r="B246" s="47" t="str">
        <f>VLOOKUP($A246,SiteAttendu!$A$2:$C$366,2,0)</f>
        <v>HOPITAL GENERAL DE MADINANI</v>
      </c>
      <c r="C246" s="48" t="str">
        <f>VLOOKUP($A246,SiteAttendu!$A$2:$C$366,3,0)</f>
        <v>KABADOUGOU</v>
      </c>
      <c r="D246" s="49">
        <f>IF(VLOOKUP($A246,SiteAttendu!$A$2:$P$366,4,0)="NA","NA",COUNTIFS(soccode,A246,socprog,"PNLS/ANTIRETROVIRAUX ET IO",soctrans,"OUI"))</f>
        <v>1</v>
      </c>
      <c r="E246" s="49">
        <f>IF(VLOOKUP($A246,SiteAttendu!$A$2:$P$366,5,0)="NA","NA",COUNTIFS(soccode,A246,socprog,"PNLS/TESTS RAPIDES ET CONSOMMABLES",soctrans,"OUI"))</f>
        <v>1</v>
      </c>
      <c r="F246" s="49">
        <f>IF(VLOOKUP($A246,SiteAttendu!$A$2:$P$366,6,0)="NA","NA",COUNTIFS(soccode,A246,socprog,"PNLS/PRODUITS DE LABORATOIRE",soctrans,"OUI"))</f>
        <v>1</v>
      </c>
      <c r="G246" s="49" t="str">
        <f>IF(VLOOKUP($A246,SiteAttendu!$A$2:$P$366,7,0)="NA","NA",COUNTIFS(soccode,A246,socprog,"PNLS/CHARGES VIRALES",soctrans,"OUI"))</f>
        <v>NA</v>
      </c>
      <c r="H246" s="49">
        <f>IF(VLOOKUP($A246,SiteAttendu!$A$2:$P$366,9,0)="NA","NA",COUNTIFS(soccode,A246,socprog,"PNLP/MEDICAMENTS ET INTRANTS",soctrans,"OUI"))</f>
        <v>1</v>
      </c>
      <c r="I246" s="50">
        <f>IF(VLOOKUP($A246,SiteAttendu!$A$2:$P$366,10,0)="NA","NA",COUNTIFS(soccode,$A246,socprog,"PNSME/MEDICAMENTS ET INTRANTS",soctrans,"OUI"))</f>
        <v>1</v>
      </c>
      <c r="J246" s="49" t="str">
        <f>IF(VLOOKUP($A246,SiteAttendu!$A$2:$P$366,11,0)="NA","NA",COUNTIFS(soccode,$A246,socprog,"PNN/MEDICAMENTS ET INTRANTS",soctrans,"OUI"))</f>
        <v>NA</v>
      </c>
      <c r="K246" s="49">
        <f>IF(VLOOKUP($A246,SiteAttendu!$A$2:$O$366,15,0)="NA","NA",IF(COUNTIF(socprog,"PNLT/SENSIBLE MEDICAMENTS ET INTRANTS")=0,"NA",COUNTIFS(soccode,$A246,socprog,"PNLT/SENSIBLE MEDICAMENTS ET INTRANTS",soctrans,"OUI")))</f>
        <v>1</v>
      </c>
      <c r="L246" s="51">
        <f t="shared" ref="L246:S246" si="248">IFERROR(SUMIFS(D$2:D$364,$C$2:$C$364,$C246)/COUNTIFS(D$2:D$364,"&lt;&gt;NA",$C$2:$C$364,$C246),"")</f>
        <v>0.7142857143</v>
      </c>
      <c r="M246" s="51">
        <f t="shared" si="248"/>
        <v>0.7142857143</v>
      </c>
      <c r="N246" s="89">
        <f t="shared" si="248"/>
        <v>1</v>
      </c>
      <c r="O246" s="51">
        <f t="shared" si="248"/>
        <v>1</v>
      </c>
      <c r="P246" s="51">
        <f t="shared" si="248"/>
        <v>0.7142857143</v>
      </c>
      <c r="Q246" s="51">
        <f t="shared" si="248"/>
        <v>0.7142857143</v>
      </c>
      <c r="R246" s="51">
        <f t="shared" si="248"/>
        <v>0.8</v>
      </c>
      <c r="S246" s="51">
        <f t="shared" si="248"/>
        <v>1</v>
      </c>
      <c r="T246" s="52">
        <f t="shared" si="3"/>
        <v>0.7777777778</v>
      </c>
      <c r="U246" s="53">
        <f t="shared" si="4"/>
        <v>3</v>
      </c>
      <c r="V246" s="54">
        <f t="shared" si="5"/>
        <v>3</v>
      </c>
    </row>
    <row r="247" ht="15.75" customHeight="1">
      <c r="A247" s="55" t="str">
        <f>SiteAttendu!$A247</f>
        <v>C5077</v>
      </c>
      <c r="B247" s="56" t="str">
        <f>VLOOKUP($A247,SiteAttendu!$A$2:$C$366,2,0)</f>
        <v>HOPITAL GENERAL SEGUELON</v>
      </c>
      <c r="C247" s="57" t="str">
        <f>VLOOKUP($A247,SiteAttendu!$A$2:$C$366,3,0)</f>
        <v>KABADOUGOU</v>
      </c>
      <c r="D247" s="58">
        <f>IF(VLOOKUP($A247,SiteAttendu!$A$2:$P$366,4,0)="NA","NA",COUNTIFS(soccode,A247,socprog,"PNLS/ANTIRETROVIRAUX ET IO",soctrans,"OUI"))</f>
        <v>1</v>
      </c>
      <c r="E247" s="58">
        <f>IF(VLOOKUP($A247,SiteAttendu!$A$2:$P$366,5,0)="NA","NA",COUNTIFS(soccode,A247,socprog,"PNLS/TESTS RAPIDES ET CONSOMMABLES",soctrans,"OUI"))</f>
        <v>1</v>
      </c>
      <c r="F247" s="58" t="str">
        <f>IF(VLOOKUP($A247,SiteAttendu!$A$2:$P$366,6,0)="NA","NA",COUNTIFS(soccode,A247,socprog,"PNLS/PRODUITS DE LABORATOIRE",soctrans,"OUI"))</f>
        <v>NA</v>
      </c>
      <c r="G247" s="58" t="str">
        <f>IF(VLOOKUP($A247,SiteAttendu!$A$2:$P$366,7,0)="NA","NA",COUNTIFS(soccode,A247,socprog,"PNLS/CHARGES VIRALES",soctrans,"OUI"))</f>
        <v>NA</v>
      </c>
      <c r="H247" s="58">
        <f>IF(VLOOKUP($A247,SiteAttendu!$A$2:$P$366,9,0)="NA","NA",COUNTIFS(soccode,A247,socprog,"PNLP/MEDICAMENTS ET INTRANTS",soctrans,"OUI"))</f>
        <v>1</v>
      </c>
      <c r="I247" s="59">
        <f>IF(VLOOKUP($A247,SiteAttendu!$A$2:$P$366,10,0)="NA","NA",COUNTIFS(soccode,$A247,socprog,"PNSME/MEDICAMENTS ET INTRANTS",soctrans,"OUI"))</f>
        <v>1</v>
      </c>
      <c r="J247" s="58">
        <f>IF(VLOOKUP($A247,SiteAttendu!$A$2:$P$366,11,0)="NA","NA",COUNTIFS(soccode,$A247,socprog,"PNN/MEDICAMENTS ET INTRANTS",soctrans,"OUI"))</f>
        <v>1</v>
      </c>
      <c r="K247" s="58">
        <f>IF(VLOOKUP($A247,SiteAttendu!$A$2:$O$366,15,0)="NA","NA",IF(COUNTIF(socprog,"PNLT/SENSIBLE MEDICAMENTS ET INTRANTS")=0,"NA",COUNTIFS(soccode,$A247,socprog,"PNLT/SENSIBLE MEDICAMENTS ET INTRANTS",soctrans,"OUI")))</f>
        <v>1</v>
      </c>
      <c r="L247" s="60"/>
      <c r="M247" s="60">
        <f t="shared" ref="M247:S247" si="249">IFERROR(SUMIFS(E$2:E$364,$C$2:$C$364,$C247)/COUNTIFS(E$2:E$364,"&lt;&gt;NA",$C$2:$C$364,$C247),"")</f>
        <v>0.7142857143</v>
      </c>
      <c r="N247" s="90">
        <f t="shared" si="249"/>
        <v>1</v>
      </c>
      <c r="O247" s="60">
        <f t="shared" si="249"/>
        <v>1</v>
      </c>
      <c r="P247" s="60">
        <f t="shared" si="249"/>
        <v>0.7142857143</v>
      </c>
      <c r="Q247" s="60">
        <f t="shared" si="249"/>
        <v>0.7142857143</v>
      </c>
      <c r="R247" s="60">
        <f t="shared" si="249"/>
        <v>0.8</v>
      </c>
      <c r="S247" s="60">
        <f t="shared" si="249"/>
        <v>1</v>
      </c>
      <c r="T247" s="61">
        <f t="shared" si="3"/>
        <v>0.7777777778</v>
      </c>
      <c r="U247" s="53">
        <f t="shared" si="4"/>
        <v>2</v>
      </c>
      <c r="V247" s="54">
        <f t="shared" si="5"/>
        <v>2</v>
      </c>
    </row>
    <row r="248" ht="15.75" customHeight="1">
      <c r="A248" s="55" t="str">
        <f>SiteAttendu!$A248</f>
        <v>C5090</v>
      </c>
      <c r="B248" s="56" t="str">
        <f>VLOOKUP($A248,SiteAttendu!$A$2:$C$366,2,0)</f>
        <v>DISTRICT SANITAIRE MADINANI</v>
      </c>
      <c r="C248" s="57" t="str">
        <f>VLOOKUP($A248,SiteAttendu!$A$2:$C$366,3,0)</f>
        <v>KABADOUGOU</v>
      </c>
      <c r="D248" s="58">
        <f>IF(VLOOKUP($A248,SiteAttendu!$A$2:$P$366,4,0)="NA","NA",COUNTIFS(soccode,A248,socprog,"PNLS/ANTIRETROVIRAUX ET IO",soctrans,"OUI"))</f>
        <v>0</v>
      </c>
      <c r="E248" s="58">
        <f>IF(VLOOKUP($A248,SiteAttendu!$A$2:$P$366,5,0)="NA","NA",COUNTIFS(soccode,A248,socprog,"PNLS/TESTS RAPIDES ET CONSOMMABLES",soctrans,"OUI"))</f>
        <v>0</v>
      </c>
      <c r="F248" s="58" t="str">
        <f>IF(VLOOKUP($A248,SiteAttendu!$A$2:$P$366,6,0)="NA","NA",COUNTIFS(soccode,A248,socprog,"PNLS/PRODUITS DE LABORATOIRE",soctrans,"OUI"))</f>
        <v>NA</v>
      </c>
      <c r="G248" s="58" t="str">
        <f>IF(VLOOKUP($A248,SiteAttendu!$A$2:$P$366,7,0)="NA","NA",COUNTIFS(soccode,A248,socprog,"PNLS/CHARGES VIRALES",soctrans,"OUI"))</f>
        <v>NA</v>
      </c>
      <c r="H248" s="58">
        <f>IF(VLOOKUP($A248,SiteAttendu!$A$2:$P$366,9,0)="NA","NA",COUNTIFS(soccode,A248,socprog,"PNLP/MEDICAMENTS ET INTRANTS",soctrans,"OUI"))</f>
        <v>0</v>
      </c>
      <c r="I248" s="59">
        <f>IF(VLOOKUP($A248,SiteAttendu!$A$2:$P$366,10,0)="NA","NA",COUNTIFS(soccode,$A248,socprog,"PNSME/MEDICAMENTS ET INTRANTS",soctrans,"OUI"))</f>
        <v>0</v>
      </c>
      <c r="J248" s="58">
        <f>IF(VLOOKUP($A248,SiteAttendu!$A$2:$P$366,11,0)="NA","NA",COUNTIFS(soccode,$A248,socprog,"PNN/MEDICAMENTS ET INTRANTS",soctrans,"OUI"))</f>
        <v>0</v>
      </c>
      <c r="K248" s="58" t="str">
        <f>IF(VLOOKUP($A248,SiteAttendu!$A$2:$O$366,15,0)="NA","NA",IF(COUNTIF(socprog,"PNLT/SENSIBLE MEDICAMENTS ET INTRANTS")=0,"NA",COUNTIFS(soccode,$A248,socprog,"PNLT/SENSIBLE MEDICAMENTS ET INTRANTS",soctrans,"OUI")))</f>
        <v>NA</v>
      </c>
      <c r="L248" s="60"/>
      <c r="M248" s="60">
        <f t="shared" ref="M248:S248" si="250">IFERROR(SUMIFS(E$2:E$364,$C$2:$C$364,$C248)/COUNTIFS(E$2:E$364,"&lt;&gt;NA",$C$2:$C$364,$C248),"")</f>
        <v>0.7142857143</v>
      </c>
      <c r="N248" s="90">
        <f t="shared" si="250"/>
        <v>1</v>
      </c>
      <c r="O248" s="60">
        <f t="shared" si="250"/>
        <v>1</v>
      </c>
      <c r="P248" s="60">
        <f t="shared" si="250"/>
        <v>0.7142857143</v>
      </c>
      <c r="Q248" s="60">
        <f t="shared" si="250"/>
        <v>0.7142857143</v>
      </c>
      <c r="R248" s="60">
        <f t="shared" si="250"/>
        <v>0.8</v>
      </c>
      <c r="S248" s="60">
        <f t="shared" si="250"/>
        <v>1</v>
      </c>
      <c r="T248" s="61">
        <f t="shared" si="3"/>
        <v>0.7777777778</v>
      </c>
      <c r="U248" s="53">
        <f t="shared" si="4"/>
        <v>0</v>
      </c>
      <c r="V248" s="54">
        <f t="shared" si="5"/>
        <v>2</v>
      </c>
    </row>
    <row r="249" ht="15.75" customHeight="1">
      <c r="A249" s="55" t="str">
        <f>SiteAttendu!$A249</f>
        <v>C5003</v>
      </c>
      <c r="B249" s="56" t="str">
        <f>VLOOKUP($A249,SiteAttendu!$A$2:$C$366,2,0)</f>
        <v>CHR ODIENNE</v>
      </c>
      <c r="C249" s="57" t="str">
        <f>VLOOKUP($A249,SiteAttendu!$A$2:$C$366,3,0)</f>
        <v>KABADOUGOU</v>
      </c>
      <c r="D249" s="58">
        <f>IF(VLOOKUP($A249,SiteAttendu!$A$2:$P$366,4,0)="NA","NA",COUNTIFS(soccode,A249,socprog,"PNLS/ANTIRETROVIRAUX ET IO",soctrans,"OUI"))</f>
        <v>1</v>
      </c>
      <c r="E249" s="58">
        <f>IF(VLOOKUP($A249,SiteAttendu!$A$2:$P$366,5,0)="NA","NA",COUNTIFS(soccode,A249,socprog,"PNLS/TESTS RAPIDES ET CONSOMMABLES",soctrans,"OUI"))</f>
        <v>1</v>
      </c>
      <c r="F249" s="58">
        <f>IF(VLOOKUP($A249,SiteAttendu!$A$2:$P$366,6,0)="NA","NA",COUNTIFS(soccode,A249,socprog,"PNLS/PRODUITS DE LABORATOIRE",soctrans,"OUI"))</f>
        <v>1</v>
      </c>
      <c r="G249" s="58">
        <f>IF(VLOOKUP($A249,SiteAttendu!$A$2:$P$366,7,0)="NA","NA",COUNTIFS(soccode,A249,socprog,"PNLS/CHARGES VIRALES",soctrans,"OUI"))</f>
        <v>1</v>
      </c>
      <c r="H249" s="58">
        <f>IF(VLOOKUP($A249,SiteAttendu!$A$2:$P$366,9,0)="NA","NA",COUNTIFS(soccode,A249,socprog,"PNLP/MEDICAMENTS ET INTRANTS",soctrans,"OUI"))</f>
        <v>1</v>
      </c>
      <c r="I249" s="59">
        <f>IF(VLOOKUP($A249,SiteAttendu!$A$2:$P$366,10,0)="NA","NA",COUNTIFS(soccode,$A249,socprog,"PNSME/MEDICAMENTS ET INTRANTS",soctrans,"OUI"))</f>
        <v>1</v>
      </c>
      <c r="J249" s="58">
        <f>IF(VLOOKUP($A249,SiteAttendu!$A$2:$P$366,11,0)="NA","NA",COUNTIFS(soccode,$A249,socprog,"PNN/MEDICAMENTS ET INTRANTS",soctrans,"OUI"))</f>
        <v>1</v>
      </c>
      <c r="K249" s="58" t="str">
        <f>IF(VLOOKUP($A249,SiteAttendu!$A$2:$O$366,15,0)="NA","NA",IF(COUNTIF(socprog,"PNLT/SENSIBLE MEDICAMENTS ET INTRANTS")=0,"NA",COUNTIFS(soccode,$A249,socprog,"PNLT/SENSIBLE MEDICAMENTS ET INTRANTS",soctrans,"OUI")))</f>
        <v>NA</v>
      </c>
      <c r="L249" s="60"/>
      <c r="M249" s="60">
        <f t="shared" ref="M249:S249" si="251">IFERROR(SUMIFS(E$2:E$364,$C$2:$C$364,$C249)/COUNTIFS(E$2:E$364,"&lt;&gt;NA",$C$2:$C$364,$C249),"")</f>
        <v>0.7142857143</v>
      </c>
      <c r="N249" s="90">
        <f t="shared" si="251"/>
        <v>1</v>
      </c>
      <c r="O249" s="60">
        <f t="shared" si="251"/>
        <v>1</v>
      </c>
      <c r="P249" s="60">
        <f t="shared" si="251"/>
        <v>0.7142857143</v>
      </c>
      <c r="Q249" s="60">
        <f t="shared" si="251"/>
        <v>0.7142857143</v>
      </c>
      <c r="R249" s="60">
        <f t="shared" si="251"/>
        <v>0.8</v>
      </c>
      <c r="S249" s="60">
        <f t="shared" si="251"/>
        <v>1</v>
      </c>
      <c r="T249" s="61">
        <f t="shared" si="3"/>
        <v>0.7777777778</v>
      </c>
      <c r="U249" s="53">
        <f t="shared" si="4"/>
        <v>4</v>
      </c>
      <c r="V249" s="54">
        <f t="shared" si="5"/>
        <v>4</v>
      </c>
    </row>
    <row r="250" ht="15.75" customHeight="1">
      <c r="A250" s="55" t="str">
        <f>SiteAttendu!$A250</f>
        <v>C5013</v>
      </c>
      <c r="B250" s="56" t="str">
        <f>VLOOKUP($A250,SiteAttendu!$A$2:$C$366,2,0)</f>
        <v>DISTRICT SANITAIRE ODIENNE</v>
      </c>
      <c r="C250" s="57" t="str">
        <f>VLOOKUP($A250,SiteAttendu!$A$2:$C$366,3,0)</f>
        <v>KABADOUGOU</v>
      </c>
      <c r="D250" s="58">
        <f>IF(VLOOKUP($A250,SiteAttendu!$A$2:$P$366,4,0)="NA","NA",COUNTIFS(soccode,A250,socprog,"PNLS/ANTIRETROVIRAUX ET IO",soctrans,"OUI"))</f>
        <v>1</v>
      </c>
      <c r="E250" s="58">
        <f>IF(VLOOKUP($A250,SiteAttendu!$A$2:$P$366,5,0)="NA","NA",COUNTIFS(soccode,A250,socprog,"PNLS/TESTS RAPIDES ET CONSOMMABLES",soctrans,"OUI"))</f>
        <v>1</v>
      </c>
      <c r="F250" s="58">
        <f>IF(VLOOKUP($A250,SiteAttendu!$A$2:$P$366,6,0)="NA","NA",COUNTIFS(soccode,A250,socprog,"PNLS/PRODUITS DE LABORATOIRE",soctrans,"OUI"))</f>
        <v>1</v>
      </c>
      <c r="G250" s="58" t="str">
        <f>IF(VLOOKUP($A250,SiteAttendu!$A$2:$P$366,7,0)="NA","NA",COUNTIFS(soccode,A250,socprog,"PNLS/CHARGES VIRALES",soctrans,"OUI"))</f>
        <v>NA</v>
      </c>
      <c r="H250" s="58">
        <f>IF(VLOOKUP($A250,SiteAttendu!$A$2:$P$366,9,0)="NA","NA",COUNTIFS(soccode,A250,socprog,"PNLP/MEDICAMENTS ET INTRANTS",soctrans,"OUI"))</f>
        <v>1</v>
      </c>
      <c r="I250" s="59">
        <f>IF(VLOOKUP($A250,SiteAttendu!$A$2:$P$366,10,0)="NA","NA",COUNTIFS(soccode,$A250,socprog,"PNSME/MEDICAMENTS ET INTRANTS",soctrans,"OUI"))</f>
        <v>1</v>
      </c>
      <c r="J250" s="58">
        <f>IF(VLOOKUP($A250,SiteAttendu!$A$2:$P$366,11,0)="NA","NA",COUNTIFS(soccode,$A250,socprog,"PNN/MEDICAMENTS ET INTRANTS",soctrans,"OUI"))</f>
        <v>1</v>
      </c>
      <c r="K250" s="58">
        <f>IF(VLOOKUP($A250,SiteAttendu!$A$2:$O$366,15,0)="NA","NA",IF(COUNTIF(socprog,"PNLT/SENSIBLE MEDICAMENTS ET INTRANTS")=0,"NA",COUNTIFS(soccode,$A250,socprog,"PNLT/SENSIBLE MEDICAMENTS ET INTRANTS",soctrans,"OUI")))</f>
        <v>1</v>
      </c>
      <c r="L250" s="60"/>
      <c r="M250" s="60">
        <f t="shared" ref="M250:S250" si="252">IFERROR(SUMIFS(E$2:E$364,$C$2:$C$364,$C250)/COUNTIFS(E$2:E$364,"&lt;&gt;NA",$C$2:$C$364,$C250),"")</f>
        <v>0.7142857143</v>
      </c>
      <c r="N250" s="90">
        <f t="shared" si="252"/>
        <v>1</v>
      </c>
      <c r="O250" s="60">
        <f t="shared" si="252"/>
        <v>1</v>
      </c>
      <c r="P250" s="60">
        <f t="shared" si="252"/>
        <v>0.7142857143</v>
      </c>
      <c r="Q250" s="60">
        <f t="shared" si="252"/>
        <v>0.7142857143</v>
      </c>
      <c r="R250" s="60">
        <f t="shared" si="252"/>
        <v>0.8</v>
      </c>
      <c r="S250" s="60">
        <f t="shared" si="252"/>
        <v>1</v>
      </c>
      <c r="T250" s="61">
        <f t="shared" si="3"/>
        <v>0.7777777778</v>
      </c>
      <c r="U250" s="53">
        <f t="shared" si="4"/>
        <v>3</v>
      </c>
      <c r="V250" s="54">
        <f t="shared" si="5"/>
        <v>3</v>
      </c>
    </row>
    <row r="251" ht="15.75" customHeight="1">
      <c r="A251" s="55" t="str">
        <f>SiteAttendu!$A251</f>
        <v>C5073</v>
      </c>
      <c r="B251" s="56" t="str">
        <f>VLOOKUP($A251,SiteAttendu!$A$2:$C$366,2,0)</f>
        <v>HOPITAL GENERAL GBELEBAN</v>
      </c>
      <c r="C251" s="57" t="str">
        <f>VLOOKUP($A251,SiteAttendu!$A$2:$C$366,3,0)</f>
        <v>KABADOUGOU</v>
      </c>
      <c r="D251" s="58">
        <f>IF(VLOOKUP($A251,SiteAttendu!$A$2:$P$366,4,0)="NA","NA",COUNTIFS(soccode,A251,socprog,"PNLS/ANTIRETROVIRAUX ET IO",soctrans,"OUI"))</f>
        <v>0</v>
      </c>
      <c r="E251" s="58">
        <f>IF(VLOOKUP($A251,SiteAttendu!$A$2:$P$366,5,0)="NA","NA",COUNTIFS(soccode,A251,socprog,"PNLS/TESTS RAPIDES ET CONSOMMABLES",soctrans,"OUI"))</f>
        <v>0</v>
      </c>
      <c r="F251" s="58" t="str">
        <f>IF(VLOOKUP($A251,SiteAttendu!$A$2:$P$366,6,0)="NA","NA",COUNTIFS(soccode,A251,socprog,"PNLS/PRODUITS DE LABORATOIRE",soctrans,"OUI"))</f>
        <v>NA</v>
      </c>
      <c r="G251" s="58" t="str">
        <f>IF(VLOOKUP($A251,SiteAttendu!$A$2:$P$366,7,0)="NA","NA",COUNTIFS(soccode,A251,socprog,"PNLS/CHARGES VIRALES",soctrans,"OUI"))</f>
        <v>NA</v>
      </c>
      <c r="H251" s="58">
        <f>IF(VLOOKUP($A251,SiteAttendu!$A$2:$P$366,9,0)="NA","NA",COUNTIFS(soccode,A251,socprog,"PNLP/MEDICAMENTS ET INTRANTS",soctrans,"OUI"))</f>
        <v>0</v>
      </c>
      <c r="I251" s="59">
        <f>IF(VLOOKUP($A251,SiteAttendu!$A$2:$P$366,10,0)="NA","NA",COUNTIFS(soccode,$A251,socprog,"PNSME/MEDICAMENTS ET INTRANTS",soctrans,"OUI"))</f>
        <v>0</v>
      </c>
      <c r="J251" s="58" t="str">
        <f>IF(VLOOKUP($A251,SiteAttendu!$A$2:$P$366,11,0)="NA","NA",COUNTIFS(soccode,$A251,socprog,"PNN/MEDICAMENTS ET INTRANTS",soctrans,"OUI"))</f>
        <v>NA</v>
      </c>
      <c r="K251" s="58" t="str">
        <f>IF(VLOOKUP($A251,SiteAttendu!$A$2:$O$366,15,0)="NA","NA",IF(COUNTIF(socprog,"PNLT/SENSIBLE MEDICAMENTS ET INTRANTS")=0,"NA",COUNTIFS(soccode,$A251,socprog,"PNLT/SENSIBLE MEDICAMENTS ET INTRANTS",soctrans,"OUI")))</f>
        <v>NA</v>
      </c>
      <c r="L251" s="60"/>
      <c r="M251" s="60">
        <f t="shared" ref="M251:S251" si="253">IFERROR(SUMIFS(E$2:E$364,$C$2:$C$364,$C251)/COUNTIFS(E$2:E$364,"&lt;&gt;NA",$C$2:$C$364,$C251),"")</f>
        <v>0.7142857143</v>
      </c>
      <c r="N251" s="90">
        <f t="shared" si="253"/>
        <v>1</v>
      </c>
      <c r="O251" s="60">
        <f t="shared" si="253"/>
        <v>1</v>
      </c>
      <c r="P251" s="60">
        <f t="shared" si="253"/>
        <v>0.7142857143</v>
      </c>
      <c r="Q251" s="60">
        <f t="shared" si="253"/>
        <v>0.7142857143</v>
      </c>
      <c r="R251" s="60">
        <f t="shared" si="253"/>
        <v>0.8</v>
      </c>
      <c r="S251" s="60">
        <f t="shared" si="253"/>
        <v>1</v>
      </c>
      <c r="T251" s="61">
        <f t="shared" si="3"/>
        <v>0.7777777778</v>
      </c>
      <c r="U251" s="53">
        <f t="shared" si="4"/>
        <v>0</v>
      </c>
      <c r="V251" s="54">
        <f t="shared" si="5"/>
        <v>2</v>
      </c>
    </row>
    <row r="252" ht="15.75" customHeight="1">
      <c r="A252" s="55" t="str">
        <f>SiteAttendu!$A252</f>
        <v>C5075</v>
      </c>
      <c r="B252" s="56" t="str">
        <f>VLOOKUP($A252,SiteAttendu!$A$2:$C$366,2,0)</f>
        <v>HOPITAL GENERAL SAMATIGUILA</v>
      </c>
      <c r="C252" s="57" t="str">
        <f>VLOOKUP($A252,SiteAttendu!$A$2:$C$366,3,0)</f>
        <v>KABADOUGOU</v>
      </c>
      <c r="D252" s="58">
        <f>IF(VLOOKUP($A252,SiteAttendu!$A$2:$P$366,4,0)="NA","NA",COUNTIFS(soccode,A252,socprog,"PNLS/ANTIRETROVIRAUX ET IO",soctrans,"OUI"))</f>
        <v>1</v>
      </c>
      <c r="E252" s="58">
        <f>IF(VLOOKUP($A252,SiteAttendu!$A$2:$P$366,5,0)="NA","NA",COUNTIFS(soccode,A252,socprog,"PNLS/TESTS RAPIDES ET CONSOMMABLES",soctrans,"OUI"))</f>
        <v>1</v>
      </c>
      <c r="F252" s="58" t="str">
        <f>IF(VLOOKUP($A252,SiteAttendu!$A$2:$P$366,6,0)="NA","NA",COUNTIFS(soccode,A252,socprog,"PNLS/PRODUITS DE LABORATOIRE",soctrans,"OUI"))</f>
        <v>NA</v>
      </c>
      <c r="G252" s="58" t="str">
        <f>IF(VLOOKUP($A252,SiteAttendu!$A$2:$P$366,7,0)="NA","NA",COUNTIFS(soccode,A252,socprog,"PNLS/CHARGES VIRALES",soctrans,"OUI"))</f>
        <v>NA</v>
      </c>
      <c r="H252" s="58">
        <f>IF(VLOOKUP($A252,SiteAttendu!$A$2:$P$366,9,0)="NA","NA",COUNTIFS(soccode,A252,socprog,"PNLP/MEDICAMENTS ET INTRANTS",soctrans,"OUI"))</f>
        <v>1</v>
      </c>
      <c r="I252" s="59">
        <f>IF(VLOOKUP($A252,SiteAttendu!$A$2:$P$366,10,0)="NA","NA",COUNTIFS(soccode,$A252,socprog,"PNSME/MEDICAMENTS ET INTRANTS",soctrans,"OUI"))</f>
        <v>1</v>
      </c>
      <c r="J252" s="58">
        <f>IF(VLOOKUP($A252,SiteAttendu!$A$2:$P$366,11,0)="NA","NA",COUNTIFS(soccode,$A252,socprog,"PNN/MEDICAMENTS ET INTRANTS",soctrans,"OUI"))</f>
        <v>1</v>
      </c>
      <c r="K252" s="58">
        <f>IF(VLOOKUP($A252,SiteAttendu!$A$2:$O$366,15,0)="NA","NA",IF(COUNTIF(socprog,"PNLT/SENSIBLE MEDICAMENTS ET INTRANTS")=0,"NA",COUNTIFS(soccode,$A252,socprog,"PNLT/SENSIBLE MEDICAMENTS ET INTRANTS",soctrans,"OUI")))</f>
        <v>1</v>
      </c>
      <c r="L252" s="60"/>
      <c r="M252" s="60">
        <f t="shared" ref="M252:S252" si="254">IFERROR(SUMIFS(E$2:E$364,$C$2:$C$364,$C252)/COUNTIFS(E$2:E$364,"&lt;&gt;NA",$C$2:$C$364,$C252),"")</f>
        <v>0.7142857143</v>
      </c>
      <c r="N252" s="90">
        <f t="shared" si="254"/>
        <v>1</v>
      </c>
      <c r="O252" s="60">
        <f t="shared" si="254"/>
        <v>1</v>
      </c>
      <c r="P252" s="60">
        <f t="shared" si="254"/>
        <v>0.7142857143</v>
      </c>
      <c r="Q252" s="60">
        <f t="shared" si="254"/>
        <v>0.7142857143</v>
      </c>
      <c r="R252" s="60">
        <f t="shared" si="254"/>
        <v>0.8</v>
      </c>
      <c r="S252" s="60">
        <f t="shared" si="254"/>
        <v>1</v>
      </c>
      <c r="T252" s="61">
        <f t="shared" si="3"/>
        <v>0.7777777778</v>
      </c>
      <c r="U252" s="53">
        <f t="shared" si="4"/>
        <v>2</v>
      </c>
      <c r="V252" s="54">
        <f t="shared" si="5"/>
        <v>2</v>
      </c>
    </row>
    <row r="253" ht="15.75" customHeight="1">
      <c r="A253" s="70" t="str">
        <f>SiteAttendu!$A253</f>
        <v>C5062</v>
      </c>
      <c r="B253" s="71" t="str">
        <f>VLOOKUP($A253,SiteAttendu!$A$2:$C$366,2,0)</f>
        <v>CENTRE ANTITUBERCULEUX ODIENNE</v>
      </c>
      <c r="C253" s="72" t="str">
        <f>VLOOKUP($A253,SiteAttendu!$A$2:$C$366,3,0)</f>
        <v>KABADOUGOU</v>
      </c>
      <c r="D253" s="73" t="str">
        <f>IF(VLOOKUP($A253,SiteAttendu!$A$2:$P$366,4,0)="NA","NA",COUNTIFS(soccode,A253,socprog,"PNLS/ANTIRETROVIRAUX ET IO",soctrans,"OUI"))</f>
        <v>NA</v>
      </c>
      <c r="E253" s="73" t="str">
        <f>IF(VLOOKUP($A253,SiteAttendu!$A$2:$P$366,5,0)="NA","NA",COUNTIFS(soccode,A253,socprog,"PNLS/TESTS RAPIDES ET CONSOMMABLES",soctrans,"OUI"))</f>
        <v>NA</v>
      </c>
      <c r="F253" s="73" t="str">
        <f>IF(VLOOKUP($A253,SiteAttendu!$A$2:$P$366,6,0)="NA","NA",COUNTIFS(soccode,A253,socprog,"PNLS/PRODUITS DE LABORATOIRE",soctrans,"OUI"))</f>
        <v>NA</v>
      </c>
      <c r="G253" s="73" t="str">
        <f>IF(VLOOKUP($A253,SiteAttendu!$A$2:$P$366,7,0)="NA","NA",COUNTIFS(soccode,A253,socprog,"PNLS/CHARGES VIRALES",soctrans,"OUI"))</f>
        <v>NA</v>
      </c>
      <c r="H253" s="73" t="str">
        <f>IF(VLOOKUP($A253,SiteAttendu!$A$2:$P$366,9,0)="NA","NA",COUNTIFS(soccode,A253,socprog,"PNLP/MEDICAMENTS ET INTRANTS",soctrans,"OUI"))</f>
        <v>NA</v>
      </c>
      <c r="I253" s="74" t="str">
        <f>IF(VLOOKUP($A253,SiteAttendu!$A$2:$P$366,10,0)="NA","NA",COUNTIFS(soccode,$A253,socprog,"PNSME/MEDICAMENTS ET INTRANTS",soctrans,"OUI"))</f>
        <v>NA</v>
      </c>
      <c r="J253" s="73" t="str">
        <f>IF(VLOOKUP($A253,SiteAttendu!$A$2:$P$366,11,0)="NA","NA",COUNTIFS(soccode,$A253,socprog,"PNN/MEDICAMENTS ET INTRANTS",soctrans,"OUI"))</f>
        <v>NA</v>
      </c>
      <c r="K253" s="73">
        <f>IF(VLOOKUP($A253,SiteAttendu!$A$2:$O$366,15,0)="NA","NA",IF(COUNTIF(socprog,"PNLT/SENSIBLE MEDICAMENTS ET INTRANTS")=0,"NA",COUNTIFS(soccode,$A253,socprog,"PNLT/SENSIBLE MEDICAMENTS ET INTRANTS",soctrans,"OUI")))</f>
        <v>1</v>
      </c>
      <c r="L253" s="60"/>
      <c r="M253" s="60">
        <f t="shared" ref="M253:S253" si="255">IFERROR(SUMIFS(E$2:E$364,$C$2:$C$364,$C253)/COUNTIFS(E$2:E$364,"&lt;&gt;NA",$C$2:$C$364,$C253),"")</f>
        <v>0.7142857143</v>
      </c>
      <c r="N253" s="90">
        <f t="shared" si="255"/>
        <v>1</v>
      </c>
      <c r="O253" s="60">
        <f t="shared" si="255"/>
        <v>1</v>
      </c>
      <c r="P253" s="60">
        <f t="shared" si="255"/>
        <v>0.7142857143</v>
      </c>
      <c r="Q253" s="60">
        <f t="shared" si="255"/>
        <v>0.7142857143</v>
      </c>
      <c r="R253" s="60">
        <f t="shared" si="255"/>
        <v>0.8</v>
      </c>
      <c r="S253" s="60">
        <f t="shared" si="255"/>
        <v>1</v>
      </c>
      <c r="T253" s="61">
        <f t="shared" si="3"/>
        <v>0.7777777778</v>
      </c>
      <c r="U253" s="53">
        <f t="shared" si="4"/>
        <v>0</v>
      </c>
      <c r="V253" s="54">
        <f t="shared" si="5"/>
        <v>0</v>
      </c>
    </row>
    <row r="254" ht="15.75" customHeight="1">
      <c r="A254" s="46" t="str">
        <f>SiteAttendu!$A254</f>
        <v>C2226</v>
      </c>
      <c r="B254" s="47" t="str">
        <f>VLOOKUP($A254,SiteAttendu!$A$2:$C$366,2,0)</f>
        <v>CSU NIAMBEZARIA</v>
      </c>
      <c r="C254" s="48" t="str">
        <f>VLOOKUP($A254,SiteAttendu!$A$2:$C$366,3,0)</f>
        <v>LOH-DJIBOUA</v>
      </c>
      <c r="D254" s="49" t="str">
        <f>IF(VLOOKUP($A254,SiteAttendu!$A$2:$P$366,4,0)="NA","NA",COUNTIFS(soccode,A254,socprog,"PNLS/ANTIRETROVIRAUX ET IO",soctrans,"OUI"))</f>
        <v>NA</v>
      </c>
      <c r="E254" s="49" t="str">
        <f>IF(VLOOKUP($A254,SiteAttendu!$A$2:$P$366,5,0)="NA","NA",COUNTIFS(soccode,A254,socprog,"PNLS/TESTS RAPIDES ET CONSOMMABLES",soctrans,"OUI"))</f>
        <v>NA</v>
      </c>
      <c r="F254" s="49" t="str">
        <f>IF(VLOOKUP($A254,SiteAttendu!$A$2:$P$366,6,0)="NA","NA",COUNTIFS(soccode,A254,socprog,"PNLS/PRODUITS DE LABORATOIRE",soctrans,"OUI"))</f>
        <v>NA</v>
      </c>
      <c r="G254" s="49" t="str">
        <f>IF(VLOOKUP($A254,SiteAttendu!$A$2:$P$366,7,0)="NA","NA",COUNTIFS(soccode,A254,socprog,"PNLS/CHARGES VIRALES",soctrans,"OUI"))</f>
        <v>NA</v>
      </c>
      <c r="H254" s="49" t="str">
        <f>IF(VLOOKUP($A254,SiteAttendu!$A$2:$P$366,9,0)="NA","NA",COUNTIFS(soccode,A254,socprog,"PNLP/MEDICAMENTS ET INTRANTS",soctrans,"OUI"))</f>
        <v>NA</v>
      </c>
      <c r="I254" s="49">
        <f>IF(VLOOKUP($A254,SiteAttendu!$A$2:$P$366,10,0)="NA","NA",COUNTIFS(soccode,$A254,socprog,"PNSME/MEDICAMENTS ET INTRANTS",soctrans,"OUI"))</f>
        <v>1</v>
      </c>
      <c r="J254" s="49" t="str">
        <f>IF(VLOOKUP($A254,SiteAttendu!$A$2:$P$366,11,0)="NA","NA",COUNTIFS(soccode,$A254,socprog,"PNN/MEDICAMENTS ET INTRANTS",soctrans,"OUI"))</f>
        <v>NA</v>
      </c>
      <c r="K254" s="49" t="str">
        <f>IF(VLOOKUP($A254,SiteAttendu!$A$2:$O$366,15,0)="NA","NA",IF(COUNTIF(socprog,"PNLT/SENSIBLE MEDICAMENTS ET INTRANTS")=0,"NA",COUNTIFS(soccode,$A254,socprog,"PNLT/SENSIBLE MEDICAMENTS ET INTRANTS",soctrans,"OUI")))</f>
        <v>NA</v>
      </c>
      <c r="L254" s="91">
        <f t="shared" ref="L254:S254" si="256">IFERROR(SUMIFS(D$2:D$364,$C$2:$C$364,$C254)/COUNTIFS(D$2:D$364,"&lt;&gt;NA",$C$2:$C$364,$C254),"")</f>
        <v>0.8333333333</v>
      </c>
      <c r="M254" s="91">
        <f t="shared" si="256"/>
        <v>0.8333333333</v>
      </c>
      <c r="N254" s="91">
        <f t="shared" si="256"/>
        <v>0.8</v>
      </c>
      <c r="O254" s="91">
        <f t="shared" si="256"/>
        <v>1</v>
      </c>
      <c r="P254" s="91">
        <f t="shared" si="256"/>
        <v>0.8333333333</v>
      </c>
      <c r="Q254" s="91">
        <f t="shared" si="256"/>
        <v>0.5555555556</v>
      </c>
      <c r="R254" s="91" t="str">
        <f t="shared" si="256"/>
        <v/>
      </c>
      <c r="S254" s="91">
        <f t="shared" si="256"/>
        <v>0.5</v>
      </c>
      <c r="T254" s="51">
        <f t="shared" si="3"/>
        <v>0.8333333333</v>
      </c>
      <c r="U254" s="92">
        <f t="shared" si="4"/>
        <v>0</v>
      </c>
      <c r="V254" s="54">
        <f t="shared" si="5"/>
        <v>0</v>
      </c>
    </row>
    <row r="255" ht="15.75" customHeight="1">
      <c r="A255" s="55" t="str">
        <f>SiteAttendu!$A255</f>
        <v>C2005</v>
      </c>
      <c r="B255" s="56" t="str">
        <f>VLOOKUP($A255,SiteAttendu!$A$2:$C$366,2,0)</f>
        <v>CHR DIVO</v>
      </c>
      <c r="C255" s="57" t="str">
        <f>VLOOKUP($A255,SiteAttendu!$A$2:$C$366,3,0)</f>
        <v>LOH-DJIBOUA</v>
      </c>
      <c r="D255" s="58">
        <f>IF(VLOOKUP($A255,SiteAttendu!$A$2:$P$366,4,0)="NA","NA",COUNTIFS(soccode,A255,socprog,"PNLS/ANTIRETROVIRAUX ET IO",soctrans,"OUI"))</f>
        <v>1</v>
      </c>
      <c r="E255" s="58">
        <f>IF(VLOOKUP($A255,SiteAttendu!$A$2:$P$366,5,0)="NA","NA",COUNTIFS(soccode,A255,socprog,"PNLS/TESTS RAPIDES ET CONSOMMABLES",soctrans,"OUI"))</f>
        <v>1</v>
      </c>
      <c r="F255" s="58">
        <f>IF(VLOOKUP($A255,SiteAttendu!$A$2:$P$366,6,0)="NA","NA",COUNTIFS(soccode,A255,socprog,"PNLS/PRODUITS DE LABORATOIRE",soctrans,"OUI"))</f>
        <v>1</v>
      </c>
      <c r="G255" s="58">
        <f>IF(VLOOKUP($A255,SiteAttendu!$A$2:$P$366,7,0)="NA","NA",COUNTIFS(soccode,A255,socprog,"PNLS/CHARGES VIRALES",soctrans,"OUI"))</f>
        <v>1</v>
      </c>
      <c r="H255" s="58">
        <f>IF(VLOOKUP($A255,SiteAttendu!$A$2:$P$366,9,0)="NA","NA",COUNTIFS(soccode,A255,socprog,"PNLP/MEDICAMENTS ET INTRANTS",soctrans,"OUI"))</f>
        <v>1</v>
      </c>
      <c r="I255" s="58">
        <f>IF(VLOOKUP($A255,SiteAttendu!$A$2:$P$366,10,0)="NA","NA",COUNTIFS(soccode,$A255,socprog,"PNSME/MEDICAMENTS ET INTRANTS",soctrans,"OUI"))</f>
        <v>1</v>
      </c>
      <c r="J255" s="58" t="str">
        <f>IF(VLOOKUP($A255,SiteAttendu!$A$2:$P$366,11,0)="NA","NA",COUNTIFS(soccode,$A255,socprog,"PNN/MEDICAMENTS ET INTRANTS",soctrans,"OUI"))</f>
        <v>NA</v>
      </c>
      <c r="K255" s="58" t="str">
        <f>IF(VLOOKUP($A255,SiteAttendu!$A$2:$O$366,15,0)="NA","NA",IF(COUNTIF(socprog,"PNLT/SENSIBLE MEDICAMENTS ET INTRANTS")=0,"NA",COUNTIFS(soccode,$A255,socprog,"PNLT/SENSIBLE MEDICAMENTS ET INTRANTS",soctrans,"OUI")))</f>
        <v>NA</v>
      </c>
      <c r="L255" s="90"/>
      <c r="M255" s="90">
        <f t="shared" ref="M255:S255" si="257">IFERROR(SUMIFS(E$2:E$364,$C$2:$C$364,$C255)/COUNTIFS(E$2:E$364,"&lt;&gt;NA",$C$2:$C$364,$C255),"")</f>
        <v>0.8333333333</v>
      </c>
      <c r="N255" s="90">
        <f t="shared" si="257"/>
        <v>0.8</v>
      </c>
      <c r="O255" s="90">
        <f t="shared" si="257"/>
        <v>1</v>
      </c>
      <c r="P255" s="90">
        <f t="shared" si="257"/>
        <v>0.8333333333</v>
      </c>
      <c r="Q255" s="90">
        <f t="shared" si="257"/>
        <v>0.5555555556</v>
      </c>
      <c r="R255" s="90" t="str">
        <f t="shared" si="257"/>
        <v/>
      </c>
      <c r="S255" s="90">
        <f t="shared" si="257"/>
        <v>0.5</v>
      </c>
      <c r="T255" s="60">
        <f t="shared" si="3"/>
        <v>0.8333333333</v>
      </c>
      <c r="U255" s="92">
        <f t="shared" si="4"/>
        <v>4</v>
      </c>
      <c r="V255" s="54">
        <f t="shared" si="5"/>
        <v>4</v>
      </c>
    </row>
    <row r="256" ht="15.75" customHeight="1">
      <c r="A256" s="55" t="str">
        <f>SiteAttendu!$A256</f>
        <v>C2028</v>
      </c>
      <c r="B256" s="56" t="str">
        <f>VLOOKUP($A256,SiteAttendu!$A$2:$C$366,2,0)</f>
        <v>DISTRICT SANITAIRE DIVO</v>
      </c>
      <c r="C256" s="57" t="str">
        <f>VLOOKUP($A256,SiteAttendu!$A$2:$C$366,3,0)</f>
        <v>LOH-DJIBOUA</v>
      </c>
      <c r="D256" s="58">
        <f>IF(VLOOKUP($A256,SiteAttendu!$A$2:$P$366,4,0)="NA","NA",COUNTIFS(soccode,A256,socprog,"PNLS/ANTIRETROVIRAUX ET IO",soctrans,"OUI"))</f>
        <v>1</v>
      </c>
      <c r="E256" s="58">
        <f>IF(VLOOKUP($A256,SiteAttendu!$A$2:$P$366,5,0)="NA","NA",COUNTIFS(soccode,A256,socprog,"PNLS/TESTS RAPIDES ET CONSOMMABLES",soctrans,"OUI"))</f>
        <v>1</v>
      </c>
      <c r="F256" s="58">
        <f>IF(VLOOKUP($A256,SiteAttendu!$A$2:$P$366,6,0)="NA","NA",COUNTIFS(soccode,A256,socprog,"PNLS/PRODUITS DE LABORATOIRE",soctrans,"OUI"))</f>
        <v>1</v>
      </c>
      <c r="G256" s="58" t="str">
        <f>IF(VLOOKUP($A256,SiteAttendu!$A$2:$P$366,7,0)="NA","NA",COUNTIFS(soccode,A256,socprog,"PNLS/CHARGES VIRALES",soctrans,"OUI"))</f>
        <v>NA</v>
      </c>
      <c r="H256" s="58">
        <f>IF(VLOOKUP($A256,SiteAttendu!$A$2:$P$366,9,0)="NA","NA",COUNTIFS(soccode,A256,socprog,"PNLP/MEDICAMENTS ET INTRANTS",soctrans,"OUI"))</f>
        <v>1</v>
      </c>
      <c r="I256" s="58">
        <f>IF(VLOOKUP($A256,SiteAttendu!$A$2:$P$366,10,0)="NA","NA",COUNTIFS(soccode,$A256,socprog,"PNSME/MEDICAMENTS ET INTRANTS",soctrans,"OUI"))</f>
        <v>0</v>
      </c>
      <c r="J256" s="58" t="str">
        <f>IF(VLOOKUP($A256,SiteAttendu!$A$2:$P$366,11,0)="NA","NA",COUNTIFS(soccode,$A256,socprog,"PNN/MEDICAMENTS ET INTRANTS",soctrans,"OUI"))</f>
        <v>NA</v>
      </c>
      <c r="K256" s="58">
        <f>IF(VLOOKUP($A256,SiteAttendu!$A$2:$O$366,15,0)="NA","NA",IF(COUNTIF(socprog,"PNLT/SENSIBLE MEDICAMENTS ET INTRANTS")=0,"NA",COUNTIFS(soccode,$A256,socprog,"PNLT/SENSIBLE MEDICAMENTS ET INTRANTS",soctrans,"OUI")))</f>
        <v>0</v>
      </c>
      <c r="L256" s="90"/>
      <c r="M256" s="90">
        <f t="shared" ref="M256:S256" si="258">IFERROR(SUMIFS(E$2:E$364,$C$2:$C$364,$C256)/COUNTIFS(E$2:E$364,"&lt;&gt;NA",$C$2:$C$364,$C256),"")</f>
        <v>0.8333333333</v>
      </c>
      <c r="N256" s="90">
        <f t="shared" si="258"/>
        <v>0.8</v>
      </c>
      <c r="O256" s="90">
        <f t="shared" si="258"/>
        <v>1</v>
      </c>
      <c r="P256" s="90">
        <f t="shared" si="258"/>
        <v>0.8333333333</v>
      </c>
      <c r="Q256" s="90">
        <f t="shared" si="258"/>
        <v>0.5555555556</v>
      </c>
      <c r="R256" s="90" t="str">
        <f t="shared" si="258"/>
        <v/>
      </c>
      <c r="S256" s="90">
        <f t="shared" si="258"/>
        <v>0.5</v>
      </c>
      <c r="T256" s="60">
        <f t="shared" si="3"/>
        <v>0.8333333333</v>
      </c>
      <c r="U256" s="92">
        <f t="shared" si="4"/>
        <v>3</v>
      </c>
      <c r="V256" s="54">
        <f t="shared" si="5"/>
        <v>3</v>
      </c>
    </row>
    <row r="257" ht="15.75" customHeight="1">
      <c r="A257" s="55" t="str">
        <f>SiteAttendu!$A183</f>
        <v>C2216</v>
      </c>
      <c r="B257" s="56" t="str">
        <f>VLOOKUP($A257,SiteAttendu!$A$2:$C$366,2,0)</f>
        <v>CSU HERMANKONO-GARO</v>
      </c>
      <c r="C257" s="57" t="str">
        <f>VLOOKUP($A257,SiteAttendu!$A$2:$C$366,3,0)</f>
        <v>LOH-DJIBOUA</v>
      </c>
      <c r="D257" s="58" t="str">
        <f>IF(VLOOKUP($A257,SiteAttendu!$A$2:$P$366,4,0)="NA","NA",COUNTIFS(soccode,A257,socprog,"PNLS/ANTIRETROVIRAUX ET IO",soctrans,"OUI"))</f>
        <v>NA</v>
      </c>
      <c r="E257" s="58" t="str">
        <f>IF(VLOOKUP($A257,SiteAttendu!$A$2:$P$366,5,0)="NA","NA",COUNTIFS(soccode,A257,socprog,"PNLS/TESTS RAPIDES ET CONSOMMABLES",soctrans,"OUI"))</f>
        <v>NA</v>
      </c>
      <c r="F257" s="58" t="str">
        <f>IF(VLOOKUP($A257,SiteAttendu!$A$2:$P$366,6,0)="NA","NA",COUNTIFS(soccode,A257,socprog,"PNLS/PRODUITS DE LABORATOIRE",soctrans,"OUI"))</f>
        <v>NA</v>
      </c>
      <c r="G257" s="58" t="str">
        <f>IF(VLOOKUP($A257,SiteAttendu!$A$2:$P$366,7,0)="NA","NA",COUNTIFS(soccode,A257,socprog,"PNLS/CHARGES VIRALES",soctrans,"OUI"))</f>
        <v>NA</v>
      </c>
      <c r="H257" s="58" t="str">
        <f>IF(VLOOKUP($A257,SiteAttendu!$A$2:$P$366,9,0)="NA","NA",COUNTIFS(soccode,A257,socprog,"PNLP/MEDICAMENTS ET INTRANTS",soctrans,"OUI"))</f>
        <v>NA</v>
      </c>
      <c r="I257" s="58">
        <f>IF(VLOOKUP($A257,SiteAttendu!$A$2:$P$366,10,0)="NA","NA",COUNTIFS(soccode,$A257,socprog,"PNSME/MEDICAMENTS ET INTRANTS",soctrans,"OUI"))</f>
        <v>1</v>
      </c>
      <c r="J257" s="58" t="str">
        <f>IF(VLOOKUP($A257,SiteAttendu!$A$2:$P$366,11,0)="NA","NA",COUNTIFS(soccode,$A257,socprog,"PNN/MEDICAMENTS ET INTRANTS",soctrans,"OUI"))</f>
        <v>NA</v>
      </c>
      <c r="K257" s="58" t="str">
        <f>IF(VLOOKUP($A257,SiteAttendu!$A$2:$O$366,15,0)="NA","NA",IF(COUNTIF(socprog,"PNLT/SENSIBLE MEDICAMENTS ET INTRANTS")=0,"NA",COUNTIFS(soccode,$A257,socprog,"PNLT/SENSIBLE MEDICAMENTS ET INTRANTS",soctrans,"OUI")))</f>
        <v>NA</v>
      </c>
      <c r="L257" s="90"/>
      <c r="M257" s="90">
        <f t="shared" ref="M257:S257" si="259">IFERROR(SUMIFS(E$2:E$364,$C$2:$C$364,$C257)/COUNTIFS(E$2:E$364,"&lt;&gt;NA",$C$2:$C$364,$C257),"")</f>
        <v>0.8333333333</v>
      </c>
      <c r="N257" s="90">
        <f t="shared" si="259"/>
        <v>0.8</v>
      </c>
      <c r="O257" s="90">
        <f t="shared" si="259"/>
        <v>1</v>
      </c>
      <c r="P257" s="90">
        <f t="shared" si="259"/>
        <v>0.8333333333</v>
      </c>
      <c r="Q257" s="90">
        <f t="shared" si="259"/>
        <v>0.5555555556</v>
      </c>
      <c r="R257" s="90" t="str">
        <f t="shared" si="259"/>
        <v/>
      </c>
      <c r="S257" s="90">
        <f t="shared" si="259"/>
        <v>0.5</v>
      </c>
      <c r="T257" s="60">
        <f t="shared" si="3"/>
        <v>0.8333333333</v>
      </c>
      <c r="U257" s="92">
        <f t="shared" si="4"/>
        <v>0</v>
      </c>
      <c r="V257" s="54">
        <f t="shared" si="5"/>
        <v>0</v>
      </c>
    </row>
    <row r="258" ht="15.75" customHeight="1">
      <c r="A258" s="55" t="str">
        <f>SiteAttendu!$A257</f>
        <v>C2016</v>
      </c>
      <c r="B258" s="56" t="str">
        <f>VLOOKUP($A258,SiteAttendu!$A$2:$C$366,2,0)</f>
        <v>CSU HIRE</v>
      </c>
      <c r="C258" s="57" t="str">
        <f>VLOOKUP($A258,SiteAttendu!$A$2:$C$366,3,0)</f>
        <v>LOH-DJIBOUA</v>
      </c>
      <c r="D258" s="58" t="str">
        <f>IF(VLOOKUP($A258,SiteAttendu!$A$2:$P$366,4,0)="NA","NA",COUNTIFS(soccode,A258,socprog,"PNLS/ANTIRETROVIRAUX ET IO",soctrans,"OUI"))</f>
        <v>NA</v>
      </c>
      <c r="E258" s="58" t="str">
        <f>IF(VLOOKUP($A258,SiteAttendu!$A$2:$P$366,5,0)="NA","NA",COUNTIFS(soccode,A258,socprog,"PNLS/TESTS RAPIDES ET CONSOMMABLES",soctrans,"OUI"))</f>
        <v>NA</v>
      </c>
      <c r="F258" s="58" t="str">
        <f>IF(VLOOKUP($A258,SiteAttendu!$A$2:$P$366,6,0)="NA","NA",COUNTIFS(soccode,A258,socprog,"PNLS/PRODUITS DE LABORATOIRE",soctrans,"OUI"))</f>
        <v>NA</v>
      </c>
      <c r="G258" s="58" t="str">
        <f>IF(VLOOKUP($A258,SiteAttendu!$A$2:$P$366,7,0)="NA","NA",COUNTIFS(soccode,A258,socprog,"PNLS/CHARGES VIRALES",soctrans,"OUI"))</f>
        <v>NA</v>
      </c>
      <c r="H258" s="58" t="str">
        <f>IF(VLOOKUP($A258,SiteAttendu!$A$2:$P$366,9,0)="NA","NA",COUNTIFS(soccode,A258,socprog,"PNLP/MEDICAMENTS ET INTRANTS",soctrans,"OUI"))</f>
        <v>NA</v>
      </c>
      <c r="I258" s="58">
        <f>IF(VLOOKUP($A258,SiteAttendu!$A$2:$P$366,10,0)="NA","NA",COUNTIFS(soccode,$A258,socprog,"PNSME/MEDICAMENTS ET INTRANTS",soctrans,"OUI"))</f>
        <v>0</v>
      </c>
      <c r="J258" s="58" t="str">
        <f>IF(VLOOKUP($A258,SiteAttendu!$A$2:$P$366,11,0)="NA","NA",COUNTIFS(soccode,$A258,socprog,"PNN/MEDICAMENTS ET INTRANTS",soctrans,"OUI"))</f>
        <v>NA</v>
      </c>
      <c r="K258" s="58">
        <f>IF(VLOOKUP($A258,SiteAttendu!$A$2:$O$366,15,0)="NA","NA",IF(COUNTIF(socprog,"PNLT/SENSIBLE MEDICAMENTS ET INTRANTS")=0,"NA",COUNTIFS(soccode,$A258,socprog,"PNLT/SENSIBLE MEDICAMENTS ET INTRANTS",soctrans,"OUI")))</f>
        <v>1</v>
      </c>
      <c r="L258" s="90"/>
      <c r="M258" s="90">
        <f t="shared" ref="M258:S258" si="260">IFERROR(SUMIFS(E$2:E$364,$C$2:$C$364,$C258)/COUNTIFS(E$2:E$364,"&lt;&gt;NA",$C$2:$C$364,$C258),"")</f>
        <v>0.8333333333</v>
      </c>
      <c r="N258" s="90">
        <f t="shared" si="260"/>
        <v>0.8</v>
      </c>
      <c r="O258" s="90">
        <f t="shared" si="260"/>
        <v>1</v>
      </c>
      <c r="P258" s="90">
        <f t="shared" si="260"/>
        <v>0.8333333333</v>
      </c>
      <c r="Q258" s="90">
        <f t="shared" si="260"/>
        <v>0.5555555556</v>
      </c>
      <c r="R258" s="90" t="str">
        <f t="shared" si="260"/>
        <v/>
      </c>
      <c r="S258" s="90">
        <f t="shared" si="260"/>
        <v>0.5</v>
      </c>
      <c r="T258" s="60">
        <f t="shared" si="3"/>
        <v>0.8333333333</v>
      </c>
      <c r="U258" s="92">
        <f t="shared" si="4"/>
        <v>0</v>
      </c>
      <c r="V258" s="54">
        <f t="shared" si="5"/>
        <v>0</v>
      </c>
    </row>
    <row r="259" ht="15.75" customHeight="1">
      <c r="A259" s="55" t="str">
        <f>SiteAttendu!$A258</f>
        <v>C2174</v>
      </c>
      <c r="B259" s="56" t="str">
        <f>VLOOKUP($A259,SiteAttendu!$A$2:$C$366,2,0)</f>
        <v>CENTRE ANTITUBERCULEUX DIVO</v>
      </c>
      <c r="C259" s="57" t="str">
        <f>VLOOKUP($A259,SiteAttendu!$A$2:$C$366,3,0)</f>
        <v>LOH-DJIBOUA</v>
      </c>
      <c r="D259" s="58" t="str">
        <f>IF(VLOOKUP($A259,SiteAttendu!$A$2:$P$366,4,0)="NA","NA",COUNTIFS(soccode,A259,socprog,"PNLS/ANTIRETROVIRAUX ET IO",soctrans,"OUI"))</f>
        <v>NA</v>
      </c>
      <c r="E259" s="58" t="str">
        <f>IF(VLOOKUP($A259,SiteAttendu!$A$2:$P$366,5,0)="NA","NA",COUNTIFS(soccode,A259,socprog,"PNLS/TESTS RAPIDES ET CONSOMMABLES",soctrans,"OUI"))</f>
        <v>NA</v>
      </c>
      <c r="F259" s="58" t="str">
        <f>IF(VLOOKUP($A259,SiteAttendu!$A$2:$P$366,6,0)="NA","NA",COUNTIFS(soccode,A259,socprog,"PNLS/PRODUITS DE LABORATOIRE",soctrans,"OUI"))</f>
        <v>NA</v>
      </c>
      <c r="G259" s="58" t="str">
        <f>IF(VLOOKUP($A259,SiteAttendu!$A$2:$P$366,7,0)="NA","NA",COUNTIFS(soccode,A259,socprog,"PNLS/CHARGES VIRALES",soctrans,"OUI"))</f>
        <v>NA</v>
      </c>
      <c r="H259" s="58" t="str">
        <f>IF(VLOOKUP($A259,SiteAttendu!$A$2:$P$366,9,0)="NA","NA",COUNTIFS(soccode,A259,socprog,"PNLP/MEDICAMENTS ET INTRANTS",soctrans,"OUI"))</f>
        <v>NA</v>
      </c>
      <c r="I259" s="58" t="str">
        <f>IF(VLOOKUP($A259,SiteAttendu!$A$2:$P$366,10,0)="NA","NA",COUNTIFS(soccode,$A259,socprog,"PNSME/MEDICAMENTS ET INTRANTS",soctrans,"OUI"))</f>
        <v>NA</v>
      </c>
      <c r="J259" s="58" t="str">
        <f>IF(VLOOKUP($A259,SiteAttendu!$A$2:$P$366,11,0)="NA","NA",COUNTIFS(soccode,$A259,socprog,"PNN/MEDICAMENTS ET INTRANTS",soctrans,"OUI"))</f>
        <v>NA</v>
      </c>
      <c r="K259" s="58">
        <f>IF(VLOOKUP($A259,SiteAttendu!$A$2:$O$366,15,0)="NA","NA",IF(COUNTIF(socprog,"PNLT/SENSIBLE MEDICAMENTS ET INTRANTS")=0,"NA",COUNTIFS(soccode,$A259,socprog,"PNLT/SENSIBLE MEDICAMENTS ET INTRANTS",soctrans,"OUI")))</f>
        <v>1</v>
      </c>
      <c r="L259" s="90"/>
      <c r="M259" s="90">
        <f t="shared" ref="M259:S259" si="261">IFERROR(SUMIFS(E$2:E$364,$C$2:$C$364,$C259)/COUNTIFS(E$2:E$364,"&lt;&gt;NA",$C$2:$C$364,$C259),"")</f>
        <v>0.8333333333</v>
      </c>
      <c r="N259" s="90">
        <f t="shared" si="261"/>
        <v>0.8</v>
      </c>
      <c r="O259" s="90">
        <f t="shared" si="261"/>
        <v>1</v>
      </c>
      <c r="P259" s="90">
        <f t="shared" si="261"/>
        <v>0.8333333333</v>
      </c>
      <c r="Q259" s="90">
        <f t="shared" si="261"/>
        <v>0.5555555556</v>
      </c>
      <c r="R259" s="90" t="str">
        <f t="shared" si="261"/>
        <v/>
      </c>
      <c r="S259" s="90">
        <f t="shared" si="261"/>
        <v>0.5</v>
      </c>
      <c r="T259" s="60">
        <f t="shared" si="3"/>
        <v>0.8333333333</v>
      </c>
      <c r="U259" s="92">
        <f t="shared" si="4"/>
        <v>0</v>
      </c>
      <c r="V259" s="54">
        <f t="shared" si="5"/>
        <v>0</v>
      </c>
    </row>
    <row r="260" ht="15.75" customHeight="1">
      <c r="A260" s="55" t="str">
        <f>SiteAttendu!$A259</f>
        <v>C2055</v>
      </c>
      <c r="B260" s="56" t="str">
        <f>VLOOKUP($A260,SiteAttendu!$A$2:$C$366,2,0)</f>
        <v>HOPITAL GENERAL GUITRY</v>
      </c>
      <c r="C260" s="57" t="str">
        <f>VLOOKUP($A260,SiteAttendu!$A$2:$C$366,3,0)</f>
        <v>LOH-DJIBOUA</v>
      </c>
      <c r="D260" s="58">
        <f>IF(VLOOKUP($A260,SiteAttendu!$A$2:$P$366,4,0)="NA","NA",COUNTIFS(soccode,A260,socprog,"PNLS/ANTIRETROVIRAUX ET IO",soctrans,"OUI"))</f>
        <v>1</v>
      </c>
      <c r="E260" s="58">
        <f>IF(VLOOKUP($A260,SiteAttendu!$A$2:$P$366,5,0)="NA","NA",COUNTIFS(soccode,A260,socprog,"PNLS/TESTS RAPIDES ET CONSOMMABLES",soctrans,"OUI"))</f>
        <v>1</v>
      </c>
      <c r="F260" s="58">
        <f>IF(VLOOKUP($A260,SiteAttendu!$A$2:$P$366,6,0)="NA","NA",COUNTIFS(soccode,A260,socprog,"PNLS/PRODUITS DE LABORATOIRE",soctrans,"OUI"))</f>
        <v>1</v>
      </c>
      <c r="G260" s="58" t="str">
        <f>IF(VLOOKUP($A260,SiteAttendu!$A$2:$P$366,7,0)="NA","NA",COUNTIFS(soccode,A260,socprog,"PNLS/CHARGES VIRALES",soctrans,"OUI"))</f>
        <v>NA</v>
      </c>
      <c r="H260" s="58">
        <f>IF(VLOOKUP($A260,SiteAttendu!$A$2:$P$366,9,0)="NA","NA",COUNTIFS(soccode,A260,socprog,"PNLP/MEDICAMENTS ET INTRANTS",soctrans,"OUI"))</f>
        <v>1</v>
      </c>
      <c r="I260" s="58">
        <f>IF(VLOOKUP($A260,SiteAttendu!$A$2:$P$366,10,0)="NA","NA",COUNTIFS(soccode,$A260,socprog,"PNSME/MEDICAMENTS ET INTRANTS",soctrans,"OUI"))</f>
        <v>1</v>
      </c>
      <c r="J260" s="58" t="str">
        <f>IF(VLOOKUP($A260,SiteAttendu!$A$2:$P$366,11,0)="NA","NA",COUNTIFS(soccode,$A260,socprog,"PNN/MEDICAMENTS ET INTRANTS",soctrans,"OUI"))</f>
        <v>NA</v>
      </c>
      <c r="K260" s="58">
        <f>IF(VLOOKUP($A260,SiteAttendu!$A$2:$O$366,15,0)="NA","NA",IF(COUNTIF(socprog,"PNLT/SENSIBLE MEDICAMENTS ET INTRANTS")=0,"NA",COUNTIFS(soccode,$A260,socprog,"PNLT/SENSIBLE MEDICAMENTS ET INTRANTS",soctrans,"OUI")))</f>
        <v>0</v>
      </c>
      <c r="L260" s="90"/>
      <c r="M260" s="90">
        <f t="shared" ref="M260:S260" si="262">IFERROR(SUMIFS(E$2:E$364,$C$2:$C$364,$C260)/COUNTIFS(E$2:E$364,"&lt;&gt;NA",$C$2:$C$364,$C260),"")</f>
        <v>0.8333333333</v>
      </c>
      <c r="N260" s="90">
        <f t="shared" si="262"/>
        <v>0.8</v>
      </c>
      <c r="O260" s="90">
        <f t="shared" si="262"/>
        <v>1</v>
      </c>
      <c r="P260" s="90">
        <f t="shared" si="262"/>
        <v>0.8333333333</v>
      </c>
      <c r="Q260" s="90">
        <f t="shared" si="262"/>
        <v>0.5555555556</v>
      </c>
      <c r="R260" s="90" t="str">
        <f t="shared" si="262"/>
        <v/>
      </c>
      <c r="S260" s="90">
        <f t="shared" si="262"/>
        <v>0.5</v>
      </c>
      <c r="T260" s="60">
        <f t="shared" si="3"/>
        <v>0.8333333333</v>
      </c>
      <c r="U260" s="92">
        <f t="shared" si="4"/>
        <v>3</v>
      </c>
      <c r="V260" s="54">
        <f t="shared" si="5"/>
        <v>3</v>
      </c>
    </row>
    <row r="261" ht="15.75" customHeight="1">
      <c r="A261" s="55" t="str">
        <f>SiteAttendu!$A260</f>
        <v>C2188</v>
      </c>
      <c r="B261" s="56" t="str">
        <f>VLOOKUP($A261,SiteAttendu!$A$2:$C$366,2,0)</f>
        <v>DISTRICT SANITAIRE DE GUITRY</v>
      </c>
      <c r="C261" s="57" t="str">
        <f>VLOOKUP($A261,SiteAttendu!$A$2:$C$366,3,0)</f>
        <v>LOH-DJIBOUA</v>
      </c>
      <c r="D261" s="58">
        <f>IF(VLOOKUP($A261,SiteAttendu!$A$2:$P$366,4,0)="NA","NA",COUNTIFS(soccode,A261,socprog,"PNLS/ANTIRETROVIRAUX ET IO",soctrans,"OUI"))</f>
        <v>0</v>
      </c>
      <c r="E261" s="58">
        <f>IF(VLOOKUP($A261,SiteAttendu!$A$2:$P$366,5,0)="NA","NA",COUNTIFS(soccode,A261,socprog,"PNLS/TESTS RAPIDES ET CONSOMMABLES",soctrans,"OUI"))</f>
        <v>0</v>
      </c>
      <c r="F261" s="58">
        <f>IF(VLOOKUP($A261,SiteAttendu!$A$2:$P$366,6,0)="NA","NA",COUNTIFS(soccode,A261,socprog,"PNLS/PRODUITS DE LABORATOIRE",soctrans,"OUI"))</f>
        <v>0</v>
      </c>
      <c r="G261" s="58" t="str">
        <f>IF(VLOOKUP($A261,SiteAttendu!$A$2:$P$366,7,0)="NA","NA",COUNTIFS(soccode,A261,socprog,"PNLS/CHARGES VIRALES",soctrans,"OUI"))</f>
        <v>NA</v>
      </c>
      <c r="H261" s="58">
        <f>IF(VLOOKUP($A261,SiteAttendu!$A$2:$P$366,9,0)="NA","NA",COUNTIFS(soccode,A261,socprog,"PNLP/MEDICAMENTS ET INTRANTS",soctrans,"OUI"))</f>
        <v>0</v>
      </c>
      <c r="I261" s="58">
        <f>IF(VLOOKUP($A261,SiteAttendu!$A$2:$P$366,10,0)="NA","NA",COUNTIFS(soccode,$A261,socprog,"PNSME/MEDICAMENTS ET INTRANTS",soctrans,"OUI"))</f>
        <v>0</v>
      </c>
      <c r="J261" s="58" t="str">
        <f>IF(VLOOKUP($A261,SiteAttendu!$A$2:$P$366,11,0)="NA","NA",COUNTIFS(soccode,$A261,socprog,"PNN/MEDICAMENTS ET INTRANTS",soctrans,"OUI"))</f>
        <v>NA</v>
      </c>
      <c r="K261" s="58">
        <f>IF(VLOOKUP($A261,SiteAttendu!$A$2:$O$366,15,0)="NA","NA",IF(COUNTIF(socprog,"PNLT/SENSIBLE MEDICAMENTS ET INTRANTS")=0,"NA",COUNTIFS(soccode,$A261,socprog,"PNLT/SENSIBLE MEDICAMENTS ET INTRANTS",soctrans,"OUI")))</f>
        <v>0</v>
      </c>
      <c r="L261" s="90"/>
      <c r="M261" s="90">
        <f t="shared" ref="M261:S261" si="263">IFERROR(SUMIFS(E$2:E$364,$C$2:$C$364,$C261)/COUNTIFS(E$2:E$364,"&lt;&gt;NA",$C$2:$C$364,$C261),"")</f>
        <v>0.8333333333</v>
      </c>
      <c r="N261" s="90">
        <f t="shared" si="263"/>
        <v>0.8</v>
      </c>
      <c r="O261" s="90">
        <f t="shared" si="263"/>
        <v>1</v>
      </c>
      <c r="P261" s="90">
        <f t="shared" si="263"/>
        <v>0.8333333333</v>
      </c>
      <c r="Q261" s="90">
        <f t="shared" si="263"/>
        <v>0.5555555556</v>
      </c>
      <c r="R261" s="90" t="str">
        <f t="shared" si="263"/>
        <v/>
      </c>
      <c r="S261" s="90">
        <f t="shared" si="263"/>
        <v>0.5</v>
      </c>
      <c r="T261" s="60">
        <f t="shared" si="3"/>
        <v>0.8333333333</v>
      </c>
      <c r="U261" s="92">
        <f t="shared" si="4"/>
        <v>0</v>
      </c>
      <c r="V261" s="54">
        <f t="shared" si="5"/>
        <v>3</v>
      </c>
    </row>
    <row r="262" ht="15.75" customHeight="1">
      <c r="A262" s="55" t="str">
        <f>SiteAttendu!$A261</f>
        <v>C2032</v>
      </c>
      <c r="B262" s="56" t="str">
        <f>VLOOKUP($A262,SiteAttendu!$A$2:$C$366,2,0)</f>
        <v>DISTRICT SANITAIRE LAKOTA</v>
      </c>
      <c r="C262" s="57" t="str">
        <f>VLOOKUP($A262,SiteAttendu!$A$2:$C$366,3,0)</f>
        <v>LOH-DJIBOUA</v>
      </c>
      <c r="D262" s="58">
        <f>IF(VLOOKUP($A262,SiteAttendu!$A$2:$P$366,4,0)="NA","NA",COUNTIFS(soccode,A262,socprog,"PNLS/ANTIRETROVIRAUX ET IO",soctrans,"OUI"))</f>
        <v>1</v>
      </c>
      <c r="E262" s="58">
        <f>IF(VLOOKUP($A262,SiteAttendu!$A$2:$P$366,5,0)="NA","NA",COUNTIFS(soccode,A262,socprog,"PNLS/TESTS RAPIDES ET CONSOMMABLES",soctrans,"OUI"))</f>
        <v>1</v>
      </c>
      <c r="F262" s="58" t="str">
        <f>IF(VLOOKUP($A262,SiteAttendu!$A$2:$P$366,6,0)="NA","NA",COUNTIFS(soccode,A262,socprog,"PNLS/PRODUITS DE LABORATOIRE",soctrans,"OUI"))</f>
        <v>NA</v>
      </c>
      <c r="G262" s="58" t="str">
        <f>IF(VLOOKUP($A262,SiteAttendu!$A$2:$P$366,7,0)="NA","NA",COUNTIFS(soccode,A262,socprog,"PNLS/CHARGES VIRALES",soctrans,"OUI"))</f>
        <v>NA</v>
      </c>
      <c r="H262" s="58">
        <f>IF(VLOOKUP($A262,SiteAttendu!$A$2:$P$366,9,0)="NA","NA",COUNTIFS(soccode,A262,socprog,"PNLP/MEDICAMENTS ET INTRANTS",soctrans,"OUI"))</f>
        <v>1</v>
      </c>
      <c r="I262" s="58">
        <f>IF(VLOOKUP($A262,SiteAttendu!$A$2:$P$366,10,0)="NA","NA",COUNTIFS(soccode,$A262,socprog,"PNSME/MEDICAMENTS ET INTRANTS",soctrans,"OUI"))</f>
        <v>0</v>
      </c>
      <c r="J262" s="58" t="str">
        <f>IF(VLOOKUP($A262,SiteAttendu!$A$2:$P$366,11,0)="NA","NA",COUNTIFS(soccode,$A262,socprog,"PNN/MEDICAMENTS ET INTRANTS",soctrans,"OUI"))</f>
        <v>NA</v>
      </c>
      <c r="K262" s="58">
        <f>IF(VLOOKUP($A262,SiteAttendu!$A$2:$O$366,15,0)="NA","NA",IF(COUNTIF(socprog,"PNLT/SENSIBLE MEDICAMENTS ET INTRANTS")=0,"NA",COUNTIFS(soccode,$A262,socprog,"PNLT/SENSIBLE MEDICAMENTS ET INTRANTS",soctrans,"OUI")))</f>
        <v>1</v>
      </c>
      <c r="L262" s="90"/>
      <c r="M262" s="90">
        <f t="shared" ref="M262:S262" si="264">IFERROR(SUMIFS(E$2:E$364,$C$2:$C$364,$C262)/COUNTIFS(E$2:E$364,"&lt;&gt;NA",$C$2:$C$364,$C262),"")</f>
        <v>0.8333333333</v>
      </c>
      <c r="N262" s="90">
        <f t="shared" si="264"/>
        <v>0.8</v>
      </c>
      <c r="O262" s="90">
        <f t="shared" si="264"/>
        <v>1</v>
      </c>
      <c r="P262" s="90">
        <f t="shared" si="264"/>
        <v>0.8333333333</v>
      </c>
      <c r="Q262" s="90">
        <f t="shared" si="264"/>
        <v>0.5555555556</v>
      </c>
      <c r="R262" s="90" t="str">
        <f t="shared" si="264"/>
        <v/>
      </c>
      <c r="S262" s="90">
        <f t="shared" si="264"/>
        <v>0.5</v>
      </c>
      <c r="T262" s="60">
        <f t="shared" si="3"/>
        <v>0.8333333333</v>
      </c>
      <c r="U262" s="92">
        <f t="shared" si="4"/>
        <v>2</v>
      </c>
      <c r="V262" s="54">
        <f t="shared" si="5"/>
        <v>2</v>
      </c>
    </row>
    <row r="263" ht="15.75" customHeight="1">
      <c r="A263" s="93" t="str">
        <f>SiteAttendu!$A262</f>
        <v>C2059</v>
      </c>
      <c r="B263" s="94" t="str">
        <f>VLOOKUP($A263,SiteAttendu!$A$2:$C$366,2,0)</f>
        <v>HOPITAL GENERAL LAKOTA</v>
      </c>
      <c r="C263" s="95" t="str">
        <f>VLOOKUP($A263,SiteAttendu!$A$2:$C$366,3,0)</f>
        <v>LOH-DJIBOUA</v>
      </c>
      <c r="D263" s="96">
        <f>IF(VLOOKUP($A263,SiteAttendu!$A$2:$P$366,4,0)="NA","NA",COUNTIFS(soccode,A263,socprog,"PNLS/ANTIRETROVIRAUX ET IO",soctrans,"OUI"))</f>
        <v>1</v>
      </c>
      <c r="E263" s="96">
        <f>IF(VLOOKUP($A263,SiteAttendu!$A$2:$P$366,5,0)="NA","NA",COUNTIFS(soccode,A263,socprog,"PNLS/TESTS RAPIDES ET CONSOMMABLES",soctrans,"OUI"))</f>
        <v>1</v>
      </c>
      <c r="F263" s="96">
        <f>IF(VLOOKUP($A263,SiteAttendu!$A$2:$P$366,6,0)="NA","NA",COUNTIFS(soccode,A263,socprog,"PNLS/PRODUITS DE LABORATOIRE",soctrans,"OUI"))</f>
        <v>1</v>
      </c>
      <c r="G263" s="96" t="str">
        <f>IF(VLOOKUP($A263,SiteAttendu!$A$2:$P$366,7,0)="NA","NA",COUNTIFS(soccode,A263,socprog,"PNLS/CHARGES VIRALES",soctrans,"OUI"))</f>
        <v>NA</v>
      </c>
      <c r="H263" s="96">
        <f>IF(VLOOKUP($A263,SiteAttendu!$A$2:$P$366,9,0)="NA","NA",COUNTIFS(soccode,A263,socprog,"PNLP/MEDICAMENTS ET INTRANTS",soctrans,"OUI"))</f>
        <v>1</v>
      </c>
      <c r="I263" s="96">
        <f>IF(VLOOKUP($A263,SiteAttendu!$A$2:$P$366,10,0)="NA","NA",COUNTIFS(soccode,$A263,socprog,"PNSME/MEDICAMENTS ET INTRANTS",soctrans,"OUI"))</f>
        <v>1</v>
      </c>
      <c r="J263" s="96" t="str">
        <f>IF(VLOOKUP($A263,SiteAttendu!$A$2:$P$366,11,0)="NA","NA",COUNTIFS(soccode,$A263,socprog,"PNN/MEDICAMENTS ET INTRANTS",soctrans,"OUI"))</f>
        <v>NA</v>
      </c>
      <c r="K263" s="96" t="str">
        <f>IF(VLOOKUP($A263,SiteAttendu!$A$2:$O$366,15,0)="NA","NA",IF(COUNTIF(socprog,"PNLT/SENSIBLE MEDICAMENTS ET INTRANTS")=0,"NA",COUNTIFS(soccode,$A263,socprog,"PNLT/SENSIBLE MEDICAMENTS ET INTRANTS",soctrans,"OUI")))</f>
        <v>NA</v>
      </c>
      <c r="L263" s="97"/>
      <c r="M263" s="97">
        <f t="shared" ref="M263:S263" si="265">IFERROR(SUMIFS(E$2:E$364,$C$2:$C$364,$C263)/COUNTIFS(E$2:E$364,"&lt;&gt;NA",$C$2:$C$364,$C263),"")</f>
        <v>0.8333333333</v>
      </c>
      <c r="N263" s="97">
        <f t="shared" si="265"/>
        <v>0.8</v>
      </c>
      <c r="O263" s="97">
        <f t="shared" si="265"/>
        <v>1</v>
      </c>
      <c r="P263" s="97">
        <f t="shared" si="265"/>
        <v>0.8333333333</v>
      </c>
      <c r="Q263" s="97">
        <f t="shared" si="265"/>
        <v>0.5555555556</v>
      </c>
      <c r="R263" s="97" t="str">
        <f t="shared" si="265"/>
        <v/>
      </c>
      <c r="S263" s="97">
        <f t="shared" si="265"/>
        <v>0.5</v>
      </c>
      <c r="T263" s="67">
        <f t="shared" si="3"/>
        <v>0.8333333333</v>
      </c>
      <c r="U263" s="92">
        <f t="shared" si="4"/>
        <v>3</v>
      </c>
      <c r="V263" s="54">
        <f t="shared" si="5"/>
        <v>3</v>
      </c>
    </row>
    <row r="264" ht="15.75" customHeight="1">
      <c r="A264" s="81" t="str">
        <f>SiteAttendu!$A263</f>
        <v>C2002</v>
      </c>
      <c r="B264" s="82" t="str">
        <f>VLOOKUP($A264,SiteAttendu!$A$2:$C$366,2,0)</f>
        <v>CHR BOUAFLE</v>
      </c>
      <c r="C264" s="88" t="str">
        <f>VLOOKUP($A264,SiteAttendu!$A$2:$C$366,3,0)</f>
        <v>MARAHOUE</v>
      </c>
      <c r="D264" s="84">
        <f>IF(VLOOKUP($A264,SiteAttendu!$A$2:$P$366,4,0)="NA","NA",COUNTIFS(soccode,A264,socprog,"PNLS/ANTIRETROVIRAUX ET IO",soctrans,"OUI"))</f>
        <v>1</v>
      </c>
      <c r="E264" s="84">
        <f>IF(VLOOKUP($A264,SiteAttendu!$A$2:$P$366,5,0)="NA","NA",COUNTIFS(soccode,A264,socprog,"PNLS/TESTS RAPIDES ET CONSOMMABLES",soctrans,"OUI"))</f>
        <v>1</v>
      </c>
      <c r="F264" s="84">
        <f>IF(VLOOKUP($A264,SiteAttendu!$A$2:$P$366,6,0)="NA","NA",COUNTIFS(soccode,A264,socprog,"PNLS/PRODUITS DE LABORATOIRE",soctrans,"OUI"))</f>
        <v>1</v>
      </c>
      <c r="G264" s="84">
        <f>IF(VLOOKUP($A264,SiteAttendu!$A$2:$P$366,7,0)="NA","NA",COUNTIFS(soccode,A264,socprog,"PNLS/CHARGES VIRALES",soctrans,"OUI"))</f>
        <v>1</v>
      </c>
      <c r="H264" s="84">
        <f>IF(VLOOKUP($A264,SiteAttendu!$A$2:$P$366,9,0)="NA","NA",COUNTIFS(soccode,A264,socprog,"PNLP/MEDICAMENTS ET INTRANTS",soctrans,"OUI"))</f>
        <v>1</v>
      </c>
      <c r="I264" s="84">
        <f>IF(VLOOKUP($A264,SiteAttendu!$A$2:$P$366,10,0)="NA","NA",COUNTIFS(soccode,$A264,socprog,"PNSME/MEDICAMENTS ET INTRANTS",soctrans,"OUI"))</f>
        <v>1</v>
      </c>
      <c r="J264" s="84">
        <f>IF(VLOOKUP($A264,SiteAttendu!$A$2:$P$366,11,0)="NA","NA",COUNTIFS(soccode,$A264,socprog,"PNN/MEDICAMENTS ET INTRANTS",soctrans,"OUI"))</f>
        <v>1</v>
      </c>
      <c r="K264" s="84" t="str">
        <f>IF(VLOOKUP($A264,SiteAttendu!$A$2:$O$366,15,0)="NA","NA",IF(COUNTIF(socprog,"PNLT/SENSIBLE MEDICAMENTS ET INTRANTS")=0,"NA",COUNTIFS(soccode,$A264,socprog,"PNLT/SENSIBLE MEDICAMENTS ET INTRANTS",soctrans,"OUI")))</f>
        <v>NA</v>
      </c>
      <c r="L264" s="90">
        <f t="shared" ref="L264:S264" si="266">IFERROR(SUMIFS(D$2:D$364,$C$2:$C$364,$C264)/COUNTIFS(D$2:D$364,"&lt;&gt;NA",$C$2:$C$364,$C264),"")</f>
        <v>1</v>
      </c>
      <c r="M264" s="90">
        <f t="shared" si="266"/>
        <v>1</v>
      </c>
      <c r="N264" s="90">
        <f t="shared" si="266"/>
        <v>1</v>
      </c>
      <c r="O264" s="90">
        <f t="shared" si="266"/>
        <v>1</v>
      </c>
      <c r="P264" s="90">
        <f t="shared" si="266"/>
        <v>1</v>
      </c>
      <c r="Q264" s="90">
        <f t="shared" si="266"/>
        <v>1</v>
      </c>
      <c r="R264" s="90">
        <f t="shared" si="266"/>
        <v>1</v>
      </c>
      <c r="S264" s="90">
        <f t="shared" si="266"/>
        <v>0.6666666667</v>
      </c>
      <c r="T264" s="90">
        <f t="shared" si="3"/>
        <v>1</v>
      </c>
      <c r="U264" s="92">
        <f t="shared" si="4"/>
        <v>4</v>
      </c>
      <c r="V264" s="54">
        <f t="shared" si="5"/>
        <v>4</v>
      </c>
    </row>
    <row r="265" ht="15.75" customHeight="1">
      <c r="A265" s="55" t="str">
        <f>SiteAttendu!$A264</f>
        <v>C2020</v>
      </c>
      <c r="B265" s="56" t="str">
        <f>VLOOKUP($A265,SiteAttendu!$A$2:$C$366,2,0)</f>
        <v>DISTRICT SANITAIRE BOUAFLE</v>
      </c>
      <c r="C265" s="57" t="str">
        <f>VLOOKUP($A265,SiteAttendu!$A$2:$C$366,3,0)</f>
        <v>MARAHOUE</v>
      </c>
      <c r="D265" s="58">
        <f>IF(VLOOKUP($A265,SiteAttendu!$A$2:$P$366,4,0)="NA","NA",COUNTIFS(soccode,A265,socprog,"PNLS/ANTIRETROVIRAUX ET IO",soctrans,"OUI"))</f>
        <v>1</v>
      </c>
      <c r="E265" s="58">
        <f>IF(VLOOKUP($A265,SiteAttendu!$A$2:$P$366,5,0)="NA","NA",COUNTIFS(soccode,A265,socprog,"PNLS/TESTS RAPIDES ET CONSOMMABLES",soctrans,"OUI"))</f>
        <v>1</v>
      </c>
      <c r="F265" s="58">
        <f>IF(VLOOKUP($A265,SiteAttendu!$A$2:$P$366,6,0)="NA","NA",COUNTIFS(soccode,A265,socprog,"PNLS/PRODUITS DE LABORATOIRE",soctrans,"OUI"))</f>
        <v>1</v>
      </c>
      <c r="G265" s="58" t="str">
        <f>IF(VLOOKUP($A265,SiteAttendu!$A$2:$P$366,7,0)="NA","NA",COUNTIFS(soccode,A265,socprog,"PNLS/CHARGES VIRALES",soctrans,"OUI"))</f>
        <v>NA</v>
      </c>
      <c r="H265" s="58">
        <f>IF(VLOOKUP($A265,SiteAttendu!$A$2:$P$366,9,0)="NA","NA",COUNTIFS(soccode,A265,socprog,"PNLP/MEDICAMENTS ET INTRANTS",soctrans,"OUI"))</f>
        <v>1</v>
      </c>
      <c r="I265" s="58">
        <f>IF(VLOOKUP($A265,SiteAttendu!$A$2:$P$366,10,0)="NA","NA",COUNTIFS(soccode,$A265,socprog,"PNSME/MEDICAMENTS ET INTRANTS",soctrans,"OUI"))</f>
        <v>1</v>
      </c>
      <c r="J265" s="58">
        <f>IF(VLOOKUP($A265,SiteAttendu!$A$2:$P$366,11,0)="NA","NA",COUNTIFS(soccode,$A265,socprog,"PNN/MEDICAMENTS ET INTRANTS",soctrans,"OUI"))</f>
        <v>1</v>
      </c>
      <c r="K265" s="58">
        <f>IF(VLOOKUP($A265,SiteAttendu!$A$2:$O$366,15,0)="NA","NA",IF(COUNTIF(socprog,"PNLT/SENSIBLE MEDICAMENTS ET INTRANTS")=0,"NA",COUNTIFS(soccode,$A265,socprog,"PNLT/SENSIBLE MEDICAMENTS ET INTRANTS",soctrans,"OUI")))</f>
        <v>1</v>
      </c>
      <c r="L265" s="90"/>
      <c r="M265" s="90">
        <f t="shared" ref="M265:S265" si="267">IFERROR(SUMIFS(E$2:E$364,$C$2:$C$364,$C265)/COUNTIFS(E$2:E$364,"&lt;&gt;NA",$C$2:$C$364,$C265),"")</f>
        <v>1</v>
      </c>
      <c r="N265" s="90">
        <f t="shared" si="267"/>
        <v>1</v>
      </c>
      <c r="O265" s="90">
        <f t="shared" si="267"/>
        <v>1</v>
      </c>
      <c r="P265" s="90">
        <f t="shared" si="267"/>
        <v>1</v>
      </c>
      <c r="Q265" s="90">
        <f t="shared" si="267"/>
        <v>1</v>
      </c>
      <c r="R265" s="90">
        <f t="shared" si="267"/>
        <v>1</v>
      </c>
      <c r="S265" s="90">
        <f t="shared" si="267"/>
        <v>0.6666666667</v>
      </c>
      <c r="T265" s="90">
        <f t="shared" si="3"/>
        <v>1</v>
      </c>
      <c r="U265" s="92">
        <f t="shared" si="4"/>
        <v>3</v>
      </c>
      <c r="V265" s="54">
        <f t="shared" si="5"/>
        <v>3</v>
      </c>
    </row>
    <row r="266" ht="15.75" customHeight="1">
      <c r="A266" s="55" t="str">
        <f>SiteAttendu!$A265</f>
        <v>C2011</v>
      </c>
      <c r="B266" s="56" t="str">
        <f>VLOOKUP($A266,SiteAttendu!$A$2:$C$366,2,0)</f>
        <v>HOPITAL GENERAL BONON</v>
      </c>
      <c r="C266" s="57" t="str">
        <f>VLOOKUP($A266,SiteAttendu!$A$2:$C$366,3,0)</f>
        <v>MARAHOUE</v>
      </c>
      <c r="D266" s="58" t="str">
        <f>IF(VLOOKUP($A266,SiteAttendu!$A$2:$P$366,4,0)="NA","NA",COUNTIFS(soccode,A266,socprog,"PNLS/ANTIRETROVIRAUX ET IO",soctrans,"OUI"))</f>
        <v>NA</v>
      </c>
      <c r="E266" s="58" t="str">
        <f>IF(VLOOKUP($A266,SiteAttendu!$A$2:$P$366,5,0)="NA","NA",COUNTIFS(soccode,A266,socprog,"PNLS/TESTS RAPIDES ET CONSOMMABLES",soctrans,"OUI"))</f>
        <v>NA</v>
      </c>
      <c r="F266" s="58" t="str">
        <f>IF(VLOOKUP($A266,SiteAttendu!$A$2:$P$366,6,0)="NA","NA",COUNTIFS(soccode,A266,socprog,"PNLS/PRODUITS DE LABORATOIRE",soctrans,"OUI"))</f>
        <v>NA</v>
      </c>
      <c r="G266" s="58" t="str">
        <f>IF(VLOOKUP($A266,SiteAttendu!$A$2:$P$366,7,0)="NA","NA",COUNTIFS(soccode,A266,socprog,"PNLS/CHARGES VIRALES",soctrans,"OUI"))</f>
        <v>NA</v>
      </c>
      <c r="H266" s="58" t="str">
        <f>IF(VLOOKUP($A266,SiteAttendu!$A$2:$P$366,9,0)="NA","NA",COUNTIFS(soccode,A266,socprog,"PNLP/MEDICAMENTS ET INTRANTS",soctrans,"OUI"))</f>
        <v>NA</v>
      </c>
      <c r="I266" s="58">
        <f>IF(VLOOKUP($A266,SiteAttendu!$A$2:$P$366,10,0)="NA","NA",COUNTIFS(soccode,$A266,socprog,"PNSME/MEDICAMENTS ET INTRANTS",soctrans,"OUI"))</f>
        <v>1</v>
      </c>
      <c r="J266" s="58" t="str">
        <f>IF(VLOOKUP($A266,SiteAttendu!$A$2:$P$366,11,0)="NA","NA",COUNTIFS(soccode,$A266,socprog,"PNN/MEDICAMENTS ET INTRANTS",soctrans,"OUI"))</f>
        <v>NA</v>
      </c>
      <c r="K266" s="58">
        <f>IF(VLOOKUP($A266,SiteAttendu!$A$2:$O$366,15,0)="NA","NA",IF(COUNTIF(socprog,"PNLT/SENSIBLE MEDICAMENTS ET INTRANTS")=0,"NA",COUNTIFS(soccode,$A266,socprog,"PNLT/SENSIBLE MEDICAMENTS ET INTRANTS",soctrans,"OUI")))</f>
        <v>0</v>
      </c>
      <c r="L266" s="90"/>
      <c r="M266" s="90">
        <f t="shared" ref="M266:S266" si="268">IFERROR(SUMIFS(E$2:E$364,$C$2:$C$364,$C266)/COUNTIFS(E$2:E$364,"&lt;&gt;NA",$C$2:$C$364,$C266),"")</f>
        <v>1</v>
      </c>
      <c r="N266" s="90">
        <f t="shared" si="268"/>
        <v>1</v>
      </c>
      <c r="O266" s="90">
        <f t="shared" si="268"/>
        <v>1</v>
      </c>
      <c r="P266" s="90">
        <f t="shared" si="268"/>
        <v>1</v>
      </c>
      <c r="Q266" s="90">
        <f t="shared" si="268"/>
        <v>1</v>
      </c>
      <c r="R266" s="90">
        <f t="shared" si="268"/>
        <v>1</v>
      </c>
      <c r="S266" s="90">
        <f t="shared" si="268"/>
        <v>0.6666666667</v>
      </c>
      <c r="T266" s="90">
        <f t="shared" si="3"/>
        <v>1</v>
      </c>
      <c r="U266" s="92">
        <f t="shared" si="4"/>
        <v>0</v>
      </c>
      <c r="V266" s="54">
        <f t="shared" si="5"/>
        <v>0</v>
      </c>
    </row>
    <row r="267" ht="16.5" customHeight="1">
      <c r="A267" s="55" t="str">
        <f>SiteAttendu!$A266</f>
        <v>C2191</v>
      </c>
      <c r="B267" s="56" t="str">
        <f>VLOOKUP($A267,SiteAttendu!$A$2:$C$366,2,0)</f>
        <v>CENTRE ANTITUBERCULEUX BOUAFLE</v>
      </c>
      <c r="C267" s="57" t="str">
        <f>VLOOKUP($A267,SiteAttendu!$A$2:$C$366,3,0)</f>
        <v>MARAHOUE</v>
      </c>
      <c r="D267" s="58" t="str">
        <f>IF(VLOOKUP($A267,SiteAttendu!$A$2:$P$366,4,0)="NA","NA",COUNTIFS(soccode,A267,socprog,"PNLS/ANTIRETROVIRAUX ET IO",soctrans,"OUI"))</f>
        <v>NA</v>
      </c>
      <c r="E267" s="58" t="str">
        <f>IF(VLOOKUP($A267,SiteAttendu!$A$2:$P$366,5,0)="NA","NA",COUNTIFS(soccode,A267,socprog,"PNLS/TESTS RAPIDES ET CONSOMMABLES",soctrans,"OUI"))</f>
        <v>NA</v>
      </c>
      <c r="F267" s="58" t="str">
        <f>IF(VLOOKUP($A267,SiteAttendu!$A$2:$P$366,6,0)="NA","NA",COUNTIFS(soccode,A267,socprog,"PNLS/PRODUITS DE LABORATOIRE",soctrans,"OUI"))</f>
        <v>NA</v>
      </c>
      <c r="G267" s="58" t="str">
        <f>IF(VLOOKUP($A267,SiteAttendu!$A$2:$P$366,7,0)="NA","NA",COUNTIFS(soccode,A267,socprog,"PNLS/CHARGES VIRALES",soctrans,"OUI"))</f>
        <v>NA</v>
      </c>
      <c r="H267" s="58" t="str">
        <f>IF(VLOOKUP($A267,SiteAttendu!$A$2:$P$366,9,0)="NA","NA",COUNTIFS(soccode,A267,socprog,"PNLP/MEDICAMENTS ET INTRANTS",soctrans,"OUI"))</f>
        <v>NA</v>
      </c>
      <c r="I267" s="58" t="str">
        <f>IF(VLOOKUP($A267,SiteAttendu!$A$2:$P$366,10,0)="NA","NA",COUNTIFS(soccode,$A267,socprog,"PNSME/MEDICAMENTS ET INTRANTS",soctrans,"OUI"))</f>
        <v>NA</v>
      </c>
      <c r="J267" s="58" t="str">
        <f>IF(VLOOKUP($A267,SiteAttendu!$A$2:$P$366,11,0)="NA","NA",COUNTIFS(soccode,$A267,socprog,"PNN/MEDICAMENTS ET INTRANTS",soctrans,"OUI"))</f>
        <v>NA</v>
      </c>
      <c r="K267" s="58">
        <f>IF(VLOOKUP($A267,SiteAttendu!$A$2:$O$366,15,0)="NA","NA",IF(COUNTIF(socprog,"PNLT/SENSIBLE MEDICAMENTS ET INTRANTS")=0,"NA",COUNTIFS(soccode,$A267,socprog,"PNLT/SENSIBLE MEDICAMENTS ET INTRANTS",soctrans,"OUI")))</f>
        <v>1</v>
      </c>
      <c r="L267" s="90"/>
      <c r="M267" s="90">
        <f t="shared" ref="M267:S267" si="269">IFERROR(SUMIFS(E$2:E$364,$C$2:$C$364,$C267)/COUNTIFS(E$2:E$364,"&lt;&gt;NA",$C$2:$C$364,$C267),"")</f>
        <v>1</v>
      </c>
      <c r="N267" s="90">
        <f t="shared" si="269"/>
        <v>1</v>
      </c>
      <c r="O267" s="90">
        <f t="shared" si="269"/>
        <v>1</v>
      </c>
      <c r="P267" s="90">
        <f t="shared" si="269"/>
        <v>1</v>
      </c>
      <c r="Q267" s="90">
        <f t="shared" si="269"/>
        <v>1</v>
      </c>
      <c r="R267" s="90">
        <f t="shared" si="269"/>
        <v>1</v>
      </c>
      <c r="S267" s="90">
        <f t="shared" si="269"/>
        <v>0.6666666667</v>
      </c>
      <c r="T267" s="90">
        <f t="shared" si="3"/>
        <v>1</v>
      </c>
      <c r="U267" s="92">
        <f t="shared" si="4"/>
        <v>0</v>
      </c>
      <c r="V267" s="54">
        <f t="shared" si="5"/>
        <v>0</v>
      </c>
    </row>
    <row r="268" ht="16.5" customHeight="1">
      <c r="A268" s="55" t="str">
        <f>SiteAttendu!$A267</f>
        <v>C2037</v>
      </c>
      <c r="B268" s="56" t="str">
        <f>VLOOKUP($A268,SiteAttendu!$A$2:$C$366,2,0)</f>
        <v>DISTRICT SANITAIRE SINFRA</v>
      </c>
      <c r="C268" s="57" t="str">
        <f>VLOOKUP($A268,SiteAttendu!$A$2:$C$366,3,0)</f>
        <v>MARAHOUE</v>
      </c>
      <c r="D268" s="58">
        <f>IF(VLOOKUP($A268,SiteAttendu!$A$2:$P$366,4,0)="NA","NA",COUNTIFS(soccode,A268,socprog,"PNLS/ANTIRETROVIRAUX ET IO",soctrans,"OUI"))</f>
        <v>1</v>
      </c>
      <c r="E268" s="58">
        <f>IF(VLOOKUP($A268,SiteAttendu!$A$2:$P$366,5,0)="NA","NA",COUNTIFS(soccode,A268,socprog,"PNLS/TESTS RAPIDES ET CONSOMMABLES",soctrans,"OUI"))</f>
        <v>1</v>
      </c>
      <c r="F268" s="58">
        <f>IF(VLOOKUP($A268,SiteAttendu!$A$2:$P$366,6,0)="NA","NA",COUNTIFS(soccode,A268,socprog,"PNLS/PRODUITS DE LABORATOIRE",soctrans,"OUI"))</f>
        <v>1</v>
      </c>
      <c r="G268" s="58" t="str">
        <f>IF(VLOOKUP($A268,SiteAttendu!$A$2:$P$366,7,0)="NA","NA",COUNTIFS(soccode,A268,socprog,"PNLS/CHARGES VIRALES",soctrans,"OUI"))</f>
        <v>NA</v>
      </c>
      <c r="H268" s="58">
        <f>IF(VLOOKUP($A268,SiteAttendu!$A$2:$P$366,9,0)="NA","NA",COUNTIFS(soccode,A268,socprog,"PNLP/MEDICAMENTS ET INTRANTS",soctrans,"OUI"))</f>
        <v>1</v>
      </c>
      <c r="I268" s="58">
        <f>IF(VLOOKUP($A268,SiteAttendu!$A$2:$P$366,10,0)="NA","NA",COUNTIFS(soccode,$A268,socprog,"PNSME/MEDICAMENTS ET INTRANTS",soctrans,"OUI"))</f>
        <v>1</v>
      </c>
      <c r="J268" s="58">
        <f>IF(VLOOKUP($A268,SiteAttendu!$A$2:$P$366,11,0)="NA","NA",COUNTIFS(soccode,$A268,socprog,"PNN/MEDICAMENTS ET INTRANTS",soctrans,"OUI"))</f>
        <v>1</v>
      </c>
      <c r="K268" s="58">
        <f>IF(VLOOKUP($A268,SiteAttendu!$A$2:$O$366,15,0)="NA","NA",IF(COUNTIF(socprog,"PNLT/SENSIBLE MEDICAMENTS ET INTRANTS")=0,"NA",COUNTIFS(soccode,$A268,socprog,"PNLT/SENSIBLE MEDICAMENTS ET INTRANTS",soctrans,"OUI")))</f>
        <v>0</v>
      </c>
      <c r="L268" s="90"/>
      <c r="M268" s="90">
        <f t="shared" ref="M268:S268" si="270">IFERROR(SUMIFS(E$2:E$364,$C$2:$C$364,$C268)/COUNTIFS(E$2:E$364,"&lt;&gt;NA",$C$2:$C$364,$C268),"")</f>
        <v>1</v>
      </c>
      <c r="N268" s="90">
        <f t="shared" si="270"/>
        <v>1</v>
      </c>
      <c r="O268" s="90">
        <f t="shared" si="270"/>
        <v>1</v>
      </c>
      <c r="P268" s="90">
        <f t="shared" si="270"/>
        <v>1</v>
      </c>
      <c r="Q268" s="90">
        <f t="shared" si="270"/>
        <v>1</v>
      </c>
      <c r="R268" s="90">
        <f t="shared" si="270"/>
        <v>1</v>
      </c>
      <c r="S268" s="90">
        <f t="shared" si="270"/>
        <v>0.6666666667</v>
      </c>
      <c r="T268" s="90">
        <f t="shared" si="3"/>
        <v>1</v>
      </c>
      <c r="U268" s="92">
        <f t="shared" si="4"/>
        <v>3</v>
      </c>
      <c r="V268" s="54">
        <f t="shared" si="5"/>
        <v>3</v>
      </c>
    </row>
    <row r="269" ht="15.75" customHeight="1">
      <c r="A269" s="55" t="str">
        <f>SiteAttendu!$A268</f>
        <v>C2063</v>
      </c>
      <c r="B269" s="56" t="str">
        <f>VLOOKUP($A269,SiteAttendu!$A$2:$C$366,2,0)</f>
        <v>HOPITAL GENERAL SINFRA</v>
      </c>
      <c r="C269" s="57" t="str">
        <f>VLOOKUP($A269,SiteAttendu!$A$2:$C$366,3,0)</f>
        <v>MARAHOUE</v>
      </c>
      <c r="D269" s="58">
        <f>IF(VLOOKUP($A269,SiteAttendu!$A$2:$P$366,4,0)="NA","NA",COUNTIFS(soccode,A269,socprog,"PNLS/ANTIRETROVIRAUX ET IO",soctrans,"OUI"))</f>
        <v>1</v>
      </c>
      <c r="E269" s="58">
        <f>IF(VLOOKUP($A269,SiteAttendu!$A$2:$P$366,5,0)="NA","NA",COUNTIFS(soccode,A269,socprog,"PNLS/TESTS RAPIDES ET CONSOMMABLES",soctrans,"OUI"))</f>
        <v>1</v>
      </c>
      <c r="F269" s="58">
        <f>IF(VLOOKUP($A269,SiteAttendu!$A$2:$P$366,6,0)="NA","NA",COUNTIFS(soccode,A269,socprog,"PNLS/PRODUITS DE LABORATOIRE",soctrans,"OUI"))</f>
        <v>1</v>
      </c>
      <c r="G269" s="58">
        <f>IF(VLOOKUP($A269,SiteAttendu!$A$2:$P$366,7,0)="NA","NA",COUNTIFS(soccode,A269,socprog,"PNLS/CHARGES VIRALES",soctrans,"OUI"))</f>
        <v>1</v>
      </c>
      <c r="H269" s="58">
        <f>IF(VLOOKUP($A269,SiteAttendu!$A$2:$P$366,9,0)="NA","NA",COUNTIFS(soccode,A269,socprog,"PNLP/MEDICAMENTS ET INTRANTS",soctrans,"OUI"))</f>
        <v>1</v>
      </c>
      <c r="I269" s="58">
        <f>IF(VLOOKUP($A269,SiteAttendu!$A$2:$P$366,10,0)="NA","NA",COUNTIFS(soccode,$A269,socprog,"PNSME/MEDICAMENTS ET INTRANTS",soctrans,"OUI"))</f>
        <v>1</v>
      </c>
      <c r="J269" s="58">
        <f>IF(VLOOKUP($A269,SiteAttendu!$A$2:$P$366,11,0)="NA","NA",COUNTIFS(soccode,$A269,socprog,"PNN/MEDICAMENTS ET INTRANTS",soctrans,"OUI"))</f>
        <v>1</v>
      </c>
      <c r="K269" s="58">
        <f>IF(VLOOKUP($A269,SiteAttendu!$A$2:$O$366,15,0)="NA","NA",IF(COUNTIF(socprog,"PNLT/SENSIBLE MEDICAMENTS ET INTRANTS")=0,"NA",COUNTIFS(soccode,$A269,socprog,"PNLT/SENSIBLE MEDICAMENTS ET INTRANTS",soctrans,"OUI")))</f>
        <v>1</v>
      </c>
      <c r="L269" s="90"/>
      <c r="M269" s="90">
        <f t="shared" ref="M269:S269" si="271">IFERROR(SUMIFS(E$2:E$364,$C$2:$C$364,$C269)/COUNTIFS(E$2:E$364,"&lt;&gt;NA",$C$2:$C$364,$C269),"")</f>
        <v>1</v>
      </c>
      <c r="N269" s="90">
        <f t="shared" si="271"/>
        <v>1</v>
      </c>
      <c r="O269" s="90">
        <f t="shared" si="271"/>
        <v>1</v>
      </c>
      <c r="P269" s="90">
        <f t="shared" si="271"/>
        <v>1</v>
      </c>
      <c r="Q269" s="90">
        <f t="shared" si="271"/>
        <v>1</v>
      </c>
      <c r="R269" s="90">
        <f t="shared" si="271"/>
        <v>1</v>
      </c>
      <c r="S269" s="90">
        <f t="shared" si="271"/>
        <v>0.6666666667</v>
      </c>
      <c r="T269" s="90">
        <f t="shared" si="3"/>
        <v>1</v>
      </c>
      <c r="U269" s="92">
        <f t="shared" si="4"/>
        <v>4</v>
      </c>
      <c r="V269" s="54">
        <f t="shared" si="5"/>
        <v>4</v>
      </c>
    </row>
    <row r="270" ht="15.75" customHeight="1">
      <c r="A270" s="55" t="str">
        <f>SiteAttendu!$A269</f>
        <v>C2046</v>
      </c>
      <c r="B270" s="56" t="str">
        <f>VLOOKUP($A270,SiteAttendu!$A$2:$C$366,2,0)</f>
        <v>DISTRICT SANITAIRE ZUENOULA</v>
      </c>
      <c r="C270" s="57" t="str">
        <f>VLOOKUP($A270,SiteAttendu!$A$2:$C$366,3,0)</f>
        <v>MARAHOUE</v>
      </c>
      <c r="D270" s="58">
        <f>IF(VLOOKUP($A270,SiteAttendu!$A$2:$P$366,4,0)="NA","NA",COUNTIFS(soccode,A270,socprog,"PNLS/ANTIRETROVIRAUX ET IO",soctrans,"OUI"))</f>
        <v>1</v>
      </c>
      <c r="E270" s="58">
        <f>IF(VLOOKUP($A270,SiteAttendu!$A$2:$P$366,5,0)="NA","NA",COUNTIFS(soccode,A270,socprog,"PNLS/TESTS RAPIDES ET CONSOMMABLES",soctrans,"OUI"))</f>
        <v>1</v>
      </c>
      <c r="F270" s="58">
        <f>IF(VLOOKUP($A270,SiteAttendu!$A$2:$P$366,6,0)="NA","NA",COUNTIFS(soccode,A270,socprog,"PNLS/PRODUITS DE LABORATOIRE",soctrans,"OUI"))</f>
        <v>1</v>
      </c>
      <c r="G270" s="58" t="str">
        <f>IF(VLOOKUP($A270,SiteAttendu!$A$2:$P$366,7,0)="NA","NA",COUNTIFS(soccode,A270,socprog,"PNLS/CHARGES VIRALES",soctrans,"OUI"))</f>
        <v>NA</v>
      </c>
      <c r="H270" s="58">
        <f>IF(VLOOKUP($A270,SiteAttendu!$A$2:$P$366,9,0)="NA","NA",COUNTIFS(soccode,A270,socprog,"PNLP/MEDICAMENTS ET INTRANTS",soctrans,"OUI"))</f>
        <v>1</v>
      </c>
      <c r="I270" s="58">
        <f>IF(VLOOKUP($A270,SiteAttendu!$A$2:$P$366,10,0)="NA","NA",COUNTIFS(soccode,$A270,socprog,"PNSME/MEDICAMENTS ET INTRANTS",soctrans,"OUI"))</f>
        <v>1</v>
      </c>
      <c r="J270" s="58" t="str">
        <f>IF(VLOOKUP($A270,SiteAttendu!$A$2:$P$366,11,0)="NA","NA",COUNTIFS(soccode,$A270,socprog,"PNN/MEDICAMENTS ET INTRANTS",soctrans,"OUI"))</f>
        <v>NA</v>
      </c>
      <c r="K270" s="58">
        <f>IF(VLOOKUP($A270,SiteAttendu!$A$2:$O$366,15,0)="NA","NA",IF(COUNTIF(socprog,"PNLT/SENSIBLE MEDICAMENTS ET INTRANTS")=0,"NA",COUNTIFS(soccode,$A270,socprog,"PNLT/SENSIBLE MEDICAMENTS ET INTRANTS",soctrans,"OUI")))</f>
        <v>1</v>
      </c>
      <c r="L270" s="90"/>
      <c r="M270" s="90">
        <f t="shared" ref="M270:S270" si="272">IFERROR(SUMIFS(E$2:E$364,$C$2:$C$364,$C270)/COUNTIFS(E$2:E$364,"&lt;&gt;NA",$C$2:$C$364,$C270),"")</f>
        <v>1</v>
      </c>
      <c r="N270" s="90">
        <f t="shared" si="272"/>
        <v>1</v>
      </c>
      <c r="O270" s="90">
        <f t="shared" si="272"/>
        <v>1</v>
      </c>
      <c r="P270" s="90">
        <f t="shared" si="272"/>
        <v>1</v>
      </c>
      <c r="Q270" s="90">
        <f t="shared" si="272"/>
        <v>1</v>
      </c>
      <c r="R270" s="90">
        <f t="shared" si="272"/>
        <v>1</v>
      </c>
      <c r="S270" s="90">
        <f t="shared" si="272"/>
        <v>0.6666666667</v>
      </c>
      <c r="T270" s="90">
        <f t="shared" si="3"/>
        <v>1</v>
      </c>
      <c r="U270" s="92">
        <f t="shared" si="4"/>
        <v>3</v>
      </c>
      <c r="V270" s="54">
        <f t="shared" si="5"/>
        <v>3</v>
      </c>
    </row>
    <row r="271" ht="15.75" customHeight="1">
      <c r="A271" s="55" t="str">
        <f>SiteAttendu!$A270</f>
        <v>C2071</v>
      </c>
      <c r="B271" s="56" t="str">
        <f>VLOOKUP($A271,SiteAttendu!$A$2:$C$366,2,0)</f>
        <v>HOPITAL GENERAL ZUENOULA</v>
      </c>
      <c r="C271" s="57" t="str">
        <f>VLOOKUP($A271,SiteAttendu!$A$2:$C$366,3,0)</f>
        <v>MARAHOUE</v>
      </c>
      <c r="D271" s="58">
        <f>IF(VLOOKUP($A271,SiteAttendu!$A$2:$P$366,4,0)="NA","NA",COUNTIFS(soccode,A271,socprog,"PNLS/ANTIRETROVIRAUX ET IO",soctrans,"OUI"))</f>
        <v>1</v>
      </c>
      <c r="E271" s="58">
        <f>IF(VLOOKUP($A271,SiteAttendu!$A$2:$P$366,5,0)="NA","NA",COUNTIFS(soccode,A271,socprog,"PNLS/TESTS RAPIDES ET CONSOMMABLES",soctrans,"OUI"))</f>
        <v>1</v>
      </c>
      <c r="F271" s="58">
        <f>IF(VLOOKUP($A271,SiteAttendu!$A$2:$P$366,6,0)="NA","NA",COUNTIFS(soccode,A271,socprog,"PNLS/PRODUITS DE LABORATOIRE",soctrans,"OUI"))</f>
        <v>1</v>
      </c>
      <c r="G271" s="58" t="str">
        <f>IF(VLOOKUP($A271,SiteAttendu!$A$2:$P$366,7,0)="NA","NA",COUNTIFS(soccode,A271,socprog,"PNLS/CHARGES VIRALES",soctrans,"OUI"))</f>
        <v>NA</v>
      </c>
      <c r="H271" s="58">
        <f>IF(VLOOKUP($A271,SiteAttendu!$A$2:$P$366,9,0)="NA","NA",COUNTIFS(soccode,A271,socprog,"PNLP/MEDICAMENTS ET INTRANTS",soctrans,"OUI"))</f>
        <v>1</v>
      </c>
      <c r="I271" s="58">
        <f>IF(VLOOKUP($A271,SiteAttendu!$A$2:$P$366,10,0)="NA","NA",COUNTIFS(soccode,$A271,socprog,"PNSME/MEDICAMENTS ET INTRANTS",soctrans,"OUI"))</f>
        <v>1</v>
      </c>
      <c r="J271" s="58" t="str">
        <f>IF(VLOOKUP($A271,SiteAttendu!$A$2:$P$366,11,0)="NA","NA",COUNTIFS(soccode,$A271,socprog,"PNN/MEDICAMENTS ET INTRANTS",soctrans,"OUI"))</f>
        <v>NA</v>
      </c>
      <c r="K271" s="58" t="str">
        <f>IF(VLOOKUP($A271,SiteAttendu!$A$2:$O$366,15,0)="NA","NA",IF(COUNTIF(socprog,"PNLT/SENSIBLE MEDICAMENTS ET INTRANTS")=0,"NA",COUNTIFS(soccode,$A271,socprog,"PNLT/SENSIBLE MEDICAMENTS ET INTRANTS",soctrans,"OUI")))</f>
        <v>NA</v>
      </c>
      <c r="L271" s="90"/>
      <c r="M271" s="90">
        <f t="shared" ref="M271:S271" si="273">IFERROR(SUMIFS(E$2:E$364,$C$2:$C$364,$C271)/COUNTIFS(E$2:E$364,"&lt;&gt;NA",$C$2:$C$364,$C271),"")</f>
        <v>1</v>
      </c>
      <c r="N271" s="90">
        <f t="shared" si="273"/>
        <v>1</v>
      </c>
      <c r="O271" s="90">
        <f t="shared" si="273"/>
        <v>1</v>
      </c>
      <c r="P271" s="90">
        <f t="shared" si="273"/>
        <v>1</v>
      </c>
      <c r="Q271" s="90">
        <f t="shared" si="273"/>
        <v>1</v>
      </c>
      <c r="R271" s="90">
        <f t="shared" si="273"/>
        <v>1</v>
      </c>
      <c r="S271" s="90">
        <f t="shared" si="273"/>
        <v>0.6666666667</v>
      </c>
      <c r="T271" s="90">
        <f t="shared" si="3"/>
        <v>1</v>
      </c>
      <c r="U271" s="92">
        <f t="shared" si="4"/>
        <v>3</v>
      </c>
      <c r="V271" s="54">
        <f t="shared" si="5"/>
        <v>3</v>
      </c>
    </row>
    <row r="272" ht="15.75" customHeight="1">
      <c r="A272" s="70" t="str">
        <f>SiteAttendu!$A271</f>
        <v>C2014</v>
      </c>
      <c r="B272" s="71" t="str">
        <f>VLOOKUP($A272,SiteAttendu!$A$2:$C$366,2,0)</f>
        <v>CSU GOHITAFLA</v>
      </c>
      <c r="C272" s="72" t="str">
        <f>VLOOKUP($A272,SiteAttendu!$A$2:$C$366,3,0)</f>
        <v>MARAHOUE</v>
      </c>
      <c r="D272" s="73" t="str">
        <f>IF(VLOOKUP($A272,SiteAttendu!$A$2:$P$366,4,0)="NA","NA",COUNTIFS(soccode,A272,socprog,"PNLS/ANTIRETROVIRAUX ET IO",soctrans,"OUI"))</f>
        <v>NA</v>
      </c>
      <c r="E272" s="73" t="str">
        <f>IF(VLOOKUP($A272,SiteAttendu!$A$2:$P$366,5,0)="NA","NA",COUNTIFS(soccode,A272,socprog,"PNLS/TESTS RAPIDES ET CONSOMMABLES",soctrans,"OUI"))</f>
        <v>NA</v>
      </c>
      <c r="F272" s="73" t="str">
        <f>IF(VLOOKUP($A272,SiteAttendu!$A$2:$P$366,6,0)="NA","NA",COUNTIFS(soccode,A272,socprog,"PNLS/PRODUITS DE LABORATOIRE",soctrans,"OUI"))</f>
        <v>NA</v>
      </c>
      <c r="G272" s="73" t="str">
        <f>IF(VLOOKUP($A272,SiteAttendu!$A$2:$P$366,7,0)="NA","NA",COUNTIFS(soccode,A272,socprog,"PNLS/CHARGES VIRALES",soctrans,"OUI"))</f>
        <v>NA</v>
      </c>
      <c r="H272" s="73" t="str">
        <f>IF(VLOOKUP($A272,SiteAttendu!$A$2:$P$366,9,0)="NA","NA",COUNTIFS(soccode,A272,socprog,"PNLP/MEDICAMENTS ET INTRANTS",soctrans,"OUI"))</f>
        <v>NA</v>
      </c>
      <c r="I272" s="73">
        <f>IF(VLOOKUP($A272,SiteAttendu!$A$2:$P$366,10,0)="NA","NA",COUNTIFS(soccode,$A272,socprog,"PNSME/MEDICAMENTS ET INTRANTS",soctrans,"OUI"))</f>
        <v>1</v>
      </c>
      <c r="J272" s="73" t="str">
        <f>IF(VLOOKUP($A272,SiteAttendu!$A$2:$P$366,11,0)="NA","NA",COUNTIFS(soccode,$A272,socprog,"PNN/MEDICAMENTS ET INTRANTS",soctrans,"OUI"))</f>
        <v>NA</v>
      </c>
      <c r="K272" s="73" t="str">
        <f>IF(VLOOKUP($A272,SiteAttendu!$A$2:$O$366,15,0)="NA","NA",IF(COUNTIF(socprog,"PNLT/SENSIBLE MEDICAMENTS ET INTRANTS")=0,"NA",COUNTIFS(soccode,$A272,socprog,"PNLT/SENSIBLE MEDICAMENTS ET INTRANTS",soctrans,"OUI")))</f>
        <v>NA</v>
      </c>
      <c r="L272" s="97"/>
      <c r="M272" s="97">
        <f t="shared" ref="M272:S272" si="274">IFERROR(SUMIFS(E$2:E$364,$C$2:$C$364,$C272)/COUNTIFS(E$2:E$364,"&lt;&gt;NA",$C$2:$C$364,$C272),"")</f>
        <v>1</v>
      </c>
      <c r="N272" s="97">
        <f t="shared" si="274"/>
        <v>1</v>
      </c>
      <c r="O272" s="97">
        <f t="shared" si="274"/>
        <v>1</v>
      </c>
      <c r="P272" s="97">
        <f t="shared" si="274"/>
        <v>1</v>
      </c>
      <c r="Q272" s="97">
        <f t="shared" si="274"/>
        <v>1</v>
      </c>
      <c r="R272" s="97">
        <f t="shared" si="274"/>
        <v>1</v>
      </c>
      <c r="S272" s="97">
        <f t="shared" si="274"/>
        <v>0.6666666667</v>
      </c>
      <c r="T272" s="97">
        <f t="shared" si="3"/>
        <v>1</v>
      </c>
      <c r="U272" s="92">
        <f t="shared" si="4"/>
        <v>0</v>
      </c>
      <c r="V272" s="54">
        <f t="shared" si="5"/>
        <v>0</v>
      </c>
    </row>
    <row r="273" ht="15.75" customHeight="1">
      <c r="A273" s="46" t="str">
        <f>SiteAttendu!$A272</f>
        <v>C1108</v>
      </c>
      <c r="B273" s="47" t="str">
        <f>VLOOKUP($A273,SiteAttendu!$A$2:$C$366,2,0)</f>
        <v>INSTITUT RAOUL FOLLEREAU ADZOPE</v>
      </c>
      <c r="C273" s="48" t="str">
        <f>VLOOKUP($A273,SiteAttendu!$A$2:$C$366,3,0)</f>
        <v>ME</v>
      </c>
      <c r="D273" s="49">
        <f>IF(VLOOKUP($A273,SiteAttendu!$A$2:$P$366,4,0)="NA","NA",COUNTIFS(soccode,A273,socprog,"PNLS/ANTIRETROVIRAUX ET IO",soctrans,"OUI"))</f>
        <v>0</v>
      </c>
      <c r="E273" s="49">
        <f>IF(VLOOKUP($A273,SiteAttendu!$A$2:$P$366,5,0)="NA","NA",COUNTIFS(soccode,A273,socprog,"PNLS/TESTS RAPIDES ET CONSOMMABLES",soctrans,"OUI"))</f>
        <v>0</v>
      </c>
      <c r="F273" s="49">
        <f>IF(VLOOKUP($A273,SiteAttendu!$A$2:$P$366,6,0)="NA","NA",COUNTIFS(soccode,A273,socprog,"PNLS/PRODUITS DE LABORATOIRE",soctrans,"OUI"))</f>
        <v>0</v>
      </c>
      <c r="G273" s="49" t="str">
        <f>IF(VLOOKUP($A273,SiteAttendu!$A$2:$P$366,7,0)="NA","NA",COUNTIFS(soccode,A273,socprog,"PNLS/CHARGES VIRALES",soctrans,"OUI"))</f>
        <v>NA</v>
      </c>
      <c r="H273" s="49">
        <f>IF(VLOOKUP($A273,SiteAttendu!$A$2:$P$366,9,0)="NA","NA",COUNTIFS(soccode,A273,socprog,"PNLP/MEDICAMENTS ET INTRANTS",soctrans,"OUI"))</f>
        <v>0</v>
      </c>
      <c r="I273" s="49" t="str">
        <f>IF(VLOOKUP($A273,SiteAttendu!$A$2:$P$366,10,0)="NA","NA",COUNTIFS(soccode,$A273,socprog,"PNSME/MEDICAMENTS ET INTRANTS",soctrans,"OUI"))</f>
        <v>NA</v>
      </c>
      <c r="J273" s="49" t="str">
        <f>IF(VLOOKUP($A273,SiteAttendu!$A$2:$P$366,11,0)="NA","NA",COUNTIFS(soccode,$A273,socprog,"PNN/MEDICAMENTS ET INTRANTS",soctrans,"OUI"))</f>
        <v>NA</v>
      </c>
      <c r="K273" s="49" t="str">
        <f>IF(VLOOKUP($A273,SiteAttendu!$A$2:$O$366,15,0)="NA","NA",IF(COUNTIF(socprog,"PNLT/SENSIBLE MEDICAMENTS ET INTRANTS")=0,"NA",COUNTIFS(soccode,$A273,socprog,"PNLT/SENSIBLE MEDICAMENTS ET INTRANTS",soctrans,"OUI")))</f>
        <v>NA</v>
      </c>
      <c r="L273" s="98">
        <f t="shared" ref="L273:S273" si="275">IFERROR(SUMIFS(D$2:D$364,$C$2:$C$364,$C273)/COUNTIFS(D$2:D$364,"&lt;&gt;NA",$C$2:$C$364,$C273),"")</f>
        <v>0.9</v>
      </c>
      <c r="M273" s="98">
        <f t="shared" si="275"/>
        <v>0.9</v>
      </c>
      <c r="N273" s="98">
        <f t="shared" si="275"/>
        <v>0.8888888889</v>
      </c>
      <c r="O273" s="98">
        <f t="shared" si="275"/>
        <v>1</v>
      </c>
      <c r="P273" s="98">
        <f t="shared" si="275"/>
        <v>0.9090909091</v>
      </c>
      <c r="Q273" s="98">
        <f t="shared" si="275"/>
        <v>1</v>
      </c>
      <c r="R273" s="98" t="str">
        <f t="shared" si="275"/>
        <v/>
      </c>
      <c r="S273" s="98">
        <f t="shared" si="275"/>
        <v>1</v>
      </c>
      <c r="T273" s="99">
        <f t="shared" si="3"/>
        <v>0.9</v>
      </c>
      <c r="U273" s="92">
        <f t="shared" si="4"/>
        <v>0</v>
      </c>
      <c r="V273" s="54">
        <f t="shared" si="5"/>
        <v>3</v>
      </c>
    </row>
    <row r="274" ht="15.75" customHeight="1">
      <c r="A274" s="55" t="str">
        <f>SiteAttendu!$A273</f>
        <v>C4036</v>
      </c>
      <c r="B274" s="56" t="str">
        <f>VLOOKUP($A274,SiteAttendu!$A$2:$C$366,2,0)</f>
        <v>DISTRICT SANITAIRE ADZOPE</v>
      </c>
      <c r="C274" s="57" t="str">
        <f>VLOOKUP($A274,SiteAttendu!$A$2:$C$366,3,0)</f>
        <v>ME</v>
      </c>
      <c r="D274" s="58">
        <f>IF(VLOOKUP($A274,SiteAttendu!$A$2:$P$366,4,0)="NA","NA",COUNTIFS(soccode,A274,socprog,"PNLS/ANTIRETROVIRAUX ET IO",soctrans,"OUI"))</f>
        <v>1</v>
      </c>
      <c r="E274" s="58">
        <f>IF(VLOOKUP($A274,SiteAttendu!$A$2:$P$366,5,0)="NA","NA",COUNTIFS(soccode,A274,socprog,"PNLS/TESTS RAPIDES ET CONSOMMABLES",soctrans,"OUI"))</f>
        <v>1</v>
      </c>
      <c r="F274" s="58">
        <f>IF(VLOOKUP($A274,SiteAttendu!$A$2:$P$366,6,0)="NA","NA",COUNTIFS(soccode,A274,socprog,"PNLS/PRODUITS DE LABORATOIRE",soctrans,"OUI"))</f>
        <v>1</v>
      </c>
      <c r="G274" s="58" t="str">
        <f>IF(VLOOKUP($A274,SiteAttendu!$A$2:$P$366,7,0)="NA","NA",COUNTIFS(soccode,A274,socprog,"PNLS/CHARGES VIRALES",soctrans,"OUI"))</f>
        <v>NA</v>
      </c>
      <c r="H274" s="58">
        <f>IF(VLOOKUP($A274,SiteAttendu!$A$2:$P$366,9,0)="NA","NA",COUNTIFS(soccode,A274,socprog,"PNLP/MEDICAMENTS ET INTRANTS",soctrans,"OUI"))</f>
        <v>1</v>
      </c>
      <c r="I274" s="58">
        <f>IF(VLOOKUP($A274,SiteAttendu!$A$2:$P$366,10,0)="NA","NA",COUNTIFS(soccode,$A274,socprog,"PNSME/MEDICAMENTS ET INTRANTS",soctrans,"OUI"))</f>
        <v>1</v>
      </c>
      <c r="J274" s="58" t="str">
        <f>IF(VLOOKUP($A274,SiteAttendu!$A$2:$P$366,11,0)="NA","NA",COUNTIFS(soccode,$A274,socprog,"PNN/MEDICAMENTS ET INTRANTS",soctrans,"OUI"))</f>
        <v>NA</v>
      </c>
      <c r="K274" s="58">
        <f>IF(VLOOKUP($A274,SiteAttendu!$A$2:$O$366,15,0)="NA","NA",IF(COUNTIF(socprog,"PNLT/SENSIBLE MEDICAMENTS ET INTRANTS")=0,"NA",COUNTIFS(soccode,$A274,socprog,"PNLT/SENSIBLE MEDICAMENTS ET INTRANTS",soctrans,"OUI")))</f>
        <v>1</v>
      </c>
      <c r="L274" s="100"/>
      <c r="M274" s="100">
        <f t="shared" ref="M274:S274" si="276">IFERROR(SUMIFS(E$2:E$364,$C$2:$C$364,$C274)/COUNTIFS(E$2:E$364,"&lt;&gt;NA",$C$2:$C$364,$C274),"")</f>
        <v>0.9</v>
      </c>
      <c r="N274" s="100">
        <f t="shared" si="276"/>
        <v>0.8888888889</v>
      </c>
      <c r="O274" s="100">
        <f t="shared" si="276"/>
        <v>1</v>
      </c>
      <c r="P274" s="100">
        <f t="shared" si="276"/>
        <v>0.9090909091</v>
      </c>
      <c r="Q274" s="100">
        <f t="shared" si="276"/>
        <v>1</v>
      </c>
      <c r="R274" s="100" t="str">
        <f t="shared" si="276"/>
        <v/>
      </c>
      <c r="S274" s="100">
        <f t="shared" si="276"/>
        <v>1</v>
      </c>
      <c r="T274" s="101">
        <f t="shared" si="3"/>
        <v>0.9</v>
      </c>
      <c r="U274" s="92">
        <f t="shared" si="4"/>
        <v>3</v>
      </c>
      <c r="V274" s="54">
        <f t="shared" si="5"/>
        <v>3</v>
      </c>
    </row>
    <row r="275" ht="15.75" customHeight="1">
      <c r="A275" s="55" t="str">
        <f>SiteAttendu!$A274</f>
        <v>C4090</v>
      </c>
      <c r="B275" s="56" t="str">
        <f>VLOOKUP($A275,SiteAttendu!$A$2:$C$366,2,0)</f>
        <v>CHR ADZOPE</v>
      </c>
      <c r="C275" s="57" t="str">
        <f>VLOOKUP($A275,SiteAttendu!$A$2:$C$366,3,0)</f>
        <v>ME</v>
      </c>
      <c r="D275" s="58" t="str">
        <f>IF(VLOOKUP($A275,SiteAttendu!$A$2:$P$366,4,0)="NA","NA",COUNTIFS(soccode,A275,socprog,"PNLS/ANTIRETROVIRAUX ET IO",soctrans,"OUI"))</f>
        <v>NA</v>
      </c>
      <c r="E275" s="58" t="str">
        <f>IF(VLOOKUP($A275,SiteAttendu!$A$2:$P$366,5,0)="NA","NA",COUNTIFS(soccode,A275,socprog,"PNLS/TESTS RAPIDES ET CONSOMMABLES",soctrans,"OUI"))</f>
        <v>NA</v>
      </c>
      <c r="F275" s="58" t="str">
        <f>IF(VLOOKUP($A275,SiteAttendu!$A$2:$P$366,6,0)="NA","NA",COUNTIFS(soccode,A275,socprog,"PNLS/PRODUITS DE LABORATOIRE",soctrans,"OUI"))</f>
        <v>NA</v>
      </c>
      <c r="G275" s="58" t="str">
        <f>IF(VLOOKUP($A275,SiteAttendu!$A$2:$P$366,7,0)="NA","NA",COUNTIFS(soccode,A275,socprog,"PNLS/CHARGES VIRALES",soctrans,"OUI"))</f>
        <v>NA</v>
      </c>
      <c r="H275" s="58">
        <f>IF(VLOOKUP($A275,SiteAttendu!$A$2:$P$366,9,0)="NA","NA",COUNTIFS(soccode,A275,socprog,"PNLP/MEDICAMENTS ET INTRANTS",soctrans,"OUI"))</f>
        <v>1</v>
      </c>
      <c r="I275" s="58" t="str">
        <f>IF(VLOOKUP($A275,SiteAttendu!$A$2:$P$366,10,0)="NA","NA",COUNTIFS(soccode,$A275,socprog,"PNSME/MEDICAMENTS ET INTRANTS",soctrans,"OUI"))</f>
        <v>NA</v>
      </c>
      <c r="J275" s="58" t="str">
        <f>IF(VLOOKUP($A275,SiteAttendu!$A$2:$P$366,11,0)="NA","NA",COUNTIFS(soccode,$A275,socprog,"PNN/MEDICAMENTS ET INTRANTS",soctrans,"OUI"))</f>
        <v>NA</v>
      </c>
      <c r="K275" s="58" t="str">
        <f>IF(VLOOKUP($A275,SiteAttendu!$A$2:$O$366,15,0)="NA","NA",IF(COUNTIF(socprog,"PNLT/SENSIBLE MEDICAMENTS ET INTRANTS")=0,"NA",COUNTIFS(soccode,$A275,socprog,"PNLT/SENSIBLE MEDICAMENTS ET INTRANTS",soctrans,"OUI")))</f>
        <v>NA</v>
      </c>
      <c r="L275" s="100"/>
      <c r="M275" s="100">
        <f t="shared" ref="M275:S275" si="277">IFERROR(SUMIFS(E$2:E$364,$C$2:$C$364,$C275)/COUNTIFS(E$2:E$364,"&lt;&gt;NA",$C$2:$C$364,$C275),"")</f>
        <v>0.9</v>
      </c>
      <c r="N275" s="100">
        <f t="shared" si="277"/>
        <v>0.8888888889</v>
      </c>
      <c r="O275" s="100">
        <f t="shared" si="277"/>
        <v>1</v>
      </c>
      <c r="P275" s="100">
        <f t="shared" si="277"/>
        <v>0.9090909091</v>
      </c>
      <c r="Q275" s="100">
        <f t="shared" si="277"/>
        <v>1</v>
      </c>
      <c r="R275" s="100" t="str">
        <f t="shared" si="277"/>
        <v/>
      </c>
      <c r="S275" s="100">
        <f t="shared" si="277"/>
        <v>1</v>
      </c>
      <c r="T275" s="101">
        <f t="shared" si="3"/>
        <v>0.9</v>
      </c>
      <c r="U275" s="92">
        <f t="shared" si="4"/>
        <v>0</v>
      </c>
      <c r="V275" s="54">
        <f t="shared" si="5"/>
        <v>0</v>
      </c>
    </row>
    <row r="276" ht="15.75" customHeight="1">
      <c r="A276" s="55" t="str">
        <f>SiteAttendu!$A275</f>
        <v>C4067</v>
      </c>
      <c r="B276" s="56" t="str">
        <f>VLOOKUP($A276,SiteAttendu!$A$2:$C$366,2,0)</f>
        <v>CENTRE ANTITUBERCULEUX ADZOPE</v>
      </c>
      <c r="C276" s="57" t="str">
        <f>VLOOKUP($A276,SiteAttendu!$A$2:$C$366,3,0)</f>
        <v>ME</v>
      </c>
      <c r="D276" s="58" t="str">
        <f>IF(VLOOKUP($A276,SiteAttendu!$A$2:$P$366,4,0)="NA","NA",COUNTIFS(soccode,A276,socprog,"PNLS/ANTIRETROVIRAUX ET IO",soctrans,"OUI"))</f>
        <v>NA</v>
      </c>
      <c r="E276" s="58" t="str">
        <f>IF(VLOOKUP($A276,SiteAttendu!$A$2:$P$366,5,0)="NA","NA",COUNTIFS(soccode,A276,socprog,"PNLS/TESTS RAPIDES ET CONSOMMABLES",soctrans,"OUI"))</f>
        <v>NA</v>
      </c>
      <c r="F276" s="58" t="str">
        <f>IF(VLOOKUP($A276,SiteAttendu!$A$2:$P$366,6,0)="NA","NA",COUNTIFS(soccode,A276,socprog,"PNLS/PRODUITS DE LABORATOIRE",soctrans,"OUI"))</f>
        <v>NA</v>
      </c>
      <c r="G276" s="58" t="str">
        <f>IF(VLOOKUP($A276,SiteAttendu!$A$2:$P$366,7,0)="NA","NA",COUNTIFS(soccode,A276,socprog,"PNLS/CHARGES VIRALES",soctrans,"OUI"))</f>
        <v>NA</v>
      </c>
      <c r="H276" s="58" t="str">
        <f>IF(VLOOKUP($A276,SiteAttendu!$A$2:$P$366,9,0)="NA","NA",COUNTIFS(soccode,A276,socprog,"PNLP/MEDICAMENTS ET INTRANTS",soctrans,"OUI"))</f>
        <v>NA</v>
      </c>
      <c r="I276" s="58" t="str">
        <f>IF(VLOOKUP($A276,SiteAttendu!$A$2:$P$366,10,0)="NA","NA",COUNTIFS(soccode,$A276,socprog,"PNSME/MEDICAMENTS ET INTRANTS",soctrans,"OUI"))</f>
        <v>NA</v>
      </c>
      <c r="J276" s="58" t="str">
        <f>IF(VLOOKUP($A276,SiteAttendu!$A$2:$P$366,11,0)="NA","NA",COUNTIFS(soccode,$A276,socprog,"PNN/MEDICAMENTS ET INTRANTS",soctrans,"OUI"))</f>
        <v>NA</v>
      </c>
      <c r="K276" s="58">
        <f>IF(VLOOKUP($A276,SiteAttendu!$A$2:$O$366,15,0)="NA","NA",IF(COUNTIF(socprog,"PNLT/SENSIBLE MEDICAMENTS ET INTRANTS")=0,"NA",COUNTIFS(soccode,$A276,socprog,"PNLT/SENSIBLE MEDICAMENTS ET INTRANTS",soctrans,"OUI")))</f>
        <v>1</v>
      </c>
      <c r="L276" s="100"/>
      <c r="M276" s="100">
        <f t="shared" ref="M276:S276" si="278">IFERROR(SUMIFS(E$2:E$364,$C$2:$C$364,$C276)/COUNTIFS(E$2:E$364,"&lt;&gt;NA",$C$2:$C$364,$C276),"")</f>
        <v>0.9</v>
      </c>
      <c r="N276" s="100">
        <f t="shared" si="278"/>
        <v>0.8888888889</v>
      </c>
      <c r="O276" s="100">
        <f t="shared" si="278"/>
        <v>1</v>
      </c>
      <c r="P276" s="100">
        <f t="shared" si="278"/>
        <v>0.9090909091</v>
      </c>
      <c r="Q276" s="100">
        <f t="shared" si="278"/>
        <v>1</v>
      </c>
      <c r="R276" s="100" t="str">
        <f t="shared" si="278"/>
        <v/>
      </c>
      <c r="S276" s="100">
        <f t="shared" si="278"/>
        <v>1</v>
      </c>
      <c r="T276" s="101">
        <f t="shared" si="3"/>
        <v>0.9</v>
      </c>
      <c r="U276" s="92">
        <f t="shared" si="4"/>
        <v>0</v>
      </c>
      <c r="V276" s="54">
        <f t="shared" si="5"/>
        <v>0</v>
      </c>
    </row>
    <row r="277" ht="15.75" customHeight="1">
      <c r="A277" s="55" t="str">
        <f>SiteAttendu!$A276</f>
        <v>C4006</v>
      </c>
      <c r="B277" s="56" t="str">
        <f>VLOOKUP($A277,SiteAttendu!$A$2:$C$366,2,0)</f>
        <v>DISTRICT SANITAIRE AKOUPE</v>
      </c>
      <c r="C277" s="57" t="str">
        <f>VLOOKUP($A277,SiteAttendu!$A$2:$C$366,3,0)</f>
        <v>ME</v>
      </c>
      <c r="D277" s="58">
        <f>IF(VLOOKUP($A277,SiteAttendu!$A$2:$P$366,4,0)="NA","NA",COUNTIFS(soccode,A277,socprog,"PNLS/ANTIRETROVIRAUX ET IO",soctrans,"OUI"))</f>
        <v>1</v>
      </c>
      <c r="E277" s="58">
        <f>IF(VLOOKUP($A277,SiteAttendu!$A$2:$P$366,5,0)="NA","NA",COUNTIFS(soccode,A277,socprog,"PNLS/TESTS RAPIDES ET CONSOMMABLES",soctrans,"OUI"))</f>
        <v>1</v>
      </c>
      <c r="F277" s="58">
        <f>IF(VLOOKUP($A277,SiteAttendu!$A$2:$P$366,6,0)="NA","NA",COUNTIFS(soccode,A277,socprog,"PNLS/PRODUITS DE LABORATOIRE",soctrans,"OUI"))</f>
        <v>1</v>
      </c>
      <c r="G277" s="58" t="str">
        <f>IF(VLOOKUP($A277,SiteAttendu!$A$2:$P$366,7,0)="NA","NA",COUNTIFS(soccode,A277,socprog,"PNLS/CHARGES VIRALES",soctrans,"OUI"))</f>
        <v>NA</v>
      </c>
      <c r="H277" s="58">
        <f>IF(VLOOKUP($A277,SiteAttendu!$A$2:$P$366,9,0)="NA","NA",COUNTIFS(soccode,A277,socprog,"PNLP/MEDICAMENTS ET INTRANTS",soctrans,"OUI"))</f>
        <v>1</v>
      </c>
      <c r="I277" s="58">
        <f>IF(VLOOKUP($A277,SiteAttendu!$A$2:$P$366,10,0)="NA","NA",COUNTIFS(soccode,$A277,socprog,"PNSME/MEDICAMENTS ET INTRANTS",soctrans,"OUI"))</f>
        <v>1</v>
      </c>
      <c r="J277" s="58" t="str">
        <f>IF(VLOOKUP($A277,SiteAttendu!$A$2:$P$366,11,0)="NA","NA",COUNTIFS(soccode,$A277,socprog,"PNN/MEDICAMENTS ET INTRANTS",soctrans,"OUI"))</f>
        <v>NA</v>
      </c>
      <c r="K277" s="58" t="str">
        <f>IF(VLOOKUP($A277,SiteAttendu!$A$2:$O$366,15,0)="NA","NA",IF(COUNTIF(socprog,"PNLT/SENSIBLE MEDICAMENTS ET INTRANTS")=0,"NA",COUNTIFS(soccode,$A277,socprog,"PNLT/SENSIBLE MEDICAMENTS ET INTRANTS",soctrans,"OUI")))</f>
        <v>NA</v>
      </c>
      <c r="L277" s="100"/>
      <c r="M277" s="100">
        <f t="shared" ref="M277:S277" si="279">IFERROR(SUMIFS(E$2:E$364,$C$2:$C$364,$C277)/COUNTIFS(E$2:E$364,"&lt;&gt;NA",$C$2:$C$364,$C277),"")</f>
        <v>0.9</v>
      </c>
      <c r="N277" s="100">
        <f t="shared" si="279"/>
        <v>0.8888888889</v>
      </c>
      <c r="O277" s="100">
        <f t="shared" si="279"/>
        <v>1</v>
      </c>
      <c r="P277" s="100">
        <f t="shared" si="279"/>
        <v>0.9090909091</v>
      </c>
      <c r="Q277" s="100">
        <f t="shared" si="279"/>
        <v>1</v>
      </c>
      <c r="R277" s="100" t="str">
        <f t="shared" si="279"/>
        <v/>
      </c>
      <c r="S277" s="100">
        <f t="shared" si="279"/>
        <v>1</v>
      </c>
      <c r="T277" s="101">
        <f t="shared" si="3"/>
        <v>0.9</v>
      </c>
      <c r="U277" s="92">
        <f t="shared" si="4"/>
        <v>3</v>
      </c>
      <c r="V277" s="54">
        <f t="shared" si="5"/>
        <v>3</v>
      </c>
    </row>
    <row r="278" ht="15.75" customHeight="1">
      <c r="A278" s="55" t="str">
        <f>SiteAttendu!$A277</f>
        <v>C4015</v>
      </c>
      <c r="B278" s="56" t="str">
        <f>VLOOKUP($A278,SiteAttendu!$A$2:$C$366,2,0)</f>
        <v>HOPITAL GENERAL AKOUPE</v>
      </c>
      <c r="C278" s="57" t="str">
        <f>VLOOKUP($A278,SiteAttendu!$A$2:$C$366,3,0)</f>
        <v>ME</v>
      </c>
      <c r="D278" s="58">
        <f>IF(VLOOKUP($A278,SiteAttendu!$A$2:$P$366,4,0)="NA","NA",COUNTIFS(soccode,A278,socprog,"PNLS/ANTIRETROVIRAUX ET IO",soctrans,"OUI"))</f>
        <v>1</v>
      </c>
      <c r="E278" s="58">
        <f>IF(VLOOKUP($A278,SiteAttendu!$A$2:$P$366,5,0)="NA","NA",COUNTIFS(soccode,A278,socprog,"PNLS/TESTS RAPIDES ET CONSOMMABLES",soctrans,"OUI"))</f>
        <v>1</v>
      </c>
      <c r="F278" s="58">
        <f>IF(VLOOKUP($A278,SiteAttendu!$A$2:$P$366,6,0)="NA","NA",COUNTIFS(soccode,A278,socprog,"PNLS/PRODUITS DE LABORATOIRE",soctrans,"OUI"))</f>
        <v>1</v>
      </c>
      <c r="G278" s="58">
        <f>IF(VLOOKUP($A278,SiteAttendu!$A$2:$P$366,7,0)="NA","NA",COUNTIFS(soccode,A278,socprog,"PNLS/CHARGES VIRALES",soctrans,"OUI"))</f>
        <v>1</v>
      </c>
      <c r="H278" s="58">
        <f>IF(VLOOKUP($A278,SiteAttendu!$A$2:$P$366,9,0)="NA","NA",COUNTIFS(soccode,A278,socprog,"PNLP/MEDICAMENTS ET INTRANTS",soctrans,"OUI"))</f>
        <v>1</v>
      </c>
      <c r="I278" s="58">
        <f>IF(VLOOKUP($A278,SiteAttendu!$A$2:$P$366,10,0)="NA","NA",COUNTIFS(soccode,$A278,socprog,"PNSME/MEDICAMENTS ET INTRANTS",soctrans,"OUI"))</f>
        <v>1</v>
      </c>
      <c r="J278" s="58" t="str">
        <f>IF(VLOOKUP($A278,SiteAttendu!$A$2:$P$366,11,0)="NA","NA",COUNTIFS(soccode,$A278,socprog,"PNN/MEDICAMENTS ET INTRANTS",soctrans,"OUI"))</f>
        <v>NA</v>
      </c>
      <c r="K278" s="58">
        <f>IF(VLOOKUP($A278,SiteAttendu!$A$2:$O$366,15,0)="NA","NA",IF(COUNTIF(socprog,"PNLT/SENSIBLE MEDICAMENTS ET INTRANTS")=0,"NA",COUNTIFS(soccode,$A278,socprog,"PNLT/SENSIBLE MEDICAMENTS ET INTRANTS",soctrans,"OUI")))</f>
        <v>1</v>
      </c>
      <c r="L278" s="100"/>
      <c r="M278" s="100">
        <f t="shared" ref="M278:S278" si="280">IFERROR(SUMIFS(E$2:E$364,$C$2:$C$364,$C278)/COUNTIFS(E$2:E$364,"&lt;&gt;NA",$C$2:$C$364,$C278),"")</f>
        <v>0.9</v>
      </c>
      <c r="N278" s="100">
        <f t="shared" si="280"/>
        <v>0.8888888889</v>
      </c>
      <c r="O278" s="100">
        <f t="shared" si="280"/>
        <v>1</v>
      </c>
      <c r="P278" s="100">
        <f t="shared" si="280"/>
        <v>0.9090909091</v>
      </c>
      <c r="Q278" s="100">
        <f t="shared" si="280"/>
        <v>1</v>
      </c>
      <c r="R278" s="100" t="str">
        <f t="shared" si="280"/>
        <v/>
      </c>
      <c r="S278" s="100">
        <f t="shared" si="280"/>
        <v>1</v>
      </c>
      <c r="T278" s="101">
        <f t="shared" si="3"/>
        <v>0.9</v>
      </c>
      <c r="U278" s="92">
        <f t="shared" si="4"/>
        <v>4</v>
      </c>
      <c r="V278" s="54">
        <f t="shared" si="5"/>
        <v>4</v>
      </c>
    </row>
    <row r="279" ht="15.75" customHeight="1">
      <c r="A279" s="55" t="str">
        <f>SiteAttendu!$A278</f>
        <v>C4038</v>
      </c>
      <c r="B279" s="56" t="str">
        <f>VLOOKUP($A279,SiteAttendu!$A$2:$C$366,2,0)</f>
        <v>HOPITAL GENERAL AFFERY</v>
      </c>
      <c r="C279" s="57" t="str">
        <f>VLOOKUP($A279,SiteAttendu!$A$2:$C$366,3,0)</f>
        <v>ME</v>
      </c>
      <c r="D279" s="58">
        <f>IF(VLOOKUP($A279,SiteAttendu!$A$2:$P$366,4,0)="NA","NA",COUNTIFS(soccode,A279,socprog,"PNLS/ANTIRETROVIRAUX ET IO",soctrans,"OUI"))</f>
        <v>1</v>
      </c>
      <c r="E279" s="58">
        <f>IF(VLOOKUP($A279,SiteAttendu!$A$2:$P$366,5,0)="NA","NA",COUNTIFS(soccode,A279,socprog,"PNLS/TESTS RAPIDES ET CONSOMMABLES",soctrans,"OUI"))</f>
        <v>1</v>
      </c>
      <c r="F279" s="58">
        <f>IF(VLOOKUP($A279,SiteAttendu!$A$2:$P$366,6,0)="NA","NA",COUNTIFS(soccode,A279,socprog,"PNLS/PRODUITS DE LABORATOIRE",soctrans,"OUI"))</f>
        <v>1</v>
      </c>
      <c r="G279" s="58" t="str">
        <f>IF(VLOOKUP($A279,SiteAttendu!$A$2:$P$366,7,0)="NA","NA",COUNTIFS(soccode,A279,socprog,"PNLS/CHARGES VIRALES",soctrans,"OUI"))</f>
        <v>NA</v>
      </c>
      <c r="H279" s="58">
        <f>IF(VLOOKUP($A279,SiteAttendu!$A$2:$P$366,9,0)="NA","NA",COUNTIFS(soccode,A279,socprog,"PNLP/MEDICAMENTS ET INTRANTS",soctrans,"OUI"))</f>
        <v>1</v>
      </c>
      <c r="I279" s="58">
        <f>IF(VLOOKUP($A279,SiteAttendu!$A$2:$P$366,10,0)="NA","NA",COUNTIFS(soccode,$A279,socprog,"PNSME/MEDICAMENTS ET INTRANTS",soctrans,"OUI"))</f>
        <v>1</v>
      </c>
      <c r="J279" s="58" t="str">
        <f>IF(VLOOKUP($A279,SiteAttendu!$A$2:$P$366,11,0)="NA","NA",COUNTIFS(soccode,$A279,socprog,"PNN/MEDICAMENTS ET INTRANTS",soctrans,"OUI"))</f>
        <v>NA</v>
      </c>
      <c r="K279" s="58">
        <f>IF(VLOOKUP($A279,SiteAttendu!$A$2:$O$366,15,0)="NA","NA",IF(COUNTIF(socprog,"PNLT/SENSIBLE MEDICAMENTS ET INTRANTS")=0,"NA",COUNTIFS(soccode,$A279,socprog,"PNLT/SENSIBLE MEDICAMENTS ET INTRANTS",soctrans,"OUI")))</f>
        <v>1</v>
      </c>
      <c r="L279" s="100"/>
      <c r="M279" s="100">
        <f t="shared" ref="M279:S279" si="281">IFERROR(SUMIFS(E$2:E$364,$C$2:$C$364,$C279)/COUNTIFS(E$2:E$364,"&lt;&gt;NA",$C$2:$C$364,$C279),"")</f>
        <v>0.9</v>
      </c>
      <c r="N279" s="100">
        <f t="shared" si="281"/>
        <v>0.8888888889</v>
      </c>
      <c r="O279" s="100">
        <f t="shared" si="281"/>
        <v>1</v>
      </c>
      <c r="P279" s="100">
        <f t="shared" si="281"/>
        <v>0.9090909091</v>
      </c>
      <c r="Q279" s="100">
        <f t="shared" si="281"/>
        <v>1</v>
      </c>
      <c r="R279" s="100" t="str">
        <f t="shared" si="281"/>
        <v/>
      </c>
      <c r="S279" s="100">
        <f t="shared" si="281"/>
        <v>1</v>
      </c>
      <c r="T279" s="101">
        <f t="shared" si="3"/>
        <v>0.9</v>
      </c>
      <c r="U279" s="92">
        <f t="shared" si="4"/>
        <v>3</v>
      </c>
      <c r="V279" s="54">
        <f t="shared" si="5"/>
        <v>3</v>
      </c>
    </row>
    <row r="280" ht="15.75" customHeight="1">
      <c r="A280" s="55" t="str">
        <f>SiteAttendu!$A279</f>
        <v>C1046</v>
      </c>
      <c r="B280" s="56" t="str">
        <f>VLOOKUP($A280,SiteAttendu!$A$2:$C$366,2,0)</f>
        <v>DISTRICT SANITAIRE ALEPE</v>
      </c>
      <c r="C280" s="57" t="str">
        <f>VLOOKUP($A280,SiteAttendu!$A$2:$C$366,3,0)</f>
        <v>ME</v>
      </c>
      <c r="D280" s="58">
        <f>IF(VLOOKUP($A280,SiteAttendu!$A$2:$P$366,4,0)="NA","NA",COUNTIFS(soccode,A280,socprog,"PNLS/ANTIRETROVIRAUX ET IO",soctrans,"OUI"))</f>
        <v>1</v>
      </c>
      <c r="E280" s="58">
        <f>IF(VLOOKUP($A280,SiteAttendu!$A$2:$P$366,5,0)="NA","NA",COUNTIFS(soccode,A280,socprog,"PNLS/TESTS RAPIDES ET CONSOMMABLES",soctrans,"OUI"))</f>
        <v>1</v>
      </c>
      <c r="F280" s="58">
        <f>IF(VLOOKUP($A280,SiteAttendu!$A$2:$P$366,6,0)="NA","NA",COUNTIFS(soccode,A280,socprog,"PNLS/PRODUITS DE LABORATOIRE",soctrans,"OUI"))</f>
        <v>1</v>
      </c>
      <c r="G280" s="58" t="str">
        <f>IF(VLOOKUP($A280,SiteAttendu!$A$2:$P$366,7,0)="NA","NA",COUNTIFS(soccode,A280,socprog,"PNLS/CHARGES VIRALES",soctrans,"OUI"))</f>
        <v>NA</v>
      </c>
      <c r="H280" s="58">
        <f>IF(VLOOKUP($A280,SiteAttendu!$A$2:$P$366,9,0)="NA","NA",COUNTIFS(soccode,A280,socprog,"PNLP/MEDICAMENTS ET INTRANTS",soctrans,"OUI"))</f>
        <v>1</v>
      </c>
      <c r="I280" s="58">
        <f>IF(VLOOKUP($A280,SiteAttendu!$A$2:$P$366,10,0)="NA","NA",COUNTIFS(soccode,$A280,socprog,"PNSME/MEDICAMENTS ET INTRANTS",soctrans,"OUI"))</f>
        <v>1</v>
      </c>
      <c r="J280" s="58" t="str">
        <f>IF(VLOOKUP($A280,SiteAttendu!$A$2:$P$366,11,0)="NA","NA",COUNTIFS(soccode,$A280,socprog,"PNN/MEDICAMENTS ET INTRANTS",soctrans,"OUI"))</f>
        <v>NA</v>
      </c>
      <c r="K280" s="58" t="str">
        <f>IF(VLOOKUP($A280,SiteAttendu!$A$2:$O$366,15,0)="NA","NA",IF(COUNTIF(socprog,"PNLT/SENSIBLE MEDICAMENTS ET INTRANTS")=0,"NA",COUNTIFS(soccode,$A280,socprog,"PNLT/SENSIBLE MEDICAMENTS ET INTRANTS",soctrans,"OUI")))</f>
        <v>NA</v>
      </c>
      <c r="L280" s="100"/>
      <c r="M280" s="100">
        <f t="shared" ref="M280:S280" si="282">IFERROR(SUMIFS(E$2:E$364,$C$2:$C$364,$C280)/COUNTIFS(E$2:E$364,"&lt;&gt;NA",$C$2:$C$364,$C280),"")</f>
        <v>0.9</v>
      </c>
      <c r="N280" s="100">
        <f t="shared" si="282"/>
        <v>0.8888888889</v>
      </c>
      <c r="O280" s="100">
        <f t="shared" si="282"/>
        <v>1</v>
      </c>
      <c r="P280" s="100">
        <f t="shared" si="282"/>
        <v>0.9090909091</v>
      </c>
      <c r="Q280" s="100">
        <f t="shared" si="282"/>
        <v>1</v>
      </c>
      <c r="R280" s="100" t="str">
        <f t="shared" si="282"/>
        <v/>
      </c>
      <c r="S280" s="100">
        <f t="shared" si="282"/>
        <v>1</v>
      </c>
      <c r="T280" s="101">
        <f t="shared" si="3"/>
        <v>0.9</v>
      </c>
      <c r="U280" s="92">
        <f t="shared" si="4"/>
        <v>3</v>
      </c>
      <c r="V280" s="54">
        <f t="shared" si="5"/>
        <v>3</v>
      </c>
    </row>
    <row r="281" ht="16.5" customHeight="1">
      <c r="A281" s="55" t="str">
        <f>SiteAttendu!$A280</f>
        <v>C1083</v>
      </c>
      <c r="B281" s="56" t="str">
        <f>VLOOKUP($A281,SiteAttendu!$A$2:$C$366,2,0)</f>
        <v>HOPITAL GENERAL ALEPE</v>
      </c>
      <c r="C281" s="57" t="str">
        <f>VLOOKUP($A281,SiteAttendu!$A$2:$C$366,3,0)</f>
        <v>ME</v>
      </c>
      <c r="D281" s="58">
        <f>IF(VLOOKUP($A281,SiteAttendu!$A$2:$P$366,4,0)="NA","NA",COUNTIFS(soccode,A281,socprog,"PNLS/ANTIRETROVIRAUX ET IO",soctrans,"OUI"))</f>
        <v>1</v>
      </c>
      <c r="E281" s="58">
        <f>IF(VLOOKUP($A281,SiteAttendu!$A$2:$P$366,5,0)="NA","NA",COUNTIFS(soccode,A281,socprog,"PNLS/TESTS RAPIDES ET CONSOMMABLES",soctrans,"OUI"))</f>
        <v>1</v>
      </c>
      <c r="F281" s="58">
        <f>IF(VLOOKUP($A281,SiteAttendu!$A$2:$P$366,6,0)="NA","NA",COUNTIFS(soccode,A281,socprog,"PNLS/PRODUITS DE LABORATOIRE",soctrans,"OUI"))</f>
        <v>1</v>
      </c>
      <c r="G281" s="58" t="str">
        <f>IF(VLOOKUP($A281,SiteAttendu!$A$2:$P$366,7,0)="NA","NA",COUNTIFS(soccode,A281,socprog,"PNLS/CHARGES VIRALES",soctrans,"OUI"))</f>
        <v>NA</v>
      </c>
      <c r="H281" s="58">
        <f>IF(VLOOKUP($A281,SiteAttendu!$A$2:$P$366,9,0)="NA","NA",COUNTIFS(soccode,A281,socprog,"PNLP/MEDICAMENTS ET INTRANTS",soctrans,"OUI"))</f>
        <v>1</v>
      </c>
      <c r="I281" s="58">
        <f>IF(VLOOKUP($A281,SiteAttendu!$A$2:$P$366,10,0)="NA","NA",COUNTIFS(soccode,$A281,socprog,"PNSME/MEDICAMENTS ET INTRANTS",soctrans,"OUI"))</f>
        <v>1</v>
      </c>
      <c r="J281" s="58" t="str">
        <f>IF(VLOOKUP($A281,SiteAttendu!$A$2:$P$366,11,0)="NA","NA",COUNTIFS(soccode,$A281,socprog,"PNN/MEDICAMENTS ET INTRANTS",soctrans,"OUI"))</f>
        <v>NA</v>
      </c>
      <c r="K281" s="58">
        <f>IF(VLOOKUP($A281,SiteAttendu!$A$2:$O$366,15,0)="NA","NA",IF(COUNTIF(socprog,"PNLT/SENSIBLE MEDICAMENTS ET INTRANTS")=0,"NA",COUNTIFS(soccode,$A281,socprog,"PNLT/SENSIBLE MEDICAMENTS ET INTRANTS",soctrans,"OUI")))</f>
        <v>1</v>
      </c>
      <c r="L281" s="100"/>
      <c r="M281" s="100">
        <f t="shared" ref="M281:S281" si="283">IFERROR(SUMIFS(E$2:E$364,$C$2:$C$364,$C281)/COUNTIFS(E$2:E$364,"&lt;&gt;NA",$C$2:$C$364,$C281),"")</f>
        <v>0.9</v>
      </c>
      <c r="N281" s="100">
        <f t="shared" si="283"/>
        <v>0.8888888889</v>
      </c>
      <c r="O281" s="100">
        <f t="shared" si="283"/>
        <v>1</v>
      </c>
      <c r="P281" s="100">
        <f t="shared" si="283"/>
        <v>0.9090909091</v>
      </c>
      <c r="Q281" s="100">
        <f t="shared" si="283"/>
        <v>1</v>
      </c>
      <c r="R281" s="100" t="str">
        <f t="shared" si="283"/>
        <v/>
      </c>
      <c r="S281" s="100">
        <f t="shared" si="283"/>
        <v>1</v>
      </c>
      <c r="T281" s="101">
        <f t="shared" si="3"/>
        <v>0.9</v>
      </c>
      <c r="U281" s="92">
        <f t="shared" si="4"/>
        <v>3</v>
      </c>
      <c r="V281" s="54">
        <f t="shared" si="5"/>
        <v>3</v>
      </c>
    </row>
    <row r="282" ht="15.75" customHeight="1">
      <c r="A282" s="55" t="str">
        <f>SiteAttendu!$A281</f>
        <v>C1093</v>
      </c>
      <c r="B282" s="56" t="str">
        <f>VLOOKUP($A282,SiteAttendu!$A$2:$C$366,2,0)</f>
        <v>HOPITAL GENERAL MEMNI</v>
      </c>
      <c r="C282" s="57" t="str">
        <f>VLOOKUP($A282,SiteAttendu!$A$2:$C$366,3,0)</f>
        <v>ME</v>
      </c>
      <c r="D282" s="58">
        <f>IF(VLOOKUP($A282,SiteAttendu!$A$2:$P$366,4,0)="NA","NA",COUNTIFS(soccode,A282,socprog,"PNLS/ANTIRETROVIRAUX ET IO",soctrans,"OUI"))</f>
        <v>1</v>
      </c>
      <c r="E282" s="58">
        <f>IF(VLOOKUP($A282,SiteAttendu!$A$2:$P$366,5,0)="NA","NA",COUNTIFS(soccode,A282,socprog,"PNLS/TESTS RAPIDES ET CONSOMMABLES",soctrans,"OUI"))</f>
        <v>1</v>
      </c>
      <c r="F282" s="58">
        <f>IF(VLOOKUP($A282,SiteAttendu!$A$2:$P$366,6,0)="NA","NA",COUNTIFS(soccode,A282,socprog,"PNLS/PRODUITS DE LABORATOIRE",soctrans,"OUI"))</f>
        <v>1</v>
      </c>
      <c r="G282" s="58" t="str">
        <f>IF(VLOOKUP($A282,SiteAttendu!$A$2:$P$366,7,0)="NA","NA",COUNTIFS(soccode,A282,socprog,"PNLS/CHARGES VIRALES",soctrans,"OUI"))</f>
        <v>NA</v>
      </c>
      <c r="H282" s="58">
        <f>IF(VLOOKUP($A282,SiteAttendu!$A$2:$P$366,9,0)="NA","NA",COUNTIFS(soccode,A282,socprog,"PNLP/MEDICAMENTS ET INTRANTS",soctrans,"OUI"))</f>
        <v>1</v>
      </c>
      <c r="I282" s="58">
        <f>IF(VLOOKUP($A282,SiteAttendu!$A$2:$P$366,10,0)="NA","NA",COUNTIFS(soccode,$A282,socprog,"PNSME/MEDICAMENTS ET INTRANTS",soctrans,"OUI"))</f>
        <v>1</v>
      </c>
      <c r="J282" s="58" t="str">
        <f>IF(VLOOKUP($A282,SiteAttendu!$A$2:$P$366,11,0)="NA","NA",COUNTIFS(soccode,$A282,socprog,"PNN/MEDICAMENTS ET INTRANTS",soctrans,"OUI"))</f>
        <v>NA</v>
      </c>
      <c r="K282" s="58">
        <f>IF(VLOOKUP($A282,SiteAttendu!$A$2:$O$366,15,0)="NA","NA",IF(COUNTIF(socprog,"PNLT/SENSIBLE MEDICAMENTS ET INTRANTS")=0,"NA",COUNTIFS(soccode,$A282,socprog,"PNLT/SENSIBLE MEDICAMENTS ET INTRANTS",soctrans,"OUI")))</f>
        <v>1</v>
      </c>
      <c r="L282" s="100"/>
      <c r="M282" s="100">
        <f t="shared" ref="M282:S282" si="284">IFERROR(SUMIFS(E$2:E$364,$C$2:$C$364,$C282)/COUNTIFS(E$2:E$364,"&lt;&gt;NA",$C$2:$C$364,$C282),"")</f>
        <v>0.9</v>
      </c>
      <c r="N282" s="100">
        <f t="shared" si="284"/>
        <v>0.8888888889</v>
      </c>
      <c r="O282" s="100">
        <f t="shared" si="284"/>
        <v>1</v>
      </c>
      <c r="P282" s="100">
        <f t="shared" si="284"/>
        <v>0.9090909091</v>
      </c>
      <c r="Q282" s="100">
        <f t="shared" si="284"/>
        <v>1</v>
      </c>
      <c r="R282" s="100" t="str">
        <f t="shared" si="284"/>
        <v/>
      </c>
      <c r="S282" s="100">
        <f t="shared" si="284"/>
        <v>1</v>
      </c>
      <c r="T282" s="101">
        <f t="shared" si="3"/>
        <v>0.9</v>
      </c>
      <c r="U282" s="92">
        <f t="shared" si="4"/>
        <v>3</v>
      </c>
      <c r="V282" s="54">
        <f t="shared" si="5"/>
        <v>3</v>
      </c>
    </row>
    <row r="283" ht="15.75" customHeight="1">
      <c r="A283" s="55" t="str">
        <f>SiteAttendu!$A282</f>
        <v>C4059</v>
      </c>
      <c r="B283" s="56" t="str">
        <f>VLOOKUP($A283,SiteAttendu!$A$2:$C$366,2,0)</f>
        <v>DISTRICT SANITAIRE YAKASSE-ATTOBROU</v>
      </c>
      <c r="C283" s="57" t="str">
        <f>VLOOKUP($A283,SiteAttendu!$A$2:$C$366,3,0)</f>
        <v>ME</v>
      </c>
      <c r="D283" s="58">
        <f>IF(VLOOKUP($A283,SiteAttendu!$A$2:$P$366,4,0)="NA","NA",COUNTIFS(soccode,A283,socprog,"PNLS/ANTIRETROVIRAUX ET IO",soctrans,"OUI"))</f>
        <v>1</v>
      </c>
      <c r="E283" s="58">
        <f>IF(VLOOKUP($A283,SiteAttendu!$A$2:$P$366,5,0)="NA","NA",COUNTIFS(soccode,A283,socprog,"PNLS/TESTS RAPIDES ET CONSOMMABLES",soctrans,"OUI"))</f>
        <v>1</v>
      </c>
      <c r="F283" s="58" t="str">
        <f>IF(VLOOKUP($A283,SiteAttendu!$A$2:$P$366,6,0)="NA","NA",COUNTIFS(soccode,A283,socprog,"PNLS/PRODUITS DE LABORATOIRE",soctrans,"OUI"))</f>
        <v>NA</v>
      </c>
      <c r="G283" s="58" t="str">
        <f>IF(VLOOKUP($A283,SiteAttendu!$A$2:$P$366,7,0)="NA","NA",COUNTIFS(soccode,A283,socprog,"PNLS/CHARGES VIRALES",soctrans,"OUI"))</f>
        <v>NA</v>
      </c>
      <c r="H283" s="58">
        <f>IF(VLOOKUP($A283,SiteAttendu!$A$2:$P$366,9,0)="NA","NA",COUNTIFS(soccode,A283,socprog,"PNLP/MEDICAMENTS ET INTRANTS",soctrans,"OUI"))</f>
        <v>1</v>
      </c>
      <c r="I283" s="58">
        <f>IF(VLOOKUP($A283,SiteAttendu!$A$2:$P$366,10,0)="NA","NA",COUNTIFS(soccode,$A283,socprog,"PNSME/MEDICAMENTS ET INTRANTS",soctrans,"OUI"))</f>
        <v>1</v>
      </c>
      <c r="J283" s="58" t="str">
        <f>IF(VLOOKUP($A283,SiteAttendu!$A$2:$P$366,11,0)="NA","NA",COUNTIFS(soccode,$A283,socprog,"PNN/MEDICAMENTS ET INTRANTS",soctrans,"OUI"))</f>
        <v>NA</v>
      </c>
      <c r="K283" s="58" t="str">
        <f>IF(VLOOKUP($A283,SiteAttendu!$A$2:$O$366,15,0)="NA","NA",IF(COUNTIF(socprog,"PNLT/SENSIBLE MEDICAMENTS ET INTRANTS")=0,"NA",COUNTIFS(soccode,$A283,socprog,"PNLT/SENSIBLE MEDICAMENTS ET INTRANTS",soctrans,"OUI")))</f>
        <v>NA</v>
      </c>
      <c r="L283" s="100"/>
      <c r="M283" s="100">
        <f t="shared" ref="M283:S283" si="285">IFERROR(SUMIFS(E$2:E$364,$C$2:$C$364,$C283)/COUNTIFS(E$2:E$364,"&lt;&gt;NA",$C$2:$C$364,$C283),"")</f>
        <v>0.9</v>
      </c>
      <c r="N283" s="100">
        <f t="shared" si="285"/>
        <v>0.8888888889</v>
      </c>
      <c r="O283" s="100">
        <f t="shared" si="285"/>
        <v>1</v>
      </c>
      <c r="P283" s="100">
        <f t="shared" si="285"/>
        <v>0.9090909091</v>
      </c>
      <c r="Q283" s="100">
        <f t="shared" si="285"/>
        <v>1</v>
      </c>
      <c r="R283" s="100" t="str">
        <f t="shared" si="285"/>
        <v/>
      </c>
      <c r="S283" s="100">
        <f t="shared" si="285"/>
        <v>1</v>
      </c>
      <c r="T283" s="101">
        <f t="shared" si="3"/>
        <v>0.9</v>
      </c>
      <c r="U283" s="92">
        <f t="shared" si="4"/>
        <v>2</v>
      </c>
      <c r="V283" s="54">
        <f t="shared" si="5"/>
        <v>2</v>
      </c>
    </row>
    <row r="284" ht="15.75" customHeight="1">
      <c r="A284" s="62" t="str">
        <f>SiteAttendu!$A283</f>
        <v>C4061</v>
      </c>
      <c r="B284" s="63" t="str">
        <f>VLOOKUP($A284,SiteAttendu!$A$2:$C$366,2,0)</f>
        <v>HOPITAL GENERAL YAKASSE ATTOBROU</v>
      </c>
      <c r="C284" s="64" t="str">
        <f>VLOOKUP($A284,SiteAttendu!$A$2:$C$366,3,0)</f>
        <v>ME</v>
      </c>
      <c r="D284" s="65">
        <f>IF(VLOOKUP($A284,SiteAttendu!$A$2:$P$366,4,0)="NA","NA",COUNTIFS(soccode,A284,socprog,"PNLS/ANTIRETROVIRAUX ET IO",soctrans,"OUI"))</f>
        <v>1</v>
      </c>
      <c r="E284" s="65">
        <f>IF(VLOOKUP($A284,SiteAttendu!$A$2:$P$366,5,0)="NA","NA",COUNTIFS(soccode,A284,socprog,"PNLS/TESTS RAPIDES ET CONSOMMABLES",soctrans,"OUI"))</f>
        <v>1</v>
      </c>
      <c r="F284" s="65">
        <f>IF(VLOOKUP($A284,SiteAttendu!$A$2:$P$366,6,0)="NA","NA",COUNTIFS(soccode,A284,socprog,"PNLS/PRODUITS DE LABORATOIRE",soctrans,"OUI"))</f>
        <v>1</v>
      </c>
      <c r="G284" s="65" t="str">
        <f>IF(VLOOKUP($A284,SiteAttendu!$A$2:$P$366,7,0)="NA","NA",COUNTIFS(soccode,A284,socprog,"PNLS/CHARGES VIRALES",soctrans,"OUI"))</f>
        <v>NA</v>
      </c>
      <c r="H284" s="65">
        <f>IF(VLOOKUP($A284,SiteAttendu!$A$2:$P$366,9,0)="NA","NA",COUNTIFS(soccode,A284,socprog,"PNLP/MEDICAMENTS ET INTRANTS",soctrans,"OUI"))</f>
        <v>1</v>
      </c>
      <c r="I284" s="65">
        <f>IF(VLOOKUP($A284,SiteAttendu!$A$2:$P$366,10,0)="NA","NA",COUNTIFS(soccode,$A284,socprog,"PNSME/MEDICAMENTS ET INTRANTS",soctrans,"OUI"))</f>
        <v>1</v>
      </c>
      <c r="J284" s="65" t="str">
        <f>IF(VLOOKUP($A284,SiteAttendu!$A$2:$P$366,11,0)="NA","NA",COUNTIFS(soccode,$A284,socprog,"PNN/MEDICAMENTS ET INTRANTS",soctrans,"OUI"))</f>
        <v>NA</v>
      </c>
      <c r="K284" s="65">
        <f>IF(VLOOKUP($A284,SiteAttendu!$A$2:$O$366,15,0)="NA","NA",IF(COUNTIF(socprog,"PNLT/SENSIBLE MEDICAMENTS ET INTRANTS")=0,"NA",COUNTIFS(soccode,$A284,socprog,"PNLT/SENSIBLE MEDICAMENTS ET INTRANTS",soctrans,"OUI")))</f>
        <v>1</v>
      </c>
      <c r="L284" s="102"/>
      <c r="M284" s="102">
        <f t="shared" ref="M284:S284" si="286">IFERROR(SUMIFS(E$2:E$364,$C$2:$C$364,$C284)/COUNTIFS(E$2:E$364,"&lt;&gt;NA",$C$2:$C$364,$C284),"")</f>
        <v>0.9</v>
      </c>
      <c r="N284" s="102">
        <f t="shared" si="286"/>
        <v>0.8888888889</v>
      </c>
      <c r="O284" s="102">
        <f t="shared" si="286"/>
        <v>1</v>
      </c>
      <c r="P284" s="102">
        <f t="shared" si="286"/>
        <v>0.9090909091</v>
      </c>
      <c r="Q284" s="102">
        <f t="shared" si="286"/>
        <v>1</v>
      </c>
      <c r="R284" s="102" t="str">
        <f t="shared" si="286"/>
        <v/>
      </c>
      <c r="S284" s="102">
        <f t="shared" si="286"/>
        <v>1</v>
      </c>
      <c r="T284" s="103">
        <f t="shared" si="3"/>
        <v>0.9</v>
      </c>
      <c r="U284" s="92">
        <f t="shared" si="4"/>
        <v>3</v>
      </c>
      <c r="V284" s="54">
        <f t="shared" si="5"/>
        <v>3</v>
      </c>
    </row>
    <row r="285" ht="15.75" customHeight="1">
      <c r="A285" s="81" t="str">
        <f>SiteAttendu!$A284</f>
        <v>C4016</v>
      </c>
      <c r="B285" s="82" t="str">
        <f>VLOOKUP($A285,SiteAttendu!$A$2:$C$366,2,0)</f>
        <v>HOPITAL GENERAL ARRAH</v>
      </c>
      <c r="C285" s="88" t="str">
        <f>VLOOKUP($A285,SiteAttendu!$A$2:$C$366,3,0)</f>
        <v>MORONOU</v>
      </c>
      <c r="D285" s="84">
        <f>IF(VLOOKUP($A285,SiteAttendu!$A$2:$P$366,4,0)="NA","NA",COUNTIFS(soccode,A285,socprog,"PNLS/ANTIRETROVIRAUX ET IO",soctrans,"OUI"))</f>
        <v>1</v>
      </c>
      <c r="E285" s="84">
        <f>IF(VLOOKUP($A285,SiteAttendu!$A$2:$P$366,5,0)="NA","NA",COUNTIFS(soccode,A285,socprog,"PNLS/TESTS RAPIDES ET CONSOMMABLES",soctrans,"OUI"))</f>
        <v>1</v>
      </c>
      <c r="F285" s="84">
        <f>IF(VLOOKUP($A285,SiteAttendu!$A$2:$P$366,6,0)="NA","NA",COUNTIFS(soccode,A285,socprog,"PNLS/PRODUITS DE LABORATOIRE",soctrans,"OUI"))</f>
        <v>1</v>
      </c>
      <c r="G285" s="84" t="str">
        <f>IF(VLOOKUP($A285,SiteAttendu!$A$2:$P$366,7,0)="NA","NA",COUNTIFS(soccode,A285,socprog,"PNLS/CHARGES VIRALES",soctrans,"OUI"))</f>
        <v>NA</v>
      </c>
      <c r="H285" s="84">
        <f>IF(VLOOKUP($A285,SiteAttendu!$A$2:$P$366,9,0)="NA","NA",COUNTIFS(soccode,A285,socprog,"PNLP/MEDICAMENTS ET INTRANTS",soctrans,"OUI"))</f>
        <v>1</v>
      </c>
      <c r="I285" s="84">
        <f>IF(VLOOKUP($A285,SiteAttendu!$A$2:$P$366,10,0)="NA","NA",COUNTIFS(soccode,$A285,socprog,"PNSME/MEDICAMENTS ET INTRANTS",soctrans,"OUI"))</f>
        <v>1</v>
      </c>
      <c r="J285" s="84">
        <f>IF(VLOOKUP($A285,SiteAttendu!$A$2:$P$366,11,0)="NA","NA",COUNTIFS(soccode,$A285,socprog,"PNN/MEDICAMENTS ET INTRANTS",soctrans,"OUI"))</f>
        <v>1</v>
      </c>
      <c r="K285" s="84">
        <f>IF(VLOOKUP($A285,SiteAttendu!$A$2:$O$366,15,0)="NA","NA",IF(COUNTIF(socprog,"PNLT/SENSIBLE MEDICAMENTS ET INTRANTS")=0,"NA",COUNTIFS(soccode,$A285,socprog,"PNLT/SENSIBLE MEDICAMENTS ET INTRANTS",soctrans,"OUI")))</f>
        <v>1</v>
      </c>
      <c r="L285" s="104">
        <f t="shared" ref="L285:S285" si="287">IFERROR(SUMIFS(D$2:D$364,$C$2:$C$364,$C285)/COUNTIFS(D$2:D$364,"&lt;&gt;NA",$C$2:$C$364,$C285),"")</f>
        <v>1</v>
      </c>
      <c r="M285" s="104">
        <f t="shared" si="287"/>
        <v>1</v>
      </c>
      <c r="N285" s="104">
        <f t="shared" si="287"/>
        <v>1</v>
      </c>
      <c r="O285" s="104">
        <f t="shared" si="287"/>
        <v>1</v>
      </c>
      <c r="P285" s="104">
        <f t="shared" si="287"/>
        <v>0.8333333333</v>
      </c>
      <c r="Q285" s="104">
        <f t="shared" si="287"/>
        <v>1</v>
      </c>
      <c r="R285" s="104">
        <f t="shared" si="287"/>
        <v>1</v>
      </c>
      <c r="S285" s="104">
        <f t="shared" si="287"/>
        <v>0.8</v>
      </c>
      <c r="T285" s="105">
        <f t="shared" si="3"/>
        <v>1</v>
      </c>
      <c r="U285" s="92">
        <f t="shared" si="4"/>
        <v>3</v>
      </c>
      <c r="V285" s="54">
        <f t="shared" si="5"/>
        <v>3</v>
      </c>
    </row>
    <row r="286" ht="15.75" customHeight="1">
      <c r="A286" s="55" t="str">
        <f>SiteAttendu!$A285</f>
        <v>C4073</v>
      </c>
      <c r="B286" s="56" t="str">
        <f>VLOOKUP($A286,SiteAttendu!$A$2:$C$366,2,0)</f>
        <v>DISTRICT SANITAIRE ARRAH</v>
      </c>
      <c r="C286" s="57" t="str">
        <f>VLOOKUP($A286,SiteAttendu!$A$2:$C$366,3,0)</f>
        <v>MORONOU</v>
      </c>
      <c r="D286" s="58">
        <f>IF(VLOOKUP($A286,SiteAttendu!$A$2:$P$366,4,0)="NA","NA",COUNTIFS(soccode,A286,socprog,"PNLS/ANTIRETROVIRAUX ET IO",soctrans,"OUI"))</f>
        <v>1</v>
      </c>
      <c r="E286" s="58">
        <f>IF(VLOOKUP($A286,SiteAttendu!$A$2:$P$366,5,0)="NA","NA",COUNTIFS(soccode,A286,socprog,"PNLS/TESTS RAPIDES ET CONSOMMABLES",soctrans,"OUI"))</f>
        <v>1</v>
      </c>
      <c r="F286" s="58">
        <f>IF(VLOOKUP($A286,SiteAttendu!$A$2:$P$366,6,0)="NA","NA",COUNTIFS(soccode,A286,socprog,"PNLS/PRODUITS DE LABORATOIRE",soctrans,"OUI"))</f>
        <v>1</v>
      </c>
      <c r="G286" s="58" t="str">
        <f>IF(VLOOKUP($A286,SiteAttendu!$A$2:$P$366,7,0)="NA","NA",COUNTIFS(soccode,A286,socprog,"PNLS/CHARGES VIRALES",soctrans,"OUI"))</f>
        <v>NA</v>
      </c>
      <c r="H286" s="58">
        <f>IF(VLOOKUP($A286,SiteAttendu!$A$2:$P$366,9,0)="NA","NA",COUNTIFS(soccode,A286,socprog,"PNLP/MEDICAMENTS ET INTRANTS",soctrans,"OUI"))</f>
        <v>1</v>
      </c>
      <c r="I286" s="58">
        <f>IF(VLOOKUP($A286,SiteAttendu!$A$2:$P$366,10,0)="NA","NA",COUNTIFS(soccode,$A286,socprog,"PNSME/MEDICAMENTS ET INTRANTS",soctrans,"OUI"))</f>
        <v>1</v>
      </c>
      <c r="J286" s="58">
        <f>IF(VLOOKUP($A286,SiteAttendu!$A$2:$P$366,11,0)="NA","NA",COUNTIFS(soccode,$A286,socprog,"PNN/MEDICAMENTS ET INTRANTS",soctrans,"OUI"))</f>
        <v>1</v>
      </c>
      <c r="K286" s="58">
        <f>IF(VLOOKUP($A286,SiteAttendu!$A$2:$O$366,15,0)="NA","NA",IF(COUNTIF(socprog,"PNLT/SENSIBLE MEDICAMENTS ET INTRANTS")=0,"NA",COUNTIFS(soccode,$A286,socprog,"PNLT/SENSIBLE MEDICAMENTS ET INTRANTS",soctrans,"OUI")))</f>
        <v>1</v>
      </c>
      <c r="L286" s="100"/>
      <c r="M286" s="100">
        <f t="shared" ref="M286:S286" si="288">IFERROR(SUMIFS(E$2:E$364,$C$2:$C$364,$C286)/COUNTIFS(E$2:E$364,"&lt;&gt;NA",$C$2:$C$364,$C286),"")</f>
        <v>1</v>
      </c>
      <c r="N286" s="100">
        <f t="shared" si="288"/>
        <v>1</v>
      </c>
      <c r="O286" s="100">
        <f t="shared" si="288"/>
        <v>1</v>
      </c>
      <c r="P286" s="100">
        <f t="shared" si="288"/>
        <v>0.8333333333</v>
      </c>
      <c r="Q286" s="100">
        <f t="shared" si="288"/>
        <v>1</v>
      </c>
      <c r="R286" s="100">
        <f t="shared" si="288"/>
        <v>1</v>
      </c>
      <c r="S286" s="100">
        <f t="shared" si="288"/>
        <v>0.8</v>
      </c>
      <c r="T286" s="101">
        <f t="shared" si="3"/>
        <v>1</v>
      </c>
      <c r="U286" s="92">
        <f t="shared" si="4"/>
        <v>3</v>
      </c>
      <c r="V286" s="54">
        <f t="shared" si="5"/>
        <v>3</v>
      </c>
    </row>
    <row r="287" ht="15.75" customHeight="1">
      <c r="A287" s="55" t="str">
        <f>SiteAttendu!$A286</f>
        <v>C4009</v>
      </c>
      <c r="B287" s="56" t="str">
        <f>VLOOKUP($A287,SiteAttendu!$A$2:$C$366,2,0)</f>
        <v>DISTRICT SANITAIRE BONGOUANOU</v>
      </c>
      <c r="C287" s="57" t="str">
        <f>VLOOKUP($A287,SiteAttendu!$A$2:$C$366,3,0)</f>
        <v>MORONOU</v>
      </c>
      <c r="D287" s="58">
        <f>IF(VLOOKUP($A287,SiteAttendu!$A$2:$P$366,4,0)="NA","NA",COUNTIFS(soccode,A287,socprog,"PNLS/ANTIRETROVIRAUX ET IO",soctrans,"OUI"))</f>
        <v>1</v>
      </c>
      <c r="E287" s="58">
        <f>IF(VLOOKUP($A287,SiteAttendu!$A$2:$P$366,5,0)="NA","NA",COUNTIFS(soccode,A287,socprog,"PNLS/TESTS RAPIDES ET CONSOMMABLES",soctrans,"OUI"))</f>
        <v>1</v>
      </c>
      <c r="F287" s="58">
        <f>IF(VLOOKUP($A287,SiteAttendu!$A$2:$P$366,6,0)="NA","NA",COUNTIFS(soccode,A287,socprog,"PNLS/PRODUITS DE LABORATOIRE",soctrans,"OUI"))</f>
        <v>1</v>
      </c>
      <c r="G287" s="58" t="str">
        <f>IF(VLOOKUP($A287,SiteAttendu!$A$2:$P$366,7,0)="NA","NA",COUNTIFS(soccode,A287,socprog,"PNLS/CHARGES VIRALES",soctrans,"OUI"))</f>
        <v>NA</v>
      </c>
      <c r="H287" s="58">
        <f>IF(VLOOKUP($A287,SiteAttendu!$A$2:$P$366,9,0)="NA","NA",COUNTIFS(soccode,A287,socprog,"PNLP/MEDICAMENTS ET INTRANTS",soctrans,"OUI"))</f>
        <v>1</v>
      </c>
      <c r="I287" s="58">
        <f>IF(VLOOKUP($A287,SiteAttendu!$A$2:$P$366,10,0)="NA","NA",COUNTIFS(soccode,$A287,socprog,"PNSME/MEDICAMENTS ET INTRANTS",soctrans,"OUI"))</f>
        <v>1</v>
      </c>
      <c r="J287" s="58">
        <f>IF(VLOOKUP($A287,SiteAttendu!$A$2:$P$366,11,0)="NA","NA",COUNTIFS(soccode,$A287,socprog,"PNN/MEDICAMENTS ET INTRANTS",soctrans,"OUI"))</f>
        <v>1</v>
      </c>
      <c r="K287" s="58">
        <f>IF(VLOOKUP($A287,SiteAttendu!$A$2:$O$366,15,0)="NA","NA",IF(COUNTIF(socprog,"PNLT/SENSIBLE MEDICAMENTS ET INTRANTS")=0,"NA",COUNTIFS(soccode,$A287,socprog,"PNLT/SENSIBLE MEDICAMENTS ET INTRANTS",soctrans,"OUI")))</f>
        <v>1</v>
      </c>
      <c r="L287" s="100"/>
      <c r="M287" s="100">
        <f t="shared" ref="M287:S287" si="289">IFERROR(SUMIFS(E$2:E$364,$C$2:$C$364,$C287)/COUNTIFS(E$2:E$364,"&lt;&gt;NA",$C$2:$C$364,$C287),"")</f>
        <v>1</v>
      </c>
      <c r="N287" s="100">
        <f t="shared" si="289"/>
        <v>1</v>
      </c>
      <c r="O287" s="100">
        <f t="shared" si="289"/>
        <v>1</v>
      </c>
      <c r="P287" s="100">
        <f t="shared" si="289"/>
        <v>0.8333333333</v>
      </c>
      <c r="Q287" s="100">
        <f t="shared" si="289"/>
        <v>1</v>
      </c>
      <c r="R287" s="100">
        <f t="shared" si="289"/>
        <v>1</v>
      </c>
      <c r="S287" s="100">
        <f t="shared" si="289"/>
        <v>0.8</v>
      </c>
      <c r="T287" s="101">
        <f t="shared" si="3"/>
        <v>1</v>
      </c>
      <c r="U287" s="92">
        <f t="shared" si="4"/>
        <v>3</v>
      </c>
      <c r="V287" s="54">
        <f t="shared" si="5"/>
        <v>3</v>
      </c>
    </row>
    <row r="288" ht="15.75" customHeight="1">
      <c r="A288" s="55" t="str">
        <f>SiteAttendu!$A287</f>
        <v>C4017</v>
      </c>
      <c r="B288" s="56" t="str">
        <f>VLOOKUP($A288,SiteAttendu!$A$2:$C$366,2,0)</f>
        <v>HOPITAL GENERAL BONGOUANOU</v>
      </c>
      <c r="C288" s="57" t="str">
        <f>VLOOKUP($A288,SiteAttendu!$A$2:$C$366,3,0)</f>
        <v>MORONOU</v>
      </c>
      <c r="D288" s="58">
        <f>IF(VLOOKUP($A288,SiteAttendu!$A$2:$P$366,4,0)="NA","NA",COUNTIFS(soccode,A288,socprog,"PNLS/ANTIRETROVIRAUX ET IO",soctrans,"OUI"))</f>
        <v>1</v>
      </c>
      <c r="E288" s="58">
        <f>IF(VLOOKUP($A288,SiteAttendu!$A$2:$P$366,5,0)="NA","NA",COUNTIFS(soccode,A288,socprog,"PNLS/TESTS RAPIDES ET CONSOMMABLES",soctrans,"OUI"))</f>
        <v>1</v>
      </c>
      <c r="F288" s="58">
        <f>IF(VLOOKUP($A288,SiteAttendu!$A$2:$P$366,6,0)="NA","NA",COUNTIFS(soccode,A288,socprog,"PNLS/PRODUITS DE LABORATOIRE",soctrans,"OUI"))</f>
        <v>1</v>
      </c>
      <c r="G288" s="58">
        <f>IF(VLOOKUP($A288,SiteAttendu!$A$2:$P$366,7,0)="NA","NA",COUNTIFS(soccode,A288,socprog,"PNLS/CHARGES VIRALES",soctrans,"OUI"))</f>
        <v>1</v>
      </c>
      <c r="H288" s="58">
        <f>IF(VLOOKUP($A288,SiteAttendu!$A$2:$P$366,9,0)="NA","NA",COUNTIFS(soccode,A288,socprog,"PNLP/MEDICAMENTS ET INTRANTS",soctrans,"OUI"))</f>
        <v>1</v>
      </c>
      <c r="I288" s="58">
        <f>IF(VLOOKUP($A288,SiteAttendu!$A$2:$P$366,10,0)="NA","NA",COUNTIFS(soccode,$A288,socprog,"PNSME/MEDICAMENTS ET INTRANTS",soctrans,"OUI"))</f>
        <v>1</v>
      </c>
      <c r="J288" s="58">
        <f>IF(VLOOKUP($A288,SiteAttendu!$A$2:$P$366,11,0)="NA","NA",COUNTIFS(soccode,$A288,socprog,"PNN/MEDICAMENTS ET INTRANTS",soctrans,"OUI"))</f>
        <v>1</v>
      </c>
      <c r="K288" s="58" t="str">
        <f>IF(VLOOKUP($A288,SiteAttendu!$A$2:$O$366,15,0)="NA","NA",IF(COUNTIF(socprog,"PNLT/SENSIBLE MEDICAMENTS ET INTRANTS")=0,"NA",COUNTIFS(soccode,$A288,socprog,"PNLT/SENSIBLE MEDICAMENTS ET INTRANTS",soctrans,"OUI")))</f>
        <v>NA</v>
      </c>
      <c r="L288" s="100"/>
      <c r="M288" s="100">
        <f t="shared" ref="M288:S288" si="290">IFERROR(SUMIFS(E$2:E$364,$C$2:$C$364,$C288)/COUNTIFS(E$2:E$364,"&lt;&gt;NA",$C$2:$C$364,$C288),"")</f>
        <v>1</v>
      </c>
      <c r="N288" s="100">
        <f t="shared" si="290"/>
        <v>1</v>
      </c>
      <c r="O288" s="100">
        <f t="shared" si="290"/>
        <v>1</v>
      </c>
      <c r="P288" s="100">
        <f t="shared" si="290"/>
        <v>0.8333333333</v>
      </c>
      <c r="Q288" s="100">
        <f t="shared" si="290"/>
        <v>1</v>
      </c>
      <c r="R288" s="100">
        <f t="shared" si="290"/>
        <v>1</v>
      </c>
      <c r="S288" s="100">
        <f t="shared" si="290"/>
        <v>0.8</v>
      </c>
      <c r="T288" s="101">
        <f t="shared" si="3"/>
        <v>1</v>
      </c>
      <c r="U288" s="92">
        <f t="shared" si="4"/>
        <v>4</v>
      </c>
      <c r="V288" s="54">
        <f t="shared" si="5"/>
        <v>4</v>
      </c>
    </row>
    <row r="289" ht="16.5" customHeight="1">
      <c r="A289" s="55" t="str">
        <f>SiteAttendu!$A288</f>
        <v>C4092</v>
      </c>
      <c r="B289" s="56" t="str">
        <f>VLOOKUP($A289,SiteAttendu!$A$2:$C$366,2,0)</f>
        <v>CENTRE ANTITUBERCULEUX BONGOUANOU</v>
      </c>
      <c r="C289" s="57" t="str">
        <f>VLOOKUP($A289,SiteAttendu!$A$2:$C$366,3,0)</f>
        <v>MORONOU</v>
      </c>
      <c r="D289" s="58" t="str">
        <f>IF(VLOOKUP($A289,SiteAttendu!$A$2:$P$366,4,0)="NA","NA",COUNTIFS(soccode,A289,socprog,"PNLS/ANTIRETROVIRAUX ET IO",soctrans,"OUI"))</f>
        <v>NA</v>
      </c>
      <c r="E289" s="58" t="str">
        <f>IF(VLOOKUP($A289,SiteAttendu!$A$2:$P$366,5,0)="NA","NA",COUNTIFS(soccode,A289,socprog,"PNLS/TESTS RAPIDES ET CONSOMMABLES",soctrans,"OUI"))</f>
        <v>NA</v>
      </c>
      <c r="F289" s="58" t="str">
        <f>IF(VLOOKUP($A289,SiteAttendu!$A$2:$P$366,6,0)="NA","NA",COUNTIFS(soccode,A289,socprog,"PNLS/PRODUITS DE LABORATOIRE",soctrans,"OUI"))</f>
        <v>NA</v>
      </c>
      <c r="G289" s="58" t="str">
        <f>IF(VLOOKUP($A289,SiteAttendu!$A$2:$P$366,7,0)="NA","NA",COUNTIFS(soccode,A289,socprog,"PNLS/CHARGES VIRALES",soctrans,"OUI"))</f>
        <v>NA</v>
      </c>
      <c r="H289" s="58" t="str">
        <f>IF(VLOOKUP($A289,SiteAttendu!$A$2:$P$366,9,0)="NA","NA",COUNTIFS(soccode,A289,socprog,"PNLP/MEDICAMENTS ET INTRANTS",soctrans,"OUI"))</f>
        <v>NA</v>
      </c>
      <c r="I289" s="58" t="str">
        <f>IF(VLOOKUP($A289,SiteAttendu!$A$2:$P$366,10,0)="NA","NA",COUNTIFS(soccode,$A289,socprog,"PNSME/MEDICAMENTS ET INTRANTS",soctrans,"OUI"))</f>
        <v>NA</v>
      </c>
      <c r="J289" s="58" t="str">
        <f>IF(VLOOKUP($A289,SiteAttendu!$A$2:$P$366,11,0)="NA","NA",COUNTIFS(soccode,$A289,socprog,"PNN/MEDICAMENTS ET INTRANTS",soctrans,"OUI"))</f>
        <v>NA</v>
      </c>
      <c r="K289" s="58" t="str">
        <f>IF(VLOOKUP($A289,SiteAttendu!$A$2:$O$366,15,0)="NA","NA",IF(COUNTIF(socprog,"PNLT/SENSIBLE MEDICAMENTS ET INTRANTS")=0,"NA",COUNTIFS(soccode,$A289,socprog,"PNLT/SENSIBLE MEDICAMENTS ET INTRANTS",soctrans,"OUI")))</f>
        <v>NA</v>
      </c>
      <c r="L289" s="100"/>
      <c r="M289" s="100">
        <f t="shared" ref="M289:S289" si="291">IFERROR(SUMIFS(E$2:E$364,$C$2:$C$364,$C289)/COUNTIFS(E$2:E$364,"&lt;&gt;NA",$C$2:$C$364,$C289),"")</f>
        <v>1</v>
      </c>
      <c r="N289" s="100">
        <f t="shared" si="291"/>
        <v>1</v>
      </c>
      <c r="O289" s="100">
        <f t="shared" si="291"/>
        <v>1</v>
      </c>
      <c r="P289" s="100">
        <f t="shared" si="291"/>
        <v>0.8333333333</v>
      </c>
      <c r="Q289" s="100">
        <f t="shared" si="291"/>
        <v>1</v>
      </c>
      <c r="R289" s="100">
        <f t="shared" si="291"/>
        <v>1</v>
      </c>
      <c r="S289" s="100">
        <f t="shared" si="291"/>
        <v>0.8</v>
      </c>
      <c r="T289" s="101">
        <f t="shared" si="3"/>
        <v>1</v>
      </c>
      <c r="U289" s="92">
        <f t="shared" si="4"/>
        <v>0</v>
      </c>
      <c r="V289" s="54">
        <f t="shared" si="5"/>
        <v>0</v>
      </c>
    </row>
    <row r="290" ht="15.75" customHeight="1">
      <c r="A290" s="55" t="str">
        <f>SiteAttendu!$A289</f>
        <v>C4054</v>
      </c>
      <c r="B290" s="56" t="str">
        <f>VLOOKUP($A290,SiteAttendu!$A$2:$C$366,2,0)</f>
        <v>HOPITAL GENERAL M'BATTO</v>
      </c>
      <c r="C290" s="57" t="str">
        <f>VLOOKUP($A290,SiteAttendu!$A$2:$C$366,3,0)</f>
        <v>MORONOU</v>
      </c>
      <c r="D290" s="58">
        <f>IF(VLOOKUP($A290,SiteAttendu!$A$2:$P$366,4,0)="NA","NA",COUNTIFS(soccode,A290,socprog,"PNLS/ANTIRETROVIRAUX ET IO",soctrans,"OUI"))</f>
        <v>1</v>
      </c>
      <c r="E290" s="58">
        <f>IF(VLOOKUP($A290,SiteAttendu!$A$2:$P$366,5,0)="NA","NA",COUNTIFS(soccode,A290,socprog,"PNLS/TESTS RAPIDES ET CONSOMMABLES",soctrans,"OUI"))</f>
        <v>1</v>
      </c>
      <c r="F290" s="58">
        <f>IF(VLOOKUP($A290,SiteAttendu!$A$2:$P$366,6,0)="NA","NA",COUNTIFS(soccode,A290,socprog,"PNLS/PRODUITS DE LABORATOIRE",soctrans,"OUI"))</f>
        <v>1</v>
      </c>
      <c r="G290" s="58" t="str">
        <f>IF(VLOOKUP($A290,SiteAttendu!$A$2:$P$366,7,0)="NA","NA",COUNTIFS(soccode,A290,socprog,"PNLS/CHARGES VIRALES",soctrans,"OUI"))</f>
        <v>NA</v>
      </c>
      <c r="H290" s="58">
        <f>IF(VLOOKUP($A290,SiteAttendu!$A$2:$P$366,9,0)="NA","NA",COUNTIFS(soccode,A290,socprog,"PNLP/MEDICAMENTS ET INTRANTS",soctrans,"OUI"))</f>
        <v>0</v>
      </c>
      <c r="I290" s="58">
        <f>IF(VLOOKUP($A290,SiteAttendu!$A$2:$P$366,10,0)="NA","NA",COUNTIFS(soccode,$A290,socprog,"PNSME/MEDICAMENTS ET INTRANTS",soctrans,"OUI"))</f>
        <v>1</v>
      </c>
      <c r="J290" s="58" t="str">
        <f>IF(VLOOKUP($A290,SiteAttendu!$A$2:$P$366,11,0)="NA","NA",COUNTIFS(soccode,$A290,socprog,"PNN/MEDICAMENTS ET INTRANTS",soctrans,"OUI"))</f>
        <v>NA</v>
      </c>
      <c r="K290" s="58">
        <f>IF(VLOOKUP($A290,SiteAttendu!$A$2:$O$366,15,0)="NA","NA",IF(COUNTIF(socprog,"PNLT/SENSIBLE MEDICAMENTS ET INTRANTS")=0,"NA",COUNTIFS(soccode,$A290,socprog,"PNLT/SENSIBLE MEDICAMENTS ET INTRANTS",soctrans,"OUI")))</f>
        <v>1</v>
      </c>
      <c r="L290" s="100"/>
      <c r="M290" s="100">
        <f t="shared" ref="M290:S290" si="292">IFERROR(SUMIFS(E$2:E$364,$C$2:$C$364,$C290)/COUNTIFS(E$2:E$364,"&lt;&gt;NA",$C$2:$C$364,$C290),"")</f>
        <v>1</v>
      </c>
      <c r="N290" s="100">
        <f t="shared" si="292"/>
        <v>1</v>
      </c>
      <c r="O290" s="100">
        <f t="shared" si="292"/>
        <v>1</v>
      </c>
      <c r="P290" s="100">
        <f t="shared" si="292"/>
        <v>0.8333333333</v>
      </c>
      <c r="Q290" s="100">
        <f t="shared" si="292"/>
        <v>1</v>
      </c>
      <c r="R290" s="100">
        <f t="shared" si="292"/>
        <v>1</v>
      </c>
      <c r="S290" s="100">
        <f t="shared" si="292"/>
        <v>0.8</v>
      </c>
      <c r="T290" s="101">
        <f t="shared" si="3"/>
        <v>1</v>
      </c>
      <c r="U290" s="92">
        <f t="shared" si="4"/>
        <v>3</v>
      </c>
      <c r="V290" s="54">
        <f t="shared" si="5"/>
        <v>3</v>
      </c>
    </row>
    <row r="291" ht="15.75" customHeight="1">
      <c r="A291" s="70" t="str">
        <f>SiteAttendu!$A290</f>
        <v>C4071</v>
      </c>
      <c r="B291" s="71" t="str">
        <f>VLOOKUP($A291,SiteAttendu!$A$2:$C$366,2,0)</f>
        <v>DISTRICT SANITAIRE MBATTO</v>
      </c>
      <c r="C291" s="72" t="str">
        <f>VLOOKUP($A291,SiteAttendu!$A$2:$C$366,3,0)</f>
        <v>MORONOU</v>
      </c>
      <c r="D291" s="73">
        <f>IF(VLOOKUP($A291,SiteAttendu!$A$2:$P$366,4,0)="NA","NA",COUNTIFS(soccode,A291,socprog,"PNLS/ANTIRETROVIRAUX ET IO",soctrans,"OUI"))</f>
        <v>1</v>
      </c>
      <c r="E291" s="73">
        <f>IF(VLOOKUP($A291,SiteAttendu!$A$2:$P$366,5,0)="NA","NA",COUNTIFS(soccode,A291,socprog,"PNLS/TESTS RAPIDES ET CONSOMMABLES",soctrans,"OUI"))</f>
        <v>1</v>
      </c>
      <c r="F291" s="73" t="str">
        <f>IF(VLOOKUP($A291,SiteAttendu!$A$2:$P$366,6,0)="NA","NA",COUNTIFS(soccode,A291,socprog,"PNLS/PRODUITS DE LABORATOIRE",soctrans,"OUI"))</f>
        <v>NA</v>
      </c>
      <c r="G291" s="73" t="str">
        <f>IF(VLOOKUP($A291,SiteAttendu!$A$2:$P$366,7,0)="NA","NA",COUNTIFS(soccode,A291,socprog,"PNLS/CHARGES VIRALES",soctrans,"OUI"))</f>
        <v>NA</v>
      </c>
      <c r="H291" s="73">
        <f>IF(VLOOKUP($A291,SiteAttendu!$A$2:$P$366,9,0)="NA","NA",COUNTIFS(soccode,A291,socprog,"PNLP/MEDICAMENTS ET INTRANTS",soctrans,"OUI"))</f>
        <v>1</v>
      </c>
      <c r="I291" s="73">
        <f>IF(VLOOKUP($A291,SiteAttendu!$A$2:$P$366,10,0)="NA","NA",COUNTIFS(soccode,$A291,socprog,"PNSME/MEDICAMENTS ET INTRANTS",soctrans,"OUI"))</f>
        <v>1</v>
      </c>
      <c r="J291" s="73">
        <f>IF(VLOOKUP($A291,SiteAttendu!$A$2:$P$366,11,0)="NA","NA",COUNTIFS(soccode,$A291,socprog,"PNN/MEDICAMENTS ET INTRANTS",soctrans,"OUI"))</f>
        <v>1</v>
      </c>
      <c r="K291" s="73">
        <f>IF(VLOOKUP($A291,SiteAttendu!$A$2:$O$366,15,0)="NA","NA",IF(COUNTIF(socprog,"PNLT/SENSIBLE MEDICAMENTS ET INTRANTS")=0,"NA",COUNTIFS(soccode,$A291,socprog,"PNLT/SENSIBLE MEDICAMENTS ET INTRANTS",soctrans,"OUI")))</f>
        <v>0</v>
      </c>
      <c r="L291" s="89"/>
      <c r="M291" s="89">
        <f t="shared" ref="M291:S291" si="293">IFERROR(SUMIFS(E$2:E$364,$C$2:$C$364,$C291)/COUNTIFS(E$2:E$364,"&lt;&gt;NA",$C$2:$C$364,$C291),"")</f>
        <v>1</v>
      </c>
      <c r="N291" s="89">
        <f t="shared" si="293"/>
        <v>1</v>
      </c>
      <c r="O291" s="89">
        <f t="shared" si="293"/>
        <v>1</v>
      </c>
      <c r="P291" s="89">
        <f t="shared" si="293"/>
        <v>0.8333333333</v>
      </c>
      <c r="Q291" s="89">
        <f t="shared" si="293"/>
        <v>1</v>
      </c>
      <c r="R291" s="89">
        <f t="shared" si="293"/>
        <v>1</v>
      </c>
      <c r="S291" s="89">
        <f t="shared" si="293"/>
        <v>0.8</v>
      </c>
      <c r="T291" s="106">
        <f t="shared" si="3"/>
        <v>1</v>
      </c>
      <c r="U291" s="92">
        <f t="shared" si="4"/>
        <v>2</v>
      </c>
      <c r="V291" s="54">
        <f t="shared" si="5"/>
        <v>2</v>
      </c>
    </row>
    <row r="292" ht="15.75" customHeight="1">
      <c r="A292" s="46" t="str">
        <f>SiteAttendu!$A291</f>
        <v>C2050</v>
      </c>
      <c r="B292" s="47" t="str">
        <f>VLOOKUP($A292,SiteAttendu!$A$2:$C$366,2,0)</f>
        <v>HOPITAL GENERAL BUYO</v>
      </c>
      <c r="C292" s="48" t="str">
        <f>VLOOKUP($A292,SiteAttendu!$A$2:$C$366,3,0)</f>
        <v>NAWA</v>
      </c>
      <c r="D292" s="49">
        <f>IF(VLOOKUP($A292,SiteAttendu!$A$2:$P$366,4,0)="NA","NA",COUNTIFS(soccode,A292,socprog,"PNLS/ANTIRETROVIRAUX ET IO",soctrans,"OUI"))</f>
        <v>1</v>
      </c>
      <c r="E292" s="49">
        <f>IF(VLOOKUP($A292,SiteAttendu!$A$2:$P$366,5,0)="NA","NA",COUNTIFS(soccode,A292,socprog,"PNLS/TESTS RAPIDES ET CONSOMMABLES",soctrans,"OUI"))</f>
        <v>1</v>
      </c>
      <c r="F292" s="49">
        <f>IF(VLOOKUP($A292,SiteAttendu!$A$2:$P$366,6,0)="NA","NA",COUNTIFS(soccode,A292,socprog,"PNLS/PRODUITS DE LABORATOIRE",soctrans,"OUI"))</f>
        <v>1</v>
      </c>
      <c r="G292" s="49" t="str">
        <f>IF(VLOOKUP($A292,SiteAttendu!$A$2:$P$366,7,0)="NA","NA",COUNTIFS(soccode,A292,socprog,"PNLS/CHARGES VIRALES",soctrans,"OUI"))</f>
        <v>NA</v>
      </c>
      <c r="H292" s="49">
        <f>IF(VLOOKUP($A292,SiteAttendu!$A$2:$P$366,9,0)="NA","NA",COUNTIFS(soccode,A292,socprog,"PNLP/MEDICAMENTS ET INTRANTS",soctrans,"OUI"))</f>
        <v>1</v>
      </c>
      <c r="I292" s="49">
        <f>IF(VLOOKUP($A292,SiteAttendu!$A$2:$P$366,10,0)="NA","NA",COUNTIFS(soccode,$A292,socprog,"PNSME/MEDICAMENTS ET INTRANTS",soctrans,"OUI"))</f>
        <v>1</v>
      </c>
      <c r="J292" s="49">
        <f>IF(VLOOKUP($A292,SiteAttendu!$A$2:$P$366,11,0)="NA","NA",COUNTIFS(soccode,$A292,socprog,"PNN/MEDICAMENTS ET INTRANTS",soctrans,"OUI"))</f>
        <v>1</v>
      </c>
      <c r="K292" s="49">
        <f>IF(VLOOKUP($A292,SiteAttendu!$A$2:$O$366,15,0)="NA","NA",IF(COUNTIF(socprog,"PNLT/SENSIBLE MEDICAMENTS ET INTRANTS")=0,"NA",COUNTIFS(soccode,$A292,socprog,"PNLT/SENSIBLE MEDICAMENTS ET INTRANTS",soctrans,"OUI")))</f>
        <v>1</v>
      </c>
      <c r="L292" s="98">
        <f t="shared" ref="L292:S292" si="294">IFERROR(SUMIFS(D$2:D$364,$C$2:$C$364,$C292)/COUNTIFS(D$2:D$364,"&lt;&gt;NA",$C$2:$C$364,$C292),"")</f>
        <v>1</v>
      </c>
      <c r="M292" s="98">
        <f t="shared" si="294"/>
        <v>1</v>
      </c>
      <c r="N292" s="98">
        <f t="shared" si="294"/>
        <v>1</v>
      </c>
      <c r="O292" s="98">
        <f t="shared" si="294"/>
        <v>1</v>
      </c>
      <c r="P292" s="98">
        <f t="shared" si="294"/>
        <v>1</v>
      </c>
      <c r="Q292" s="98">
        <f t="shared" si="294"/>
        <v>0.9</v>
      </c>
      <c r="R292" s="98">
        <f t="shared" si="294"/>
        <v>1</v>
      </c>
      <c r="S292" s="98">
        <f t="shared" si="294"/>
        <v>1</v>
      </c>
      <c r="T292" s="99">
        <f t="shared" si="3"/>
        <v>1</v>
      </c>
      <c r="U292" s="92">
        <f t="shared" si="4"/>
        <v>3</v>
      </c>
      <c r="V292" s="54">
        <f t="shared" si="5"/>
        <v>3</v>
      </c>
    </row>
    <row r="293" ht="15.75" customHeight="1">
      <c r="A293" s="55" t="str">
        <f>SiteAttendu!$A292</f>
        <v>C2213</v>
      </c>
      <c r="B293" s="56" t="str">
        <f>VLOOKUP($A293,SiteAttendu!$A$2:$C$366,2,0)</f>
        <v>DISTRICT SANITAIRE BUYO</v>
      </c>
      <c r="C293" s="57" t="str">
        <f>VLOOKUP($A293,SiteAttendu!$A$2:$C$366,3,0)</f>
        <v>NAWA</v>
      </c>
      <c r="D293" s="58">
        <f>IF(VLOOKUP($A293,SiteAttendu!$A$2:$P$366,4,0)="NA","NA",COUNTIFS(soccode,A293,socprog,"PNLS/ANTIRETROVIRAUX ET IO",soctrans,"OUI"))</f>
        <v>1</v>
      </c>
      <c r="E293" s="58">
        <f>IF(VLOOKUP($A293,SiteAttendu!$A$2:$P$366,5,0)="NA","NA",COUNTIFS(soccode,A293,socprog,"PNLS/TESTS RAPIDES ET CONSOMMABLES",soctrans,"OUI"))</f>
        <v>1</v>
      </c>
      <c r="F293" s="58" t="str">
        <f>IF(VLOOKUP($A293,SiteAttendu!$A$2:$P$366,6,0)="NA","NA",COUNTIFS(soccode,A293,socprog,"PNLS/PRODUITS DE LABORATOIRE",soctrans,"OUI"))</f>
        <v>NA</v>
      </c>
      <c r="G293" s="58" t="str">
        <f>IF(VLOOKUP($A293,SiteAttendu!$A$2:$P$366,7,0)="NA","NA",COUNTIFS(soccode,A293,socprog,"PNLS/CHARGES VIRALES",soctrans,"OUI"))</f>
        <v>NA</v>
      </c>
      <c r="H293" s="58">
        <f>IF(VLOOKUP($A293,SiteAttendu!$A$2:$P$366,9,0)="NA","NA",COUNTIFS(soccode,A293,socprog,"PNLP/MEDICAMENTS ET INTRANTS",soctrans,"OUI"))</f>
        <v>1</v>
      </c>
      <c r="I293" s="58">
        <f>IF(VLOOKUP($A293,SiteAttendu!$A$2:$P$366,10,0)="NA","NA",COUNTIFS(soccode,$A293,socprog,"PNSME/MEDICAMENTS ET INTRANTS",soctrans,"OUI"))</f>
        <v>1</v>
      </c>
      <c r="J293" s="58">
        <f>IF(VLOOKUP($A293,SiteAttendu!$A$2:$P$366,11,0)="NA","NA",COUNTIFS(soccode,$A293,socprog,"PNN/MEDICAMENTS ET INTRANTS",soctrans,"OUI"))</f>
        <v>1</v>
      </c>
      <c r="K293" s="58">
        <f>IF(VLOOKUP($A293,SiteAttendu!$A$2:$O$366,15,0)="NA","NA",IF(COUNTIF(socprog,"PNLT/SENSIBLE MEDICAMENTS ET INTRANTS")=0,"NA",COUNTIFS(soccode,$A293,socprog,"PNLT/SENSIBLE MEDICAMENTS ET INTRANTS",soctrans,"OUI")))</f>
        <v>1</v>
      </c>
      <c r="L293" s="100"/>
      <c r="M293" s="100"/>
      <c r="N293" s="100"/>
      <c r="O293" s="100"/>
      <c r="P293" s="100"/>
      <c r="Q293" s="100"/>
      <c r="R293" s="100"/>
      <c r="S293" s="100"/>
      <c r="T293" s="101"/>
      <c r="U293" s="92">
        <f t="shared" si="4"/>
        <v>2</v>
      </c>
      <c r="V293" s="54">
        <f t="shared" si="5"/>
        <v>2</v>
      </c>
    </row>
    <row r="294" ht="15.75" customHeight="1">
      <c r="A294" s="55" t="str">
        <f>SiteAttendu!$A293</f>
        <v>C2131</v>
      </c>
      <c r="B294" s="56" t="str">
        <f>VLOOKUP($A294,SiteAttendu!$A$2:$C$366,2,0)</f>
        <v>HOPITAL GENERAL GUEYO</v>
      </c>
      <c r="C294" s="57" t="str">
        <f>VLOOKUP($A294,SiteAttendu!$A$2:$C$366,3,0)</f>
        <v>NAWA</v>
      </c>
      <c r="D294" s="58">
        <f>IF(VLOOKUP($A294,SiteAttendu!$A$2:$P$366,4,0)="NA","NA",COUNTIFS(soccode,A294,socprog,"PNLS/ANTIRETROVIRAUX ET IO",soctrans,"OUI"))</f>
        <v>1</v>
      </c>
      <c r="E294" s="58">
        <f>IF(VLOOKUP($A294,SiteAttendu!$A$2:$P$366,5,0)="NA","NA",COUNTIFS(soccode,A294,socprog,"PNLS/TESTS RAPIDES ET CONSOMMABLES",soctrans,"OUI"))</f>
        <v>1</v>
      </c>
      <c r="F294" s="58">
        <f>IF(VLOOKUP($A294,SiteAttendu!$A$2:$P$366,6,0)="NA","NA",COUNTIFS(soccode,A294,socprog,"PNLS/PRODUITS DE LABORATOIRE",soctrans,"OUI"))</f>
        <v>1</v>
      </c>
      <c r="G294" s="58" t="str">
        <f>IF(VLOOKUP($A294,SiteAttendu!$A$2:$P$366,7,0)="NA","NA",COUNTIFS(soccode,A294,socprog,"PNLS/CHARGES VIRALES",soctrans,"OUI"))</f>
        <v>NA</v>
      </c>
      <c r="H294" s="58">
        <f>IF(VLOOKUP($A294,SiteAttendu!$A$2:$P$366,9,0)="NA","NA",COUNTIFS(soccode,A294,socprog,"PNLP/MEDICAMENTS ET INTRANTS",soctrans,"OUI"))</f>
        <v>1</v>
      </c>
      <c r="I294" s="58">
        <f>IF(VLOOKUP($A294,SiteAttendu!$A$2:$P$366,10,0)="NA","NA",COUNTIFS(soccode,$A294,socprog,"PNSME/MEDICAMENTS ET INTRANTS",soctrans,"OUI"))</f>
        <v>1</v>
      </c>
      <c r="J294" s="58">
        <f>IF(VLOOKUP($A294,SiteAttendu!$A$2:$P$366,11,0)="NA","NA",COUNTIFS(soccode,$A294,socprog,"PNN/MEDICAMENTS ET INTRANTS",soctrans,"OUI"))</f>
        <v>1</v>
      </c>
      <c r="K294" s="58">
        <f>IF(VLOOKUP($A294,SiteAttendu!$A$2:$O$366,15,0)="NA","NA",IF(COUNTIF(socprog,"PNLT/SENSIBLE MEDICAMENTS ET INTRANTS")=0,"NA",COUNTIFS(soccode,$A294,socprog,"PNLT/SENSIBLE MEDICAMENTS ET INTRANTS",soctrans,"OUI")))</f>
        <v>1</v>
      </c>
      <c r="L294" s="100"/>
      <c r="M294" s="100"/>
      <c r="N294" s="100"/>
      <c r="O294" s="100"/>
      <c r="P294" s="100"/>
      <c r="Q294" s="100"/>
      <c r="R294" s="100"/>
      <c r="S294" s="100"/>
      <c r="T294" s="101"/>
      <c r="U294" s="92">
        <f t="shared" si="4"/>
        <v>3</v>
      </c>
      <c r="V294" s="54">
        <f t="shared" si="5"/>
        <v>3</v>
      </c>
    </row>
    <row r="295" ht="16.5" customHeight="1">
      <c r="A295" s="55" t="str">
        <f>SiteAttendu!$A294</f>
        <v>C2167</v>
      </c>
      <c r="B295" s="56" t="str">
        <f>VLOOKUP($A295,SiteAttendu!$A$2:$C$366,2,0)</f>
        <v>DISTRICT SANITAIRE GUEYO</v>
      </c>
      <c r="C295" s="57" t="str">
        <f>VLOOKUP($A295,SiteAttendu!$A$2:$C$366,3,0)</f>
        <v>NAWA</v>
      </c>
      <c r="D295" s="58">
        <f>IF(VLOOKUP($A295,SiteAttendu!$A$2:$P$366,4,0)="NA","NA",COUNTIFS(soccode,A295,socprog,"PNLS/ANTIRETROVIRAUX ET IO",soctrans,"OUI"))</f>
        <v>1</v>
      </c>
      <c r="E295" s="58">
        <f>IF(VLOOKUP($A295,SiteAttendu!$A$2:$P$366,5,0)="NA","NA",COUNTIFS(soccode,A295,socprog,"PNLS/TESTS RAPIDES ET CONSOMMABLES",soctrans,"OUI"))</f>
        <v>1</v>
      </c>
      <c r="F295" s="58" t="str">
        <f>IF(VLOOKUP($A295,SiteAttendu!$A$2:$P$366,6,0)="NA","NA",COUNTIFS(soccode,A295,socprog,"PNLS/PRODUITS DE LABORATOIRE",soctrans,"OUI"))</f>
        <v>NA</v>
      </c>
      <c r="G295" s="58" t="str">
        <f>IF(VLOOKUP($A295,SiteAttendu!$A$2:$P$366,7,0)="NA","NA",COUNTIFS(soccode,A295,socprog,"PNLS/CHARGES VIRALES",soctrans,"OUI"))</f>
        <v>NA</v>
      </c>
      <c r="H295" s="58">
        <f>IF(VLOOKUP($A295,SiteAttendu!$A$2:$P$366,9,0)="NA","NA",COUNTIFS(soccode,A295,socprog,"PNLP/MEDICAMENTS ET INTRANTS",soctrans,"OUI"))</f>
        <v>1</v>
      </c>
      <c r="I295" s="58">
        <f>IF(VLOOKUP($A295,SiteAttendu!$A$2:$P$366,10,0)="NA","NA",COUNTIFS(soccode,$A295,socprog,"PNSME/MEDICAMENTS ET INTRANTS",soctrans,"OUI"))</f>
        <v>1</v>
      </c>
      <c r="J295" s="58">
        <f>IF(VLOOKUP($A295,SiteAttendu!$A$2:$P$366,11,0)="NA","NA",COUNTIFS(soccode,$A295,socprog,"PNN/MEDICAMENTS ET INTRANTS",soctrans,"OUI"))</f>
        <v>1</v>
      </c>
      <c r="K295" s="58">
        <f>IF(VLOOKUP($A295,SiteAttendu!$A$2:$O$366,15,0)="NA","NA",IF(COUNTIF(socprog,"PNLT/SENSIBLE MEDICAMENTS ET INTRANTS")=0,"NA",COUNTIFS(soccode,$A295,socprog,"PNLT/SENSIBLE MEDICAMENTS ET INTRANTS",soctrans,"OUI")))</f>
        <v>1</v>
      </c>
      <c r="L295" s="100"/>
      <c r="M295" s="100"/>
      <c r="N295" s="100"/>
      <c r="O295" s="100"/>
      <c r="P295" s="100"/>
      <c r="Q295" s="100"/>
      <c r="R295" s="100"/>
      <c r="S295" s="100"/>
      <c r="T295" s="101"/>
      <c r="U295" s="92">
        <f t="shared" si="4"/>
        <v>2</v>
      </c>
      <c r="V295" s="54">
        <f t="shared" si="5"/>
        <v>2</v>
      </c>
    </row>
    <row r="296" ht="15.0" customHeight="1">
      <c r="A296" s="55" t="str">
        <f>SiteAttendu!$A295</f>
        <v>C2211</v>
      </c>
      <c r="B296" s="56" t="str">
        <f>VLOOKUP($A296,SiteAttendu!$A$2:$C$366,2,0)</f>
        <v>DISTRICT SANITAIRE MEAGUI</v>
      </c>
      <c r="C296" s="57" t="str">
        <f>VLOOKUP($A296,SiteAttendu!$A$2:$C$366,3,0)</f>
        <v>NAWA</v>
      </c>
      <c r="D296" s="58">
        <f>IF(VLOOKUP($A296,SiteAttendu!$A$2:$P$366,4,0)="NA","NA",COUNTIFS(soccode,A296,socprog,"PNLS/ANTIRETROVIRAUX ET IO",soctrans,"OUI"))</f>
        <v>1</v>
      </c>
      <c r="E296" s="58">
        <f>IF(VLOOKUP($A296,SiteAttendu!$A$2:$P$366,5,0)="NA","NA",COUNTIFS(soccode,A296,socprog,"PNLS/TESTS RAPIDES ET CONSOMMABLES",soctrans,"OUI"))</f>
        <v>1</v>
      </c>
      <c r="F296" s="58">
        <f>IF(VLOOKUP($A296,SiteAttendu!$A$2:$P$366,6,0)="NA","NA",COUNTIFS(soccode,A296,socprog,"PNLS/PRODUITS DE LABORATOIRE",soctrans,"OUI"))</f>
        <v>1</v>
      </c>
      <c r="G296" s="58" t="str">
        <f>IF(VLOOKUP($A296,SiteAttendu!$A$2:$P$366,7,0)="NA","NA",COUNTIFS(soccode,A296,socprog,"PNLS/CHARGES VIRALES",soctrans,"OUI"))</f>
        <v>NA</v>
      </c>
      <c r="H296" s="58">
        <f>IF(VLOOKUP($A296,SiteAttendu!$A$2:$P$366,9,0)="NA","NA",COUNTIFS(soccode,A296,socprog,"PNLP/MEDICAMENTS ET INTRANTS",soctrans,"OUI"))</f>
        <v>1</v>
      </c>
      <c r="I296" s="58">
        <f>IF(VLOOKUP($A296,SiteAttendu!$A$2:$P$366,10,0)="NA","NA",COUNTIFS(soccode,$A296,socprog,"PNSME/MEDICAMENTS ET INTRANTS",soctrans,"OUI"))</f>
        <v>1</v>
      </c>
      <c r="J296" s="58">
        <f>IF(VLOOKUP($A296,SiteAttendu!$A$2:$P$366,11,0)="NA","NA",COUNTIFS(soccode,$A296,socprog,"PNN/MEDICAMENTS ET INTRANTS",soctrans,"OUI"))</f>
        <v>1</v>
      </c>
      <c r="K296" s="58">
        <f>IF(VLOOKUP($A296,SiteAttendu!$A$2:$O$366,15,0)="NA","NA",IF(COUNTIF(socprog,"PNLT/SENSIBLE MEDICAMENTS ET INTRANTS")=0,"NA",COUNTIFS(soccode,$A296,socprog,"PNLT/SENSIBLE MEDICAMENTS ET INTRANTS",soctrans,"OUI")))</f>
        <v>1</v>
      </c>
      <c r="L296" s="100"/>
      <c r="M296" s="100"/>
      <c r="N296" s="100"/>
      <c r="O296" s="100"/>
      <c r="P296" s="100"/>
      <c r="Q296" s="100"/>
      <c r="R296" s="100"/>
      <c r="S296" s="100"/>
      <c r="T296" s="101"/>
      <c r="U296" s="92">
        <f t="shared" si="4"/>
        <v>3</v>
      </c>
      <c r="V296" s="54">
        <f t="shared" si="5"/>
        <v>3</v>
      </c>
    </row>
    <row r="297" ht="15.0" customHeight="1">
      <c r="A297" s="55" t="str">
        <f>SiteAttendu!$A296</f>
        <v>C2230</v>
      </c>
      <c r="B297" s="56" t="str">
        <f>VLOOKUP($A297,SiteAttendu!$A$2:$C$366,2,0)</f>
        <v>HOPITAL GENERAL DE MEAGUI</v>
      </c>
      <c r="C297" s="57" t="str">
        <f>VLOOKUP($A297,SiteAttendu!$A$2:$C$366,3,0)</f>
        <v>NAWA</v>
      </c>
      <c r="D297" s="58" t="str">
        <f>IF(VLOOKUP($A297,SiteAttendu!$A$2:$P$366,4,0)="NA","NA",COUNTIFS(soccode,A297,socprog,"PNLS/ANTIRETROVIRAUX ET IO",soctrans,"OUI"))</f>
        <v>NA</v>
      </c>
      <c r="E297" s="58" t="str">
        <f>IF(VLOOKUP($A297,SiteAttendu!$A$2:$P$366,5,0)="NA","NA",COUNTIFS(soccode,A297,socprog,"PNLS/TESTS RAPIDES ET CONSOMMABLES",soctrans,"OUI"))</f>
        <v>NA</v>
      </c>
      <c r="F297" s="58" t="str">
        <f>IF(VLOOKUP($A297,SiteAttendu!$A$2:$P$366,6,0)="NA","NA",COUNTIFS(soccode,A297,socprog,"PNLS/PRODUITS DE LABORATOIRE",soctrans,"OUI"))</f>
        <v>NA</v>
      </c>
      <c r="G297" s="58" t="str">
        <f>IF(VLOOKUP($A297,SiteAttendu!$A$2:$P$366,7,0)="NA","NA",COUNTIFS(soccode,A297,socprog,"PNLS/CHARGES VIRALES",soctrans,"OUI"))</f>
        <v>NA</v>
      </c>
      <c r="H297" s="58">
        <f>IF(VLOOKUP($A297,SiteAttendu!$A$2:$P$366,9,0)="NA","NA",COUNTIFS(soccode,A297,socprog,"PNLP/MEDICAMENTS ET INTRANTS",soctrans,"OUI"))</f>
        <v>1</v>
      </c>
      <c r="I297" s="58">
        <f>IF(VLOOKUP($A297,SiteAttendu!$A$2:$P$366,10,0)="NA","NA",COUNTIFS(soccode,$A297,socprog,"PNSME/MEDICAMENTS ET INTRANTS",soctrans,"OUI"))</f>
        <v>0</v>
      </c>
      <c r="J297" s="58" t="str">
        <f>IF(VLOOKUP($A297,SiteAttendu!$A$2:$P$366,11,0)="NA","NA",COUNTIFS(soccode,$A297,socprog,"PNN/MEDICAMENTS ET INTRANTS",soctrans,"OUI"))</f>
        <v>NA</v>
      </c>
      <c r="K297" s="58" t="str">
        <f>IF(VLOOKUP($A297,SiteAttendu!$A$2:$O$366,15,0)="NA","NA",IF(COUNTIF(socprog,"PNLT/SENSIBLE MEDICAMENTS ET INTRANTS")=0,"NA",COUNTIFS(soccode,$A297,socprog,"PNLT/SENSIBLE MEDICAMENTS ET INTRANTS",soctrans,"OUI")))</f>
        <v>NA</v>
      </c>
      <c r="L297" s="100"/>
      <c r="M297" s="100"/>
      <c r="N297" s="100"/>
      <c r="O297" s="100"/>
      <c r="P297" s="100"/>
      <c r="Q297" s="100"/>
      <c r="R297" s="100"/>
      <c r="S297" s="100"/>
      <c r="T297" s="101"/>
      <c r="U297" s="92">
        <f t="shared" si="4"/>
        <v>0</v>
      </c>
      <c r="V297" s="54">
        <f t="shared" si="5"/>
        <v>0</v>
      </c>
    </row>
    <row r="298" ht="15.0" customHeight="1">
      <c r="A298" s="55" t="str">
        <f>SiteAttendu!$A297</f>
        <v>C1411</v>
      </c>
      <c r="B298" s="56" t="str">
        <f>VLOOKUP($A298,SiteAttendu!$A$2:$C$366,2,0)</f>
        <v>FSU MEAGUI</v>
      </c>
      <c r="C298" s="57" t="str">
        <f>VLOOKUP($A298,SiteAttendu!$A$2:$C$366,3,0)</f>
        <v>NAWA</v>
      </c>
      <c r="D298" s="58">
        <f>IF(VLOOKUP($A298,SiteAttendu!$A$2:$P$366,4,0)="NA","NA",COUNTIFS(soccode,A298,socprog,"PNLS/ANTIRETROVIRAUX ET IO",soctrans,"OUI"))</f>
        <v>1</v>
      </c>
      <c r="E298" s="58">
        <f>IF(VLOOKUP($A298,SiteAttendu!$A$2:$P$366,5,0)="NA","NA",COUNTIFS(soccode,A298,socprog,"PNLS/TESTS RAPIDES ET CONSOMMABLES",soctrans,"OUI"))</f>
        <v>1</v>
      </c>
      <c r="F298" s="58">
        <f>IF(VLOOKUP($A298,SiteAttendu!$A$2:$P$366,6,0)="NA","NA",COUNTIFS(soccode,A298,socprog,"PNLS/PRODUITS DE LABORATOIRE",soctrans,"OUI"))</f>
        <v>1</v>
      </c>
      <c r="G298" s="58">
        <f>IF(VLOOKUP($A298,SiteAttendu!$A$2:$P$366,7,0)="NA","NA",COUNTIFS(soccode,A298,socprog,"PNLS/CHARGES VIRALES",soctrans,"OUI"))</f>
        <v>1</v>
      </c>
      <c r="H298" s="58">
        <f>IF(VLOOKUP($A298,SiteAttendu!$A$2:$P$366,9,0)="NA","NA",COUNTIFS(soccode,A298,socprog,"PNLP/MEDICAMENTS ET INTRANTS",soctrans,"OUI"))</f>
        <v>1</v>
      </c>
      <c r="I298" s="58">
        <f>IF(VLOOKUP($A298,SiteAttendu!$A$2:$P$366,10,0)="NA","NA",COUNTIFS(soccode,$A298,socprog,"PNSME/MEDICAMENTS ET INTRANTS",soctrans,"OUI"))</f>
        <v>1</v>
      </c>
      <c r="J298" s="58" t="str">
        <f>IF(VLOOKUP($A298,SiteAttendu!$A$2:$P$366,11,0)="NA","NA",COUNTIFS(soccode,$A298,socprog,"PNN/MEDICAMENTS ET INTRANTS",soctrans,"OUI"))</f>
        <v>NA</v>
      </c>
      <c r="K298" s="58">
        <f>IF(VLOOKUP($A298,SiteAttendu!$A$2:$O$366,15,0)="NA","NA",IF(COUNTIF(socprog,"PNLT/SENSIBLE MEDICAMENTS ET INTRANTS")=0,"NA",COUNTIFS(soccode,$A298,socprog,"PNLT/SENSIBLE MEDICAMENTS ET INTRANTS",soctrans,"OUI")))</f>
        <v>1</v>
      </c>
      <c r="L298" s="100"/>
      <c r="M298" s="100"/>
      <c r="N298" s="100"/>
      <c r="O298" s="100"/>
      <c r="P298" s="100"/>
      <c r="Q298" s="100"/>
      <c r="R298" s="100"/>
      <c r="S298" s="100"/>
      <c r="T298" s="101"/>
      <c r="U298" s="92">
        <f t="shared" si="4"/>
        <v>4</v>
      </c>
      <c r="V298" s="54">
        <f t="shared" si="5"/>
        <v>4</v>
      </c>
    </row>
    <row r="299" ht="15.0" customHeight="1">
      <c r="A299" s="55" t="str">
        <f>SiteAttendu!$A298</f>
        <v>C2015</v>
      </c>
      <c r="B299" s="56" t="str">
        <f>VLOOKUP($A299,SiteAttendu!$A$2:$C$366,2,0)</f>
        <v>CSU GRAND ZATTRY</v>
      </c>
      <c r="C299" s="57" t="str">
        <f>VLOOKUP($A299,SiteAttendu!$A$2:$C$366,3,0)</f>
        <v>NAWA</v>
      </c>
      <c r="D299" s="58" t="str">
        <f>IF(VLOOKUP($A299,SiteAttendu!$A$2:$P$366,4,0)="NA","NA",COUNTIFS(soccode,A299,socprog,"PNLS/ANTIRETROVIRAUX ET IO",soctrans,"OUI"))</f>
        <v>NA</v>
      </c>
      <c r="E299" s="58" t="str">
        <f>IF(VLOOKUP($A299,SiteAttendu!$A$2:$P$366,5,0)="NA","NA",COUNTIFS(soccode,A299,socprog,"PNLS/TESTS RAPIDES ET CONSOMMABLES",soctrans,"OUI"))</f>
        <v>NA</v>
      </c>
      <c r="F299" s="58" t="str">
        <f>IF(VLOOKUP($A299,SiteAttendu!$A$2:$P$366,6,0)="NA","NA",COUNTIFS(soccode,A299,socprog,"PNLS/PRODUITS DE LABORATOIRE",soctrans,"OUI"))</f>
        <v>NA</v>
      </c>
      <c r="G299" s="58" t="str">
        <f>IF(VLOOKUP($A299,SiteAttendu!$A$2:$P$366,7,0)="NA","NA",COUNTIFS(soccode,A299,socprog,"PNLS/CHARGES VIRALES",soctrans,"OUI"))</f>
        <v>NA</v>
      </c>
      <c r="H299" s="58">
        <f>IF(VLOOKUP($A299,SiteAttendu!$A$2:$P$366,9,0)="NA","NA",COUNTIFS(soccode,A299,socprog,"PNLP/MEDICAMENTS ET INTRANTS",soctrans,"OUI"))</f>
        <v>1</v>
      </c>
      <c r="I299" s="58">
        <f>IF(VLOOKUP($A299,SiteAttendu!$A$2:$P$366,10,0)="NA","NA",COUNTIFS(soccode,$A299,socprog,"PNSME/MEDICAMENTS ET INTRANTS",soctrans,"OUI"))</f>
        <v>1</v>
      </c>
      <c r="J299" s="58" t="str">
        <f>IF(VLOOKUP($A299,SiteAttendu!$A$2:$P$366,11,0)="NA","NA",COUNTIFS(soccode,$A299,socprog,"PNN/MEDICAMENTS ET INTRANTS",soctrans,"OUI"))</f>
        <v>NA</v>
      </c>
      <c r="K299" s="58">
        <f>IF(VLOOKUP($A299,SiteAttendu!$A$2:$O$366,15,0)="NA","NA",IF(COUNTIF(socprog,"PNLT/SENSIBLE MEDICAMENTS ET INTRANTS")=0,"NA",COUNTIFS(soccode,$A299,socprog,"PNLT/SENSIBLE MEDICAMENTS ET INTRANTS",soctrans,"OUI")))</f>
        <v>1</v>
      </c>
      <c r="L299" s="100"/>
      <c r="M299" s="100"/>
      <c r="N299" s="100"/>
      <c r="O299" s="100"/>
      <c r="P299" s="100"/>
      <c r="Q299" s="100"/>
      <c r="R299" s="100"/>
      <c r="S299" s="100"/>
      <c r="T299" s="101"/>
      <c r="U299" s="92">
        <f t="shared" si="4"/>
        <v>0</v>
      </c>
      <c r="V299" s="54">
        <f t="shared" si="5"/>
        <v>0</v>
      </c>
    </row>
    <row r="300" ht="15.0" customHeight="1">
      <c r="A300" s="55" t="str">
        <f>SiteAttendu!$A299</f>
        <v>C2039</v>
      </c>
      <c r="B300" s="56" t="str">
        <f>VLOOKUP($A300,SiteAttendu!$A$2:$C$366,2,0)</f>
        <v>DISTRICT SANITAIRE SOUBRE</v>
      </c>
      <c r="C300" s="57" t="str">
        <f>VLOOKUP($A300,SiteAttendu!$A$2:$C$366,3,0)</f>
        <v>NAWA</v>
      </c>
      <c r="D300" s="58">
        <f>IF(VLOOKUP($A300,SiteAttendu!$A$2:$P$366,4,0)="NA","NA",COUNTIFS(soccode,A300,socprog,"PNLS/ANTIRETROVIRAUX ET IO",soctrans,"OUI"))</f>
        <v>1</v>
      </c>
      <c r="E300" s="58">
        <f>IF(VLOOKUP($A300,SiteAttendu!$A$2:$P$366,5,0)="NA","NA",COUNTIFS(soccode,A300,socprog,"PNLS/TESTS RAPIDES ET CONSOMMABLES",soctrans,"OUI"))</f>
        <v>1</v>
      </c>
      <c r="F300" s="58">
        <f>IF(VLOOKUP($A300,SiteAttendu!$A$2:$P$366,6,0)="NA","NA",COUNTIFS(soccode,A300,socprog,"PNLS/PRODUITS DE LABORATOIRE",soctrans,"OUI"))</f>
        <v>1</v>
      </c>
      <c r="G300" s="58" t="str">
        <f>IF(VLOOKUP($A300,SiteAttendu!$A$2:$P$366,7,0)="NA","NA",COUNTIFS(soccode,A300,socprog,"PNLS/CHARGES VIRALES",soctrans,"OUI"))</f>
        <v>NA</v>
      </c>
      <c r="H300" s="58">
        <f>IF(VLOOKUP($A300,SiteAttendu!$A$2:$P$366,9,0)="NA","NA",COUNTIFS(soccode,A300,socprog,"PNLP/MEDICAMENTS ET INTRANTS",soctrans,"OUI"))</f>
        <v>1</v>
      </c>
      <c r="I300" s="58">
        <f>IF(VLOOKUP($A300,SiteAttendu!$A$2:$P$366,10,0)="NA","NA",COUNTIFS(soccode,$A300,socprog,"PNSME/MEDICAMENTS ET INTRANTS",soctrans,"OUI"))</f>
        <v>1</v>
      </c>
      <c r="J300" s="58">
        <f>IF(VLOOKUP($A300,SiteAttendu!$A$2:$P$366,11,0)="NA","NA",COUNTIFS(soccode,$A300,socprog,"PNN/MEDICAMENTS ET INTRANTS",soctrans,"OUI"))</f>
        <v>1</v>
      </c>
      <c r="K300" s="58" t="str">
        <f>IF(VLOOKUP($A300,SiteAttendu!$A$2:$O$366,15,0)="NA","NA",IF(COUNTIF(socprog,"PNLT/SENSIBLE MEDICAMENTS ET INTRANTS")=0,"NA",COUNTIFS(soccode,$A300,socprog,"PNLT/SENSIBLE MEDICAMENTS ET INTRANTS",soctrans,"OUI")))</f>
        <v>NA</v>
      </c>
      <c r="L300" s="100"/>
      <c r="M300" s="100"/>
      <c r="N300" s="100"/>
      <c r="O300" s="100"/>
      <c r="P300" s="100"/>
      <c r="Q300" s="100"/>
      <c r="R300" s="100"/>
      <c r="S300" s="100"/>
      <c r="T300" s="101"/>
      <c r="U300" s="92">
        <f t="shared" si="4"/>
        <v>3</v>
      </c>
      <c r="V300" s="54">
        <f t="shared" si="5"/>
        <v>3</v>
      </c>
    </row>
    <row r="301" ht="15.0" customHeight="1">
      <c r="A301" s="55" t="str">
        <f>SiteAttendu!$A300</f>
        <v>C2064</v>
      </c>
      <c r="B301" s="56" t="str">
        <f>VLOOKUP($A301,SiteAttendu!$A$2:$C$366,2,0)</f>
        <v>HOPITAL GENERAL SOUBRE</v>
      </c>
      <c r="C301" s="57" t="str">
        <f>VLOOKUP($A301,SiteAttendu!$A$2:$C$366,3,0)</f>
        <v>NAWA</v>
      </c>
      <c r="D301" s="58">
        <f>IF(VLOOKUP($A301,SiteAttendu!$A$2:$P$366,4,0)="NA","NA",COUNTIFS(soccode,A301,socprog,"PNLS/ANTIRETROVIRAUX ET IO",soctrans,"OUI"))</f>
        <v>1</v>
      </c>
      <c r="E301" s="58">
        <f>IF(VLOOKUP($A301,SiteAttendu!$A$2:$P$366,5,0)="NA","NA",COUNTIFS(soccode,A301,socprog,"PNLS/TESTS RAPIDES ET CONSOMMABLES",soctrans,"OUI"))</f>
        <v>1</v>
      </c>
      <c r="F301" s="58">
        <f>IF(VLOOKUP($A301,SiteAttendu!$A$2:$P$366,6,0)="NA","NA",COUNTIFS(soccode,A301,socprog,"PNLS/PRODUITS DE LABORATOIRE",soctrans,"OUI"))</f>
        <v>1</v>
      </c>
      <c r="G301" s="58">
        <f>IF(VLOOKUP($A301,SiteAttendu!$A$2:$P$366,7,0)="NA","NA",COUNTIFS(soccode,A301,socprog,"PNLS/CHARGES VIRALES",soctrans,"OUI"))</f>
        <v>1</v>
      </c>
      <c r="H301" s="58">
        <f>IF(VLOOKUP($A301,SiteAttendu!$A$2:$P$366,9,0)="NA","NA",COUNTIFS(soccode,A301,socprog,"PNLP/MEDICAMENTS ET INTRANTS",soctrans,"OUI"))</f>
        <v>1</v>
      </c>
      <c r="I301" s="58">
        <f>IF(VLOOKUP($A301,SiteAttendu!$A$2:$P$366,10,0)="NA","NA",COUNTIFS(soccode,$A301,socprog,"PNSME/MEDICAMENTS ET INTRANTS",soctrans,"OUI"))</f>
        <v>1</v>
      </c>
      <c r="J301" s="58">
        <f>IF(VLOOKUP($A301,SiteAttendu!$A$2:$P$366,11,0)="NA","NA",COUNTIFS(soccode,$A301,socprog,"PNN/MEDICAMENTS ET INTRANTS",soctrans,"OUI"))</f>
        <v>1</v>
      </c>
      <c r="K301" s="58" t="str">
        <f>IF(VLOOKUP($A301,SiteAttendu!$A$2:$O$366,15,0)="NA","NA",IF(COUNTIF(socprog,"PNLT/SENSIBLE MEDICAMENTS ET INTRANTS")=0,"NA",COUNTIFS(soccode,$A301,socprog,"PNLT/SENSIBLE MEDICAMENTS ET INTRANTS",soctrans,"OUI")))</f>
        <v>NA</v>
      </c>
      <c r="L301" s="100"/>
      <c r="M301" s="100"/>
      <c r="N301" s="100"/>
      <c r="O301" s="100"/>
      <c r="P301" s="100"/>
      <c r="Q301" s="100"/>
      <c r="R301" s="100"/>
      <c r="S301" s="100"/>
      <c r="T301" s="101"/>
      <c r="U301" s="92">
        <f t="shared" si="4"/>
        <v>4</v>
      </c>
      <c r="V301" s="54">
        <f t="shared" si="5"/>
        <v>4</v>
      </c>
    </row>
    <row r="302" ht="15.0" customHeight="1">
      <c r="A302" s="70" t="str">
        <f>SiteAttendu!$A301</f>
        <v>C2190</v>
      </c>
      <c r="B302" s="71" t="str">
        <f>VLOOKUP($A302,SiteAttendu!$A$2:$C$366,2,0)</f>
        <v>CENTRE ANTITUBERCULEUX SOUBRE</v>
      </c>
      <c r="C302" s="72" t="str">
        <f>VLOOKUP($A302,SiteAttendu!$A$2:$C$366,3,0)</f>
        <v>NAWA</v>
      </c>
      <c r="D302" s="73" t="str">
        <f>IF(VLOOKUP($A302,SiteAttendu!$A$2:$P$366,4,0)="NA","NA",COUNTIFS(soccode,A302,socprog,"PNLS/ANTIRETROVIRAUX ET IO",soctrans,"OUI"))</f>
        <v>NA</v>
      </c>
      <c r="E302" s="73" t="str">
        <f>IF(VLOOKUP($A302,SiteAttendu!$A$2:$P$366,5,0)="NA","NA",COUNTIFS(soccode,A302,socprog,"PNLS/TESTS RAPIDES ET CONSOMMABLES",soctrans,"OUI"))</f>
        <v>NA</v>
      </c>
      <c r="F302" s="73" t="str">
        <f>IF(VLOOKUP($A302,SiteAttendu!$A$2:$P$366,6,0)="NA","NA",COUNTIFS(soccode,A302,socprog,"PNLS/PRODUITS DE LABORATOIRE",soctrans,"OUI"))</f>
        <v>NA</v>
      </c>
      <c r="G302" s="73" t="str">
        <f>IF(VLOOKUP($A302,SiteAttendu!$A$2:$P$366,7,0)="NA","NA",COUNTIFS(soccode,A302,socprog,"PNLS/CHARGES VIRALES",soctrans,"OUI"))</f>
        <v>NA</v>
      </c>
      <c r="H302" s="73" t="str">
        <f>IF(VLOOKUP($A302,SiteAttendu!$A$2:$P$366,9,0)="NA","NA",COUNTIFS(soccode,A302,socprog,"PNLP/MEDICAMENTS ET INTRANTS",soctrans,"OUI"))</f>
        <v>NA</v>
      </c>
      <c r="I302" s="73" t="str">
        <f>IF(VLOOKUP($A302,SiteAttendu!$A$2:$P$366,10,0)="NA","NA",COUNTIFS(soccode,$A302,socprog,"PNSME/MEDICAMENTS ET INTRANTS",soctrans,"OUI"))</f>
        <v>NA</v>
      </c>
      <c r="J302" s="73" t="str">
        <f>IF(VLOOKUP($A302,SiteAttendu!$A$2:$P$366,11,0)="NA","NA",COUNTIFS(soccode,$A302,socprog,"PNN/MEDICAMENTS ET INTRANTS",soctrans,"OUI"))</f>
        <v>NA</v>
      </c>
      <c r="K302" s="73">
        <f>IF(VLOOKUP($A302,SiteAttendu!$A$2:$O$366,15,0)="NA","NA",IF(COUNTIF(socprog,"PNLT/SENSIBLE MEDICAMENTS ET INTRANTS")=0,"NA",COUNTIFS(soccode,$A302,socprog,"PNLT/SENSIBLE MEDICAMENTS ET INTRANTS",soctrans,"OUI")))</f>
        <v>1</v>
      </c>
      <c r="L302" s="89"/>
      <c r="M302" s="89"/>
      <c r="N302" s="89"/>
      <c r="O302" s="89"/>
      <c r="P302" s="89"/>
      <c r="Q302" s="89"/>
      <c r="R302" s="89"/>
      <c r="S302" s="89"/>
      <c r="T302" s="106"/>
      <c r="U302" s="92">
        <f t="shared" si="4"/>
        <v>0</v>
      </c>
      <c r="V302" s="54">
        <f t="shared" si="5"/>
        <v>0</v>
      </c>
    </row>
    <row r="303" ht="15.0" customHeight="1">
      <c r="A303" s="46" t="str">
        <f>SiteAttendu!$A302</f>
        <v>C2019</v>
      </c>
      <c r="B303" s="47" t="str">
        <f>VLOOKUP($A303,SiteAttendu!$A$2:$C$366,2,0)</f>
        <v>DISTRICT SANITAIRE BOCANDA</v>
      </c>
      <c r="C303" s="48" t="str">
        <f>VLOOKUP($A303,SiteAttendu!$A$2:$C$366,3,0)</f>
        <v>N'ZI</v>
      </c>
      <c r="D303" s="49">
        <f>IF(VLOOKUP($A303,SiteAttendu!$A$2:$P$366,4,0)="NA","NA",COUNTIFS(soccode,A303,socprog,"PNLS/ANTIRETROVIRAUX ET IO",soctrans,"OUI"))</f>
        <v>1</v>
      </c>
      <c r="E303" s="49">
        <f>IF(VLOOKUP($A303,SiteAttendu!$A$2:$P$366,5,0)="NA","NA",COUNTIFS(soccode,A303,socprog,"PNLS/TESTS RAPIDES ET CONSOMMABLES",soctrans,"OUI"))</f>
        <v>1</v>
      </c>
      <c r="F303" s="49" t="str">
        <f>IF(VLOOKUP($A303,SiteAttendu!$A$2:$P$366,6,0)="NA","NA",COUNTIFS(soccode,A303,socprog,"PNLS/PRODUITS DE LABORATOIRE",soctrans,"OUI"))</f>
        <v>NA</v>
      </c>
      <c r="G303" s="49" t="str">
        <f>IF(VLOOKUP($A303,SiteAttendu!$A$2:$P$366,7,0)="NA","NA",COUNTIFS(soccode,A303,socprog,"PNLS/CHARGES VIRALES",soctrans,"OUI"))</f>
        <v>NA</v>
      </c>
      <c r="H303" s="49">
        <f>IF(VLOOKUP($A303,SiteAttendu!$A$2:$P$366,9,0)="NA","NA",COUNTIFS(soccode,A303,socprog,"PNLP/MEDICAMENTS ET INTRANTS",soctrans,"OUI"))</f>
        <v>1</v>
      </c>
      <c r="I303" s="49">
        <f>IF(VLOOKUP($A303,SiteAttendu!$A$2:$P$366,10,0)="NA","NA",COUNTIFS(soccode,$A303,socprog,"PNSME/MEDICAMENTS ET INTRANTS",soctrans,"OUI"))</f>
        <v>1</v>
      </c>
      <c r="J303" s="49" t="str">
        <f>IF(VLOOKUP($A303,SiteAttendu!$A$2:$P$366,11,0)="NA","NA",COUNTIFS(soccode,$A303,socprog,"PNN/MEDICAMENTS ET INTRANTS",soctrans,"OUI"))</f>
        <v>NA</v>
      </c>
      <c r="K303" s="49" t="str">
        <f>IF(VLOOKUP($A303,SiteAttendu!$A$2:$O$366,15,0)="NA","NA",IF(COUNTIF(socprog,"PNLT/SENSIBLE MEDICAMENTS ET INTRANTS")=0,"NA",COUNTIFS(soccode,$A303,socprog,"PNLT/SENSIBLE MEDICAMENTS ET INTRANTS",soctrans,"OUI")))</f>
        <v>NA</v>
      </c>
      <c r="L303" s="98">
        <f t="shared" ref="L303:S303" si="295">IFERROR(SUMIFS(D$2:D$364,$C$2:$C$364,$C303)/COUNTIFS(D$2:D$364,"&lt;&gt;NA",$C$2:$C$364,$C303),"")</f>
        <v>1</v>
      </c>
      <c r="M303" s="98">
        <f t="shared" si="295"/>
        <v>1</v>
      </c>
      <c r="N303" s="98">
        <f t="shared" si="295"/>
        <v>1</v>
      </c>
      <c r="O303" s="98">
        <f t="shared" si="295"/>
        <v>1</v>
      </c>
      <c r="P303" s="98">
        <f t="shared" si="295"/>
        <v>1</v>
      </c>
      <c r="Q303" s="98">
        <f t="shared" si="295"/>
        <v>1</v>
      </c>
      <c r="R303" s="98" t="str">
        <f t="shared" si="295"/>
        <v/>
      </c>
      <c r="S303" s="98">
        <f t="shared" si="295"/>
        <v>0.6</v>
      </c>
      <c r="T303" s="99">
        <f>SUM(COUNTIFS($C:$C,$C303,D:D,1),COUNTIFS($C:$C,$C303,E:E,1),COUNTIFS($C:$C,$C303,F:F,1),COUNTIFS($C:$C,$C303,G:G,1))/SUM(COUNTIFS($C:$C,$C303,D:D,"&lt;&gt;NA"),COUNTIFS($C:$C,$C303,E:E,"&lt;&gt;NA"),COUNTIFS($C:$C,$C303,F:F,"&lt;&gt;NA"),COUNTIFS($C:$C,$C303,G:G,"&lt;&gt;NA"))</f>
        <v>1</v>
      </c>
      <c r="U303" s="92">
        <f t="shared" si="4"/>
        <v>2</v>
      </c>
      <c r="V303" s="54">
        <f t="shared" si="5"/>
        <v>2</v>
      </c>
    </row>
    <row r="304" ht="15.75" customHeight="1">
      <c r="A304" s="55" t="str">
        <f>SiteAttendu!$A303</f>
        <v>C2049</v>
      </c>
      <c r="B304" s="56" t="str">
        <f>VLOOKUP($A304,SiteAttendu!$A$2:$C$366,2,0)</f>
        <v>HOPITAL GENERAL BOCANDA</v>
      </c>
      <c r="C304" s="57" t="str">
        <f>VLOOKUP($A304,SiteAttendu!$A$2:$C$366,3,0)</f>
        <v>N'ZI</v>
      </c>
      <c r="D304" s="58">
        <f>IF(VLOOKUP($A304,SiteAttendu!$A$2:$P$366,4,0)="NA","NA",COUNTIFS(soccode,A304,socprog,"PNLS/ANTIRETROVIRAUX ET IO",soctrans,"OUI"))</f>
        <v>1</v>
      </c>
      <c r="E304" s="58">
        <f>IF(VLOOKUP($A304,SiteAttendu!$A$2:$P$366,5,0)="NA","NA",COUNTIFS(soccode,A304,socprog,"PNLS/TESTS RAPIDES ET CONSOMMABLES",soctrans,"OUI"))</f>
        <v>1</v>
      </c>
      <c r="F304" s="58">
        <f>IF(VLOOKUP($A304,SiteAttendu!$A$2:$P$366,6,0)="NA","NA",COUNTIFS(soccode,A304,socprog,"PNLS/PRODUITS DE LABORATOIRE",soctrans,"OUI"))</f>
        <v>1</v>
      </c>
      <c r="G304" s="58" t="str">
        <f>IF(VLOOKUP($A304,SiteAttendu!$A$2:$P$366,7,0)="NA","NA",COUNTIFS(soccode,A304,socprog,"PNLS/CHARGES VIRALES",soctrans,"OUI"))</f>
        <v>NA</v>
      </c>
      <c r="H304" s="58">
        <f>IF(VLOOKUP($A304,SiteAttendu!$A$2:$P$366,9,0)="NA","NA",COUNTIFS(soccode,A304,socprog,"PNLP/MEDICAMENTS ET INTRANTS",soctrans,"OUI"))</f>
        <v>1</v>
      </c>
      <c r="I304" s="58">
        <f>IF(VLOOKUP($A304,SiteAttendu!$A$2:$P$366,10,0)="NA","NA",COUNTIFS(soccode,$A304,socprog,"PNSME/MEDICAMENTS ET INTRANTS",soctrans,"OUI"))</f>
        <v>1</v>
      </c>
      <c r="J304" s="58" t="str">
        <f>IF(VLOOKUP($A304,SiteAttendu!$A$2:$P$366,11,0)="NA","NA",COUNTIFS(soccode,$A304,socprog,"PNN/MEDICAMENTS ET INTRANTS",soctrans,"OUI"))</f>
        <v>NA</v>
      </c>
      <c r="K304" s="58">
        <f>IF(VLOOKUP($A304,SiteAttendu!$A$2:$O$366,15,0)="NA","NA",IF(COUNTIF(socprog,"PNLT/SENSIBLE MEDICAMENTS ET INTRANTS")=0,"NA",COUNTIFS(soccode,$A304,socprog,"PNLT/SENSIBLE MEDICAMENTS ET INTRANTS",soctrans,"OUI")))</f>
        <v>1</v>
      </c>
      <c r="L304" s="100"/>
      <c r="M304" s="100"/>
      <c r="N304" s="100"/>
      <c r="O304" s="100"/>
      <c r="P304" s="100"/>
      <c r="Q304" s="100"/>
      <c r="R304" s="100"/>
      <c r="S304" s="100"/>
      <c r="T304" s="101"/>
      <c r="U304" s="92">
        <f t="shared" si="4"/>
        <v>3</v>
      </c>
      <c r="V304" s="54">
        <f t="shared" si="5"/>
        <v>3</v>
      </c>
    </row>
    <row r="305" ht="15.0" customHeight="1">
      <c r="A305" s="55" t="str">
        <f>SiteAttendu!$A304</f>
        <v>C2004</v>
      </c>
      <c r="B305" s="56" t="str">
        <f>VLOOKUP($A305,SiteAttendu!$A$2:$C$366,2,0)</f>
        <v>CHR DIMBOKRO</v>
      </c>
      <c r="C305" s="57" t="str">
        <f>VLOOKUP($A305,SiteAttendu!$A$2:$C$366,3,0)</f>
        <v>N'ZI</v>
      </c>
      <c r="D305" s="58">
        <f>IF(VLOOKUP($A305,SiteAttendu!$A$2:$P$366,4,0)="NA","NA",COUNTIFS(soccode,A305,socprog,"PNLS/ANTIRETROVIRAUX ET IO",soctrans,"OUI"))</f>
        <v>1</v>
      </c>
      <c r="E305" s="58">
        <f>IF(VLOOKUP($A305,SiteAttendu!$A$2:$P$366,5,0)="NA","NA",COUNTIFS(soccode,A305,socprog,"PNLS/TESTS RAPIDES ET CONSOMMABLES",soctrans,"OUI"))</f>
        <v>1</v>
      </c>
      <c r="F305" s="58">
        <f>IF(VLOOKUP($A305,SiteAttendu!$A$2:$P$366,6,0)="NA","NA",COUNTIFS(soccode,A305,socprog,"PNLS/PRODUITS DE LABORATOIRE",soctrans,"OUI"))</f>
        <v>1</v>
      </c>
      <c r="G305" s="58">
        <f>IF(VLOOKUP($A305,SiteAttendu!$A$2:$P$366,7,0)="NA","NA",COUNTIFS(soccode,A305,socprog,"PNLS/CHARGES VIRALES",soctrans,"OUI"))</f>
        <v>1</v>
      </c>
      <c r="H305" s="58">
        <f>IF(VLOOKUP($A305,SiteAttendu!$A$2:$P$366,9,0)="NA","NA",COUNTIFS(soccode,A305,socprog,"PNLP/MEDICAMENTS ET INTRANTS",soctrans,"OUI"))</f>
        <v>1</v>
      </c>
      <c r="I305" s="58">
        <f>IF(VLOOKUP($A305,SiteAttendu!$A$2:$P$366,10,0)="NA","NA",COUNTIFS(soccode,$A305,socprog,"PNSME/MEDICAMENTS ET INTRANTS",soctrans,"OUI"))</f>
        <v>1</v>
      </c>
      <c r="J305" s="58" t="str">
        <f>IF(VLOOKUP($A305,SiteAttendu!$A$2:$P$366,11,0)="NA","NA",COUNTIFS(soccode,$A305,socprog,"PNN/MEDICAMENTS ET INTRANTS",soctrans,"OUI"))</f>
        <v>NA</v>
      </c>
      <c r="K305" s="58" t="str">
        <f>IF(VLOOKUP($A305,SiteAttendu!$A$2:$O$366,15,0)="NA","NA",IF(COUNTIF(socprog,"PNLT/SENSIBLE MEDICAMENTS ET INTRANTS")=0,"NA",COUNTIFS(soccode,$A305,socprog,"PNLT/SENSIBLE MEDICAMENTS ET INTRANTS",soctrans,"OUI")))</f>
        <v>NA</v>
      </c>
      <c r="L305" s="100"/>
      <c r="M305" s="100"/>
      <c r="N305" s="100"/>
      <c r="O305" s="100"/>
      <c r="P305" s="100"/>
      <c r="Q305" s="100"/>
      <c r="R305" s="100"/>
      <c r="S305" s="100"/>
      <c r="T305" s="101"/>
      <c r="U305" s="92">
        <f t="shared" si="4"/>
        <v>4</v>
      </c>
      <c r="V305" s="54">
        <f t="shared" si="5"/>
        <v>4</v>
      </c>
    </row>
    <row r="306" ht="15.0" customHeight="1">
      <c r="A306" s="55" t="str">
        <f>SiteAttendu!$A305</f>
        <v>C2027</v>
      </c>
      <c r="B306" s="56" t="str">
        <f>VLOOKUP($A306,SiteAttendu!$A$2:$C$366,2,0)</f>
        <v>DISTRICT SANITAIRE DIMBOKRO</v>
      </c>
      <c r="C306" s="57" t="str">
        <f>VLOOKUP($A306,SiteAttendu!$A$2:$C$366,3,0)</f>
        <v>N'ZI</v>
      </c>
      <c r="D306" s="58">
        <f>IF(VLOOKUP($A306,SiteAttendu!$A$2:$P$366,4,0)="NA","NA",COUNTIFS(soccode,A306,socprog,"PNLS/ANTIRETROVIRAUX ET IO",soctrans,"OUI"))</f>
        <v>1</v>
      </c>
      <c r="E306" s="58">
        <f>IF(VLOOKUP($A306,SiteAttendu!$A$2:$P$366,5,0)="NA","NA",COUNTIFS(soccode,A306,socprog,"PNLS/TESTS RAPIDES ET CONSOMMABLES",soctrans,"OUI"))</f>
        <v>1</v>
      </c>
      <c r="F306" s="58" t="str">
        <f>IF(VLOOKUP($A306,SiteAttendu!$A$2:$P$366,6,0)="NA","NA",COUNTIFS(soccode,A306,socprog,"PNLS/PRODUITS DE LABORATOIRE",soctrans,"OUI"))</f>
        <v>NA</v>
      </c>
      <c r="G306" s="58" t="str">
        <f>IF(VLOOKUP($A306,SiteAttendu!$A$2:$P$366,7,0)="NA","NA",COUNTIFS(soccode,A306,socprog,"PNLS/CHARGES VIRALES",soctrans,"OUI"))</f>
        <v>NA</v>
      </c>
      <c r="H306" s="58">
        <f>IF(VLOOKUP($A306,SiteAttendu!$A$2:$P$366,9,0)="NA","NA",COUNTIFS(soccode,A306,socprog,"PNLP/MEDICAMENTS ET INTRANTS",soctrans,"OUI"))</f>
        <v>1</v>
      </c>
      <c r="I306" s="58">
        <f>IF(VLOOKUP($A306,SiteAttendu!$A$2:$P$366,10,0)="NA","NA",COUNTIFS(soccode,$A306,socprog,"PNSME/MEDICAMENTS ET INTRANTS",soctrans,"OUI"))</f>
        <v>1</v>
      </c>
      <c r="J306" s="58" t="str">
        <f>IF(VLOOKUP($A306,SiteAttendu!$A$2:$P$366,11,0)="NA","NA",COUNTIFS(soccode,$A306,socprog,"PNN/MEDICAMENTS ET INTRANTS",soctrans,"OUI"))</f>
        <v>NA</v>
      </c>
      <c r="K306" s="58">
        <f>IF(VLOOKUP($A306,SiteAttendu!$A$2:$O$366,15,0)="NA","NA",IF(COUNTIF(socprog,"PNLT/SENSIBLE MEDICAMENTS ET INTRANTS")=0,"NA",COUNTIFS(soccode,$A306,socprog,"PNLT/SENSIBLE MEDICAMENTS ET INTRANTS",soctrans,"OUI")))</f>
        <v>0</v>
      </c>
      <c r="L306" s="100"/>
      <c r="M306" s="100"/>
      <c r="N306" s="100"/>
      <c r="O306" s="100"/>
      <c r="P306" s="100"/>
      <c r="Q306" s="100"/>
      <c r="R306" s="100"/>
      <c r="S306" s="100"/>
      <c r="T306" s="101"/>
      <c r="U306" s="92">
        <f t="shared" si="4"/>
        <v>2</v>
      </c>
      <c r="V306" s="54">
        <f t="shared" si="5"/>
        <v>2</v>
      </c>
    </row>
    <row r="307" ht="15.0" customHeight="1">
      <c r="A307" s="55" t="str">
        <f>SiteAttendu!$A306</f>
        <v>C2192</v>
      </c>
      <c r="B307" s="56" t="str">
        <f>VLOOKUP($A307,SiteAttendu!$A$2:$C$366,2,0)</f>
        <v>CENTRE ANTITUBERCULEUX DIMBOKRO</v>
      </c>
      <c r="C307" s="57" t="str">
        <f>VLOOKUP($A307,SiteAttendu!$A$2:$C$366,3,0)</f>
        <v>N'ZI</v>
      </c>
      <c r="D307" s="58" t="str">
        <f>IF(VLOOKUP($A307,SiteAttendu!$A$2:$P$366,4,0)="NA","NA",COUNTIFS(soccode,A307,socprog,"PNLS/ANTIRETROVIRAUX ET IO",soctrans,"OUI"))</f>
        <v>NA</v>
      </c>
      <c r="E307" s="58" t="str">
        <f>IF(VLOOKUP($A307,SiteAttendu!$A$2:$P$366,5,0)="NA","NA",COUNTIFS(soccode,A307,socprog,"PNLS/TESTS RAPIDES ET CONSOMMABLES",soctrans,"OUI"))</f>
        <v>NA</v>
      </c>
      <c r="F307" s="58" t="str">
        <f>IF(VLOOKUP($A307,SiteAttendu!$A$2:$P$366,6,0)="NA","NA",COUNTIFS(soccode,A307,socprog,"PNLS/PRODUITS DE LABORATOIRE",soctrans,"OUI"))</f>
        <v>NA</v>
      </c>
      <c r="G307" s="58" t="str">
        <f>IF(VLOOKUP($A307,SiteAttendu!$A$2:$P$366,7,0)="NA","NA",COUNTIFS(soccode,A307,socprog,"PNLS/CHARGES VIRALES",soctrans,"OUI"))</f>
        <v>NA</v>
      </c>
      <c r="H307" s="58" t="str">
        <f>IF(VLOOKUP($A307,SiteAttendu!$A$2:$P$366,9,0)="NA","NA",COUNTIFS(soccode,A307,socprog,"PNLP/MEDICAMENTS ET INTRANTS",soctrans,"OUI"))</f>
        <v>NA</v>
      </c>
      <c r="I307" s="58" t="str">
        <f>IF(VLOOKUP($A307,SiteAttendu!$A$2:$P$366,10,0)="NA","NA",COUNTIFS(soccode,$A307,socprog,"PNSME/MEDICAMENTS ET INTRANTS",soctrans,"OUI"))</f>
        <v>NA</v>
      </c>
      <c r="J307" s="58" t="str">
        <f>IF(VLOOKUP($A307,SiteAttendu!$A$2:$P$366,11,0)="NA","NA",COUNTIFS(soccode,$A307,socprog,"PNN/MEDICAMENTS ET INTRANTS",soctrans,"OUI"))</f>
        <v>NA</v>
      </c>
      <c r="K307" s="58">
        <f>IF(VLOOKUP($A307,SiteAttendu!$A$2:$O$366,15,0)="NA","NA",IF(COUNTIF(socprog,"PNLT/SENSIBLE MEDICAMENTS ET INTRANTS")=0,"NA",COUNTIFS(soccode,$A307,socprog,"PNLT/SENSIBLE MEDICAMENTS ET INTRANTS",soctrans,"OUI")))</f>
        <v>1</v>
      </c>
      <c r="L307" s="100"/>
      <c r="M307" s="100"/>
      <c r="N307" s="100"/>
      <c r="O307" s="100"/>
      <c r="P307" s="100"/>
      <c r="Q307" s="100"/>
      <c r="R307" s="100"/>
      <c r="S307" s="100"/>
      <c r="T307" s="101"/>
      <c r="U307" s="92">
        <f t="shared" si="4"/>
        <v>0</v>
      </c>
      <c r="V307" s="54">
        <f t="shared" si="5"/>
        <v>0</v>
      </c>
    </row>
    <row r="308" ht="15.0" customHeight="1">
      <c r="A308" s="55" t="str">
        <f>SiteAttendu!$A307</f>
        <v>C4083</v>
      </c>
      <c r="B308" s="56" t="str">
        <f>VLOOKUP($A308,SiteAttendu!$A$2:$C$366,2,0)</f>
        <v>DISTRICT SANITAIRE KOUASSI KOUASSIKRO</v>
      </c>
      <c r="C308" s="57" t="str">
        <f>VLOOKUP($A308,SiteAttendu!$A$2:$C$366,3,0)</f>
        <v>N'ZI</v>
      </c>
      <c r="D308" s="58">
        <f>IF(VLOOKUP($A308,SiteAttendu!$A$2:$P$366,4,0)="NA","NA",COUNTIFS(soccode,A308,socprog,"PNLS/ANTIRETROVIRAUX ET IO",soctrans,"OUI"))</f>
        <v>1</v>
      </c>
      <c r="E308" s="58">
        <f>IF(VLOOKUP($A308,SiteAttendu!$A$2:$P$366,5,0)="NA","NA",COUNTIFS(soccode,A308,socprog,"PNLS/TESTS RAPIDES ET CONSOMMABLES",soctrans,"OUI"))</f>
        <v>1</v>
      </c>
      <c r="F308" s="58" t="str">
        <f>IF(VLOOKUP($A308,SiteAttendu!$A$2:$P$366,6,0)="NA","NA",COUNTIFS(soccode,A308,socprog,"PNLS/PRODUITS DE LABORATOIRE",soctrans,"OUI"))</f>
        <v>NA</v>
      </c>
      <c r="G308" s="58" t="str">
        <f>IF(VLOOKUP($A308,SiteAttendu!$A$2:$P$366,7,0)="NA","NA",COUNTIFS(soccode,A308,socprog,"PNLS/CHARGES VIRALES",soctrans,"OUI"))</f>
        <v>NA</v>
      </c>
      <c r="H308" s="58">
        <f>IF(VLOOKUP($A308,SiteAttendu!$A$2:$P$366,9,0)="NA","NA",COUNTIFS(soccode,A308,socprog,"PNLP/MEDICAMENTS ET INTRANTS",soctrans,"OUI"))</f>
        <v>1</v>
      </c>
      <c r="I308" s="58">
        <f>IF(VLOOKUP($A308,SiteAttendu!$A$2:$P$366,10,0)="NA","NA",COUNTIFS(soccode,$A308,socprog,"PNSME/MEDICAMENTS ET INTRANTS",soctrans,"OUI"))</f>
        <v>1</v>
      </c>
      <c r="J308" s="58" t="str">
        <f>IF(VLOOKUP($A308,SiteAttendu!$A$2:$P$366,11,0)="NA","NA",COUNTIFS(soccode,$A308,socprog,"PNN/MEDICAMENTS ET INTRANTS",soctrans,"OUI"))</f>
        <v>NA</v>
      </c>
      <c r="K308" s="58">
        <f>IF(VLOOKUP($A308,SiteAttendu!$A$2:$O$366,15,0)="NA","NA",IF(COUNTIF(socprog,"PNLT/SENSIBLE MEDICAMENTS ET INTRANTS")=0,"NA",COUNTIFS(soccode,$A308,socprog,"PNLT/SENSIBLE MEDICAMENTS ET INTRANTS",soctrans,"OUI")))</f>
        <v>0</v>
      </c>
      <c r="L308" s="100"/>
      <c r="M308" s="100"/>
      <c r="N308" s="100"/>
      <c r="O308" s="100"/>
      <c r="P308" s="100"/>
      <c r="Q308" s="100"/>
      <c r="R308" s="100"/>
      <c r="S308" s="100"/>
      <c r="T308" s="101"/>
      <c r="U308" s="92">
        <f t="shared" si="4"/>
        <v>2</v>
      </c>
      <c r="V308" s="54">
        <f t="shared" si="5"/>
        <v>2</v>
      </c>
    </row>
    <row r="309" ht="15.0" customHeight="1">
      <c r="A309" s="70" t="str">
        <f>SiteAttendu!$A308</f>
        <v>C4087</v>
      </c>
      <c r="B309" s="71" t="str">
        <f>VLOOKUP($A309,SiteAttendu!$A$2:$C$366,2,0)</f>
        <v>HOPITAL GENERAL KOUASSI-KOUASSIKRO</v>
      </c>
      <c r="C309" s="72" t="str">
        <f>VLOOKUP($A309,SiteAttendu!$A$2:$C$366,3,0)</f>
        <v>N'ZI</v>
      </c>
      <c r="D309" s="73">
        <f>IF(VLOOKUP($A309,SiteAttendu!$A$2:$P$366,4,0)="NA","NA",COUNTIFS(soccode,A309,socprog,"PNLS/ANTIRETROVIRAUX ET IO",soctrans,"OUI"))</f>
        <v>1</v>
      </c>
      <c r="E309" s="73">
        <f>IF(VLOOKUP($A309,SiteAttendu!$A$2:$P$366,5,0)="NA","NA",COUNTIFS(soccode,A309,socprog,"PNLS/TESTS RAPIDES ET CONSOMMABLES",soctrans,"OUI"))</f>
        <v>1</v>
      </c>
      <c r="F309" s="73">
        <f>IF(VLOOKUP($A309,SiteAttendu!$A$2:$P$366,6,0)="NA","NA",COUNTIFS(soccode,A309,socprog,"PNLS/PRODUITS DE LABORATOIRE",soctrans,"OUI"))</f>
        <v>1</v>
      </c>
      <c r="G309" s="73" t="str">
        <f>IF(VLOOKUP($A309,SiteAttendu!$A$2:$P$366,7,0)="NA","NA",COUNTIFS(soccode,A309,socprog,"PNLS/CHARGES VIRALES",soctrans,"OUI"))</f>
        <v>NA</v>
      </c>
      <c r="H309" s="73">
        <f>IF(VLOOKUP($A309,SiteAttendu!$A$2:$P$366,9,0)="NA","NA",COUNTIFS(soccode,A309,socprog,"PNLP/MEDICAMENTS ET INTRANTS",soctrans,"OUI"))</f>
        <v>1</v>
      </c>
      <c r="I309" s="73">
        <f>IF(VLOOKUP($A309,SiteAttendu!$A$2:$P$366,10,0)="NA","NA",COUNTIFS(soccode,$A309,socprog,"PNSME/MEDICAMENTS ET INTRANTS",soctrans,"OUI"))</f>
        <v>1</v>
      </c>
      <c r="J309" s="73" t="str">
        <f>IF(VLOOKUP($A309,SiteAttendu!$A$2:$P$366,11,0)="NA","NA",COUNTIFS(soccode,$A309,socprog,"PNN/MEDICAMENTS ET INTRANTS",soctrans,"OUI"))</f>
        <v>NA</v>
      </c>
      <c r="K309" s="73">
        <f>IF(VLOOKUP($A309,SiteAttendu!$A$2:$O$366,15,0)="NA","NA",IF(COUNTIF(socprog,"PNLT/SENSIBLE MEDICAMENTS ET INTRANTS")=0,"NA",COUNTIFS(soccode,$A309,socprog,"PNLT/SENSIBLE MEDICAMENTS ET INTRANTS",soctrans,"OUI")))</f>
        <v>1</v>
      </c>
      <c r="L309" s="89"/>
      <c r="M309" s="89"/>
      <c r="N309" s="89"/>
      <c r="O309" s="89"/>
      <c r="P309" s="89"/>
      <c r="Q309" s="89"/>
      <c r="R309" s="89"/>
      <c r="S309" s="89"/>
      <c r="T309" s="106"/>
      <c r="U309" s="92">
        <f t="shared" si="4"/>
        <v>3</v>
      </c>
      <c r="V309" s="54">
        <f t="shared" si="5"/>
        <v>3</v>
      </c>
    </row>
    <row r="310" ht="15.0" customHeight="1">
      <c r="A310" s="46" t="str">
        <f>SiteAttendu!$A309</f>
        <v>C3043</v>
      </c>
      <c r="B310" s="47" t="str">
        <f>VLOOKUP($A310,SiteAttendu!$A$2:$C$366,2,0)</f>
        <v>HOPITAL GENERAL DIKODOUGOU</v>
      </c>
      <c r="C310" s="48" t="str">
        <f>VLOOKUP($A310,SiteAttendu!$A$2:$C$366,3,0)</f>
        <v>PORO</v>
      </c>
      <c r="D310" s="49">
        <f>IF(VLOOKUP($A310,SiteAttendu!$A$2:$P$366,4,0)="NA","NA",COUNTIFS(soccode,A310,socprog,"PNLS/ANTIRETROVIRAUX ET IO",soctrans,"OUI"))</f>
        <v>1</v>
      </c>
      <c r="E310" s="49">
        <f>IF(VLOOKUP($A310,SiteAttendu!$A$2:$P$366,5,0)="NA","NA",COUNTIFS(soccode,A310,socprog,"PNLS/TESTS RAPIDES ET CONSOMMABLES",soctrans,"OUI"))</f>
        <v>1</v>
      </c>
      <c r="F310" s="49">
        <f>IF(VLOOKUP($A310,SiteAttendu!$A$2:$P$366,6,0)="NA","NA",COUNTIFS(soccode,A310,socprog,"PNLS/PRODUITS DE LABORATOIRE",soctrans,"OUI"))</f>
        <v>1</v>
      </c>
      <c r="G310" s="49" t="str">
        <f>IF(VLOOKUP($A310,SiteAttendu!$A$2:$P$366,7,0)="NA","NA",COUNTIFS(soccode,A310,socprog,"PNLS/CHARGES VIRALES",soctrans,"OUI"))</f>
        <v>NA</v>
      </c>
      <c r="H310" s="49">
        <f>IF(VLOOKUP($A310,SiteAttendu!$A$2:$P$366,9,0)="NA","NA",COUNTIFS(soccode,A310,socprog,"PNLP/MEDICAMENTS ET INTRANTS",soctrans,"OUI"))</f>
        <v>1</v>
      </c>
      <c r="I310" s="49">
        <f>IF(VLOOKUP($A310,SiteAttendu!$A$2:$P$366,10,0)="NA","NA",COUNTIFS(soccode,$A310,socprog,"PNSME/MEDICAMENTS ET INTRANTS",soctrans,"OUI"))</f>
        <v>1</v>
      </c>
      <c r="J310" s="49">
        <f>IF(VLOOKUP($A310,SiteAttendu!$A$2:$P$366,11,0)="NA","NA",COUNTIFS(soccode,$A310,socprog,"PNN/MEDICAMENTS ET INTRANTS",soctrans,"OUI"))</f>
        <v>1</v>
      </c>
      <c r="K310" s="49">
        <f>IF(VLOOKUP($A310,SiteAttendu!$A$2:$O$366,15,0)="NA","NA",IF(COUNTIF(socprog,"PNLT/SENSIBLE MEDICAMENTS ET INTRANTS")=0,"NA",COUNTIFS(soccode,$A310,socprog,"PNLT/SENSIBLE MEDICAMENTS ET INTRANTS",soctrans,"OUI")))</f>
        <v>1</v>
      </c>
      <c r="L310" s="98">
        <f t="shared" ref="L310:S310" si="296">IFERROR(SUMIFS(D$2:D$364,$C$2:$C$364,$C310)/COUNTIFS(D$2:D$364,"&lt;&gt;NA",$C$2:$C$364,$C310),"")</f>
        <v>1</v>
      </c>
      <c r="M310" s="98">
        <f t="shared" si="296"/>
        <v>1</v>
      </c>
      <c r="N310" s="98">
        <f t="shared" si="296"/>
        <v>1</v>
      </c>
      <c r="O310" s="98">
        <f t="shared" si="296"/>
        <v>1</v>
      </c>
      <c r="P310" s="98">
        <f t="shared" si="296"/>
        <v>0.9090909091</v>
      </c>
      <c r="Q310" s="98">
        <f t="shared" si="296"/>
        <v>0.8181818182</v>
      </c>
      <c r="R310" s="98">
        <f t="shared" si="296"/>
        <v>0.8888888889</v>
      </c>
      <c r="S310" s="98">
        <f t="shared" si="296"/>
        <v>0.75</v>
      </c>
      <c r="T310" s="99">
        <f t="shared" ref="T310:T364" si="298">SUM(COUNTIFS($C:$C,$C310,D:D,1),COUNTIFS($C:$C,$C310,E:E,1),COUNTIFS($C:$C,$C310,F:F,1),COUNTIFS($C:$C,$C310,G:G,1))/SUM(COUNTIFS($C:$C,$C310,D:D,"&lt;&gt;NA"),COUNTIFS($C:$C,$C310,E:E,"&lt;&gt;NA"),COUNTIFS($C:$C,$C310,F:F,"&lt;&gt;NA"),COUNTIFS($C:$C,$C310,G:G,"&lt;&gt;NA"))</f>
        <v>1</v>
      </c>
      <c r="U310" s="92">
        <f t="shared" si="4"/>
        <v>3</v>
      </c>
      <c r="V310" s="54">
        <f t="shared" si="5"/>
        <v>3</v>
      </c>
    </row>
    <row r="311" ht="15.0" customHeight="1">
      <c r="A311" s="55" t="str">
        <f>SiteAttendu!$A310</f>
        <v>C3058</v>
      </c>
      <c r="B311" s="56" t="str">
        <f>VLOOKUP($A311,SiteAttendu!$A$2:$C$366,2,0)</f>
        <v>DISTRICT SANITAIRE DIKODOUGOU</v>
      </c>
      <c r="C311" s="57" t="str">
        <f>VLOOKUP($A311,SiteAttendu!$A$2:$C$366,3,0)</f>
        <v>PORO</v>
      </c>
      <c r="D311" s="58">
        <f>IF(VLOOKUP($A311,SiteAttendu!$A$2:$P$366,4,0)="NA","NA",COUNTIFS(soccode,A311,socprog,"PNLS/ANTIRETROVIRAUX ET IO",soctrans,"OUI"))</f>
        <v>1</v>
      </c>
      <c r="E311" s="58">
        <f>IF(VLOOKUP($A311,SiteAttendu!$A$2:$P$366,5,0)="NA","NA",COUNTIFS(soccode,A311,socprog,"PNLS/TESTS RAPIDES ET CONSOMMABLES",soctrans,"OUI"))</f>
        <v>1</v>
      </c>
      <c r="F311" s="58" t="str">
        <f>IF(VLOOKUP($A311,SiteAttendu!$A$2:$P$366,6,0)="NA","NA",COUNTIFS(soccode,A311,socprog,"PNLS/PRODUITS DE LABORATOIRE",soctrans,"OUI"))</f>
        <v>NA</v>
      </c>
      <c r="G311" s="58" t="str">
        <f>IF(VLOOKUP($A311,SiteAttendu!$A$2:$P$366,7,0)="NA","NA",COUNTIFS(soccode,A311,socprog,"PNLS/CHARGES VIRALES",soctrans,"OUI"))</f>
        <v>NA</v>
      </c>
      <c r="H311" s="58">
        <f>IF(VLOOKUP($A311,SiteAttendu!$A$2:$P$366,9,0)="NA","NA",COUNTIFS(soccode,A311,socprog,"PNLP/MEDICAMENTS ET INTRANTS",soctrans,"OUI"))</f>
        <v>1</v>
      </c>
      <c r="I311" s="58">
        <f>IF(VLOOKUP($A311,SiteAttendu!$A$2:$P$366,10,0)="NA","NA",COUNTIFS(soccode,$A311,socprog,"PNSME/MEDICAMENTS ET INTRANTS",soctrans,"OUI"))</f>
        <v>1</v>
      </c>
      <c r="J311" s="58">
        <f>IF(VLOOKUP($A311,SiteAttendu!$A$2:$P$366,11,0)="NA","NA",COUNTIFS(soccode,$A311,socprog,"PNN/MEDICAMENTS ET INTRANTS",soctrans,"OUI"))</f>
        <v>1</v>
      </c>
      <c r="K311" s="58">
        <f>IF(VLOOKUP($A311,SiteAttendu!$A$2:$O$366,15,0)="NA","NA",IF(COUNTIF(socprog,"PNLT/SENSIBLE MEDICAMENTS ET INTRANTS")=0,"NA",COUNTIFS(soccode,$A311,socprog,"PNLT/SENSIBLE MEDICAMENTS ET INTRANTS",soctrans,"OUI")))</f>
        <v>0</v>
      </c>
      <c r="L311" s="100"/>
      <c r="M311" s="100">
        <f t="shared" ref="M311:S311" si="297">IFERROR(SUMIFS(E$2:E$364,$C$2:$C$364,$C311)/COUNTIFS(E$2:E$364,"&lt;&gt;NA",$C$2:$C$364,$C311),"")</f>
        <v>1</v>
      </c>
      <c r="N311" s="100">
        <f t="shared" si="297"/>
        <v>1</v>
      </c>
      <c r="O311" s="100">
        <f t="shared" si="297"/>
        <v>1</v>
      </c>
      <c r="P311" s="100">
        <f t="shared" si="297"/>
        <v>0.9090909091</v>
      </c>
      <c r="Q311" s="100">
        <f t="shared" si="297"/>
        <v>0.8181818182</v>
      </c>
      <c r="R311" s="100">
        <f t="shared" si="297"/>
        <v>0.8888888889</v>
      </c>
      <c r="S311" s="100">
        <f t="shared" si="297"/>
        <v>0.75</v>
      </c>
      <c r="T311" s="101">
        <f t="shared" si="298"/>
        <v>1</v>
      </c>
      <c r="U311" s="92">
        <f t="shared" si="4"/>
        <v>2</v>
      </c>
      <c r="V311" s="54">
        <f t="shared" si="5"/>
        <v>2</v>
      </c>
    </row>
    <row r="312" ht="15.0" customHeight="1">
      <c r="A312" s="55" t="str">
        <f>SiteAttendu!$A311</f>
        <v>C2127</v>
      </c>
      <c r="B312" s="56" t="str">
        <f>VLOOKUP($A312,SiteAttendu!$A$2:$C$366,2,0)</f>
        <v>CHR KORHOGO</v>
      </c>
      <c r="C312" s="57" t="str">
        <f>VLOOKUP($A312,SiteAttendu!$A$2:$C$366,3,0)</f>
        <v>PORO</v>
      </c>
      <c r="D312" s="58">
        <f>IF(VLOOKUP($A312,SiteAttendu!$A$2:$P$366,4,0)="NA","NA",COUNTIFS(soccode,A312,socprog,"PNLS/ANTIRETROVIRAUX ET IO",soctrans,"OUI"))</f>
        <v>1</v>
      </c>
      <c r="E312" s="58">
        <f>IF(VLOOKUP($A312,SiteAttendu!$A$2:$P$366,5,0)="NA","NA",COUNTIFS(soccode,A312,socprog,"PNLS/TESTS RAPIDES ET CONSOMMABLES",soctrans,"OUI"))</f>
        <v>1</v>
      </c>
      <c r="F312" s="58">
        <f>IF(VLOOKUP($A312,SiteAttendu!$A$2:$P$366,6,0)="NA","NA",COUNTIFS(soccode,A312,socprog,"PNLS/PRODUITS DE LABORATOIRE",soctrans,"OUI"))</f>
        <v>1</v>
      </c>
      <c r="G312" s="58">
        <f>IF(VLOOKUP($A312,SiteAttendu!$A$2:$P$366,7,0)="NA","NA",COUNTIFS(soccode,A312,socprog,"PNLS/CHARGES VIRALES",soctrans,"OUI"))</f>
        <v>1</v>
      </c>
      <c r="H312" s="58">
        <f>IF(VLOOKUP($A312,SiteAttendu!$A$2:$P$366,9,0)="NA","NA",COUNTIFS(soccode,A312,socprog,"PNLP/MEDICAMENTS ET INTRANTS",soctrans,"OUI"))</f>
        <v>1</v>
      </c>
      <c r="I312" s="58">
        <f>IF(VLOOKUP($A312,SiteAttendu!$A$2:$P$366,10,0)="NA","NA",COUNTIFS(soccode,$A312,socprog,"PNSME/MEDICAMENTS ET INTRANTS",soctrans,"OUI"))</f>
        <v>1</v>
      </c>
      <c r="J312" s="58">
        <f>IF(VLOOKUP($A312,SiteAttendu!$A$2:$P$366,11,0)="NA","NA",COUNTIFS(soccode,$A312,socprog,"PNN/MEDICAMENTS ET INTRANTS",soctrans,"OUI"))</f>
        <v>1</v>
      </c>
      <c r="K312" s="58" t="str">
        <f>IF(VLOOKUP($A312,SiteAttendu!$A$2:$O$366,15,0)="NA","NA",IF(COUNTIF(socprog,"PNLT/SENSIBLE MEDICAMENTS ET INTRANTS")=0,"NA",COUNTIFS(soccode,$A312,socprog,"PNLT/SENSIBLE MEDICAMENTS ET INTRANTS",soctrans,"OUI")))</f>
        <v>NA</v>
      </c>
      <c r="L312" s="100"/>
      <c r="M312" s="100">
        <f t="shared" ref="M312:S312" si="299">IFERROR(SUMIFS(E$2:E$364,$C$2:$C$364,$C312)/COUNTIFS(E$2:E$364,"&lt;&gt;NA",$C$2:$C$364,$C312),"")</f>
        <v>1</v>
      </c>
      <c r="N312" s="100">
        <f t="shared" si="299"/>
        <v>1</v>
      </c>
      <c r="O312" s="100">
        <f t="shared" si="299"/>
        <v>1</v>
      </c>
      <c r="P312" s="100">
        <f t="shared" si="299"/>
        <v>0.9090909091</v>
      </c>
      <c r="Q312" s="100">
        <f t="shared" si="299"/>
        <v>0.8181818182</v>
      </c>
      <c r="R312" s="100">
        <f t="shared" si="299"/>
        <v>0.8888888889</v>
      </c>
      <c r="S312" s="100">
        <f t="shared" si="299"/>
        <v>0.75</v>
      </c>
      <c r="T312" s="101">
        <f t="shared" si="298"/>
        <v>1</v>
      </c>
      <c r="U312" s="92">
        <f t="shared" si="4"/>
        <v>4</v>
      </c>
      <c r="V312" s="54">
        <f t="shared" si="5"/>
        <v>4</v>
      </c>
    </row>
    <row r="313" ht="15.0" customHeight="1">
      <c r="A313" s="55" t="str">
        <f>SiteAttendu!$A312</f>
        <v>C3006</v>
      </c>
      <c r="B313" s="56" t="str">
        <f>VLOOKUP($A313,SiteAttendu!$A$2:$C$366,2,0)</f>
        <v>DISTRICT SANITAIRE KORHOGO 1</v>
      </c>
      <c r="C313" s="57" t="str">
        <f>VLOOKUP($A313,SiteAttendu!$A$2:$C$366,3,0)</f>
        <v>PORO</v>
      </c>
      <c r="D313" s="58">
        <f>IF(VLOOKUP($A313,SiteAttendu!$A$2:$P$366,4,0)="NA","NA",COUNTIFS(soccode,A313,socprog,"PNLS/ANTIRETROVIRAUX ET IO",soctrans,"OUI"))</f>
        <v>1</v>
      </c>
      <c r="E313" s="58">
        <f>IF(VLOOKUP($A313,SiteAttendu!$A$2:$P$366,5,0)="NA","NA",COUNTIFS(soccode,A313,socprog,"PNLS/TESTS RAPIDES ET CONSOMMABLES",soctrans,"OUI"))</f>
        <v>1</v>
      </c>
      <c r="F313" s="58">
        <f>IF(VLOOKUP($A313,SiteAttendu!$A$2:$P$366,6,0)="NA","NA",COUNTIFS(soccode,A313,socprog,"PNLS/PRODUITS DE LABORATOIRE",soctrans,"OUI"))</f>
        <v>1</v>
      </c>
      <c r="G313" s="58" t="str">
        <f>IF(VLOOKUP($A313,SiteAttendu!$A$2:$P$366,7,0)="NA","NA",COUNTIFS(soccode,A313,socprog,"PNLS/CHARGES VIRALES",soctrans,"OUI"))</f>
        <v>NA</v>
      </c>
      <c r="H313" s="58">
        <f>IF(VLOOKUP($A313,SiteAttendu!$A$2:$P$366,9,0)="NA","NA",COUNTIFS(soccode,A313,socprog,"PNLP/MEDICAMENTS ET INTRANTS",soctrans,"OUI"))</f>
        <v>1</v>
      </c>
      <c r="I313" s="58">
        <f>IF(VLOOKUP($A313,SiteAttendu!$A$2:$P$366,10,0)="NA","NA",COUNTIFS(soccode,$A313,socprog,"PNSME/MEDICAMENTS ET INTRANTS",soctrans,"OUI"))</f>
        <v>1</v>
      </c>
      <c r="J313" s="58">
        <f>IF(VLOOKUP($A313,SiteAttendu!$A$2:$P$366,11,0)="NA","NA",COUNTIFS(soccode,$A313,socprog,"PNN/MEDICAMENTS ET INTRANTS",soctrans,"OUI"))</f>
        <v>1</v>
      </c>
      <c r="K313" s="58" t="str">
        <f>IF(VLOOKUP($A313,SiteAttendu!$A$2:$O$366,15,0)="NA","NA",IF(COUNTIF(socprog,"PNLT/SENSIBLE MEDICAMENTS ET INTRANTS")=0,"NA",COUNTIFS(soccode,$A313,socprog,"PNLT/SENSIBLE MEDICAMENTS ET INTRANTS",soctrans,"OUI")))</f>
        <v>NA</v>
      </c>
      <c r="L313" s="100"/>
      <c r="M313" s="100">
        <f t="shared" ref="M313:S313" si="300">IFERROR(SUMIFS(E$2:E$364,$C$2:$C$364,$C313)/COUNTIFS(E$2:E$364,"&lt;&gt;NA",$C$2:$C$364,$C313),"")</f>
        <v>1</v>
      </c>
      <c r="N313" s="100">
        <f t="shared" si="300"/>
        <v>1</v>
      </c>
      <c r="O313" s="100">
        <f t="shared" si="300"/>
        <v>1</v>
      </c>
      <c r="P313" s="100">
        <f t="shared" si="300"/>
        <v>0.9090909091</v>
      </c>
      <c r="Q313" s="100">
        <f t="shared" si="300"/>
        <v>0.8181818182</v>
      </c>
      <c r="R313" s="100">
        <f t="shared" si="300"/>
        <v>0.8888888889</v>
      </c>
      <c r="S313" s="100">
        <f t="shared" si="300"/>
        <v>0.75</v>
      </c>
      <c r="T313" s="101">
        <f t="shared" si="298"/>
        <v>1</v>
      </c>
      <c r="U313" s="92">
        <f t="shared" si="4"/>
        <v>3</v>
      </c>
      <c r="V313" s="54">
        <f t="shared" si="5"/>
        <v>3</v>
      </c>
    </row>
    <row r="314" ht="15.0" customHeight="1">
      <c r="A314" s="55" t="str">
        <f>SiteAttendu!$A313</f>
        <v>C3016</v>
      </c>
      <c r="B314" s="56" t="str">
        <f>VLOOKUP($A314,SiteAttendu!$A$2:$C$366,2,0)</f>
        <v>HOPITAL GENERAL MBENGUE</v>
      </c>
      <c r="C314" s="57" t="str">
        <f>VLOOKUP($A314,SiteAttendu!$A$2:$C$366,3,0)</f>
        <v>PORO</v>
      </c>
      <c r="D314" s="58">
        <f>IF(VLOOKUP($A314,SiteAttendu!$A$2:$P$366,4,0)="NA","NA",COUNTIFS(soccode,A314,socprog,"PNLS/ANTIRETROVIRAUX ET IO",soctrans,"OUI"))</f>
        <v>1</v>
      </c>
      <c r="E314" s="58">
        <f>IF(VLOOKUP($A314,SiteAttendu!$A$2:$P$366,5,0)="NA","NA",COUNTIFS(soccode,A314,socprog,"PNLS/TESTS RAPIDES ET CONSOMMABLES",soctrans,"OUI"))</f>
        <v>1</v>
      </c>
      <c r="F314" s="58">
        <f>IF(VLOOKUP($A314,SiteAttendu!$A$2:$P$366,6,0)="NA","NA",COUNTIFS(soccode,A314,socprog,"PNLS/PRODUITS DE LABORATOIRE",soctrans,"OUI"))</f>
        <v>1</v>
      </c>
      <c r="G314" s="58" t="str">
        <f>IF(VLOOKUP($A314,SiteAttendu!$A$2:$P$366,7,0)="NA","NA",COUNTIFS(soccode,A314,socprog,"PNLS/CHARGES VIRALES",soctrans,"OUI"))</f>
        <v>NA</v>
      </c>
      <c r="H314" s="58">
        <f>IF(VLOOKUP($A314,SiteAttendu!$A$2:$P$366,9,0)="NA","NA",COUNTIFS(soccode,A314,socprog,"PNLP/MEDICAMENTS ET INTRANTS",soctrans,"OUI"))</f>
        <v>1</v>
      </c>
      <c r="I314" s="58">
        <f>IF(VLOOKUP($A314,SiteAttendu!$A$2:$P$366,10,0)="NA","NA",COUNTIFS(soccode,$A314,socprog,"PNSME/MEDICAMENTS ET INTRANTS",soctrans,"OUI"))</f>
        <v>1</v>
      </c>
      <c r="J314" s="58">
        <f>IF(VLOOKUP($A314,SiteAttendu!$A$2:$P$366,11,0)="NA","NA",COUNTIFS(soccode,$A314,socprog,"PNN/MEDICAMENTS ET INTRANTS",soctrans,"OUI"))</f>
        <v>1</v>
      </c>
      <c r="K314" s="58" t="str">
        <f>IF(VLOOKUP($A314,SiteAttendu!$A$2:$O$366,15,0)="NA","NA",IF(COUNTIF(socprog,"PNLT/SENSIBLE MEDICAMENTS ET INTRANTS")=0,"NA",COUNTIFS(soccode,$A314,socprog,"PNLT/SENSIBLE MEDICAMENTS ET INTRANTS",soctrans,"OUI")))</f>
        <v>NA</v>
      </c>
      <c r="L314" s="100"/>
      <c r="M314" s="100">
        <f t="shared" ref="M314:S314" si="301">IFERROR(SUMIFS(E$2:E$364,$C$2:$C$364,$C314)/COUNTIFS(E$2:E$364,"&lt;&gt;NA",$C$2:$C$364,$C314),"")</f>
        <v>1</v>
      </c>
      <c r="N314" s="100">
        <f t="shared" si="301"/>
        <v>1</v>
      </c>
      <c r="O314" s="100">
        <f t="shared" si="301"/>
        <v>1</v>
      </c>
      <c r="P314" s="100">
        <f t="shared" si="301"/>
        <v>0.9090909091</v>
      </c>
      <c r="Q314" s="100">
        <f t="shared" si="301"/>
        <v>0.8181818182</v>
      </c>
      <c r="R314" s="100">
        <f t="shared" si="301"/>
        <v>0.8888888889</v>
      </c>
      <c r="S314" s="100">
        <f t="shared" si="301"/>
        <v>0.75</v>
      </c>
      <c r="T314" s="101">
        <f t="shared" si="298"/>
        <v>1</v>
      </c>
      <c r="U314" s="92">
        <f t="shared" si="4"/>
        <v>3</v>
      </c>
      <c r="V314" s="54">
        <f t="shared" si="5"/>
        <v>3</v>
      </c>
    </row>
    <row r="315" ht="15.0" customHeight="1">
      <c r="A315" s="55" t="str">
        <f>SiteAttendu!$A314</f>
        <v>C3018</v>
      </c>
      <c r="B315" s="56" t="str">
        <f>VLOOKUP($A315,SiteAttendu!$A$2:$C$366,2,0)</f>
        <v>CSU NAPIE</v>
      </c>
      <c r="C315" s="57" t="str">
        <f>VLOOKUP($A315,SiteAttendu!$A$2:$C$366,3,0)</f>
        <v>PORO</v>
      </c>
      <c r="D315" s="58" t="str">
        <f>IF(VLOOKUP($A315,SiteAttendu!$A$2:$P$366,4,0)="NA","NA",COUNTIFS(soccode,A315,socprog,"PNLS/ANTIRETROVIRAUX ET IO",soctrans,"OUI"))</f>
        <v>NA</v>
      </c>
      <c r="E315" s="58" t="str">
        <f>IF(VLOOKUP($A315,SiteAttendu!$A$2:$P$366,5,0)="NA","NA",COUNTIFS(soccode,A315,socprog,"PNLS/TESTS RAPIDES ET CONSOMMABLES",soctrans,"OUI"))</f>
        <v>NA</v>
      </c>
      <c r="F315" s="58" t="str">
        <f>IF(VLOOKUP($A315,SiteAttendu!$A$2:$P$366,6,0)="NA","NA",COUNTIFS(soccode,A315,socprog,"PNLS/PRODUITS DE LABORATOIRE",soctrans,"OUI"))</f>
        <v>NA</v>
      </c>
      <c r="G315" s="58" t="str">
        <f>IF(VLOOKUP($A315,SiteAttendu!$A$2:$P$366,7,0)="NA","NA",COUNTIFS(soccode,A315,socprog,"PNLS/CHARGES VIRALES",soctrans,"OUI"))</f>
        <v>NA</v>
      </c>
      <c r="H315" s="58">
        <f>IF(VLOOKUP($A315,SiteAttendu!$A$2:$P$366,9,0)="NA","NA",COUNTIFS(soccode,A315,socprog,"PNLP/MEDICAMENTS ET INTRANTS",soctrans,"OUI"))</f>
        <v>1</v>
      </c>
      <c r="I315" s="58">
        <f>IF(VLOOKUP($A315,SiteAttendu!$A$2:$P$366,10,0)="NA","NA",COUNTIFS(soccode,$A315,socprog,"PNSME/MEDICAMENTS ET INTRANTS",soctrans,"OUI"))</f>
        <v>1</v>
      </c>
      <c r="J315" s="58" t="str">
        <f>IF(VLOOKUP($A315,SiteAttendu!$A$2:$P$366,11,0)="NA","NA",COUNTIFS(soccode,$A315,socprog,"PNN/MEDICAMENTS ET INTRANTS",soctrans,"OUI"))</f>
        <v>NA</v>
      </c>
      <c r="K315" s="58" t="str">
        <f>IF(VLOOKUP($A315,SiteAttendu!$A$2:$O$366,15,0)="NA","NA",IF(COUNTIF(socprog,"PNLT/SENSIBLE MEDICAMENTS ET INTRANTS")=0,"NA",COUNTIFS(soccode,$A315,socprog,"PNLT/SENSIBLE MEDICAMENTS ET INTRANTS",soctrans,"OUI")))</f>
        <v>NA</v>
      </c>
      <c r="L315" s="100"/>
      <c r="M315" s="100">
        <f t="shared" ref="M315:S315" si="302">IFERROR(SUMIFS(E$2:E$364,$C$2:$C$364,$C315)/COUNTIFS(E$2:E$364,"&lt;&gt;NA",$C$2:$C$364,$C315),"")</f>
        <v>1</v>
      </c>
      <c r="N315" s="100">
        <f t="shared" si="302"/>
        <v>1</v>
      </c>
      <c r="O315" s="100">
        <f t="shared" si="302"/>
        <v>1</v>
      </c>
      <c r="P315" s="100">
        <f t="shared" si="302"/>
        <v>0.9090909091</v>
      </c>
      <c r="Q315" s="100">
        <f t="shared" si="302"/>
        <v>0.8181818182</v>
      </c>
      <c r="R315" s="100">
        <f t="shared" si="302"/>
        <v>0.8888888889</v>
      </c>
      <c r="S315" s="100">
        <f t="shared" si="302"/>
        <v>0.75</v>
      </c>
      <c r="T315" s="101">
        <f t="shared" si="298"/>
        <v>1</v>
      </c>
      <c r="U315" s="92">
        <f t="shared" si="4"/>
        <v>0</v>
      </c>
      <c r="V315" s="54">
        <f t="shared" si="5"/>
        <v>0</v>
      </c>
    </row>
    <row r="316" ht="15.0" customHeight="1">
      <c r="A316" s="55" t="str">
        <f>SiteAttendu!$A315</f>
        <v>C3059</v>
      </c>
      <c r="B316" s="56" t="str">
        <f>VLOOKUP($A316,SiteAttendu!$A$2:$C$366,2,0)</f>
        <v>CSU DELAFOSSE KORHOGO</v>
      </c>
      <c r="C316" s="57" t="str">
        <f>VLOOKUP($A316,SiteAttendu!$A$2:$C$366,3,0)</f>
        <v>PORO</v>
      </c>
      <c r="D316" s="58" t="str">
        <f>IF(VLOOKUP($A316,SiteAttendu!$A$2:$P$366,4,0)="NA","NA",COUNTIFS(soccode,A316,socprog,"PNLS/ANTIRETROVIRAUX ET IO",soctrans,"OUI"))</f>
        <v>NA</v>
      </c>
      <c r="E316" s="58" t="str">
        <f>IF(VLOOKUP($A316,SiteAttendu!$A$2:$P$366,5,0)="NA","NA",COUNTIFS(soccode,A316,socprog,"PNLS/TESTS RAPIDES ET CONSOMMABLES",soctrans,"OUI"))</f>
        <v>NA</v>
      </c>
      <c r="F316" s="58" t="str">
        <f>IF(VLOOKUP($A316,SiteAttendu!$A$2:$P$366,6,0)="NA","NA",COUNTIFS(soccode,A316,socprog,"PNLS/PRODUITS DE LABORATOIRE",soctrans,"OUI"))</f>
        <v>NA</v>
      </c>
      <c r="G316" s="58" t="str">
        <f>IF(VLOOKUP($A316,SiteAttendu!$A$2:$P$366,7,0)="NA","NA",COUNTIFS(soccode,A316,socprog,"PNLS/CHARGES VIRALES",soctrans,"OUI"))</f>
        <v>NA</v>
      </c>
      <c r="H316" s="58">
        <f>IF(VLOOKUP($A316,SiteAttendu!$A$2:$P$366,9,0)="NA","NA",COUNTIFS(soccode,A316,socprog,"PNLP/MEDICAMENTS ET INTRANTS",soctrans,"OUI"))</f>
        <v>1</v>
      </c>
      <c r="I316" s="58">
        <f>IF(VLOOKUP($A316,SiteAttendu!$A$2:$P$366,10,0)="NA","NA",COUNTIFS(soccode,$A316,socprog,"PNSME/MEDICAMENTS ET INTRANTS",soctrans,"OUI"))</f>
        <v>1</v>
      </c>
      <c r="J316" s="58" t="str">
        <f>IF(VLOOKUP($A316,SiteAttendu!$A$2:$P$366,11,0)="NA","NA",COUNTIFS(soccode,$A316,socprog,"PNN/MEDICAMENTS ET INTRANTS",soctrans,"OUI"))</f>
        <v>NA</v>
      </c>
      <c r="K316" s="58" t="str">
        <f>IF(VLOOKUP($A316,SiteAttendu!$A$2:$O$366,15,0)="NA","NA",IF(COUNTIF(socprog,"PNLT/SENSIBLE MEDICAMENTS ET INTRANTS")=0,"NA",COUNTIFS(soccode,$A316,socprog,"PNLT/SENSIBLE MEDICAMENTS ET INTRANTS",soctrans,"OUI")))</f>
        <v>NA</v>
      </c>
      <c r="L316" s="100"/>
      <c r="M316" s="100">
        <f t="shared" ref="M316:S316" si="303">IFERROR(SUMIFS(E$2:E$364,$C$2:$C$364,$C316)/COUNTIFS(E$2:E$364,"&lt;&gt;NA",$C$2:$C$364,$C316),"")</f>
        <v>1</v>
      </c>
      <c r="N316" s="100">
        <f t="shared" si="303"/>
        <v>1</v>
      </c>
      <c r="O316" s="100">
        <f t="shared" si="303"/>
        <v>1</v>
      </c>
      <c r="P316" s="100">
        <f t="shared" si="303"/>
        <v>0.9090909091</v>
      </c>
      <c r="Q316" s="100">
        <f t="shared" si="303"/>
        <v>0.8181818182</v>
      </c>
      <c r="R316" s="100">
        <f t="shared" si="303"/>
        <v>0.8888888889</v>
      </c>
      <c r="S316" s="100">
        <f t="shared" si="303"/>
        <v>0.75</v>
      </c>
      <c r="T316" s="101">
        <f t="shared" si="298"/>
        <v>1</v>
      </c>
      <c r="U316" s="92">
        <f t="shared" si="4"/>
        <v>0</v>
      </c>
      <c r="V316" s="54">
        <f t="shared" si="5"/>
        <v>0</v>
      </c>
    </row>
    <row r="317" ht="15.0" customHeight="1">
      <c r="A317" s="55" t="str">
        <f>SiteAttendu!$A316</f>
        <v>C2175</v>
      </c>
      <c r="B317" s="56" t="str">
        <f>VLOOKUP($A317,SiteAttendu!$A$2:$C$366,2,0)</f>
        <v>CENTRE ANTITUBERCULEUX KORHOGO</v>
      </c>
      <c r="C317" s="57" t="str">
        <f>VLOOKUP($A317,SiteAttendu!$A$2:$C$366,3,0)</f>
        <v>PORO</v>
      </c>
      <c r="D317" s="58" t="str">
        <f>IF(VLOOKUP($A317,SiteAttendu!$A$2:$P$366,4,0)="NA","NA",COUNTIFS(soccode,A317,socprog,"PNLS/ANTIRETROVIRAUX ET IO",soctrans,"OUI"))</f>
        <v>NA</v>
      </c>
      <c r="E317" s="58" t="str">
        <f>IF(VLOOKUP($A317,SiteAttendu!$A$2:$P$366,5,0)="NA","NA",COUNTIFS(soccode,A317,socprog,"PNLS/TESTS RAPIDES ET CONSOMMABLES",soctrans,"OUI"))</f>
        <v>NA</v>
      </c>
      <c r="F317" s="58" t="str">
        <f>IF(VLOOKUP($A317,SiteAttendu!$A$2:$P$366,6,0)="NA","NA",COUNTIFS(soccode,A317,socprog,"PNLS/PRODUITS DE LABORATOIRE",soctrans,"OUI"))</f>
        <v>NA</v>
      </c>
      <c r="G317" s="58" t="str">
        <f>IF(VLOOKUP($A317,SiteAttendu!$A$2:$P$366,7,0)="NA","NA",COUNTIFS(soccode,A317,socprog,"PNLS/CHARGES VIRALES",soctrans,"OUI"))</f>
        <v>NA</v>
      </c>
      <c r="H317" s="58" t="str">
        <f>IF(VLOOKUP($A317,SiteAttendu!$A$2:$P$366,9,0)="NA","NA",COUNTIFS(soccode,A317,socprog,"PNLP/MEDICAMENTS ET INTRANTS",soctrans,"OUI"))</f>
        <v>NA</v>
      </c>
      <c r="I317" s="58" t="str">
        <f>IF(VLOOKUP($A317,SiteAttendu!$A$2:$P$366,10,0)="NA","NA",COUNTIFS(soccode,$A317,socprog,"PNSME/MEDICAMENTS ET INTRANTS",soctrans,"OUI"))</f>
        <v>NA</v>
      </c>
      <c r="J317" s="58" t="str">
        <f>IF(VLOOKUP($A317,SiteAttendu!$A$2:$P$366,11,0)="NA","NA",COUNTIFS(soccode,$A317,socprog,"PNN/MEDICAMENTS ET INTRANTS",soctrans,"OUI"))</f>
        <v>NA</v>
      </c>
      <c r="K317" s="58">
        <f>IF(VLOOKUP($A317,SiteAttendu!$A$2:$O$366,15,0)="NA","NA",IF(COUNTIF(socprog,"PNLT/SENSIBLE MEDICAMENTS ET INTRANTS")=0,"NA",COUNTIFS(soccode,$A317,socprog,"PNLT/SENSIBLE MEDICAMENTS ET INTRANTS",soctrans,"OUI")))</f>
        <v>1</v>
      </c>
      <c r="L317" s="100"/>
      <c r="M317" s="100">
        <f t="shared" ref="M317:S317" si="304">IFERROR(SUMIFS(E$2:E$364,$C$2:$C$364,$C317)/COUNTIFS(E$2:E$364,"&lt;&gt;NA",$C$2:$C$364,$C317),"")</f>
        <v>1</v>
      </c>
      <c r="N317" s="100">
        <f t="shared" si="304"/>
        <v>1</v>
      </c>
      <c r="O317" s="100">
        <f t="shared" si="304"/>
        <v>1</v>
      </c>
      <c r="P317" s="100">
        <f t="shared" si="304"/>
        <v>0.9090909091</v>
      </c>
      <c r="Q317" s="100">
        <f t="shared" si="304"/>
        <v>0.8181818182</v>
      </c>
      <c r="R317" s="100">
        <f t="shared" si="304"/>
        <v>0.8888888889</v>
      </c>
      <c r="S317" s="100">
        <f t="shared" si="304"/>
        <v>0.75</v>
      </c>
      <c r="T317" s="101">
        <f t="shared" si="298"/>
        <v>1</v>
      </c>
      <c r="U317" s="92">
        <f t="shared" si="4"/>
        <v>0</v>
      </c>
      <c r="V317" s="54">
        <f t="shared" si="5"/>
        <v>0</v>
      </c>
    </row>
    <row r="318" ht="15.0" customHeight="1">
      <c r="A318" s="55" t="str">
        <f>SiteAttendu!$A317</f>
        <v>C2218</v>
      </c>
      <c r="B318" s="56" t="str">
        <f>VLOOKUP($A318,SiteAttendu!$A$2:$C$366,2,0)</f>
        <v>DISTRICT SANITAIRE KORHOGO 2</v>
      </c>
      <c r="C318" s="57" t="str">
        <f>VLOOKUP($A318,SiteAttendu!$A$2:$C$366,3,0)</f>
        <v>PORO</v>
      </c>
      <c r="D318" s="58">
        <f>IF(VLOOKUP($A318,SiteAttendu!$A$2:$P$366,4,0)="NA","NA",COUNTIFS(soccode,A318,socprog,"PNLS/ANTIRETROVIRAUX ET IO",soctrans,"OUI"))</f>
        <v>1</v>
      </c>
      <c r="E318" s="58">
        <f>IF(VLOOKUP($A318,SiteAttendu!$A$2:$P$366,5,0)="NA","NA",COUNTIFS(soccode,A318,socprog,"PNLS/TESTS RAPIDES ET CONSOMMABLES",soctrans,"OUI"))</f>
        <v>1</v>
      </c>
      <c r="F318" s="58" t="str">
        <f>IF(VLOOKUP($A318,SiteAttendu!$A$2:$P$366,6,0)="NA","NA",COUNTIFS(soccode,A318,socprog,"PNLS/PRODUITS DE LABORATOIRE",soctrans,"OUI"))</f>
        <v>NA</v>
      </c>
      <c r="G318" s="58" t="str">
        <f>IF(VLOOKUP($A318,SiteAttendu!$A$2:$P$366,7,0)="NA","NA",COUNTIFS(soccode,A318,socprog,"PNLS/CHARGES VIRALES",soctrans,"OUI"))</f>
        <v>NA</v>
      </c>
      <c r="H318" s="58">
        <f>IF(VLOOKUP($A318,SiteAttendu!$A$2:$P$366,9,0)="NA","NA",COUNTIFS(soccode,A318,socprog,"PNLP/MEDICAMENTS ET INTRANTS",soctrans,"OUI"))</f>
        <v>0</v>
      </c>
      <c r="I318" s="58">
        <f>IF(VLOOKUP($A318,SiteAttendu!$A$2:$P$366,10,0)="NA","NA",COUNTIFS(soccode,$A318,socprog,"PNSME/MEDICAMENTS ET INTRANTS",soctrans,"OUI"))</f>
        <v>0</v>
      </c>
      <c r="J318" s="58">
        <f>IF(VLOOKUP($A318,SiteAttendu!$A$2:$P$366,11,0)="NA","NA",COUNTIFS(soccode,$A318,socprog,"PNN/MEDICAMENTS ET INTRANTS",soctrans,"OUI"))</f>
        <v>0</v>
      </c>
      <c r="K318" s="58">
        <f>IF(VLOOKUP($A318,SiteAttendu!$A$2:$O$366,15,0)="NA","NA",IF(COUNTIF(socprog,"PNLT/SENSIBLE MEDICAMENTS ET INTRANTS")=0,"NA",COUNTIFS(soccode,$A318,socprog,"PNLT/SENSIBLE MEDICAMENTS ET INTRANTS",soctrans,"OUI")))</f>
        <v>1</v>
      </c>
      <c r="L318" s="100"/>
      <c r="M318" s="100">
        <f t="shared" ref="M318:S318" si="305">IFERROR(SUMIFS(E$2:E$364,$C$2:$C$364,$C318)/COUNTIFS(E$2:E$364,"&lt;&gt;NA",$C$2:$C$364,$C318),"")</f>
        <v>1</v>
      </c>
      <c r="N318" s="100">
        <f t="shared" si="305"/>
        <v>1</v>
      </c>
      <c r="O318" s="100">
        <f t="shared" si="305"/>
        <v>1</v>
      </c>
      <c r="P318" s="100">
        <f t="shared" si="305"/>
        <v>0.9090909091</v>
      </c>
      <c r="Q318" s="100">
        <f t="shared" si="305"/>
        <v>0.8181818182</v>
      </c>
      <c r="R318" s="100">
        <f t="shared" si="305"/>
        <v>0.8888888889</v>
      </c>
      <c r="S318" s="100">
        <f t="shared" si="305"/>
        <v>0.75</v>
      </c>
      <c r="T318" s="101">
        <f t="shared" si="298"/>
        <v>1</v>
      </c>
      <c r="U318" s="92">
        <f t="shared" si="4"/>
        <v>2</v>
      </c>
      <c r="V318" s="54">
        <f t="shared" si="5"/>
        <v>2</v>
      </c>
    </row>
    <row r="319" ht="15.0" customHeight="1">
      <c r="A319" s="55" t="str">
        <f>SiteAttendu!$A318</f>
        <v>C3056</v>
      </c>
      <c r="B319" s="56" t="str">
        <f>VLOOKUP($A319,SiteAttendu!$A$2:$C$366,2,0)</f>
        <v>DISTRICT SANITAIRE M'BENGUE</v>
      </c>
      <c r="C319" s="57" t="str">
        <f>VLOOKUP($A319,SiteAttendu!$A$2:$C$366,3,0)</f>
        <v>PORO</v>
      </c>
      <c r="D319" s="58">
        <f>IF(VLOOKUP($A319,SiteAttendu!$A$2:$P$366,4,0)="NA","NA",COUNTIFS(soccode,A319,socprog,"PNLS/ANTIRETROVIRAUX ET IO",soctrans,"OUI"))</f>
        <v>1</v>
      </c>
      <c r="E319" s="58">
        <f>IF(VLOOKUP($A319,SiteAttendu!$A$2:$P$366,5,0)="NA","NA",COUNTIFS(soccode,A319,socprog,"PNLS/TESTS RAPIDES ET CONSOMMABLES",soctrans,"OUI"))</f>
        <v>1</v>
      </c>
      <c r="F319" s="58" t="str">
        <f>IF(VLOOKUP($A319,SiteAttendu!$A$2:$P$366,6,0)="NA","NA",COUNTIFS(soccode,A319,socprog,"PNLS/PRODUITS DE LABORATOIRE",soctrans,"OUI"))</f>
        <v>NA</v>
      </c>
      <c r="G319" s="58" t="str">
        <f>IF(VLOOKUP($A319,SiteAttendu!$A$2:$P$366,7,0)="NA","NA",COUNTIFS(soccode,A319,socprog,"PNLS/CHARGES VIRALES",soctrans,"OUI"))</f>
        <v>NA</v>
      </c>
      <c r="H319" s="58">
        <f>IF(VLOOKUP($A319,SiteAttendu!$A$2:$P$366,9,0)="NA","NA",COUNTIFS(soccode,A319,socprog,"PNLP/MEDICAMENTS ET INTRANTS",soctrans,"OUI"))</f>
        <v>1</v>
      </c>
      <c r="I319" s="58">
        <f>IF(VLOOKUP($A319,SiteAttendu!$A$2:$P$366,10,0)="NA","NA",COUNTIFS(soccode,$A319,socprog,"PNSME/MEDICAMENTS ET INTRANTS",soctrans,"OUI"))</f>
        <v>0</v>
      </c>
      <c r="J319" s="58">
        <f>IF(VLOOKUP($A319,SiteAttendu!$A$2:$P$366,11,0)="NA","NA",COUNTIFS(soccode,$A319,socprog,"PNN/MEDICAMENTS ET INTRANTS",soctrans,"OUI"))</f>
        <v>1</v>
      </c>
      <c r="K319" s="58" t="str">
        <f>IF(VLOOKUP($A319,SiteAttendu!$A$2:$O$366,15,0)="NA","NA",IF(COUNTIF(socprog,"PNLT/SENSIBLE MEDICAMENTS ET INTRANTS")=0,"NA",COUNTIFS(soccode,$A319,socprog,"PNLT/SENSIBLE MEDICAMENTS ET INTRANTS",soctrans,"OUI")))</f>
        <v>NA</v>
      </c>
      <c r="L319" s="100"/>
      <c r="M319" s="100">
        <f t="shared" ref="M319:S319" si="306">IFERROR(SUMIFS(E$2:E$364,$C$2:$C$364,$C319)/COUNTIFS(E$2:E$364,"&lt;&gt;NA",$C$2:$C$364,$C319),"")</f>
        <v>1</v>
      </c>
      <c r="N319" s="100">
        <f t="shared" si="306"/>
        <v>1</v>
      </c>
      <c r="O319" s="100">
        <f t="shared" si="306"/>
        <v>1</v>
      </c>
      <c r="P319" s="100">
        <f t="shared" si="306"/>
        <v>0.9090909091</v>
      </c>
      <c r="Q319" s="100">
        <f t="shared" si="306"/>
        <v>0.8181818182</v>
      </c>
      <c r="R319" s="100">
        <f t="shared" si="306"/>
        <v>0.8888888889</v>
      </c>
      <c r="S319" s="100">
        <f t="shared" si="306"/>
        <v>0.75</v>
      </c>
      <c r="T319" s="101">
        <f t="shared" si="298"/>
        <v>1</v>
      </c>
      <c r="U319" s="92">
        <f t="shared" si="4"/>
        <v>2</v>
      </c>
      <c r="V319" s="54">
        <f t="shared" si="5"/>
        <v>2</v>
      </c>
    </row>
    <row r="320" ht="15.0" customHeight="1">
      <c r="A320" s="55" t="str">
        <f>SiteAttendu!$A319</f>
        <v>C3021</v>
      </c>
      <c r="B320" s="56" t="str">
        <f>VLOOKUP($A320,SiteAttendu!$A$2:$C$366,2,0)</f>
        <v>HOPITAL GENERAL SINEMATIALI</v>
      </c>
      <c r="C320" s="57" t="str">
        <f>VLOOKUP($A320,SiteAttendu!$A$2:$C$366,3,0)</f>
        <v>PORO</v>
      </c>
      <c r="D320" s="58">
        <f>IF(VLOOKUP($A320,SiteAttendu!$A$2:$P$366,4,0)="NA","NA",COUNTIFS(soccode,A320,socprog,"PNLS/ANTIRETROVIRAUX ET IO",soctrans,"OUI"))</f>
        <v>1</v>
      </c>
      <c r="E320" s="58">
        <f>IF(VLOOKUP($A320,SiteAttendu!$A$2:$P$366,5,0)="NA","NA",COUNTIFS(soccode,A320,socprog,"PNLS/TESTS RAPIDES ET CONSOMMABLES",soctrans,"OUI"))</f>
        <v>1</v>
      </c>
      <c r="F320" s="58">
        <f>IF(VLOOKUP($A320,SiteAttendu!$A$2:$P$366,6,0)="NA","NA",COUNTIFS(soccode,A320,socprog,"PNLS/PRODUITS DE LABORATOIRE",soctrans,"OUI"))</f>
        <v>1</v>
      </c>
      <c r="G320" s="58" t="str">
        <f>IF(VLOOKUP($A320,SiteAttendu!$A$2:$P$366,7,0)="NA","NA",COUNTIFS(soccode,A320,socprog,"PNLS/CHARGES VIRALES",soctrans,"OUI"))</f>
        <v>NA</v>
      </c>
      <c r="H320" s="58">
        <f>IF(VLOOKUP($A320,SiteAttendu!$A$2:$P$366,9,0)="NA","NA",COUNTIFS(soccode,A320,socprog,"PNLP/MEDICAMENTS ET INTRANTS",soctrans,"OUI"))</f>
        <v>1</v>
      </c>
      <c r="I320" s="58">
        <f>IF(VLOOKUP($A320,SiteAttendu!$A$2:$P$366,10,0)="NA","NA",COUNTIFS(soccode,$A320,socprog,"PNSME/MEDICAMENTS ET INTRANTS",soctrans,"OUI"))</f>
        <v>1</v>
      </c>
      <c r="J320" s="58">
        <f>IF(VLOOKUP($A320,SiteAttendu!$A$2:$P$366,11,0)="NA","NA",COUNTIFS(soccode,$A320,socprog,"PNN/MEDICAMENTS ET INTRANTS",soctrans,"OUI"))</f>
        <v>1</v>
      </c>
      <c r="K320" s="58" t="str">
        <f>IF(VLOOKUP($A320,SiteAttendu!$A$2:$O$366,15,0)="NA","NA",IF(COUNTIF(socprog,"PNLT/SENSIBLE MEDICAMENTS ET INTRANTS")=0,"NA",COUNTIFS(soccode,$A320,socprog,"PNLT/SENSIBLE MEDICAMENTS ET INTRANTS",soctrans,"OUI")))</f>
        <v>NA</v>
      </c>
      <c r="L320" s="100"/>
      <c r="M320" s="100">
        <f t="shared" ref="M320:S320" si="307">IFERROR(SUMIFS(E$2:E$364,$C$2:$C$364,$C320)/COUNTIFS(E$2:E$364,"&lt;&gt;NA",$C$2:$C$364,$C320),"")</f>
        <v>1</v>
      </c>
      <c r="N320" s="100">
        <f t="shared" si="307"/>
        <v>1</v>
      </c>
      <c r="O320" s="100">
        <f t="shared" si="307"/>
        <v>1</v>
      </c>
      <c r="P320" s="100">
        <f t="shared" si="307"/>
        <v>0.9090909091</v>
      </c>
      <c r="Q320" s="100">
        <f t="shared" si="307"/>
        <v>0.8181818182</v>
      </c>
      <c r="R320" s="100">
        <f t="shared" si="307"/>
        <v>0.8888888889</v>
      </c>
      <c r="S320" s="100">
        <f t="shared" si="307"/>
        <v>0.75</v>
      </c>
      <c r="T320" s="101">
        <f t="shared" si="298"/>
        <v>1</v>
      </c>
      <c r="U320" s="92">
        <f t="shared" si="4"/>
        <v>3</v>
      </c>
      <c r="V320" s="54">
        <f t="shared" si="5"/>
        <v>3</v>
      </c>
    </row>
    <row r="321" ht="15.0" customHeight="1">
      <c r="A321" s="70" t="str">
        <f>SiteAttendu!$A320</f>
        <v>C3057</v>
      </c>
      <c r="B321" s="71" t="str">
        <f>VLOOKUP($A321,SiteAttendu!$A$2:$C$366,2,0)</f>
        <v>DISTRICT SANITAIRE SINEMATIALI</v>
      </c>
      <c r="C321" s="72" t="str">
        <f>VLOOKUP($A321,SiteAttendu!$A$2:$C$366,3,0)</f>
        <v>PORO</v>
      </c>
      <c r="D321" s="73">
        <f>IF(VLOOKUP($A321,SiteAttendu!$A$2:$P$366,4,0)="NA","NA",COUNTIFS(soccode,A321,socprog,"PNLS/ANTIRETROVIRAUX ET IO",soctrans,"OUI"))</f>
        <v>1</v>
      </c>
      <c r="E321" s="73">
        <f>IF(VLOOKUP($A321,SiteAttendu!$A$2:$P$366,5,0)="NA","NA",COUNTIFS(soccode,A321,socprog,"PNLS/TESTS RAPIDES ET CONSOMMABLES",soctrans,"OUI"))</f>
        <v>1</v>
      </c>
      <c r="F321" s="73" t="str">
        <f>IF(VLOOKUP($A321,SiteAttendu!$A$2:$P$366,6,0)="NA","NA",COUNTIFS(soccode,A321,socprog,"PNLS/PRODUITS DE LABORATOIRE",soctrans,"OUI"))</f>
        <v>NA</v>
      </c>
      <c r="G321" s="73" t="str">
        <f>IF(VLOOKUP($A321,SiteAttendu!$A$2:$P$366,7,0)="NA","NA",COUNTIFS(soccode,A321,socprog,"PNLS/CHARGES VIRALES",soctrans,"OUI"))</f>
        <v>NA</v>
      </c>
      <c r="H321" s="73">
        <f>IF(VLOOKUP($A321,SiteAttendu!$A$2:$P$366,9,0)="NA","NA",COUNTIFS(soccode,A321,socprog,"PNLP/MEDICAMENTS ET INTRANTS",soctrans,"OUI"))</f>
        <v>1</v>
      </c>
      <c r="I321" s="73">
        <f>IF(VLOOKUP($A321,SiteAttendu!$A$2:$P$366,10,0)="NA","NA",COUNTIFS(soccode,$A321,socprog,"PNSME/MEDICAMENTS ET INTRANTS",soctrans,"OUI"))</f>
        <v>1</v>
      </c>
      <c r="J321" s="73">
        <f>IF(VLOOKUP($A321,SiteAttendu!$A$2:$P$366,11,0)="NA","NA",COUNTIFS(soccode,$A321,socprog,"PNN/MEDICAMENTS ET INTRANTS",soctrans,"OUI"))</f>
        <v>1</v>
      </c>
      <c r="K321" s="73" t="str">
        <f>IF(VLOOKUP($A321,SiteAttendu!$A$2:$O$366,15,0)="NA","NA",IF(COUNTIF(socprog,"PNLT/SENSIBLE MEDICAMENTS ET INTRANTS")=0,"NA",COUNTIFS(soccode,$A321,socprog,"PNLT/SENSIBLE MEDICAMENTS ET INTRANTS",soctrans,"OUI")))</f>
        <v>NA</v>
      </c>
      <c r="L321" s="89"/>
      <c r="M321" s="89">
        <f t="shared" ref="M321:S321" si="308">IFERROR(SUMIFS(E$2:E$364,$C$2:$C$364,$C321)/COUNTIFS(E$2:E$364,"&lt;&gt;NA",$C$2:$C$364,$C321),"")</f>
        <v>1</v>
      </c>
      <c r="N321" s="89">
        <f t="shared" si="308"/>
        <v>1</v>
      </c>
      <c r="O321" s="89">
        <f t="shared" si="308"/>
        <v>1</v>
      </c>
      <c r="P321" s="89">
        <f t="shared" si="308"/>
        <v>0.9090909091</v>
      </c>
      <c r="Q321" s="89">
        <f t="shared" si="308"/>
        <v>0.8181818182</v>
      </c>
      <c r="R321" s="89">
        <f t="shared" si="308"/>
        <v>0.8888888889</v>
      </c>
      <c r="S321" s="89">
        <f t="shared" si="308"/>
        <v>0.75</v>
      </c>
      <c r="T321" s="106">
        <f t="shared" si="298"/>
        <v>1</v>
      </c>
      <c r="U321" s="92">
        <f t="shared" si="4"/>
        <v>2</v>
      </c>
      <c r="V321" s="54">
        <f t="shared" si="5"/>
        <v>2</v>
      </c>
    </row>
    <row r="322" ht="15.0" customHeight="1">
      <c r="A322" s="46" t="str">
        <f>SiteAttendu!$A321</f>
        <v>C2007</v>
      </c>
      <c r="B322" s="47" t="str">
        <f>VLOOKUP($A322,SiteAttendu!$A$2:$C$366,2,0)</f>
        <v>CHR SAN PEDRO</v>
      </c>
      <c r="C322" s="48" t="str">
        <f>VLOOKUP($A322,SiteAttendu!$A$2:$C$366,3,0)</f>
        <v>SAN PEDRO</v>
      </c>
      <c r="D322" s="49">
        <f>IF(VLOOKUP($A322,SiteAttendu!$A$2:$P$366,4,0)="NA","NA",COUNTIFS(soccode,A322,socprog,"PNLS/ANTIRETROVIRAUX ET IO",soctrans,"OUI"))</f>
        <v>0</v>
      </c>
      <c r="E322" s="49">
        <f>IF(VLOOKUP($A322,SiteAttendu!$A$2:$P$366,5,0)="NA","NA",COUNTIFS(soccode,A322,socprog,"PNLS/TESTS RAPIDES ET CONSOMMABLES",soctrans,"OUI"))</f>
        <v>1</v>
      </c>
      <c r="F322" s="49">
        <f>IF(VLOOKUP($A322,SiteAttendu!$A$2:$P$366,6,0)="NA","NA",COUNTIFS(soccode,A322,socprog,"PNLS/PRODUITS DE LABORATOIRE",soctrans,"OUI"))</f>
        <v>1</v>
      </c>
      <c r="G322" s="49">
        <f>IF(VLOOKUP($A322,SiteAttendu!$A$2:$P$366,7,0)="NA","NA",COUNTIFS(soccode,A322,socprog,"PNLS/CHARGES VIRALES",soctrans,"OUI"))</f>
        <v>1</v>
      </c>
      <c r="H322" s="49">
        <f>IF(VLOOKUP($A322,SiteAttendu!$A$2:$P$366,9,0)="NA","NA",COUNTIFS(soccode,A322,socprog,"PNLP/MEDICAMENTS ET INTRANTS",soctrans,"OUI"))</f>
        <v>0</v>
      </c>
      <c r="I322" s="49">
        <f>IF(VLOOKUP($A322,SiteAttendu!$A$2:$P$366,10,0)="NA","NA",COUNTIFS(soccode,$A322,socprog,"PNSME/MEDICAMENTS ET INTRANTS",soctrans,"OUI"))</f>
        <v>0</v>
      </c>
      <c r="J322" s="49">
        <f>IF(VLOOKUP($A322,SiteAttendu!$A$2:$P$366,11,0)="NA","NA",COUNTIFS(soccode,$A322,socprog,"PNN/MEDICAMENTS ET INTRANTS",soctrans,"OUI"))</f>
        <v>0</v>
      </c>
      <c r="K322" s="49" t="str">
        <f>IF(VLOOKUP($A322,SiteAttendu!$A$2:$O$366,15,0)="NA","NA",IF(COUNTIF(socprog,"PNLT/SENSIBLE MEDICAMENTS ET INTRANTS")=0,"NA",COUNTIFS(soccode,$A322,socprog,"PNLT/SENSIBLE MEDICAMENTS ET INTRANTS",soctrans,"OUI")))</f>
        <v>NA</v>
      </c>
      <c r="L322" s="98">
        <f t="shared" ref="L322:S322" si="309">IFERROR(SUMIFS(D$2:D$364,$C$2:$C$364,$C322)/COUNTIFS(D$2:D$364,"&lt;&gt;NA",$C$2:$C$364,$C322),"")</f>
        <v>0.75</v>
      </c>
      <c r="M322" s="98">
        <f t="shared" si="309"/>
        <v>1</v>
      </c>
      <c r="N322" s="98">
        <f t="shared" si="309"/>
        <v>1</v>
      </c>
      <c r="O322" s="98">
        <f t="shared" si="309"/>
        <v>1</v>
      </c>
      <c r="P322" s="98">
        <f t="shared" si="309"/>
        <v>0.8</v>
      </c>
      <c r="Q322" s="98">
        <f t="shared" si="309"/>
        <v>0.8571428571</v>
      </c>
      <c r="R322" s="98">
        <f t="shared" si="309"/>
        <v>0.75</v>
      </c>
      <c r="S322" s="98">
        <f t="shared" si="309"/>
        <v>0.75</v>
      </c>
      <c r="T322" s="99">
        <f t="shared" si="298"/>
        <v>0.9333333333</v>
      </c>
      <c r="U322" s="92">
        <f t="shared" si="4"/>
        <v>3</v>
      </c>
      <c r="V322" s="54">
        <f t="shared" si="5"/>
        <v>4</v>
      </c>
    </row>
    <row r="323" ht="15.0" customHeight="1">
      <c r="A323" s="55" t="str">
        <f>SiteAttendu!$A322</f>
        <v>C2018</v>
      </c>
      <c r="B323" s="56" t="str">
        <f>VLOOKUP($A323,SiteAttendu!$A$2:$C$366,2,0)</f>
        <v>CSU SAN-PEDRO</v>
      </c>
      <c r="C323" s="57" t="str">
        <f>VLOOKUP($A323,SiteAttendu!$A$2:$C$366,3,0)</f>
        <v>SAN PEDRO</v>
      </c>
      <c r="D323" s="58" t="str">
        <f>IF(VLOOKUP($A323,SiteAttendu!$A$2:$P$366,4,0)="NA","NA",COUNTIFS(soccode,A323,socprog,"PNLS/ANTIRETROVIRAUX ET IO",soctrans,"OUI"))</f>
        <v>NA</v>
      </c>
      <c r="E323" s="58" t="str">
        <f>IF(VLOOKUP($A323,SiteAttendu!$A$2:$P$366,5,0)="NA","NA",COUNTIFS(soccode,A323,socprog,"PNLS/TESTS RAPIDES ET CONSOMMABLES",soctrans,"OUI"))</f>
        <v>NA</v>
      </c>
      <c r="F323" s="58" t="str">
        <f>IF(VLOOKUP($A323,SiteAttendu!$A$2:$P$366,6,0)="NA","NA",COUNTIFS(soccode,A323,socprog,"PNLS/PRODUITS DE LABORATOIRE",soctrans,"OUI"))</f>
        <v>NA</v>
      </c>
      <c r="G323" s="58" t="str">
        <f>IF(VLOOKUP($A323,SiteAttendu!$A$2:$P$366,7,0)="NA","NA",COUNTIFS(soccode,A323,socprog,"PNLS/CHARGES VIRALES",soctrans,"OUI"))</f>
        <v>NA</v>
      </c>
      <c r="H323" s="58">
        <f>IF(VLOOKUP($A323,SiteAttendu!$A$2:$P$366,9,0)="NA","NA",COUNTIFS(soccode,A323,socprog,"PNLP/MEDICAMENTS ET INTRANTS",soctrans,"OUI"))</f>
        <v>1</v>
      </c>
      <c r="I323" s="58">
        <f>IF(VLOOKUP($A323,SiteAttendu!$A$2:$P$366,10,0)="NA","NA",COUNTIFS(soccode,$A323,socprog,"PNSME/MEDICAMENTS ET INTRANTS",soctrans,"OUI"))</f>
        <v>1</v>
      </c>
      <c r="J323" s="58" t="str">
        <f>IF(VLOOKUP($A323,SiteAttendu!$A$2:$P$366,11,0)="NA","NA",COUNTIFS(soccode,$A323,socprog,"PNN/MEDICAMENTS ET INTRANTS",soctrans,"OUI"))</f>
        <v>NA</v>
      </c>
      <c r="K323" s="58" t="str">
        <f>IF(VLOOKUP($A323,SiteAttendu!$A$2:$O$366,15,0)="NA","NA",IF(COUNTIF(socprog,"PNLT/SENSIBLE MEDICAMENTS ET INTRANTS")=0,"NA",COUNTIFS(soccode,$A323,socprog,"PNLT/SENSIBLE MEDICAMENTS ET INTRANTS",soctrans,"OUI")))</f>
        <v>NA</v>
      </c>
      <c r="L323" s="100"/>
      <c r="M323" s="100">
        <f t="shared" ref="M323:S323" si="310">IFERROR(SUMIFS(E$2:E$364,$C$2:$C$364,$C323)/COUNTIFS(E$2:E$364,"&lt;&gt;NA",$C$2:$C$364,$C323),"")</f>
        <v>1</v>
      </c>
      <c r="N323" s="100">
        <f t="shared" si="310"/>
        <v>1</v>
      </c>
      <c r="O323" s="100">
        <f t="shared" si="310"/>
        <v>1</v>
      </c>
      <c r="P323" s="100">
        <f t="shared" si="310"/>
        <v>0.8</v>
      </c>
      <c r="Q323" s="100">
        <f t="shared" si="310"/>
        <v>0.8571428571</v>
      </c>
      <c r="R323" s="100">
        <f t="shared" si="310"/>
        <v>0.75</v>
      </c>
      <c r="S323" s="100">
        <f t="shared" si="310"/>
        <v>0.75</v>
      </c>
      <c r="T323" s="101">
        <f t="shared" si="298"/>
        <v>0.9333333333</v>
      </c>
      <c r="U323" s="92">
        <f t="shared" si="4"/>
        <v>0</v>
      </c>
      <c r="V323" s="54">
        <f t="shared" si="5"/>
        <v>0</v>
      </c>
    </row>
    <row r="324" ht="15.0" customHeight="1">
      <c r="A324" s="55" t="str">
        <f>SiteAttendu!$A323</f>
        <v>C2035</v>
      </c>
      <c r="B324" s="56" t="str">
        <f>VLOOKUP($A324,SiteAttendu!$A$2:$C$366,2,0)</f>
        <v>DISTRICT SANITAIRE SAN-PEDRO</v>
      </c>
      <c r="C324" s="57" t="str">
        <f>VLOOKUP($A324,SiteAttendu!$A$2:$C$366,3,0)</f>
        <v>SAN PEDRO</v>
      </c>
      <c r="D324" s="58">
        <f>IF(VLOOKUP($A324,SiteAttendu!$A$2:$P$366,4,0)="NA","NA",COUNTIFS(soccode,A324,socprog,"PNLS/ANTIRETROVIRAUX ET IO",soctrans,"OUI"))</f>
        <v>1</v>
      </c>
      <c r="E324" s="58">
        <f>IF(VLOOKUP($A324,SiteAttendu!$A$2:$P$366,5,0)="NA","NA",COUNTIFS(soccode,A324,socprog,"PNLS/TESTS RAPIDES ET CONSOMMABLES",soctrans,"OUI"))</f>
        <v>1</v>
      </c>
      <c r="F324" s="58">
        <f>IF(VLOOKUP($A324,SiteAttendu!$A$2:$P$366,6,0)="NA","NA",COUNTIFS(soccode,A324,socprog,"PNLS/PRODUITS DE LABORATOIRE",soctrans,"OUI"))</f>
        <v>1</v>
      </c>
      <c r="G324" s="58">
        <f>IF(VLOOKUP($A324,SiteAttendu!$A$2:$P$366,7,0)="NA","NA",COUNTIFS(soccode,A324,socprog,"PNLS/CHARGES VIRALES",soctrans,"OUI"))</f>
        <v>1</v>
      </c>
      <c r="H324" s="58">
        <f>IF(VLOOKUP($A324,SiteAttendu!$A$2:$P$366,9,0)="NA","NA",COUNTIFS(soccode,A324,socprog,"PNLP/MEDICAMENTS ET INTRANTS",soctrans,"OUI"))</f>
        <v>1</v>
      </c>
      <c r="I324" s="58">
        <f>IF(VLOOKUP($A324,SiteAttendu!$A$2:$P$366,10,0)="NA","NA",COUNTIFS(soccode,$A324,socprog,"PNSME/MEDICAMENTS ET INTRANTS",soctrans,"OUI"))</f>
        <v>1</v>
      </c>
      <c r="J324" s="58">
        <f>IF(VLOOKUP($A324,SiteAttendu!$A$2:$P$366,11,0)="NA","NA",COUNTIFS(soccode,$A324,socprog,"PNN/MEDICAMENTS ET INTRANTS",soctrans,"OUI"))</f>
        <v>1</v>
      </c>
      <c r="K324" s="58">
        <f>IF(VLOOKUP($A324,SiteAttendu!$A$2:$O$366,15,0)="NA","NA",IF(COUNTIF(socprog,"PNLT/SENSIBLE MEDICAMENTS ET INTRANTS")=0,"NA",COUNTIFS(soccode,$A324,socprog,"PNLT/SENSIBLE MEDICAMENTS ET INTRANTS",soctrans,"OUI")))</f>
        <v>1</v>
      </c>
      <c r="L324" s="100"/>
      <c r="M324" s="100">
        <f t="shared" ref="M324:S324" si="311">IFERROR(SUMIFS(E$2:E$364,$C$2:$C$364,$C324)/COUNTIFS(E$2:E$364,"&lt;&gt;NA",$C$2:$C$364,$C324),"")</f>
        <v>1</v>
      </c>
      <c r="N324" s="100">
        <f t="shared" si="311"/>
        <v>1</v>
      </c>
      <c r="O324" s="100">
        <f t="shared" si="311"/>
        <v>1</v>
      </c>
      <c r="P324" s="100">
        <f t="shared" si="311"/>
        <v>0.8</v>
      </c>
      <c r="Q324" s="100">
        <f t="shared" si="311"/>
        <v>0.8571428571</v>
      </c>
      <c r="R324" s="100">
        <f t="shared" si="311"/>
        <v>0.75</v>
      </c>
      <c r="S324" s="100">
        <f t="shared" si="311"/>
        <v>0.75</v>
      </c>
      <c r="T324" s="101">
        <f t="shared" si="298"/>
        <v>0.9333333333</v>
      </c>
      <c r="U324" s="92">
        <f t="shared" si="4"/>
        <v>4</v>
      </c>
      <c r="V324" s="54">
        <f t="shared" si="5"/>
        <v>4</v>
      </c>
    </row>
    <row r="325" ht="15.0" customHeight="1">
      <c r="A325" s="55" t="str">
        <f>SiteAttendu!$A324</f>
        <v>C2171</v>
      </c>
      <c r="B325" s="56" t="str">
        <f>VLOOKUP($A325,SiteAttendu!$A$2:$C$366,2,0)</f>
        <v>CENTRE ANTI-TUBERCULEUX SAN-PEDRO</v>
      </c>
      <c r="C325" s="57" t="str">
        <f>VLOOKUP($A325,SiteAttendu!$A$2:$C$366,3,0)</f>
        <v>SAN PEDRO</v>
      </c>
      <c r="D325" s="58" t="str">
        <f>IF(VLOOKUP($A325,SiteAttendu!$A$2:$P$366,4,0)="NA","NA",COUNTIFS(soccode,A325,socprog,"PNLS/ANTIRETROVIRAUX ET IO",soctrans,"OUI"))</f>
        <v>NA</v>
      </c>
      <c r="E325" s="58" t="str">
        <f>IF(VLOOKUP($A325,SiteAttendu!$A$2:$P$366,5,0)="NA","NA",COUNTIFS(soccode,A325,socprog,"PNLS/TESTS RAPIDES ET CONSOMMABLES",soctrans,"OUI"))</f>
        <v>NA</v>
      </c>
      <c r="F325" s="58" t="str">
        <f>IF(VLOOKUP($A325,SiteAttendu!$A$2:$P$366,6,0)="NA","NA",COUNTIFS(soccode,A325,socprog,"PNLS/PRODUITS DE LABORATOIRE",soctrans,"OUI"))</f>
        <v>NA</v>
      </c>
      <c r="G325" s="58" t="str">
        <f>IF(VLOOKUP($A325,SiteAttendu!$A$2:$P$366,7,0)="NA","NA",COUNTIFS(soccode,A325,socprog,"PNLS/CHARGES VIRALES",soctrans,"OUI"))</f>
        <v>NA</v>
      </c>
      <c r="H325" s="58" t="str">
        <f>IF(VLOOKUP($A325,SiteAttendu!$A$2:$P$366,9,0)="NA","NA",COUNTIFS(soccode,A325,socprog,"PNLP/MEDICAMENTS ET INTRANTS",soctrans,"OUI"))</f>
        <v>NA</v>
      </c>
      <c r="I325" s="58" t="str">
        <f>IF(VLOOKUP($A325,SiteAttendu!$A$2:$P$366,10,0)="NA","NA",COUNTIFS(soccode,$A325,socprog,"PNSME/MEDICAMENTS ET INTRANTS",soctrans,"OUI"))</f>
        <v>NA</v>
      </c>
      <c r="J325" s="58" t="str">
        <f>IF(VLOOKUP($A325,SiteAttendu!$A$2:$P$366,11,0)="NA","NA",COUNTIFS(soccode,$A325,socprog,"PNN/MEDICAMENTS ET INTRANTS",soctrans,"OUI"))</f>
        <v>NA</v>
      </c>
      <c r="K325" s="58">
        <f>IF(VLOOKUP($A325,SiteAttendu!$A$2:$O$366,15,0)="NA","NA",IF(COUNTIF(socprog,"PNLT/SENSIBLE MEDICAMENTS ET INTRANTS")=0,"NA",COUNTIFS(soccode,$A325,socprog,"PNLT/SENSIBLE MEDICAMENTS ET INTRANTS",soctrans,"OUI")))</f>
        <v>1</v>
      </c>
      <c r="L325" s="100"/>
      <c r="M325" s="100">
        <f t="shared" ref="M325:S325" si="312">IFERROR(SUMIFS(E$2:E$364,$C$2:$C$364,$C325)/COUNTIFS(E$2:E$364,"&lt;&gt;NA",$C$2:$C$364,$C325),"")</f>
        <v>1</v>
      </c>
      <c r="N325" s="100">
        <f t="shared" si="312"/>
        <v>1</v>
      </c>
      <c r="O325" s="100">
        <f t="shared" si="312"/>
        <v>1</v>
      </c>
      <c r="P325" s="100">
        <f t="shared" si="312"/>
        <v>0.8</v>
      </c>
      <c r="Q325" s="100">
        <f t="shared" si="312"/>
        <v>0.8571428571</v>
      </c>
      <c r="R325" s="100">
        <f t="shared" si="312"/>
        <v>0.75</v>
      </c>
      <c r="S325" s="100">
        <f t="shared" si="312"/>
        <v>0.75</v>
      </c>
      <c r="T325" s="101">
        <f t="shared" si="298"/>
        <v>0.9333333333</v>
      </c>
      <c r="U325" s="92">
        <f t="shared" si="4"/>
        <v>0</v>
      </c>
      <c r="V325" s="54">
        <f t="shared" si="5"/>
        <v>0</v>
      </c>
    </row>
    <row r="326" ht="15.0" customHeight="1">
      <c r="A326" s="55" t="str">
        <f>SiteAttendu!$A182</f>
        <v>C2194</v>
      </c>
      <c r="B326" s="56" t="str">
        <f>VLOOKUP($A326,SiteAttendu!$A$2:$C$366,2,0)</f>
        <v>CSU TOUIH</v>
      </c>
      <c r="C326" s="57" t="str">
        <f>VLOOKUP($A326,SiteAttendu!$A$2:$C$366,3,0)</f>
        <v>SAN PEDRO</v>
      </c>
      <c r="D326" s="58" t="str">
        <f>IF(VLOOKUP($A326,SiteAttendu!$A$2:$P$366,4,0)="NA","NA",COUNTIFS(soccode,A326,socprog,"PNLS/ANTIRETROVIRAUX ET IO",soctrans,"OUI"))</f>
        <v>NA</v>
      </c>
      <c r="E326" s="58" t="str">
        <f>IF(VLOOKUP($A326,SiteAttendu!$A$2:$P$366,5,0)="NA","NA",COUNTIFS(soccode,A326,socprog,"PNLS/TESTS RAPIDES ET CONSOMMABLES",soctrans,"OUI"))</f>
        <v>NA</v>
      </c>
      <c r="F326" s="58" t="str">
        <f>IF(VLOOKUP($A326,SiteAttendu!$A$2:$P$366,6,0)="NA","NA",COUNTIFS(soccode,A326,socprog,"PNLS/PRODUITS DE LABORATOIRE",soctrans,"OUI"))</f>
        <v>NA</v>
      </c>
      <c r="G326" s="58" t="str">
        <f>IF(VLOOKUP($A326,SiteAttendu!$A$2:$P$366,7,0)="NA","NA",COUNTIFS(soccode,A326,socprog,"PNLS/CHARGES VIRALES",soctrans,"OUI"))</f>
        <v>NA</v>
      </c>
      <c r="H326" s="58" t="str">
        <f>IF(VLOOKUP($A326,SiteAttendu!$A$2:$P$366,9,0)="NA","NA",COUNTIFS(soccode,A326,socprog,"PNLP/MEDICAMENTS ET INTRANTS",soctrans,"OUI"))</f>
        <v>NA</v>
      </c>
      <c r="I326" s="58">
        <f>IF(VLOOKUP($A326,SiteAttendu!$A$2:$P$366,10,0)="NA","NA",COUNTIFS(soccode,$A326,socprog,"PNSME/MEDICAMENTS ET INTRANTS",soctrans,"OUI"))</f>
        <v>1</v>
      </c>
      <c r="J326" s="58" t="str">
        <f>IF(VLOOKUP($A326,SiteAttendu!$A$2:$P$366,11,0)="NA","NA",COUNTIFS(soccode,$A326,socprog,"PNN/MEDICAMENTS ET INTRANTS",soctrans,"OUI"))</f>
        <v>NA</v>
      </c>
      <c r="K326" s="58" t="str">
        <f>IF(VLOOKUP($A326,SiteAttendu!$A$2:$O$366,15,0)="NA","NA",IF(COUNTIF(socprog,"PNLT/SENSIBLE MEDICAMENTS ET INTRANTS")=0,"NA",COUNTIFS(soccode,$A326,socprog,"PNLT/SENSIBLE MEDICAMENTS ET INTRANTS",soctrans,"OUI")))</f>
        <v>NA</v>
      </c>
      <c r="L326" s="100"/>
      <c r="M326" s="100">
        <f t="shared" ref="M326:S326" si="313">IFERROR(SUMIFS(E$2:E$364,$C$2:$C$364,$C326)/COUNTIFS(E$2:E$364,"&lt;&gt;NA",$C$2:$C$364,$C326),"")</f>
        <v>1</v>
      </c>
      <c r="N326" s="100">
        <f t="shared" si="313"/>
        <v>1</v>
      </c>
      <c r="O326" s="100">
        <f t="shared" si="313"/>
        <v>1</v>
      </c>
      <c r="P326" s="100">
        <f t="shared" si="313"/>
        <v>0.8</v>
      </c>
      <c r="Q326" s="100">
        <f t="shared" si="313"/>
        <v>0.8571428571</v>
      </c>
      <c r="R326" s="100">
        <f t="shared" si="313"/>
        <v>0.75</v>
      </c>
      <c r="S326" s="100">
        <f t="shared" si="313"/>
        <v>0.75</v>
      </c>
      <c r="T326" s="101">
        <f t="shared" si="298"/>
        <v>0.9333333333</v>
      </c>
      <c r="U326" s="92">
        <f t="shared" si="4"/>
        <v>0</v>
      </c>
      <c r="V326" s="54">
        <f t="shared" si="5"/>
        <v>0</v>
      </c>
    </row>
    <row r="327" ht="15.0" customHeight="1">
      <c r="A327" s="55" t="str">
        <f>SiteAttendu!$A325</f>
        <v>C2214</v>
      </c>
      <c r="B327" s="56" t="str">
        <f>VLOOKUP($A327,SiteAttendu!$A$2:$C$366,2,0)</f>
        <v>CSU GABIADJI</v>
      </c>
      <c r="C327" s="57" t="str">
        <f>VLOOKUP($A327,SiteAttendu!$A$2:$C$366,3,0)</f>
        <v>SAN PEDRO</v>
      </c>
      <c r="D327" s="58" t="str">
        <f>IF(VLOOKUP($A327,SiteAttendu!$A$2:$P$366,4,0)="NA","NA",COUNTIFS(soccode,A327,socprog,"PNLS/ANTIRETROVIRAUX ET IO",soctrans,"OUI"))</f>
        <v>NA</v>
      </c>
      <c r="E327" s="58" t="str">
        <f>IF(VLOOKUP($A327,SiteAttendu!$A$2:$P$366,5,0)="NA","NA",COUNTIFS(soccode,A327,socprog,"PNLS/TESTS RAPIDES ET CONSOMMABLES",soctrans,"OUI"))</f>
        <v>NA</v>
      </c>
      <c r="F327" s="58" t="str">
        <f>IF(VLOOKUP($A327,SiteAttendu!$A$2:$P$366,6,0)="NA","NA",COUNTIFS(soccode,A327,socprog,"PNLS/PRODUITS DE LABORATOIRE",soctrans,"OUI"))</f>
        <v>NA</v>
      </c>
      <c r="G327" s="58" t="str">
        <f>IF(VLOOKUP($A327,SiteAttendu!$A$2:$P$366,7,0)="NA","NA",COUNTIFS(soccode,A327,socprog,"PNLS/CHARGES VIRALES",soctrans,"OUI"))</f>
        <v>NA</v>
      </c>
      <c r="H327" s="58" t="str">
        <f>IF(VLOOKUP($A327,SiteAttendu!$A$2:$P$366,9,0)="NA","NA",COUNTIFS(soccode,A327,socprog,"PNLP/MEDICAMENTS ET INTRANTS",soctrans,"OUI"))</f>
        <v>NA</v>
      </c>
      <c r="I327" s="58">
        <f>IF(VLOOKUP($A327,SiteAttendu!$A$2:$P$366,10,0)="NA","NA",COUNTIFS(soccode,$A327,socprog,"PNSME/MEDICAMENTS ET INTRANTS",soctrans,"OUI"))</f>
        <v>1</v>
      </c>
      <c r="J327" s="58" t="str">
        <f>IF(VLOOKUP($A327,SiteAttendu!$A$2:$P$366,11,0)="NA","NA",COUNTIFS(soccode,$A327,socprog,"PNN/MEDICAMENTS ET INTRANTS",soctrans,"OUI"))</f>
        <v>NA</v>
      </c>
      <c r="K327" s="58" t="str">
        <f>IF(VLOOKUP($A327,SiteAttendu!$A$2:$O$366,15,0)="NA","NA",IF(COUNTIF(socprog,"PNLT/SENSIBLE MEDICAMENTS ET INTRANTS")=0,"NA",COUNTIFS(soccode,$A327,socprog,"PNLT/SENSIBLE MEDICAMENTS ET INTRANTS",soctrans,"OUI")))</f>
        <v>NA</v>
      </c>
      <c r="L327" s="100"/>
      <c r="M327" s="100">
        <f t="shared" ref="M327:S327" si="314">IFERROR(SUMIFS(E$2:E$364,$C$2:$C$364,$C327)/COUNTIFS(E$2:E$364,"&lt;&gt;NA",$C$2:$C$364,$C327),"")</f>
        <v>1</v>
      </c>
      <c r="N327" s="100">
        <f t="shared" si="314"/>
        <v>1</v>
      </c>
      <c r="O327" s="100">
        <f t="shared" si="314"/>
        <v>1</v>
      </c>
      <c r="P327" s="100">
        <f t="shared" si="314"/>
        <v>0.8</v>
      </c>
      <c r="Q327" s="100">
        <f t="shared" si="314"/>
        <v>0.8571428571</v>
      </c>
      <c r="R327" s="100">
        <f t="shared" si="314"/>
        <v>0.75</v>
      </c>
      <c r="S327" s="100">
        <f t="shared" si="314"/>
        <v>0.75</v>
      </c>
      <c r="T327" s="101">
        <f t="shared" si="298"/>
        <v>0.9333333333</v>
      </c>
      <c r="U327" s="92">
        <f t="shared" si="4"/>
        <v>0</v>
      </c>
      <c r="V327" s="54">
        <f t="shared" si="5"/>
        <v>0</v>
      </c>
    </row>
    <row r="328" ht="15.0" customHeight="1">
      <c r="A328" s="55" t="str">
        <f>SiteAttendu!$A326</f>
        <v>C2040</v>
      </c>
      <c r="B328" s="56" t="str">
        <f>VLOOKUP($A328,SiteAttendu!$A$2:$C$366,2,0)</f>
        <v>DISTRICT SANITAIRE TABOU</v>
      </c>
      <c r="C328" s="57" t="str">
        <f>VLOOKUP($A328,SiteAttendu!$A$2:$C$366,3,0)</f>
        <v>SAN PEDRO</v>
      </c>
      <c r="D328" s="58">
        <f>IF(VLOOKUP($A328,SiteAttendu!$A$2:$P$366,4,0)="NA","NA",COUNTIFS(soccode,A328,socprog,"PNLS/ANTIRETROVIRAUX ET IO",soctrans,"OUI"))</f>
        <v>1</v>
      </c>
      <c r="E328" s="58">
        <f>IF(VLOOKUP($A328,SiteAttendu!$A$2:$P$366,5,0)="NA","NA",COUNTIFS(soccode,A328,socprog,"PNLS/TESTS RAPIDES ET CONSOMMABLES",soctrans,"OUI"))</f>
        <v>1</v>
      </c>
      <c r="F328" s="58">
        <f>IF(VLOOKUP($A328,SiteAttendu!$A$2:$P$366,6,0)="NA","NA",COUNTIFS(soccode,A328,socprog,"PNLS/PRODUITS DE LABORATOIRE",soctrans,"OUI"))</f>
        <v>1</v>
      </c>
      <c r="G328" s="58" t="str">
        <f>IF(VLOOKUP($A328,SiteAttendu!$A$2:$P$366,7,0)="NA","NA",COUNTIFS(soccode,A328,socprog,"PNLS/CHARGES VIRALES",soctrans,"OUI"))</f>
        <v>NA</v>
      </c>
      <c r="H328" s="58">
        <f>IF(VLOOKUP($A328,SiteAttendu!$A$2:$P$366,9,0)="NA","NA",COUNTIFS(soccode,A328,socprog,"PNLP/MEDICAMENTS ET INTRANTS",soctrans,"OUI"))</f>
        <v>1</v>
      </c>
      <c r="I328" s="58">
        <f>IF(VLOOKUP($A328,SiteAttendu!$A$2:$P$366,10,0)="NA","NA",COUNTIFS(soccode,$A328,socprog,"PNSME/MEDICAMENTS ET INTRANTS",soctrans,"OUI"))</f>
        <v>1</v>
      </c>
      <c r="J328" s="58">
        <f>IF(VLOOKUP($A328,SiteAttendu!$A$2:$P$366,11,0)="NA","NA",COUNTIFS(soccode,$A328,socprog,"PNN/MEDICAMENTS ET INTRANTS",soctrans,"OUI"))</f>
        <v>1</v>
      </c>
      <c r="K328" s="58">
        <f>IF(VLOOKUP($A328,SiteAttendu!$A$2:$O$366,15,0)="NA","NA",IF(COUNTIF(socprog,"PNLT/SENSIBLE MEDICAMENTS ET INTRANTS")=0,"NA",COUNTIFS(soccode,$A328,socprog,"PNLT/SENSIBLE MEDICAMENTS ET INTRANTS",soctrans,"OUI")))</f>
        <v>0</v>
      </c>
      <c r="L328" s="100"/>
      <c r="M328" s="100">
        <f t="shared" ref="M328:S328" si="315">IFERROR(SUMIFS(E$2:E$364,$C$2:$C$364,$C328)/COUNTIFS(E$2:E$364,"&lt;&gt;NA",$C$2:$C$364,$C328),"")</f>
        <v>1</v>
      </c>
      <c r="N328" s="100">
        <f t="shared" si="315"/>
        <v>1</v>
      </c>
      <c r="O328" s="100">
        <f t="shared" si="315"/>
        <v>1</v>
      </c>
      <c r="P328" s="100">
        <f t="shared" si="315"/>
        <v>0.8</v>
      </c>
      <c r="Q328" s="100">
        <f t="shared" si="315"/>
        <v>0.8571428571</v>
      </c>
      <c r="R328" s="100">
        <f t="shared" si="315"/>
        <v>0.75</v>
      </c>
      <c r="S328" s="100">
        <f t="shared" si="315"/>
        <v>0.75</v>
      </c>
      <c r="T328" s="101">
        <f t="shared" si="298"/>
        <v>0.9333333333</v>
      </c>
      <c r="U328" s="92">
        <f t="shared" si="4"/>
        <v>3</v>
      </c>
      <c r="V328" s="54">
        <f t="shared" si="5"/>
        <v>3</v>
      </c>
    </row>
    <row r="329" ht="15.0" customHeight="1">
      <c r="A329" s="62" t="str">
        <f>SiteAttendu!$A327</f>
        <v>C2066</v>
      </c>
      <c r="B329" s="63" t="str">
        <f>VLOOKUP($A329,SiteAttendu!$A$2:$C$366,2,0)</f>
        <v>HOPITAL GENERAL TABOU</v>
      </c>
      <c r="C329" s="64" t="str">
        <f>VLOOKUP($A329,SiteAttendu!$A$2:$C$366,3,0)</f>
        <v>SAN PEDRO</v>
      </c>
      <c r="D329" s="65">
        <f>IF(VLOOKUP($A329,SiteAttendu!$A$2:$P$366,4,0)="NA","NA",COUNTIFS(soccode,A329,socprog,"PNLS/ANTIRETROVIRAUX ET IO",soctrans,"OUI"))</f>
        <v>1</v>
      </c>
      <c r="E329" s="65">
        <f>IF(VLOOKUP($A329,SiteAttendu!$A$2:$P$366,5,0)="NA","NA",COUNTIFS(soccode,A329,socprog,"PNLS/TESTS RAPIDES ET CONSOMMABLES",soctrans,"OUI"))</f>
        <v>1</v>
      </c>
      <c r="F329" s="65">
        <f>IF(VLOOKUP($A329,SiteAttendu!$A$2:$P$366,6,0)="NA","NA",COUNTIFS(soccode,A329,socprog,"PNLS/PRODUITS DE LABORATOIRE",soctrans,"OUI"))</f>
        <v>1</v>
      </c>
      <c r="G329" s="65">
        <f>IF(VLOOKUP($A329,SiteAttendu!$A$2:$P$366,7,0)="NA","NA",COUNTIFS(soccode,A329,socprog,"PNLS/CHARGES VIRALES",soctrans,"OUI"))</f>
        <v>1</v>
      </c>
      <c r="H329" s="65">
        <f>IF(VLOOKUP($A329,SiteAttendu!$A$2:$P$366,9,0)="NA","NA",COUNTIFS(soccode,A329,socprog,"PNLP/MEDICAMENTS ET INTRANTS",soctrans,"OUI"))</f>
        <v>1</v>
      </c>
      <c r="I329" s="65">
        <f>IF(VLOOKUP($A329,SiteAttendu!$A$2:$P$366,10,0)="NA","NA",COUNTIFS(soccode,$A329,socprog,"PNSME/MEDICAMENTS ET INTRANTS",soctrans,"OUI"))</f>
        <v>1</v>
      </c>
      <c r="J329" s="65">
        <f>IF(VLOOKUP($A329,SiteAttendu!$A$2:$P$366,11,0)="NA","NA",COUNTIFS(soccode,$A329,socprog,"PNN/MEDICAMENTS ET INTRANTS",soctrans,"OUI"))</f>
        <v>1</v>
      </c>
      <c r="K329" s="65">
        <f>IF(VLOOKUP($A329,SiteAttendu!$A$2:$O$366,15,0)="NA","NA",IF(COUNTIF(socprog,"PNLT/SENSIBLE MEDICAMENTS ET INTRANTS")=0,"NA",COUNTIFS(soccode,$A329,socprog,"PNLT/SENSIBLE MEDICAMENTS ET INTRANTS",soctrans,"OUI")))</f>
        <v>1</v>
      </c>
      <c r="L329" s="102"/>
      <c r="M329" s="102">
        <f t="shared" ref="M329:S329" si="316">IFERROR(SUMIFS(E$2:E$364,$C$2:$C$364,$C329)/COUNTIFS(E$2:E$364,"&lt;&gt;NA",$C$2:$C$364,$C329),"")</f>
        <v>1</v>
      </c>
      <c r="N329" s="102">
        <f t="shared" si="316"/>
        <v>1</v>
      </c>
      <c r="O329" s="102">
        <f t="shared" si="316"/>
        <v>1</v>
      </c>
      <c r="P329" s="102">
        <f t="shared" si="316"/>
        <v>0.8</v>
      </c>
      <c r="Q329" s="102">
        <f t="shared" si="316"/>
        <v>0.8571428571</v>
      </c>
      <c r="R329" s="102">
        <f t="shared" si="316"/>
        <v>0.75</v>
      </c>
      <c r="S329" s="102">
        <f t="shared" si="316"/>
        <v>0.75</v>
      </c>
      <c r="T329" s="103">
        <f t="shared" si="298"/>
        <v>0.9333333333</v>
      </c>
      <c r="U329" s="92">
        <f t="shared" si="4"/>
        <v>4</v>
      </c>
      <c r="V329" s="54">
        <f t="shared" si="5"/>
        <v>4</v>
      </c>
    </row>
    <row r="330" ht="15.0" customHeight="1">
      <c r="A330" s="81" t="str">
        <f>SiteAttendu!$A328</f>
        <v>C1003</v>
      </c>
      <c r="B330" s="82" t="str">
        <f>VLOOKUP($A330,SiteAttendu!$A$2:$C$366,2,0)</f>
        <v>CHR ABOISSO</v>
      </c>
      <c r="C330" s="88" t="str">
        <f>VLOOKUP($A330,SiteAttendu!$A$2:$C$366,3,0)</f>
        <v>SUD-COMOE</v>
      </c>
      <c r="D330" s="84">
        <f>IF(VLOOKUP($A330,SiteAttendu!$A$2:$P$366,4,0)="NA","NA",COUNTIFS(soccode,A330,socprog,"PNLS/ANTIRETROVIRAUX ET IO",soctrans,"OUI"))</f>
        <v>1</v>
      </c>
      <c r="E330" s="84">
        <f>IF(VLOOKUP($A330,SiteAttendu!$A$2:$P$366,5,0)="NA","NA",COUNTIFS(soccode,A330,socprog,"PNLS/TESTS RAPIDES ET CONSOMMABLES",soctrans,"OUI"))</f>
        <v>1</v>
      </c>
      <c r="F330" s="84">
        <f>IF(VLOOKUP($A330,SiteAttendu!$A$2:$P$366,6,0)="NA","NA",COUNTIFS(soccode,A330,socprog,"PNLS/PRODUITS DE LABORATOIRE",soctrans,"OUI"))</f>
        <v>1</v>
      </c>
      <c r="G330" s="84">
        <f>IF(VLOOKUP($A330,SiteAttendu!$A$2:$P$366,7,0)="NA","NA",COUNTIFS(soccode,A330,socprog,"PNLS/CHARGES VIRALES",soctrans,"OUI"))</f>
        <v>1</v>
      </c>
      <c r="H330" s="84">
        <f>IF(VLOOKUP($A330,SiteAttendu!$A$2:$P$366,9,0)="NA","NA",COUNTIFS(soccode,A330,socprog,"PNLP/MEDICAMENTS ET INTRANTS",soctrans,"OUI"))</f>
        <v>1</v>
      </c>
      <c r="I330" s="84">
        <f>IF(VLOOKUP($A330,SiteAttendu!$A$2:$P$366,10,0)="NA","NA",COUNTIFS(soccode,$A330,socprog,"PNSME/MEDICAMENTS ET INTRANTS",soctrans,"OUI"))</f>
        <v>0</v>
      </c>
      <c r="J330" s="84" t="str">
        <f>IF(VLOOKUP($A330,SiteAttendu!$A$2:$P$366,11,0)="NA","NA",COUNTIFS(soccode,$A330,socprog,"PNN/MEDICAMENTS ET INTRANTS",soctrans,"OUI"))</f>
        <v>NA</v>
      </c>
      <c r="K330" s="84" t="str">
        <f>IF(VLOOKUP($A330,SiteAttendu!$A$2:$O$366,15,0)="NA","NA",IF(COUNTIF(socprog,"PNLT/SENSIBLE MEDICAMENTS ET INTRANTS")=0,"NA",COUNTIFS(soccode,$A330,socprog,"PNLT/SENSIBLE MEDICAMENTS ET INTRANTS",soctrans,"OUI")))</f>
        <v>NA</v>
      </c>
      <c r="L330" s="104">
        <f t="shared" ref="L330:S330" si="317">IFERROR(SUMIFS(D$2:D$364,$C$2:$C$364,$C330)/COUNTIFS(D$2:D$364,"&lt;&gt;NA",$C$2:$C$364,$C330),"")</f>
        <v>1</v>
      </c>
      <c r="M330" s="104">
        <f t="shared" si="317"/>
        <v>1</v>
      </c>
      <c r="N330" s="104">
        <f t="shared" si="317"/>
        <v>1</v>
      </c>
      <c r="O330" s="104">
        <f t="shared" si="317"/>
        <v>1</v>
      </c>
      <c r="P330" s="104">
        <f t="shared" si="317"/>
        <v>1</v>
      </c>
      <c r="Q330" s="104">
        <f t="shared" si="317"/>
        <v>0.7272727273</v>
      </c>
      <c r="R330" s="104">
        <f t="shared" si="317"/>
        <v>1</v>
      </c>
      <c r="S330" s="104">
        <f t="shared" si="317"/>
        <v>1</v>
      </c>
      <c r="T330" s="105">
        <f t="shared" si="298"/>
        <v>1</v>
      </c>
      <c r="U330" s="92">
        <f t="shared" si="4"/>
        <v>4</v>
      </c>
      <c r="V330" s="54">
        <f t="shared" si="5"/>
        <v>4</v>
      </c>
    </row>
    <row r="331" ht="15.0" customHeight="1">
      <c r="A331" s="55" t="str">
        <f>SiteAttendu!$A329</f>
        <v>C1008</v>
      </c>
      <c r="B331" s="56" t="str">
        <f>VLOOKUP($A331,SiteAttendu!$A$2:$C$366,2,0)</f>
        <v>HOPITAL GENERAL MAFERE</v>
      </c>
      <c r="C331" s="57" t="str">
        <f>VLOOKUP($A331,SiteAttendu!$A$2:$C$366,3,0)</f>
        <v>SUD-COMOE</v>
      </c>
      <c r="D331" s="58">
        <f>IF(VLOOKUP($A331,SiteAttendu!$A$2:$P$366,4,0)="NA","NA",COUNTIFS(soccode,A331,socprog,"PNLS/ANTIRETROVIRAUX ET IO",soctrans,"OUI"))</f>
        <v>1</v>
      </c>
      <c r="E331" s="58">
        <f>IF(VLOOKUP($A331,SiteAttendu!$A$2:$P$366,5,0)="NA","NA",COUNTIFS(soccode,A331,socprog,"PNLS/TESTS RAPIDES ET CONSOMMABLES",soctrans,"OUI"))</f>
        <v>1</v>
      </c>
      <c r="F331" s="58">
        <f>IF(VLOOKUP($A331,SiteAttendu!$A$2:$P$366,6,0)="NA","NA",COUNTIFS(soccode,A331,socprog,"PNLS/PRODUITS DE LABORATOIRE",soctrans,"OUI"))</f>
        <v>1</v>
      </c>
      <c r="G331" s="58" t="str">
        <f>IF(VLOOKUP($A331,SiteAttendu!$A$2:$P$366,7,0)="NA","NA",COUNTIFS(soccode,A331,socprog,"PNLS/CHARGES VIRALES",soctrans,"OUI"))</f>
        <v>NA</v>
      </c>
      <c r="H331" s="58">
        <f>IF(VLOOKUP($A331,SiteAttendu!$A$2:$P$366,9,0)="NA","NA",COUNTIFS(soccode,A331,socprog,"PNLP/MEDICAMENTS ET INTRANTS",soctrans,"OUI"))</f>
        <v>1</v>
      </c>
      <c r="I331" s="58">
        <f>IF(VLOOKUP($A331,SiteAttendu!$A$2:$P$366,10,0)="NA","NA",COUNTIFS(soccode,$A331,socprog,"PNSME/MEDICAMENTS ET INTRANTS",soctrans,"OUI"))</f>
        <v>0</v>
      </c>
      <c r="J331" s="58" t="str">
        <f>IF(VLOOKUP($A331,SiteAttendu!$A$2:$P$366,11,0)="NA","NA",COUNTIFS(soccode,$A331,socprog,"PNN/MEDICAMENTS ET INTRANTS",soctrans,"OUI"))</f>
        <v>NA</v>
      </c>
      <c r="K331" s="58">
        <f>IF(VLOOKUP($A331,SiteAttendu!$A$2:$O$366,15,0)="NA","NA",IF(COUNTIF(socprog,"PNLT/SENSIBLE MEDICAMENTS ET INTRANTS")=0,"NA",COUNTIFS(soccode,$A331,socprog,"PNLT/SENSIBLE MEDICAMENTS ET INTRANTS",soctrans,"OUI")))</f>
        <v>1</v>
      </c>
      <c r="L331" s="100"/>
      <c r="M331" s="100">
        <f t="shared" ref="M331:S331" si="318">IFERROR(SUMIFS(E$2:E$364,$C$2:$C$364,$C331)/COUNTIFS(E$2:E$364,"&lt;&gt;NA",$C$2:$C$364,$C331),"")</f>
        <v>1</v>
      </c>
      <c r="N331" s="100">
        <f t="shared" si="318"/>
        <v>1</v>
      </c>
      <c r="O331" s="100">
        <f t="shared" si="318"/>
        <v>1</v>
      </c>
      <c r="P331" s="100">
        <f t="shared" si="318"/>
        <v>1</v>
      </c>
      <c r="Q331" s="100">
        <f t="shared" si="318"/>
        <v>0.7272727273</v>
      </c>
      <c r="R331" s="100">
        <f t="shared" si="318"/>
        <v>1</v>
      </c>
      <c r="S331" s="100">
        <f t="shared" si="318"/>
        <v>1</v>
      </c>
      <c r="T331" s="101">
        <f t="shared" si="298"/>
        <v>1</v>
      </c>
      <c r="U331" s="92">
        <f t="shared" si="4"/>
        <v>3</v>
      </c>
      <c r="V331" s="54">
        <f t="shared" si="5"/>
        <v>3</v>
      </c>
    </row>
    <row r="332" ht="15.0" customHeight="1">
      <c r="A332" s="55" t="str">
        <f>SiteAttendu!$A330</f>
        <v>C1043</v>
      </c>
      <c r="B332" s="56" t="str">
        <f>VLOOKUP($A332,SiteAttendu!$A$2:$C$366,2,0)</f>
        <v>DISTRICT SANITAIRE ABOISSO</v>
      </c>
      <c r="C332" s="57" t="str">
        <f>VLOOKUP($A332,SiteAttendu!$A$2:$C$366,3,0)</f>
        <v>SUD-COMOE</v>
      </c>
      <c r="D332" s="58">
        <f>IF(VLOOKUP($A332,SiteAttendu!$A$2:$P$366,4,0)="NA","NA",COUNTIFS(soccode,A332,socprog,"PNLS/ANTIRETROVIRAUX ET IO",soctrans,"OUI"))</f>
        <v>1</v>
      </c>
      <c r="E332" s="58">
        <f>IF(VLOOKUP($A332,SiteAttendu!$A$2:$P$366,5,0)="NA","NA",COUNTIFS(soccode,A332,socprog,"PNLS/TESTS RAPIDES ET CONSOMMABLES",soctrans,"OUI"))</f>
        <v>1</v>
      </c>
      <c r="F332" s="58" t="str">
        <f>IF(VLOOKUP($A332,SiteAttendu!$A$2:$P$366,6,0)="NA","NA",COUNTIFS(soccode,A332,socprog,"PNLS/PRODUITS DE LABORATOIRE",soctrans,"OUI"))</f>
        <v>NA</v>
      </c>
      <c r="G332" s="58" t="str">
        <f>IF(VLOOKUP($A332,SiteAttendu!$A$2:$P$366,7,0)="NA","NA",COUNTIFS(soccode,A332,socprog,"PNLS/CHARGES VIRALES",soctrans,"OUI"))</f>
        <v>NA</v>
      </c>
      <c r="H332" s="58">
        <f>IF(VLOOKUP($A332,SiteAttendu!$A$2:$P$366,9,0)="NA","NA",COUNTIFS(soccode,A332,socprog,"PNLP/MEDICAMENTS ET INTRANTS",soctrans,"OUI"))</f>
        <v>1</v>
      </c>
      <c r="I332" s="58">
        <f>IF(VLOOKUP($A332,SiteAttendu!$A$2:$P$366,10,0)="NA","NA",COUNTIFS(soccode,$A332,socprog,"PNSME/MEDICAMENTS ET INTRANTS",soctrans,"OUI"))</f>
        <v>0</v>
      </c>
      <c r="J332" s="58" t="str">
        <f>IF(VLOOKUP($A332,SiteAttendu!$A$2:$P$366,11,0)="NA","NA",COUNTIFS(soccode,$A332,socprog,"PNN/MEDICAMENTS ET INTRANTS",soctrans,"OUI"))</f>
        <v>NA</v>
      </c>
      <c r="K332" s="58">
        <f>IF(VLOOKUP($A332,SiteAttendu!$A$2:$O$366,15,0)="NA","NA",IF(COUNTIF(socprog,"PNLT/SENSIBLE MEDICAMENTS ET INTRANTS")=0,"NA",COUNTIFS(soccode,$A332,socprog,"PNLT/SENSIBLE MEDICAMENTS ET INTRANTS",soctrans,"OUI")))</f>
        <v>1</v>
      </c>
      <c r="L332" s="100"/>
      <c r="M332" s="100">
        <f t="shared" ref="M332:S332" si="319">IFERROR(SUMIFS(E$2:E$364,$C$2:$C$364,$C332)/COUNTIFS(E$2:E$364,"&lt;&gt;NA",$C$2:$C$364,$C332),"")</f>
        <v>1</v>
      </c>
      <c r="N332" s="100">
        <f t="shared" si="319"/>
        <v>1</v>
      </c>
      <c r="O332" s="100">
        <f t="shared" si="319"/>
        <v>1</v>
      </c>
      <c r="P332" s="100">
        <f t="shared" si="319"/>
        <v>1</v>
      </c>
      <c r="Q332" s="100">
        <f t="shared" si="319"/>
        <v>0.7272727273</v>
      </c>
      <c r="R332" s="100">
        <f t="shared" si="319"/>
        <v>1</v>
      </c>
      <c r="S332" s="100">
        <f t="shared" si="319"/>
        <v>1</v>
      </c>
      <c r="T332" s="101">
        <f t="shared" si="298"/>
        <v>1</v>
      </c>
      <c r="U332" s="92">
        <f t="shared" si="4"/>
        <v>2</v>
      </c>
      <c r="V332" s="54">
        <f t="shared" si="5"/>
        <v>2</v>
      </c>
    </row>
    <row r="333" ht="15.0" customHeight="1">
      <c r="A333" s="55" t="str">
        <f>SiteAttendu!$A331</f>
        <v>C1085</v>
      </c>
      <c r="B333" s="56" t="str">
        <f>VLOOKUP($A333,SiteAttendu!$A$2:$C$366,2,0)</f>
        <v>HOPITAL GENERAL AYAME</v>
      </c>
      <c r="C333" s="57" t="str">
        <f>VLOOKUP($A333,SiteAttendu!$A$2:$C$366,3,0)</f>
        <v>SUD-COMOE</v>
      </c>
      <c r="D333" s="58">
        <f>IF(VLOOKUP($A333,SiteAttendu!$A$2:$P$366,4,0)="NA","NA",COUNTIFS(soccode,A333,socprog,"PNLS/ANTIRETROVIRAUX ET IO",soctrans,"OUI"))</f>
        <v>1</v>
      </c>
      <c r="E333" s="58">
        <f>IF(VLOOKUP($A333,SiteAttendu!$A$2:$P$366,5,0)="NA","NA",COUNTIFS(soccode,A333,socprog,"PNLS/TESTS RAPIDES ET CONSOMMABLES",soctrans,"OUI"))</f>
        <v>1</v>
      </c>
      <c r="F333" s="58">
        <f>IF(VLOOKUP($A333,SiteAttendu!$A$2:$P$366,6,0)="NA","NA",COUNTIFS(soccode,A333,socprog,"PNLS/PRODUITS DE LABORATOIRE",soctrans,"OUI"))</f>
        <v>1</v>
      </c>
      <c r="G333" s="58" t="str">
        <f>IF(VLOOKUP($A333,SiteAttendu!$A$2:$P$366,7,0)="NA","NA",COUNTIFS(soccode,A333,socprog,"PNLS/CHARGES VIRALES",soctrans,"OUI"))</f>
        <v>NA</v>
      </c>
      <c r="H333" s="58">
        <f>IF(VLOOKUP($A333,SiteAttendu!$A$2:$P$366,9,0)="NA","NA",COUNTIFS(soccode,A333,socprog,"PNLP/MEDICAMENTS ET INTRANTS",soctrans,"OUI"))</f>
        <v>1</v>
      </c>
      <c r="I333" s="58">
        <f>IF(VLOOKUP($A333,SiteAttendu!$A$2:$P$366,10,0)="NA","NA",COUNTIFS(soccode,$A333,socprog,"PNSME/MEDICAMENTS ET INTRANTS",soctrans,"OUI"))</f>
        <v>1</v>
      </c>
      <c r="J333" s="58" t="str">
        <f>IF(VLOOKUP($A333,SiteAttendu!$A$2:$P$366,11,0)="NA","NA",COUNTIFS(soccode,$A333,socprog,"PNN/MEDICAMENTS ET INTRANTS",soctrans,"OUI"))</f>
        <v>NA</v>
      </c>
      <c r="K333" s="58">
        <f>IF(VLOOKUP($A333,SiteAttendu!$A$2:$O$366,15,0)="NA","NA",IF(COUNTIF(socprog,"PNLT/SENSIBLE MEDICAMENTS ET INTRANTS")=0,"NA",COUNTIFS(soccode,$A333,socprog,"PNLT/SENSIBLE MEDICAMENTS ET INTRANTS",soctrans,"OUI")))</f>
        <v>1</v>
      </c>
      <c r="L333" s="100"/>
      <c r="M333" s="100">
        <f t="shared" ref="M333:S333" si="320">IFERROR(SUMIFS(E$2:E$364,$C$2:$C$364,$C333)/COUNTIFS(E$2:E$364,"&lt;&gt;NA",$C$2:$C$364,$C333),"")</f>
        <v>1</v>
      </c>
      <c r="N333" s="100">
        <f t="shared" si="320"/>
        <v>1</v>
      </c>
      <c r="O333" s="100">
        <f t="shared" si="320"/>
        <v>1</v>
      </c>
      <c r="P333" s="100">
        <f t="shared" si="320"/>
        <v>1</v>
      </c>
      <c r="Q333" s="100">
        <f t="shared" si="320"/>
        <v>0.7272727273</v>
      </c>
      <c r="R333" s="100">
        <f t="shared" si="320"/>
        <v>1</v>
      </c>
      <c r="S333" s="100">
        <f t="shared" si="320"/>
        <v>1</v>
      </c>
      <c r="T333" s="101">
        <f t="shared" si="298"/>
        <v>1</v>
      </c>
      <c r="U333" s="92">
        <f t="shared" si="4"/>
        <v>3</v>
      </c>
      <c r="V333" s="54">
        <f t="shared" si="5"/>
        <v>3</v>
      </c>
    </row>
    <row r="334" ht="15.0" customHeight="1">
      <c r="A334" s="55" t="str">
        <f>SiteAttendu!$A332</f>
        <v>C1750</v>
      </c>
      <c r="B334" s="56" t="str">
        <f>VLOOKUP($A334,SiteAttendu!$A$2:$C$366,2,0)</f>
        <v>CENTRE ANTITUBERCULEUX ABOISSO</v>
      </c>
      <c r="C334" s="57" t="str">
        <f>VLOOKUP($A334,SiteAttendu!$A$2:$C$366,3,0)</f>
        <v>SUD-COMOE</v>
      </c>
      <c r="D334" s="58" t="str">
        <f>IF(VLOOKUP($A334,SiteAttendu!$A$2:$P$366,4,0)="NA","NA",COUNTIFS(soccode,A334,socprog,"PNLS/ANTIRETROVIRAUX ET IO",soctrans,"OUI"))</f>
        <v>NA</v>
      </c>
      <c r="E334" s="58" t="str">
        <f>IF(VLOOKUP($A334,SiteAttendu!$A$2:$P$366,5,0)="NA","NA",COUNTIFS(soccode,A334,socprog,"PNLS/TESTS RAPIDES ET CONSOMMABLES",soctrans,"OUI"))</f>
        <v>NA</v>
      </c>
      <c r="F334" s="58" t="str">
        <f>IF(VLOOKUP($A334,SiteAttendu!$A$2:$P$366,6,0)="NA","NA",COUNTIFS(soccode,A334,socprog,"PNLS/PRODUITS DE LABORATOIRE",soctrans,"OUI"))</f>
        <v>NA</v>
      </c>
      <c r="G334" s="58" t="str">
        <f>IF(VLOOKUP($A334,SiteAttendu!$A$2:$P$366,7,0)="NA","NA",COUNTIFS(soccode,A334,socprog,"PNLS/CHARGES VIRALES",soctrans,"OUI"))</f>
        <v>NA</v>
      </c>
      <c r="H334" s="58" t="str">
        <f>IF(VLOOKUP($A334,SiteAttendu!$A$2:$P$366,9,0)="NA","NA",COUNTIFS(soccode,A334,socprog,"PNLP/MEDICAMENTS ET INTRANTS",soctrans,"OUI"))</f>
        <v>NA</v>
      </c>
      <c r="I334" s="58" t="str">
        <f>IF(VLOOKUP($A334,SiteAttendu!$A$2:$P$366,10,0)="NA","NA",COUNTIFS(soccode,$A334,socprog,"PNSME/MEDICAMENTS ET INTRANTS",soctrans,"OUI"))</f>
        <v>NA</v>
      </c>
      <c r="J334" s="58" t="str">
        <f>IF(VLOOKUP($A334,SiteAttendu!$A$2:$P$366,11,0)="NA","NA",COUNTIFS(soccode,$A334,socprog,"PNN/MEDICAMENTS ET INTRANTS",soctrans,"OUI"))</f>
        <v>NA</v>
      </c>
      <c r="K334" s="58">
        <f>IF(VLOOKUP($A334,SiteAttendu!$A$2:$O$366,15,0)="NA","NA",IF(COUNTIF(socprog,"PNLT/SENSIBLE MEDICAMENTS ET INTRANTS")=0,"NA",COUNTIFS(soccode,$A334,socprog,"PNLT/SENSIBLE MEDICAMENTS ET INTRANTS",soctrans,"OUI")))</f>
        <v>1</v>
      </c>
      <c r="L334" s="100"/>
      <c r="M334" s="100">
        <f t="shared" ref="M334:S334" si="321">IFERROR(SUMIFS(E$2:E$364,$C$2:$C$364,$C334)/COUNTIFS(E$2:E$364,"&lt;&gt;NA",$C$2:$C$364,$C334),"")</f>
        <v>1</v>
      </c>
      <c r="N334" s="100">
        <f t="shared" si="321"/>
        <v>1</v>
      </c>
      <c r="O334" s="100">
        <f t="shared" si="321"/>
        <v>1</v>
      </c>
      <c r="P334" s="100">
        <f t="shared" si="321"/>
        <v>1</v>
      </c>
      <c r="Q334" s="100">
        <f t="shared" si="321"/>
        <v>0.7272727273</v>
      </c>
      <c r="R334" s="100">
        <f t="shared" si="321"/>
        <v>1</v>
      </c>
      <c r="S334" s="100">
        <f t="shared" si="321"/>
        <v>1</v>
      </c>
      <c r="T334" s="101">
        <f t="shared" si="298"/>
        <v>1</v>
      </c>
      <c r="U334" s="92">
        <f t="shared" si="4"/>
        <v>0</v>
      </c>
      <c r="V334" s="54">
        <f t="shared" si="5"/>
        <v>0</v>
      </c>
    </row>
    <row r="335" ht="15.0" customHeight="1">
      <c r="A335" s="55" t="str">
        <f>SiteAttendu!$A333</f>
        <v>C1044</v>
      </c>
      <c r="B335" s="56" t="str">
        <f>VLOOKUP($A335,SiteAttendu!$A$2:$C$366,2,0)</f>
        <v>DISTRICT SANITAIRE ADIAKE</v>
      </c>
      <c r="C335" s="57" t="str">
        <f>VLOOKUP($A335,SiteAttendu!$A$2:$C$366,3,0)</f>
        <v>SUD-COMOE</v>
      </c>
      <c r="D335" s="58">
        <f>IF(VLOOKUP($A335,SiteAttendu!$A$2:$P$366,4,0)="NA","NA",COUNTIFS(soccode,A335,socprog,"PNLS/ANTIRETROVIRAUX ET IO",soctrans,"OUI"))</f>
        <v>1</v>
      </c>
      <c r="E335" s="58">
        <f>IF(VLOOKUP($A335,SiteAttendu!$A$2:$P$366,5,0)="NA","NA",COUNTIFS(soccode,A335,socprog,"PNLS/TESTS RAPIDES ET CONSOMMABLES",soctrans,"OUI"))</f>
        <v>1</v>
      </c>
      <c r="F335" s="58" t="str">
        <f>IF(VLOOKUP($A335,SiteAttendu!$A$2:$P$366,6,0)="NA","NA",COUNTIFS(soccode,A335,socprog,"PNLS/PRODUITS DE LABORATOIRE",soctrans,"OUI"))</f>
        <v>NA</v>
      </c>
      <c r="G335" s="58" t="str">
        <f>IF(VLOOKUP($A335,SiteAttendu!$A$2:$P$366,7,0)="NA","NA",COUNTIFS(soccode,A335,socprog,"PNLS/CHARGES VIRALES",soctrans,"OUI"))</f>
        <v>NA</v>
      </c>
      <c r="H335" s="58">
        <f>IF(VLOOKUP($A335,SiteAttendu!$A$2:$P$366,9,0)="NA","NA",COUNTIFS(soccode,A335,socprog,"PNLP/MEDICAMENTS ET INTRANTS",soctrans,"OUI"))</f>
        <v>1</v>
      </c>
      <c r="I335" s="58">
        <f>IF(VLOOKUP($A335,SiteAttendu!$A$2:$P$366,10,0)="NA","NA",COUNTIFS(soccode,$A335,socprog,"PNSME/MEDICAMENTS ET INTRANTS",soctrans,"OUI"))</f>
        <v>1</v>
      </c>
      <c r="J335" s="58" t="str">
        <f>IF(VLOOKUP($A335,SiteAttendu!$A$2:$P$366,11,0)="NA","NA",COUNTIFS(soccode,$A335,socprog,"PNN/MEDICAMENTS ET INTRANTS",soctrans,"OUI"))</f>
        <v>NA</v>
      </c>
      <c r="K335" s="58" t="str">
        <f>IF(VLOOKUP($A335,SiteAttendu!$A$2:$O$366,15,0)="NA","NA",IF(COUNTIF(socprog,"PNLT/SENSIBLE MEDICAMENTS ET INTRANTS")=0,"NA",COUNTIFS(soccode,$A335,socprog,"PNLT/SENSIBLE MEDICAMENTS ET INTRANTS",soctrans,"OUI")))</f>
        <v>NA</v>
      </c>
      <c r="L335" s="100"/>
      <c r="M335" s="100">
        <f t="shared" ref="M335:S335" si="322">IFERROR(SUMIFS(E$2:E$364,$C$2:$C$364,$C335)/COUNTIFS(E$2:E$364,"&lt;&gt;NA",$C$2:$C$364,$C335),"")</f>
        <v>1</v>
      </c>
      <c r="N335" s="100">
        <f t="shared" si="322"/>
        <v>1</v>
      </c>
      <c r="O335" s="100">
        <f t="shared" si="322"/>
        <v>1</v>
      </c>
      <c r="P335" s="100">
        <f t="shared" si="322"/>
        <v>1</v>
      </c>
      <c r="Q335" s="100">
        <f t="shared" si="322"/>
        <v>0.7272727273</v>
      </c>
      <c r="R335" s="100">
        <f t="shared" si="322"/>
        <v>1</v>
      </c>
      <c r="S335" s="100">
        <f t="shared" si="322"/>
        <v>1</v>
      </c>
      <c r="T335" s="101">
        <f t="shared" si="298"/>
        <v>1</v>
      </c>
      <c r="U335" s="92">
        <f t="shared" si="4"/>
        <v>2</v>
      </c>
      <c r="V335" s="54">
        <f t="shared" si="5"/>
        <v>2</v>
      </c>
    </row>
    <row r="336" ht="15.0" customHeight="1">
      <c r="A336" s="55" t="str">
        <f>SiteAttendu!$A334</f>
        <v>C1082</v>
      </c>
      <c r="B336" s="56" t="str">
        <f>VLOOKUP($A336,SiteAttendu!$A$2:$C$366,2,0)</f>
        <v>HOPITAL GENERAL ADIAKE</v>
      </c>
      <c r="C336" s="57" t="str">
        <f>VLOOKUP($A336,SiteAttendu!$A$2:$C$366,3,0)</f>
        <v>SUD-COMOE</v>
      </c>
      <c r="D336" s="58">
        <f>IF(VLOOKUP($A336,SiteAttendu!$A$2:$P$366,4,0)="NA","NA",COUNTIFS(soccode,A336,socprog,"PNLS/ANTIRETROVIRAUX ET IO",soctrans,"OUI"))</f>
        <v>1</v>
      </c>
      <c r="E336" s="58">
        <f>IF(VLOOKUP($A336,SiteAttendu!$A$2:$P$366,5,0)="NA","NA",COUNTIFS(soccode,A336,socprog,"PNLS/TESTS RAPIDES ET CONSOMMABLES",soctrans,"OUI"))</f>
        <v>1</v>
      </c>
      <c r="F336" s="58">
        <f>IF(VLOOKUP($A336,SiteAttendu!$A$2:$P$366,6,0)="NA","NA",COUNTIFS(soccode,A336,socprog,"PNLS/PRODUITS DE LABORATOIRE",soctrans,"OUI"))</f>
        <v>1</v>
      </c>
      <c r="G336" s="58" t="str">
        <f>IF(VLOOKUP($A336,SiteAttendu!$A$2:$P$366,7,0)="NA","NA",COUNTIFS(soccode,A336,socprog,"PNLS/CHARGES VIRALES",soctrans,"OUI"))</f>
        <v>NA</v>
      </c>
      <c r="H336" s="58">
        <f>IF(VLOOKUP($A336,SiteAttendu!$A$2:$P$366,9,0)="NA","NA",COUNTIFS(soccode,A336,socprog,"PNLP/MEDICAMENTS ET INTRANTS",soctrans,"OUI"))</f>
        <v>1</v>
      </c>
      <c r="I336" s="58">
        <f>IF(VLOOKUP($A336,SiteAttendu!$A$2:$P$366,10,0)="NA","NA",COUNTIFS(soccode,$A336,socprog,"PNSME/MEDICAMENTS ET INTRANTS",soctrans,"OUI"))</f>
        <v>1</v>
      </c>
      <c r="J336" s="58" t="str">
        <f>IF(VLOOKUP($A336,SiteAttendu!$A$2:$P$366,11,0)="NA","NA",COUNTIFS(soccode,$A336,socprog,"PNN/MEDICAMENTS ET INTRANTS",soctrans,"OUI"))</f>
        <v>NA</v>
      </c>
      <c r="K336" s="58">
        <f>IF(VLOOKUP($A336,SiteAttendu!$A$2:$O$366,15,0)="NA","NA",IF(COUNTIF(socprog,"PNLT/SENSIBLE MEDICAMENTS ET INTRANTS")=0,"NA",COUNTIFS(soccode,$A336,socprog,"PNLT/SENSIBLE MEDICAMENTS ET INTRANTS",soctrans,"OUI")))</f>
        <v>1</v>
      </c>
      <c r="L336" s="100"/>
      <c r="M336" s="100">
        <f t="shared" ref="M336:S336" si="323">IFERROR(SUMIFS(E$2:E$364,$C$2:$C$364,$C336)/COUNTIFS(E$2:E$364,"&lt;&gt;NA",$C$2:$C$364,$C336),"")</f>
        <v>1</v>
      </c>
      <c r="N336" s="100">
        <f t="shared" si="323"/>
        <v>1</v>
      </c>
      <c r="O336" s="100">
        <f t="shared" si="323"/>
        <v>1</v>
      </c>
      <c r="P336" s="100">
        <f t="shared" si="323"/>
        <v>1</v>
      </c>
      <c r="Q336" s="100">
        <f t="shared" si="323"/>
        <v>0.7272727273</v>
      </c>
      <c r="R336" s="100">
        <f t="shared" si="323"/>
        <v>1</v>
      </c>
      <c r="S336" s="100">
        <f t="shared" si="323"/>
        <v>1</v>
      </c>
      <c r="T336" s="101">
        <f t="shared" si="298"/>
        <v>1</v>
      </c>
      <c r="U336" s="92">
        <f t="shared" si="4"/>
        <v>3</v>
      </c>
      <c r="V336" s="54">
        <f t="shared" si="5"/>
        <v>3</v>
      </c>
    </row>
    <row r="337" ht="15.0" customHeight="1">
      <c r="A337" s="55" t="str">
        <f>SiteAttendu!$A335</f>
        <v>C1679</v>
      </c>
      <c r="B337" s="56" t="str">
        <f>VLOOKUP($A337,SiteAttendu!$A$2:$C$366,2,0)</f>
        <v>HOPITAL GENERAL TIAPOUM</v>
      </c>
      <c r="C337" s="57" t="str">
        <f>VLOOKUP($A337,SiteAttendu!$A$2:$C$366,3,0)</f>
        <v>SUD-COMOE</v>
      </c>
      <c r="D337" s="58">
        <f>IF(VLOOKUP($A337,SiteAttendu!$A$2:$P$366,4,0)="NA","NA",COUNTIFS(soccode,A337,socprog,"PNLS/ANTIRETROVIRAUX ET IO",soctrans,"OUI"))</f>
        <v>1</v>
      </c>
      <c r="E337" s="58">
        <f>IF(VLOOKUP($A337,SiteAttendu!$A$2:$P$366,5,0)="NA","NA",COUNTIFS(soccode,A337,socprog,"PNLS/TESTS RAPIDES ET CONSOMMABLES",soctrans,"OUI"))</f>
        <v>1</v>
      </c>
      <c r="F337" s="58">
        <f>IF(VLOOKUP($A337,SiteAttendu!$A$2:$P$366,6,0)="NA","NA",COUNTIFS(soccode,A337,socprog,"PNLS/PRODUITS DE LABORATOIRE",soctrans,"OUI"))</f>
        <v>1</v>
      </c>
      <c r="G337" s="58" t="str">
        <f>IF(VLOOKUP($A337,SiteAttendu!$A$2:$P$366,7,0)="NA","NA",COUNTIFS(soccode,A337,socprog,"PNLS/CHARGES VIRALES",soctrans,"OUI"))</f>
        <v>NA</v>
      </c>
      <c r="H337" s="58">
        <f>IF(VLOOKUP($A337,SiteAttendu!$A$2:$P$366,9,0)="NA","NA",COUNTIFS(soccode,A337,socprog,"PNLP/MEDICAMENTS ET INTRANTS",soctrans,"OUI"))</f>
        <v>1</v>
      </c>
      <c r="I337" s="58">
        <f>IF(VLOOKUP($A337,SiteAttendu!$A$2:$P$366,10,0)="NA","NA",COUNTIFS(soccode,$A337,socprog,"PNSME/MEDICAMENTS ET INTRANTS",soctrans,"OUI"))</f>
        <v>1</v>
      </c>
      <c r="J337" s="58" t="str">
        <f>IF(VLOOKUP($A337,SiteAttendu!$A$2:$P$366,11,0)="NA","NA",COUNTIFS(soccode,$A337,socprog,"PNN/MEDICAMENTS ET INTRANTS",soctrans,"OUI"))</f>
        <v>NA</v>
      </c>
      <c r="K337" s="58" t="str">
        <f>IF(VLOOKUP($A337,SiteAttendu!$A$2:$O$366,15,0)="NA","NA",IF(COUNTIF(socprog,"PNLT/SENSIBLE MEDICAMENTS ET INTRANTS")=0,"NA",COUNTIFS(soccode,$A337,socprog,"PNLT/SENSIBLE MEDICAMENTS ET INTRANTS",soctrans,"OUI")))</f>
        <v>NA</v>
      </c>
      <c r="L337" s="100"/>
      <c r="M337" s="100">
        <f t="shared" ref="M337:S337" si="324">IFERROR(SUMIFS(E$2:E$364,$C$2:$C$364,$C337)/COUNTIFS(E$2:E$364,"&lt;&gt;NA",$C$2:$C$364,$C337),"")</f>
        <v>1</v>
      </c>
      <c r="N337" s="100">
        <f t="shared" si="324"/>
        <v>1</v>
      </c>
      <c r="O337" s="100">
        <f t="shared" si="324"/>
        <v>1</v>
      </c>
      <c r="P337" s="100">
        <f t="shared" si="324"/>
        <v>1</v>
      </c>
      <c r="Q337" s="100">
        <f t="shared" si="324"/>
        <v>0.7272727273</v>
      </c>
      <c r="R337" s="100">
        <f t="shared" si="324"/>
        <v>1</v>
      </c>
      <c r="S337" s="100">
        <f t="shared" si="324"/>
        <v>1</v>
      </c>
      <c r="T337" s="101">
        <f t="shared" si="298"/>
        <v>1</v>
      </c>
      <c r="U337" s="92">
        <f t="shared" si="4"/>
        <v>3</v>
      </c>
      <c r="V337" s="54">
        <f t="shared" si="5"/>
        <v>3</v>
      </c>
    </row>
    <row r="338" ht="15.0" customHeight="1">
      <c r="A338" s="55" t="str">
        <f>SiteAttendu!$A336</f>
        <v>C1048</v>
      </c>
      <c r="B338" s="56" t="str">
        <f>VLOOKUP($A338,SiteAttendu!$A$2:$C$366,2,0)</f>
        <v>DISTRICT SANITAIRE GRAND-BASSAM</v>
      </c>
      <c r="C338" s="57" t="str">
        <f>VLOOKUP($A338,SiteAttendu!$A$2:$C$366,3,0)</f>
        <v>SUD-COMOE</v>
      </c>
      <c r="D338" s="58">
        <f>IF(VLOOKUP($A338,SiteAttendu!$A$2:$P$366,4,0)="NA","NA",COUNTIFS(soccode,A338,socprog,"PNLS/ANTIRETROVIRAUX ET IO",soctrans,"OUI"))</f>
        <v>1</v>
      </c>
      <c r="E338" s="58">
        <f>IF(VLOOKUP($A338,SiteAttendu!$A$2:$P$366,5,0)="NA","NA",COUNTIFS(soccode,A338,socprog,"PNLS/TESTS RAPIDES ET CONSOMMABLES",soctrans,"OUI"))</f>
        <v>1</v>
      </c>
      <c r="F338" s="58">
        <f>IF(VLOOKUP($A338,SiteAttendu!$A$2:$P$366,6,0)="NA","NA",COUNTIFS(soccode,A338,socprog,"PNLS/PRODUITS DE LABORATOIRE",soctrans,"OUI"))</f>
        <v>1</v>
      </c>
      <c r="G338" s="58" t="str">
        <f>IF(VLOOKUP($A338,SiteAttendu!$A$2:$P$366,7,0)="NA","NA",COUNTIFS(soccode,A338,socprog,"PNLS/CHARGES VIRALES",soctrans,"OUI"))</f>
        <v>NA</v>
      </c>
      <c r="H338" s="58">
        <f>IF(VLOOKUP($A338,SiteAttendu!$A$2:$P$366,9,0)="NA","NA",COUNTIFS(soccode,A338,socprog,"PNLP/MEDICAMENTS ET INTRANTS",soctrans,"OUI"))</f>
        <v>1</v>
      </c>
      <c r="I338" s="58">
        <f>IF(VLOOKUP($A338,SiteAttendu!$A$2:$P$366,10,0)="NA","NA",COUNTIFS(soccode,$A338,socprog,"PNSME/MEDICAMENTS ET INTRANTS",soctrans,"OUI"))</f>
        <v>1</v>
      </c>
      <c r="J338" s="58">
        <f>IF(VLOOKUP($A338,SiteAttendu!$A$2:$P$366,11,0)="NA","NA",COUNTIFS(soccode,$A338,socprog,"PNN/MEDICAMENTS ET INTRANTS",soctrans,"OUI"))</f>
        <v>1</v>
      </c>
      <c r="K338" s="58" t="str">
        <f>IF(VLOOKUP($A338,SiteAttendu!$A$2:$O$366,15,0)="NA","NA",IF(COUNTIF(socprog,"PNLT/SENSIBLE MEDICAMENTS ET INTRANTS")=0,"NA",COUNTIFS(soccode,$A338,socprog,"PNLT/SENSIBLE MEDICAMENTS ET INTRANTS",soctrans,"OUI")))</f>
        <v>NA</v>
      </c>
      <c r="L338" s="100"/>
      <c r="M338" s="100">
        <f t="shared" ref="M338:S338" si="325">IFERROR(SUMIFS(E$2:E$364,$C$2:$C$364,$C338)/COUNTIFS(E$2:E$364,"&lt;&gt;NA",$C$2:$C$364,$C338),"")</f>
        <v>1</v>
      </c>
      <c r="N338" s="100">
        <f t="shared" si="325"/>
        <v>1</v>
      </c>
      <c r="O338" s="100">
        <f t="shared" si="325"/>
        <v>1</v>
      </c>
      <c r="P338" s="100">
        <f t="shared" si="325"/>
        <v>1</v>
      </c>
      <c r="Q338" s="100">
        <f t="shared" si="325"/>
        <v>0.7272727273</v>
      </c>
      <c r="R338" s="100">
        <f t="shared" si="325"/>
        <v>1</v>
      </c>
      <c r="S338" s="100">
        <f t="shared" si="325"/>
        <v>1</v>
      </c>
      <c r="T338" s="101">
        <f t="shared" si="298"/>
        <v>1</v>
      </c>
      <c r="U338" s="92">
        <f t="shared" si="4"/>
        <v>3</v>
      </c>
      <c r="V338" s="54">
        <f t="shared" si="5"/>
        <v>3</v>
      </c>
    </row>
    <row r="339" ht="15.0" customHeight="1">
      <c r="A339" s="55" t="str">
        <f>SiteAttendu!$A337</f>
        <v>C1087</v>
      </c>
      <c r="B339" s="56" t="str">
        <f>VLOOKUP($A339,SiteAttendu!$A$2:$C$366,2,0)</f>
        <v>HOPITAL GENERAL BONOUA</v>
      </c>
      <c r="C339" s="57" t="str">
        <f>VLOOKUP($A339,SiteAttendu!$A$2:$C$366,3,0)</f>
        <v>SUD-COMOE</v>
      </c>
      <c r="D339" s="58">
        <f>IF(VLOOKUP($A339,SiteAttendu!$A$2:$P$366,4,0)="NA","NA",COUNTIFS(soccode,A339,socprog,"PNLS/ANTIRETROVIRAUX ET IO",soctrans,"OUI"))</f>
        <v>1</v>
      </c>
      <c r="E339" s="58">
        <f>IF(VLOOKUP($A339,SiteAttendu!$A$2:$P$366,5,0)="NA","NA",COUNTIFS(soccode,A339,socprog,"PNLS/TESTS RAPIDES ET CONSOMMABLES",soctrans,"OUI"))</f>
        <v>1</v>
      </c>
      <c r="F339" s="58">
        <f>IF(VLOOKUP($A339,SiteAttendu!$A$2:$P$366,6,0)="NA","NA",COUNTIFS(soccode,A339,socprog,"PNLS/PRODUITS DE LABORATOIRE",soctrans,"OUI"))</f>
        <v>1</v>
      </c>
      <c r="G339" s="58" t="str">
        <f>IF(VLOOKUP($A339,SiteAttendu!$A$2:$P$366,7,0)="NA","NA",COUNTIFS(soccode,A339,socprog,"PNLS/CHARGES VIRALES",soctrans,"OUI"))</f>
        <v>NA</v>
      </c>
      <c r="H339" s="58">
        <f>IF(VLOOKUP($A339,SiteAttendu!$A$2:$P$366,9,0)="NA","NA",COUNTIFS(soccode,A339,socprog,"PNLP/MEDICAMENTS ET INTRANTS",soctrans,"OUI"))</f>
        <v>1</v>
      </c>
      <c r="I339" s="58">
        <f>IF(VLOOKUP($A339,SiteAttendu!$A$2:$P$366,10,0)="NA","NA",COUNTIFS(soccode,$A339,socprog,"PNSME/MEDICAMENTS ET INTRANTS",soctrans,"OUI"))</f>
        <v>1</v>
      </c>
      <c r="J339" s="58" t="str">
        <f>IF(VLOOKUP($A339,SiteAttendu!$A$2:$P$366,11,0)="NA","NA",COUNTIFS(soccode,$A339,socprog,"PNN/MEDICAMENTS ET INTRANTS",soctrans,"OUI"))</f>
        <v>NA</v>
      </c>
      <c r="K339" s="58">
        <f>IF(VLOOKUP($A339,SiteAttendu!$A$2:$O$366,15,0)="NA","NA",IF(COUNTIF(socprog,"PNLT/SENSIBLE MEDICAMENTS ET INTRANTS")=0,"NA",COUNTIFS(soccode,$A339,socprog,"PNLT/SENSIBLE MEDICAMENTS ET INTRANTS",soctrans,"OUI")))</f>
        <v>1</v>
      </c>
      <c r="L339" s="100"/>
      <c r="M339" s="100">
        <f t="shared" ref="M339:S339" si="326">IFERROR(SUMIFS(E$2:E$364,$C$2:$C$364,$C339)/COUNTIFS(E$2:E$364,"&lt;&gt;NA",$C$2:$C$364,$C339),"")</f>
        <v>1</v>
      </c>
      <c r="N339" s="100">
        <f t="shared" si="326"/>
        <v>1</v>
      </c>
      <c r="O339" s="100">
        <f t="shared" si="326"/>
        <v>1</v>
      </c>
      <c r="P339" s="100">
        <f t="shared" si="326"/>
        <v>1</v>
      </c>
      <c r="Q339" s="100">
        <f t="shared" si="326"/>
        <v>0.7272727273</v>
      </c>
      <c r="R339" s="100">
        <f t="shared" si="326"/>
        <v>1</v>
      </c>
      <c r="S339" s="100">
        <f t="shared" si="326"/>
        <v>1</v>
      </c>
      <c r="T339" s="101">
        <f t="shared" si="298"/>
        <v>1</v>
      </c>
      <c r="U339" s="92">
        <f t="shared" si="4"/>
        <v>3</v>
      </c>
      <c r="V339" s="54">
        <f t="shared" si="5"/>
        <v>3</v>
      </c>
    </row>
    <row r="340" ht="15.0" customHeight="1">
      <c r="A340" s="55" t="str">
        <f>SiteAttendu!$A338</f>
        <v>C1090</v>
      </c>
      <c r="B340" s="56" t="str">
        <f>VLOOKUP($A340,SiteAttendu!$A$2:$C$366,2,0)</f>
        <v>HOPITAL GENERAL GRAND-BASSAM</v>
      </c>
      <c r="C340" s="57" t="str">
        <f>VLOOKUP($A340,SiteAttendu!$A$2:$C$366,3,0)</f>
        <v>SUD-COMOE</v>
      </c>
      <c r="D340" s="58">
        <f>IF(VLOOKUP($A340,SiteAttendu!$A$2:$P$366,4,0)="NA","NA",COUNTIFS(soccode,A340,socprog,"PNLS/ANTIRETROVIRAUX ET IO",soctrans,"OUI"))</f>
        <v>1</v>
      </c>
      <c r="E340" s="58">
        <f>IF(VLOOKUP($A340,SiteAttendu!$A$2:$P$366,5,0)="NA","NA",COUNTIFS(soccode,A340,socprog,"PNLS/TESTS RAPIDES ET CONSOMMABLES",soctrans,"OUI"))</f>
        <v>1</v>
      </c>
      <c r="F340" s="58">
        <f>IF(VLOOKUP($A340,SiteAttendu!$A$2:$P$366,6,0)="NA","NA",COUNTIFS(soccode,A340,socprog,"PNLS/PRODUITS DE LABORATOIRE",soctrans,"OUI"))</f>
        <v>1</v>
      </c>
      <c r="G340" s="58">
        <f>IF(VLOOKUP($A340,SiteAttendu!$A$2:$P$366,7,0)="NA","NA",COUNTIFS(soccode,A340,socprog,"PNLS/CHARGES VIRALES",soctrans,"OUI"))</f>
        <v>1</v>
      </c>
      <c r="H340" s="58">
        <f>IF(VLOOKUP($A340,SiteAttendu!$A$2:$P$366,9,0)="NA","NA",COUNTIFS(soccode,A340,socprog,"PNLP/MEDICAMENTS ET INTRANTS",soctrans,"OUI"))</f>
        <v>1</v>
      </c>
      <c r="I340" s="58">
        <f>IF(VLOOKUP($A340,SiteAttendu!$A$2:$P$366,10,0)="NA","NA",COUNTIFS(soccode,$A340,socprog,"PNSME/MEDICAMENTS ET INTRANTS",soctrans,"OUI"))</f>
        <v>1</v>
      </c>
      <c r="J340" s="58">
        <f>IF(VLOOKUP($A340,SiteAttendu!$A$2:$P$366,11,0)="NA","NA",COUNTIFS(soccode,$A340,socprog,"PNN/MEDICAMENTS ET INTRANTS",soctrans,"OUI"))</f>
        <v>1</v>
      </c>
      <c r="K340" s="58">
        <f>IF(VLOOKUP($A340,SiteAttendu!$A$2:$O$366,15,0)="NA","NA",IF(COUNTIF(socprog,"PNLT/SENSIBLE MEDICAMENTS ET INTRANTS")=0,"NA",COUNTIFS(soccode,$A340,socprog,"PNLT/SENSIBLE MEDICAMENTS ET INTRANTS",soctrans,"OUI")))</f>
        <v>1</v>
      </c>
      <c r="L340" s="100"/>
      <c r="M340" s="100">
        <f t="shared" ref="M340:S340" si="327">IFERROR(SUMIFS(E$2:E$364,$C$2:$C$364,$C340)/COUNTIFS(E$2:E$364,"&lt;&gt;NA",$C$2:$C$364,$C340),"")</f>
        <v>1</v>
      </c>
      <c r="N340" s="100">
        <f t="shared" si="327"/>
        <v>1</v>
      </c>
      <c r="O340" s="100">
        <f t="shared" si="327"/>
        <v>1</v>
      </c>
      <c r="P340" s="100">
        <f t="shared" si="327"/>
        <v>1</v>
      </c>
      <c r="Q340" s="100">
        <f t="shared" si="327"/>
        <v>0.7272727273</v>
      </c>
      <c r="R340" s="100">
        <f t="shared" si="327"/>
        <v>1</v>
      </c>
      <c r="S340" s="100">
        <f t="shared" si="327"/>
        <v>1</v>
      </c>
      <c r="T340" s="101">
        <f t="shared" si="298"/>
        <v>1</v>
      </c>
      <c r="U340" s="92">
        <f t="shared" si="4"/>
        <v>4</v>
      </c>
      <c r="V340" s="54">
        <f t="shared" si="5"/>
        <v>4</v>
      </c>
    </row>
    <row r="341" ht="15.0" customHeight="1">
      <c r="A341" s="62" t="str">
        <f>SiteAttendu!$A339</f>
        <v>C1764</v>
      </c>
      <c r="B341" s="63" t="str">
        <f>VLOOKUP($A341,SiteAttendu!$A$2:$C$366,2,0)</f>
        <v>DISTRICT SANITAIRE TIAPOUM</v>
      </c>
      <c r="C341" s="64" t="str">
        <f>VLOOKUP($A341,SiteAttendu!$A$2:$C$366,3,0)</f>
        <v>SUD-COMOE</v>
      </c>
      <c r="D341" s="65">
        <f>IF(VLOOKUP($A341,SiteAttendu!$A$2:$P$366,4,0)="NA","NA",COUNTIFS(soccode,A341,socprog,"PNLS/ANTIRETROVIRAUX ET IO",soctrans,"OUI"))</f>
        <v>1</v>
      </c>
      <c r="E341" s="65">
        <f>IF(VLOOKUP($A341,SiteAttendu!$A$2:$P$366,5,0)="NA","NA",COUNTIFS(soccode,A341,socprog,"PNLS/TESTS RAPIDES ET CONSOMMABLES",soctrans,"OUI"))</f>
        <v>1</v>
      </c>
      <c r="F341" s="65" t="str">
        <f>IF(VLOOKUP($A341,SiteAttendu!$A$2:$P$366,6,0)="NA","NA",COUNTIFS(soccode,A341,socprog,"PNLS/PRODUITS DE LABORATOIRE",soctrans,"OUI"))</f>
        <v>NA</v>
      </c>
      <c r="G341" s="65" t="str">
        <f>IF(VLOOKUP($A341,SiteAttendu!$A$2:$P$366,7,0)="NA","NA",COUNTIFS(soccode,A341,socprog,"PNLS/CHARGES VIRALES",soctrans,"OUI"))</f>
        <v>NA</v>
      </c>
      <c r="H341" s="65">
        <f>IF(VLOOKUP($A341,SiteAttendu!$A$2:$P$366,9,0)="NA","NA",COUNTIFS(soccode,A341,socprog,"PNLP/MEDICAMENTS ET INTRANTS",soctrans,"OUI"))</f>
        <v>1</v>
      </c>
      <c r="I341" s="65">
        <f>IF(VLOOKUP($A341,SiteAttendu!$A$2:$P$366,10,0)="NA","NA",COUNTIFS(soccode,$A341,socprog,"PNSME/MEDICAMENTS ET INTRANTS",soctrans,"OUI"))</f>
        <v>1</v>
      </c>
      <c r="J341" s="65" t="str">
        <f>IF(VLOOKUP($A341,SiteAttendu!$A$2:$P$366,11,0)="NA","NA",COUNTIFS(soccode,$A341,socprog,"PNN/MEDICAMENTS ET INTRANTS",soctrans,"OUI"))</f>
        <v>NA</v>
      </c>
      <c r="K341" s="65" t="str">
        <f>IF(VLOOKUP($A341,SiteAttendu!$A$2:$O$366,15,0)="NA","NA",IF(COUNTIF(socprog,"PNLT/SENSIBLE MEDICAMENTS ET INTRANTS")=0,"NA",COUNTIFS(soccode,$A341,socprog,"PNLT/SENSIBLE MEDICAMENTS ET INTRANTS",soctrans,"OUI")))</f>
        <v>NA</v>
      </c>
      <c r="L341" s="102"/>
      <c r="M341" s="102">
        <f t="shared" ref="M341:S341" si="328">IFERROR(SUMIFS(E$2:E$364,$C$2:$C$364,$C341)/COUNTIFS(E$2:E$364,"&lt;&gt;NA",$C$2:$C$364,$C341),"")</f>
        <v>1</v>
      </c>
      <c r="N341" s="102">
        <f t="shared" si="328"/>
        <v>1</v>
      </c>
      <c r="O341" s="102">
        <f t="shared" si="328"/>
        <v>1</v>
      </c>
      <c r="P341" s="102">
        <f t="shared" si="328"/>
        <v>1</v>
      </c>
      <c r="Q341" s="102">
        <f t="shared" si="328"/>
        <v>0.7272727273</v>
      </c>
      <c r="R341" s="102">
        <f t="shared" si="328"/>
        <v>1</v>
      </c>
      <c r="S341" s="102">
        <f t="shared" si="328"/>
        <v>1</v>
      </c>
      <c r="T341" s="103">
        <f t="shared" si="298"/>
        <v>1</v>
      </c>
      <c r="U341" s="92">
        <f t="shared" si="4"/>
        <v>2</v>
      </c>
      <c r="V341" s="54">
        <f t="shared" si="5"/>
        <v>2</v>
      </c>
    </row>
    <row r="342" ht="15.0" customHeight="1">
      <c r="A342" s="81" t="str">
        <f>SiteAttendu!$A340</f>
        <v>C3004</v>
      </c>
      <c r="B342" s="82" t="str">
        <f>VLOOKUP($A342,SiteAttendu!$A$2:$C$366,2,0)</f>
        <v>DISTRICT SANITAIRE FERKESSEDOUGOU</v>
      </c>
      <c r="C342" s="88" t="str">
        <f>VLOOKUP($A342,SiteAttendu!$A$2:$C$366,3,0)</f>
        <v>TCHOLOGO</v>
      </c>
      <c r="D342" s="84">
        <f>IF(VLOOKUP($A342,SiteAttendu!$A$2:$P$366,4,0)="NA","NA",COUNTIFS(soccode,A342,socprog,"PNLS/ANTIRETROVIRAUX ET IO",soctrans,"OUI"))</f>
        <v>1</v>
      </c>
      <c r="E342" s="84">
        <f>IF(VLOOKUP($A342,SiteAttendu!$A$2:$P$366,5,0)="NA","NA",COUNTIFS(soccode,A342,socprog,"PNLS/TESTS RAPIDES ET CONSOMMABLES",soctrans,"OUI"))</f>
        <v>1</v>
      </c>
      <c r="F342" s="84">
        <f>IF(VLOOKUP($A342,SiteAttendu!$A$2:$P$366,6,0)="NA","NA",COUNTIFS(soccode,A342,socprog,"PNLS/PRODUITS DE LABORATOIRE",soctrans,"OUI"))</f>
        <v>1</v>
      </c>
      <c r="G342" s="84" t="str">
        <f>IF(VLOOKUP($A342,SiteAttendu!$A$2:$P$366,7,0)="NA","NA",COUNTIFS(soccode,A342,socprog,"PNLS/CHARGES VIRALES",soctrans,"OUI"))</f>
        <v>NA</v>
      </c>
      <c r="H342" s="84">
        <f>IF(VLOOKUP($A342,SiteAttendu!$A$2:$P$366,9,0)="NA","NA",COUNTIFS(soccode,A342,socprog,"PNLP/MEDICAMENTS ET INTRANTS",soctrans,"OUI"))</f>
        <v>1</v>
      </c>
      <c r="I342" s="84">
        <f>IF(VLOOKUP($A342,SiteAttendu!$A$2:$P$366,10,0)="NA","NA",COUNTIFS(soccode,$A342,socprog,"PNSME/MEDICAMENTS ET INTRANTS",soctrans,"OUI"))</f>
        <v>0</v>
      </c>
      <c r="J342" s="84">
        <f>IF(VLOOKUP($A342,SiteAttendu!$A$2:$P$366,11,0)="NA","NA",COUNTIFS(soccode,$A342,socprog,"PNN/MEDICAMENTS ET INTRANTS",soctrans,"OUI"))</f>
        <v>1</v>
      </c>
      <c r="K342" s="84" t="str">
        <f>IF(VLOOKUP($A342,SiteAttendu!$A$2:$O$366,15,0)="NA","NA",IF(COUNTIF(socprog,"PNLT/SENSIBLE MEDICAMENTS ET INTRANTS")=0,"NA",COUNTIFS(soccode,$A342,socprog,"PNLT/SENSIBLE MEDICAMENTS ET INTRANTS",soctrans,"OUI")))</f>
        <v>NA</v>
      </c>
      <c r="L342" s="104">
        <f t="shared" ref="L342:S342" si="329">IFERROR(SUMIFS(D$2:D$364,$C$2:$C$364,$C342)/COUNTIFS(D$2:D$364,"&lt;&gt;NA",$C$2:$C$364,$C342),"")</f>
        <v>0.8333333333</v>
      </c>
      <c r="M342" s="104">
        <f t="shared" si="329"/>
        <v>0.8333333333</v>
      </c>
      <c r="N342" s="104">
        <f t="shared" si="329"/>
        <v>1</v>
      </c>
      <c r="O342" s="104">
        <f t="shared" si="329"/>
        <v>1</v>
      </c>
      <c r="P342" s="104">
        <f t="shared" si="329"/>
        <v>0.875</v>
      </c>
      <c r="Q342" s="104">
        <f t="shared" si="329"/>
        <v>0.75</v>
      </c>
      <c r="R342" s="104">
        <f t="shared" si="329"/>
        <v>0.8571428571</v>
      </c>
      <c r="S342" s="104">
        <f t="shared" si="329"/>
        <v>0.8</v>
      </c>
      <c r="T342" s="105">
        <f t="shared" si="298"/>
        <v>0.8888888889</v>
      </c>
      <c r="U342" s="92">
        <f t="shared" si="4"/>
        <v>3</v>
      </c>
      <c r="V342" s="54">
        <f t="shared" si="5"/>
        <v>3</v>
      </c>
    </row>
    <row r="343" ht="15.0" customHeight="1">
      <c r="A343" s="55" t="str">
        <f>SiteAttendu!$A341</f>
        <v>C3012</v>
      </c>
      <c r="B343" s="56" t="str">
        <f>VLOOKUP($A343,SiteAttendu!$A$2:$C$366,2,0)</f>
        <v>HOPITAL GENERAL FERKESEDOUGOU</v>
      </c>
      <c r="C343" s="57" t="str">
        <f>VLOOKUP($A343,SiteAttendu!$A$2:$C$366,3,0)</f>
        <v>TCHOLOGO</v>
      </c>
      <c r="D343" s="58">
        <f>IF(VLOOKUP($A343,SiteAttendu!$A$2:$P$366,4,0)="NA","NA",COUNTIFS(soccode,A343,socprog,"PNLS/ANTIRETROVIRAUX ET IO",soctrans,"OUI"))</f>
        <v>1</v>
      </c>
      <c r="E343" s="58">
        <f>IF(VLOOKUP($A343,SiteAttendu!$A$2:$P$366,5,0)="NA","NA",COUNTIFS(soccode,A343,socprog,"PNLS/TESTS RAPIDES ET CONSOMMABLES",soctrans,"OUI"))</f>
        <v>1</v>
      </c>
      <c r="F343" s="58">
        <f>IF(VLOOKUP($A343,SiteAttendu!$A$2:$P$366,6,0)="NA","NA",COUNTIFS(soccode,A343,socprog,"PNLS/PRODUITS DE LABORATOIRE",soctrans,"OUI"))</f>
        <v>1</v>
      </c>
      <c r="G343" s="58">
        <f>IF(VLOOKUP($A343,SiteAttendu!$A$2:$P$366,7,0)="NA","NA",COUNTIFS(soccode,A343,socprog,"PNLS/CHARGES VIRALES",soctrans,"OUI"))</f>
        <v>1</v>
      </c>
      <c r="H343" s="58">
        <f>IF(VLOOKUP($A343,SiteAttendu!$A$2:$P$366,9,0)="NA","NA",COUNTIFS(soccode,A343,socprog,"PNLP/MEDICAMENTS ET INTRANTS",soctrans,"OUI"))</f>
        <v>1</v>
      </c>
      <c r="I343" s="58">
        <f>IF(VLOOKUP($A343,SiteAttendu!$A$2:$P$366,10,0)="NA","NA",COUNTIFS(soccode,$A343,socprog,"PNSME/MEDICAMENTS ET INTRANTS",soctrans,"OUI"))</f>
        <v>1</v>
      </c>
      <c r="J343" s="58">
        <f>IF(VLOOKUP($A343,SiteAttendu!$A$2:$P$366,11,0)="NA","NA",COUNTIFS(soccode,$A343,socprog,"PNN/MEDICAMENTS ET INTRANTS",soctrans,"OUI"))</f>
        <v>1</v>
      </c>
      <c r="K343" s="58" t="str">
        <f>IF(VLOOKUP($A343,SiteAttendu!$A$2:$O$366,15,0)="NA","NA",IF(COUNTIF(socprog,"PNLT/SENSIBLE MEDICAMENTS ET INTRANTS")=0,"NA",COUNTIFS(soccode,$A343,socprog,"PNLT/SENSIBLE MEDICAMENTS ET INTRANTS",soctrans,"OUI")))</f>
        <v>NA</v>
      </c>
      <c r="L343" s="100"/>
      <c r="M343" s="100">
        <f t="shared" ref="M343:S343" si="330">IFERROR(SUMIFS(E$2:E$364,$C$2:$C$364,$C343)/COUNTIFS(E$2:E$364,"&lt;&gt;NA",$C$2:$C$364,$C343),"")</f>
        <v>0.8333333333</v>
      </c>
      <c r="N343" s="100">
        <f t="shared" si="330"/>
        <v>1</v>
      </c>
      <c r="O343" s="100">
        <f t="shared" si="330"/>
        <v>1</v>
      </c>
      <c r="P343" s="100">
        <f t="shared" si="330"/>
        <v>0.875</v>
      </c>
      <c r="Q343" s="100">
        <f t="shared" si="330"/>
        <v>0.75</v>
      </c>
      <c r="R343" s="100">
        <f t="shared" si="330"/>
        <v>0.8571428571</v>
      </c>
      <c r="S343" s="100">
        <f t="shared" si="330"/>
        <v>0.8</v>
      </c>
      <c r="T343" s="101">
        <f t="shared" si="298"/>
        <v>0.8888888889</v>
      </c>
      <c r="U343" s="92">
        <f t="shared" si="4"/>
        <v>4</v>
      </c>
      <c r="V343" s="54">
        <f t="shared" si="5"/>
        <v>4</v>
      </c>
    </row>
    <row r="344" ht="15.0" customHeight="1">
      <c r="A344" s="55" t="str">
        <f>SiteAttendu!$A342</f>
        <v>C3063</v>
      </c>
      <c r="B344" s="56" t="str">
        <f>VLOOKUP($A344,SiteAttendu!$A$2:$C$366,2,0)</f>
        <v>CENTRE ANTITUBERCULEUX FERKESSEDOUGOU</v>
      </c>
      <c r="C344" s="57" t="str">
        <f>VLOOKUP($A344,SiteAttendu!$A$2:$C$366,3,0)</f>
        <v>TCHOLOGO</v>
      </c>
      <c r="D344" s="58" t="str">
        <f>IF(VLOOKUP($A344,SiteAttendu!$A$2:$P$366,4,0)="NA","NA",COUNTIFS(soccode,A344,socprog,"PNLS/ANTIRETROVIRAUX ET IO",soctrans,"OUI"))</f>
        <v>NA</v>
      </c>
      <c r="E344" s="58" t="str">
        <f>IF(VLOOKUP($A344,SiteAttendu!$A$2:$P$366,5,0)="NA","NA",COUNTIFS(soccode,A344,socprog,"PNLS/TESTS RAPIDES ET CONSOMMABLES",soctrans,"OUI"))</f>
        <v>NA</v>
      </c>
      <c r="F344" s="58" t="str">
        <f>IF(VLOOKUP($A344,SiteAttendu!$A$2:$P$366,6,0)="NA","NA",COUNTIFS(soccode,A344,socprog,"PNLS/PRODUITS DE LABORATOIRE",soctrans,"OUI"))</f>
        <v>NA</v>
      </c>
      <c r="G344" s="58" t="str">
        <f>IF(VLOOKUP($A344,SiteAttendu!$A$2:$P$366,7,0)="NA","NA",COUNTIFS(soccode,A344,socprog,"PNLS/CHARGES VIRALES",soctrans,"OUI"))</f>
        <v>NA</v>
      </c>
      <c r="H344" s="58" t="str">
        <f>IF(VLOOKUP($A344,SiteAttendu!$A$2:$P$366,9,0)="NA","NA",COUNTIFS(soccode,A344,socprog,"PNLP/MEDICAMENTS ET INTRANTS",soctrans,"OUI"))</f>
        <v>NA</v>
      </c>
      <c r="I344" s="58" t="str">
        <f>IF(VLOOKUP($A344,SiteAttendu!$A$2:$P$366,10,0)="NA","NA",COUNTIFS(soccode,$A344,socprog,"PNSME/MEDICAMENTS ET INTRANTS",soctrans,"OUI"))</f>
        <v>NA</v>
      </c>
      <c r="J344" s="58" t="str">
        <f>IF(VLOOKUP($A344,SiteAttendu!$A$2:$P$366,11,0)="NA","NA",COUNTIFS(soccode,$A344,socprog,"PNN/MEDICAMENTS ET INTRANTS",soctrans,"OUI"))</f>
        <v>NA</v>
      </c>
      <c r="K344" s="58" t="str">
        <f>IF(VLOOKUP($A344,SiteAttendu!$A$2:$O$366,15,0)="NA","NA",IF(COUNTIF(socprog,"PNLT/SENSIBLE MEDICAMENTS ET INTRANTS")=0,"NA",COUNTIFS(soccode,$A344,socprog,"PNLT/SENSIBLE MEDICAMENTS ET INTRANTS",soctrans,"OUI")))</f>
        <v>NA</v>
      </c>
      <c r="L344" s="100"/>
      <c r="M344" s="100">
        <f t="shared" ref="M344:S344" si="331">IFERROR(SUMIFS(E$2:E$364,$C$2:$C$364,$C344)/COUNTIFS(E$2:E$364,"&lt;&gt;NA",$C$2:$C$364,$C344),"")</f>
        <v>0.8333333333</v>
      </c>
      <c r="N344" s="100">
        <f t="shared" si="331"/>
        <v>1</v>
      </c>
      <c r="O344" s="100">
        <f t="shared" si="331"/>
        <v>1</v>
      </c>
      <c r="P344" s="100">
        <f t="shared" si="331"/>
        <v>0.875</v>
      </c>
      <c r="Q344" s="100">
        <f t="shared" si="331"/>
        <v>0.75</v>
      </c>
      <c r="R344" s="100">
        <f t="shared" si="331"/>
        <v>0.8571428571</v>
      </c>
      <c r="S344" s="100">
        <f t="shared" si="331"/>
        <v>0.8</v>
      </c>
      <c r="T344" s="101">
        <f t="shared" si="298"/>
        <v>0.8888888889</v>
      </c>
      <c r="U344" s="92">
        <f t="shared" si="4"/>
        <v>0</v>
      </c>
      <c r="V344" s="54">
        <f t="shared" si="5"/>
        <v>0</v>
      </c>
    </row>
    <row r="345" ht="15.0" customHeight="1">
      <c r="A345" s="55" t="str">
        <f>SiteAttendu!$A343</f>
        <v>C2219</v>
      </c>
      <c r="B345" s="56" t="str">
        <f>VLOOKUP($A345,SiteAttendu!$A$2:$C$366,2,0)</f>
        <v>DISTRICT SANITAIRE KONG</v>
      </c>
      <c r="C345" s="57" t="str">
        <f>VLOOKUP($A345,SiteAttendu!$A$2:$C$366,3,0)</f>
        <v>TCHOLOGO</v>
      </c>
      <c r="D345" s="58">
        <f>IF(VLOOKUP($A345,SiteAttendu!$A$2:$P$366,4,0)="NA","NA",COUNTIFS(soccode,A345,socprog,"PNLS/ANTIRETROVIRAUX ET IO",soctrans,"OUI"))</f>
        <v>0</v>
      </c>
      <c r="E345" s="58">
        <f>IF(VLOOKUP($A345,SiteAttendu!$A$2:$P$366,5,0)="NA","NA",COUNTIFS(soccode,A345,socprog,"PNLS/TESTS RAPIDES ET CONSOMMABLES",soctrans,"OUI"))</f>
        <v>0</v>
      </c>
      <c r="F345" s="58" t="str">
        <f>IF(VLOOKUP($A345,SiteAttendu!$A$2:$P$366,6,0)="NA","NA",COUNTIFS(soccode,A345,socprog,"PNLS/PRODUITS DE LABORATOIRE",soctrans,"OUI"))</f>
        <v>NA</v>
      </c>
      <c r="G345" s="58" t="str">
        <f>IF(VLOOKUP($A345,SiteAttendu!$A$2:$P$366,7,0)="NA","NA",COUNTIFS(soccode,A345,socprog,"PNLS/CHARGES VIRALES",soctrans,"OUI"))</f>
        <v>NA</v>
      </c>
      <c r="H345" s="58">
        <f>IF(VLOOKUP($A345,SiteAttendu!$A$2:$P$366,9,0)="NA","NA",COUNTIFS(soccode,A345,socprog,"PNLP/MEDICAMENTS ET INTRANTS",soctrans,"OUI"))</f>
        <v>0</v>
      </c>
      <c r="I345" s="58">
        <f>IF(VLOOKUP($A345,SiteAttendu!$A$2:$P$366,10,0)="NA","NA",COUNTIFS(soccode,$A345,socprog,"PNSME/MEDICAMENTS ET INTRANTS",soctrans,"OUI"))</f>
        <v>0</v>
      </c>
      <c r="J345" s="58">
        <f>IF(VLOOKUP($A345,SiteAttendu!$A$2:$P$366,11,0)="NA","NA",COUNTIFS(soccode,$A345,socprog,"PNN/MEDICAMENTS ET INTRANTS",soctrans,"OUI"))</f>
        <v>0</v>
      </c>
      <c r="K345" s="58">
        <f>IF(VLOOKUP($A345,SiteAttendu!$A$2:$O$366,15,0)="NA","NA",IF(COUNTIF(socprog,"PNLT/SENSIBLE MEDICAMENTS ET INTRANTS")=0,"NA",COUNTIFS(soccode,$A345,socprog,"PNLT/SENSIBLE MEDICAMENTS ET INTRANTS",soctrans,"OUI")))</f>
        <v>0</v>
      </c>
      <c r="L345" s="100"/>
      <c r="M345" s="100">
        <f t="shared" ref="M345:S345" si="332">IFERROR(SUMIFS(E$2:E$364,$C$2:$C$364,$C345)/COUNTIFS(E$2:E$364,"&lt;&gt;NA",$C$2:$C$364,$C345),"")</f>
        <v>0.8333333333</v>
      </c>
      <c r="N345" s="100">
        <f t="shared" si="332"/>
        <v>1</v>
      </c>
      <c r="O345" s="100">
        <f t="shared" si="332"/>
        <v>1</v>
      </c>
      <c r="P345" s="100">
        <f t="shared" si="332"/>
        <v>0.875</v>
      </c>
      <c r="Q345" s="100">
        <f t="shared" si="332"/>
        <v>0.75</v>
      </c>
      <c r="R345" s="100">
        <f t="shared" si="332"/>
        <v>0.8571428571</v>
      </c>
      <c r="S345" s="100">
        <f t="shared" si="332"/>
        <v>0.8</v>
      </c>
      <c r="T345" s="101">
        <f t="shared" si="298"/>
        <v>0.8888888889</v>
      </c>
      <c r="U345" s="92">
        <f t="shared" si="4"/>
        <v>0</v>
      </c>
      <c r="V345" s="54">
        <f t="shared" si="5"/>
        <v>2</v>
      </c>
    </row>
    <row r="346" ht="15.0" customHeight="1">
      <c r="A346" s="55" t="str">
        <f>SiteAttendu!$A344</f>
        <v>C2225</v>
      </c>
      <c r="B346" s="56" t="str">
        <f>VLOOKUP($A346,SiteAttendu!$A$2:$C$366,2,0)</f>
        <v>HOPITAL GENERAL KONG</v>
      </c>
      <c r="C346" s="57" t="str">
        <f>VLOOKUP($A346,SiteAttendu!$A$2:$C$366,3,0)</f>
        <v>TCHOLOGO</v>
      </c>
      <c r="D346" s="58">
        <f>IF(VLOOKUP($A346,SiteAttendu!$A$2:$P$366,4,0)="NA","NA",COUNTIFS(soccode,A346,socprog,"PNLS/ANTIRETROVIRAUX ET IO",soctrans,"OUI"))</f>
        <v>1</v>
      </c>
      <c r="E346" s="58">
        <f>IF(VLOOKUP($A346,SiteAttendu!$A$2:$P$366,5,0)="NA","NA",COUNTIFS(soccode,A346,socprog,"PNLS/TESTS RAPIDES ET CONSOMMABLES",soctrans,"OUI"))</f>
        <v>1</v>
      </c>
      <c r="F346" s="58">
        <f>IF(VLOOKUP($A346,SiteAttendu!$A$2:$P$366,6,0)="NA","NA",COUNTIFS(soccode,A346,socprog,"PNLS/PRODUITS DE LABORATOIRE",soctrans,"OUI"))</f>
        <v>1</v>
      </c>
      <c r="G346" s="58" t="str">
        <f>IF(VLOOKUP($A346,SiteAttendu!$A$2:$P$366,7,0)="NA","NA",COUNTIFS(soccode,A346,socprog,"PNLS/CHARGES VIRALES",soctrans,"OUI"))</f>
        <v>NA</v>
      </c>
      <c r="H346" s="58">
        <f>IF(VLOOKUP($A346,SiteAttendu!$A$2:$P$366,9,0)="NA","NA",COUNTIFS(soccode,A346,socprog,"PNLP/MEDICAMENTS ET INTRANTS",soctrans,"OUI"))</f>
        <v>1</v>
      </c>
      <c r="I346" s="58">
        <f>IF(VLOOKUP($A346,SiteAttendu!$A$2:$P$366,10,0)="NA","NA",COUNTIFS(soccode,$A346,socprog,"PNSME/MEDICAMENTS ET INTRANTS",soctrans,"OUI"))</f>
        <v>1</v>
      </c>
      <c r="J346" s="58">
        <f>IF(VLOOKUP($A346,SiteAttendu!$A$2:$P$366,11,0)="NA","NA",COUNTIFS(soccode,$A346,socprog,"PNN/MEDICAMENTS ET INTRANTS",soctrans,"OUI"))</f>
        <v>1</v>
      </c>
      <c r="K346" s="58">
        <f>IF(VLOOKUP($A346,SiteAttendu!$A$2:$O$366,15,0)="NA","NA",IF(COUNTIF(socprog,"PNLT/SENSIBLE MEDICAMENTS ET INTRANTS")=0,"NA",COUNTIFS(soccode,$A346,socprog,"PNLT/SENSIBLE MEDICAMENTS ET INTRANTS",soctrans,"OUI")))</f>
        <v>1</v>
      </c>
      <c r="L346" s="100"/>
      <c r="M346" s="100">
        <f t="shared" ref="M346:S346" si="333">IFERROR(SUMIFS(E$2:E$364,$C$2:$C$364,$C346)/COUNTIFS(E$2:E$364,"&lt;&gt;NA",$C$2:$C$364,$C346),"")</f>
        <v>0.8333333333</v>
      </c>
      <c r="N346" s="100">
        <f t="shared" si="333"/>
        <v>1</v>
      </c>
      <c r="O346" s="100">
        <f t="shared" si="333"/>
        <v>1</v>
      </c>
      <c r="P346" s="100">
        <f t="shared" si="333"/>
        <v>0.875</v>
      </c>
      <c r="Q346" s="100">
        <f t="shared" si="333"/>
        <v>0.75</v>
      </c>
      <c r="R346" s="100">
        <f t="shared" si="333"/>
        <v>0.8571428571</v>
      </c>
      <c r="S346" s="100">
        <f t="shared" si="333"/>
        <v>0.8</v>
      </c>
      <c r="T346" s="101">
        <f t="shared" si="298"/>
        <v>0.8888888889</v>
      </c>
      <c r="U346" s="92">
        <f t="shared" si="4"/>
        <v>3</v>
      </c>
      <c r="V346" s="54">
        <f t="shared" si="5"/>
        <v>3</v>
      </c>
    </row>
    <row r="347" ht="15.0" customHeight="1">
      <c r="A347" s="55" t="str">
        <f>SiteAttendu!$A345</f>
        <v>C3001</v>
      </c>
      <c r="B347" s="56" t="str">
        <f>VLOOKUP($A347,SiteAttendu!$A$2:$C$366,2,0)</f>
        <v>CSU NIELLE</v>
      </c>
      <c r="C347" s="57" t="str">
        <f>VLOOKUP($A347,SiteAttendu!$A$2:$C$366,3,0)</f>
        <v>TCHOLOGO</v>
      </c>
      <c r="D347" s="58" t="str">
        <f>IF(VLOOKUP($A347,SiteAttendu!$A$2:$P$366,4,0)="NA","NA",COUNTIFS(soccode,A347,socprog,"PNLS/ANTIRETROVIRAUX ET IO",soctrans,"OUI"))</f>
        <v>NA</v>
      </c>
      <c r="E347" s="58" t="str">
        <f>IF(VLOOKUP($A347,SiteAttendu!$A$2:$P$366,5,0)="NA","NA",COUNTIFS(soccode,A347,socprog,"PNLS/TESTS RAPIDES ET CONSOMMABLES",soctrans,"OUI"))</f>
        <v>NA</v>
      </c>
      <c r="F347" s="58" t="str">
        <f>IF(VLOOKUP($A347,SiteAttendu!$A$2:$P$366,6,0)="NA","NA",COUNTIFS(soccode,A347,socprog,"PNLS/PRODUITS DE LABORATOIRE",soctrans,"OUI"))</f>
        <v>NA</v>
      </c>
      <c r="G347" s="58" t="str">
        <f>IF(VLOOKUP($A347,SiteAttendu!$A$2:$P$366,7,0)="NA","NA",COUNTIFS(soccode,A347,socprog,"PNLS/CHARGES VIRALES",soctrans,"OUI"))</f>
        <v>NA</v>
      </c>
      <c r="H347" s="58">
        <f>IF(VLOOKUP($A347,SiteAttendu!$A$2:$P$366,9,0)="NA","NA",COUNTIFS(soccode,A347,socprog,"PNLP/MEDICAMENTS ET INTRANTS",soctrans,"OUI"))</f>
        <v>1</v>
      </c>
      <c r="I347" s="58">
        <f>IF(VLOOKUP($A347,SiteAttendu!$A$2:$P$366,10,0)="NA","NA",COUNTIFS(soccode,$A347,socprog,"PNSME/MEDICAMENTS ET INTRANTS",soctrans,"OUI"))</f>
        <v>1</v>
      </c>
      <c r="J347" s="58" t="str">
        <f>IF(VLOOKUP($A347,SiteAttendu!$A$2:$P$366,11,0)="NA","NA",COUNTIFS(soccode,$A347,socprog,"PNN/MEDICAMENTS ET INTRANTS",soctrans,"OUI"))</f>
        <v>NA</v>
      </c>
      <c r="K347" s="58">
        <f>IF(VLOOKUP($A347,SiteAttendu!$A$2:$O$366,15,0)="NA","NA",IF(COUNTIF(socprog,"PNLT/SENSIBLE MEDICAMENTS ET INTRANTS")=0,"NA",COUNTIFS(soccode,$A347,socprog,"PNLT/SENSIBLE MEDICAMENTS ET INTRANTS",soctrans,"OUI")))</f>
        <v>1</v>
      </c>
      <c r="L347" s="100"/>
      <c r="M347" s="100">
        <f t="shared" ref="M347:S347" si="334">IFERROR(SUMIFS(E$2:E$364,$C$2:$C$364,$C347)/COUNTIFS(E$2:E$364,"&lt;&gt;NA",$C$2:$C$364,$C347),"")</f>
        <v>0.8333333333</v>
      </c>
      <c r="N347" s="100">
        <f t="shared" si="334"/>
        <v>1</v>
      </c>
      <c r="O347" s="100">
        <f t="shared" si="334"/>
        <v>1</v>
      </c>
      <c r="P347" s="100">
        <f t="shared" si="334"/>
        <v>0.875</v>
      </c>
      <c r="Q347" s="100">
        <f t="shared" si="334"/>
        <v>0.75</v>
      </c>
      <c r="R347" s="100">
        <f t="shared" si="334"/>
        <v>0.8571428571</v>
      </c>
      <c r="S347" s="100">
        <f t="shared" si="334"/>
        <v>0.8</v>
      </c>
      <c r="T347" s="101">
        <f t="shared" si="298"/>
        <v>0.8888888889</v>
      </c>
      <c r="U347" s="92">
        <f t="shared" si="4"/>
        <v>0</v>
      </c>
      <c r="V347" s="54">
        <f t="shared" si="5"/>
        <v>0</v>
      </c>
    </row>
    <row r="348" ht="15.0" customHeight="1">
      <c r="A348" s="55" t="str">
        <f>SiteAttendu!$A346</f>
        <v>C3020</v>
      </c>
      <c r="B348" s="56" t="str">
        <f>VLOOKUP($A348,SiteAttendu!$A$2:$C$366,2,0)</f>
        <v>HOPITAL GENERAL OUANGOLO</v>
      </c>
      <c r="C348" s="57" t="str">
        <f>VLOOKUP($A348,SiteAttendu!$A$2:$C$366,3,0)</f>
        <v>TCHOLOGO</v>
      </c>
      <c r="D348" s="58">
        <f>IF(VLOOKUP($A348,SiteAttendu!$A$2:$P$366,4,0)="NA","NA",COUNTIFS(soccode,A348,socprog,"PNLS/ANTIRETROVIRAUX ET IO",soctrans,"OUI"))</f>
        <v>1</v>
      </c>
      <c r="E348" s="58">
        <f>IF(VLOOKUP($A348,SiteAttendu!$A$2:$P$366,5,0)="NA","NA",COUNTIFS(soccode,A348,socprog,"PNLS/TESTS RAPIDES ET CONSOMMABLES",soctrans,"OUI"))</f>
        <v>1</v>
      </c>
      <c r="F348" s="58">
        <f>IF(VLOOKUP($A348,SiteAttendu!$A$2:$P$366,6,0)="NA","NA",COUNTIFS(soccode,A348,socprog,"PNLS/PRODUITS DE LABORATOIRE",soctrans,"OUI"))</f>
        <v>1</v>
      </c>
      <c r="G348" s="58" t="str">
        <f>IF(VLOOKUP($A348,SiteAttendu!$A$2:$P$366,7,0)="NA","NA",COUNTIFS(soccode,A348,socprog,"PNLS/CHARGES VIRALES",soctrans,"OUI"))</f>
        <v>NA</v>
      </c>
      <c r="H348" s="58">
        <f>IF(VLOOKUP($A348,SiteAttendu!$A$2:$P$366,9,0)="NA","NA",COUNTIFS(soccode,A348,socprog,"PNLP/MEDICAMENTS ET INTRANTS",soctrans,"OUI"))</f>
        <v>1</v>
      </c>
      <c r="I348" s="58">
        <f>IF(VLOOKUP($A348,SiteAttendu!$A$2:$P$366,10,0)="NA","NA",COUNTIFS(soccode,$A348,socprog,"PNSME/MEDICAMENTS ET INTRANTS",soctrans,"OUI"))</f>
        <v>1</v>
      </c>
      <c r="J348" s="58">
        <f>IF(VLOOKUP($A348,SiteAttendu!$A$2:$P$366,11,0)="NA","NA",COUNTIFS(soccode,$A348,socprog,"PNN/MEDICAMENTS ET INTRANTS",soctrans,"OUI"))</f>
        <v>1</v>
      </c>
      <c r="K348" s="58" t="str">
        <f>IF(VLOOKUP($A348,SiteAttendu!$A$2:$O$366,15,0)="NA","NA",IF(COUNTIF(socprog,"PNLT/SENSIBLE MEDICAMENTS ET INTRANTS")=0,"NA",COUNTIFS(soccode,$A348,socprog,"PNLT/SENSIBLE MEDICAMENTS ET INTRANTS",soctrans,"OUI")))</f>
        <v>NA</v>
      </c>
      <c r="L348" s="100"/>
      <c r="M348" s="100">
        <f t="shared" ref="M348:S348" si="335">IFERROR(SUMIFS(E$2:E$364,$C$2:$C$364,$C348)/COUNTIFS(E$2:E$364,"&lt;&gt;NA",$C$2:$C$364,$C348),"")</f>
        <v>0.8333333333</v>
      </c>
      <c r="N348" s="100">
        <f t="shared" si="335"/>
        <v>1</v>
      </c>
      <c r="O348" s="100">
        <f t="shared" si="335"/>
        <v>1</v>
      </c>
      <c r="P348" s="100">
        <f t="shared" si="335"/>
        <v>0.875</v>
      </c>
      <c r="Q348" s="100">
        <f t="shared" si="335"/>
        <v>0.75</v>
      </c>
      <c r="R348" s="100">
        <f t="shared" si="335"/>
        <v>0.8571428571</v>
      </c>
      <c r="S348" s="100">
        <f t="shared" si="335"/>
        <v>0.8</v>
      </c>
      <c r="T348" s="101">
        <f t="shared" si="298"/>
        <v>0.8888888889</v>
      </c>
      <c r="U348" s="92">
        <f t="shared" si="4"/>
        <v>3</v>
      </c>
      <c r="V348" s="54">
        <f t="shared" si="5"/>
        <v>3</v>
      </c>
    </row>
    <row r="349" ht="15.0" customHeight="1">
      <c r="A349" s="55" t="str">
        <f>SiteAttendu!$A347</f>
        <v>C3046</v>
      </c>
      <c r="B349" s="56" t="str">
        <f>VLOOKUP($A349,SiteAttendu!$A$2:$C$366,2,0)</f>
        <v>DISTRICT SANITAIRE OUANGOLO</v>
      </c>
      <c r="C349" s="57" t="str">
        <f>VLOOKUP($A349,SiteAttendu!$A$2:$C$366,3,0)</f>
        <v>TCHOLOGO</v>
      </c>
      <c r="D349" s="58">
        <f>IF(VLOOKUP($A349,SiteAttendu!$A$2:$P$366,4,0)="NA","NA",COUNTIFS(soccode,A349,socprog,"PNLS/ANTIRETROVIRAUX ET IO",soctrans,"OUI"))</f>
        <v>1</v>
      </c>
      <c r="E349" s="58">
        <f>IF(VLOOKUP($A349,SiteAttendu!$A$2:$P$366,5,0)="NA","NA",COUNTIFS(soccode,A349,socprog,"PNLS/TESTS RAPIDES ET CONSOMMABLES",soctrans,"OUI"))</f>
        <v>1</v>
      </c>
      <c r="F349" s="58">
        <f>IF(VLOOKUP($A349,SiteAttendu!$A$2:$P$366,6,0)="NA","NA",COUNTIFS(soccode,A349,socprog,"PNLS/PRODUITS DE LABORATOIRE",soctrans,"OUI"))</f>
        <v>1</v>
      </c>
      <c r="G349" s="58" t="str">
        <f>IF(VLOOKUP($A349,SiteAttendu!$A$2:$P$366,7,0)="NA","NA",COUNTIFS(soccode,A349,socprog,"PNLS/CHARGES VIRALES",soctrans,"OUI"))</f>
        <v>NA</v>
      </c>
      <c r="H349" s="58">
        <f>IF(VLOOKUP($A349,SiteAttendu!$A$2:$P$366,9,0)="NA","NA",COUNTIFS(soccode,A349,socprog,"PNLP/MEDICAMENTS ET INTRANTS",soctrans,"OUI"))</f>
        <v>1</v>
      </c>
      <c r="I349" s="58">
        <f>IF(VLOOKUP($A349,SiteAttendu!$A$2:$P$366,10,0)="NA","NA",COUNTIFS(soccode,$A349,socprog,"PNSME/MEDICAMENTS ET INTRANTS",soctrans,"OUI"))</f>
        <v>1</v>
      </c>
      <c r="J349" s="58">
        <f>IF(VLOOKUP($A349,SiteAttendu!$A$2:$P$366,11,0)="NA","NA",COUNTIFS(soccode,$A349,socprog,"PNN/MEDICAMENTS ET INTRANTS",soctrans,"OUI"))</f>
        <v>1</v>
      </c>
      <c r="K349" s="58">
        <f>IF(VLOOKUP($A349,SiteAttendu!$A$2:$O$366,15,0)="NA","NA",IF(COUNTIF(socprog,"PNLT/SENSIBLE MEDICAMENTS ET INTRANTS")=0,"NA",COUNTIFS(soccode,$A349,socprog,"PNLT/SENSIBLE MEDICAMENTS ET INTRANTS",soctrans,"OUI")))</f>
        <v>1</v>
      </c>
      <c r="L349" s="100"/>
      <c r="M349" s="100">
        <f t="shared" ref="M349:S349" si="336">IFERROR(SUMIFS(E$2:E$364,$C$2:$C$364,$C349)/COUNTIFS(E$2:E$364,"&lt;&gt;NA",$C$2:$C$364,$C349),"")</f>
        <v>0.8333333333</v>
      </c>
      <c r="N349" s="100">
        <f t="shared" si="336"/>
        <v>1</v>
      </c>
      <c r="O349" s="100">
        <f t="shared" si="336"/>
        <v>1</v>
      </c>
      <c r="P349" s="100">
        <f t="shared" si="336"/>
        <v>0.875</v>
      </c>
      <c r="Q349" s="100">
        <f t="shared" si="336"/>
        <v>0.75</v>
      </c>
      <c r="R349" s="100">
        <f t="shared" si="336"/>
        <v>0.8571428571</v>
      </c>
      <c r="S349" s="100">
        <f t="shared" si="336"/>
        <v>0.8</v>
      </c>
      <c r="T349" s="101">
        <f t="shared" si="298"/>
        <v>0.8888888889</v>
      </c>
      <c r="U349" s="107">
        <f t="shared" si="4"/>
        <v>3</v>
      </c>
      <c r="V349" s="108">
        <f t="shared" si="5"/>
        <v>3</v>
      </c>
    </row>
    <row r="350" ht="15.0" customHeight="1">
      <c r="A350" s="62" t="str">
        <f>SiteAttendu!$A348</f>
        <v>C3061</v>
      </c>
      <c r="B350" s="63" t="str">
        <f>VLOOKUP($A350,SiteAttendu!$A$2:$C$366,2,0)</f>
        <v>CSU DIAWALA</v>
      </c>
      <c r="C350" s="64" t="str">
        <f>VLOOKUP($A350,SiteAttendu!$A$2:$C$366,3,0)</f>
        <v>TCHOLOGO</v>
      </c>
      <c r="D350" s="65" t="str">
        <f>IF(VLOOKUP($A350,SiteAttendu!$A$2:$P$366,4,0)="NA","NA",COUNTIFS(soccode,A350,socprog,"PNLS/ANTIRETROVIRAUX ET IO",soctrans,"OUI"))</f>
        <v>NA</v>
      </c>
      <c r="E350" s="65" t="str">
        <f>IF(VLOOKUP($A350,SiteAttendu!$A$2:$P$366,5,0)="NA","NA",COUNTIFS(soccode,A350,socprog,"PNLS/TESTS RAPIDES ET CONSOMMABLES",soctrans,"OUI"))</f>
        <v>NA</v>
      </c>
      <c r="F350" s="65" t="str">
        <f>IF(VLOOKUP($A350,SiteAttendu!$A$2:$P$366,6,0)="NA","NA",COUNTIFS(soccode,A350,socprog,"PNLS/PRODUITS DE LABORATOIRE",soctrans,"OUI"))</f>
        <v>NA</v>
      </c>
      <c r="G350" s="65" t="str">
        <f>IF(VLOOKUP($A350,SiteAttendu!$A$2:$P$366,7,0)="NA","NA",COUNTIFS(soccode,A350,socprog,"PNLS/CHARGES VIRALES",soctrans,"OUI"))</f>
        <v>NA</v>
      </c>
      <c r="H350" s="65">
        <f>IF(VLOOKUP($A350,SiteAttendu!$A$2:$P$366,9,0)="NA","NA",COUNTIFS(soccode,A350,socprog,"PNLP/MEDICAMENTS ET INTRANTS",soctrans,"OUI"))</f>
        <v>1</v>
      </c>
      <c r="I350" s="65">
        <f>IF(VLOOKUP($A350,SiteAttendu!$A$2:$P$366,10,0)="NA","NA",COUNTIFS(soccode,$A350,socprog,"PNSME/MEDICAMENTS ET INTRANTS",soctrans,"OUI"))</f>
        <v>1</v>
      </c>
      <c r="J350" s="65">
        <f>IF(VLOOKUP($A350,SiteAttendu!$A$2:$P$366,11,0)="NA","NA",COUNTIFS(soccode,$A350,socprog,"PNN/MEDICAMENTS ET INTRANTS",soctrans,"OUI"))</f>
        <v>1</v>
      </c>
      <c r="K350" s="65">
        <f>IF(VLOOKUP($A350,SiteAttendu!$A$2:$O$366,15,0)="NA","NA",IF(COUNTIF(socprog,"PNLT/SENSIBLE MEDICAMENTS ET INTRANTS")=0,"NA",COUNTIFS(soccode,$A350,socprog,"PNLT/SENSIBLE MEDICAMENTS ET INTRANTS",soctrans,"OUI")))</f>
        <v>1</v>
      </c>
      <c r="L350" s="102"/>
      <c r="M350" s="102">
        <f t="shared" ref="M350:S350" si="337">IFERROR(SUMIFS(E$2:E$364,$C$2:$C$364,$C350)/COUNTIFS(E$2:E$364,"&lt;&gt;NA",$C$2:$C$364,$C350),"")</f>
        <v>0.8333333333</v>
      </c>
      <c r="N350" s="102">
        <f t="shared" si="337"/>
        <v>1</v>
      </c>
      <c r="O350" s="102">
        <f t="shared" si="337"/>
        <v>1</v>
      </c>
      <c r="P350" s="102">
        <f t="shared" si="337"/>
        <v>0.875</v>
      </c>
      <c r="Q350" s="102">
        <f t="shared" si="337"/>
        <v>0.75</v>
      </c>
      <c r="R350" s="102">
        <f t="shared" si="337"/>
        <v>0.8571428571</v>
      </c>
      <c r="S350" s="102">
        <f t="shared" si="337"/>
        <v>0.8</v>
      </c>
      <c r="T350" s="103">
        <f t="shared" si="298"/>
        <v>0.8888888889</v>
      </c>
      <c r="U350" s="92">
        <f t="shared" si="4"/>
        <v>0</v>
      </c>
      <c r="V350" s="54">
        <f t="shared" si="5"/>
        <v>0</v>
      </c>
    </row>
    <row r="351" ht="15.0" customHeight="1">
      <c r="A351" s="81" t="str">
        <f>SiteAttendu!$A349</f>
        <v>C5008</v>
      </c>
      <c r="B351" s="82" t="str">
        <f>VLOOKUP($A351,SiteAttendu!$A$2:$C$366,2,0)</f>
        <v>DISTRICT SANITAIRE  BIANKOUMA</v>
      </c>
      <c r="C351" s="88" t="str">
        <f>VLOOKUP($A351,SiteAttendu!$A$2:$C$366,3,0)</f>
        <v>TONKPI</v>
      </c>
      <c r="D351" s="84">
        <f>IF(VLOOKUP($A351,SiteAttendu!$A$2:$P$366,4,0)="NA","NA",COUNTIFS(soccode,A351,socprog,"PNLS/ANTIRETROVIRAUX ET IO",soctrans,"OUI"))</f>
        <v>1</v>
      </c>
      <c r="E351" s="84">
        <f>IF(VLOOKUP($A351,SiteAttendu!$A$2:$P$366,5,0)="NA","NA",COUNTIFS(soccode,A351,socprog,"PNLS/TESTS RAPIDES ET CONSOMMABLES",soctrans,"OUI"))</f>
        <v>1</v>
      </c>
      <c r="F351" s="84">
        <f>IF(VLOOKUP($A351,SiteAttendu!$A$2:$P$366,6,0)="NA","NA",COUNTIFS(soccode,A351,socprog,"PNLS/PRODUITS DE LABORATOIRE",soctrans,"OUI"))</f>
        <v>1</v>
      </c>
      <c r="G351" s="84" t="str">
        <f>IF(VLOOKUP($A351,SiteAttendu!$A$2:$P$366,7,0)="NA","NA",COUNTIFS(soccode,A351,socprog,"PNLS/CHARGES VIRALES",soctrans,"OUI"))</f>
        <v>NA</v>
      </c>
      <c r="H351" s="84">
        <f>IF(VLOOKUP($A351,SiteAttendu!$A$2:$P$366,9,0)="NA","NA",COUNTIFS(soccode,A351,socprog,"PNLP/MEDICAMENTS ET INTRANTS",soctrans,"OUI"))</f>
        <v>1</v>
      </c>
      <c r="I351" s="84">
        <f>IF(VLOOKUP($A351,SiteAttendu!$A$2:$P$366,10,0)="NA","NA",COUNTIFS(soccode,$A351,socprog,"PNSME/MEDICAMENTS ET INTRANTS",soctrans,"OUI"))</f>
        <v>1</v>
      </c>
      <c r="J351" s="84">
        <f>IF(VLOOKUP($A351,SiteAttendu!$A$2:$P$366,11,0)="NA","NA",COUNTIFS(soccode,$A351,socprog,"PNN/MEDICAMENTS ET INTRANTS",soctrans,"OUI"))</f>
        <v>1</v>
      </c>
      <c r="K351" s="84">
        <f>IF(VLOOKUP($A351,SiteAttendu!$A$2:$O$366,15,0)="NA","NA",IF(COUNTIF(socprog,"PNLT/SENSIBLE MEDICAMENTS ET INTRANTS")=0,"NA",COUNTIFS(soccode,$A351,socprog,"PNLT/SENSIBLE MEDICAMENTS ET INTRANTS",soctrans,"OUI")))</f>
        <v>1</v>
      </c>
      <c r="L351" s="104">
        <f t="shared" ref="L351:S351" si="338">IFERROR(SUMIFS(D$2:D$364,$C$2:$C$364,$C351)/COUNTIFS(D$2:D$364,"&lt;&gt;NA",$C$2:$C$364,$C351),"")</f>
        <v>1</v>
      </c>
      <c r="M351" s="104">
        <f t="shared" si="338"/>
        <v>1</v>
      </c>
      <c r="N351" s="104">
        <f t="shared" si="338"/>
        <v>1</v>
      </c>
      <c r="O351" s="104">
        <f t="shared" si="338"/>
        <v>1</v>
      </c>
      <c r="P351" s="104">
        <f t="shared" si="338"/>
        <v>1</v>
      </c>
      <c r="Q351" s="104">
        <f t="shared" si="338"/>
        <v>0.875</v>
      </c>
      <c r="R351" s="104">
        <f t="shared" si="338"/>
        <v>0.875</v>
      </c>
      <c r="S351" s="104">
        <f t="shared" si="338"/>
        <v>0.75</v>
      </c>
      <c r="T351" s="105">
        <f t="shared" si="298"/>
        <v>1</v>
      </c>
      <c r="U351" s="92">
        <f t="shared" si="4"/>
        <v>3</v>
      </c>
      <c r="V351" s="54">
        <f t="shared" si="5"/>
        <v>3</v>
      </c>
    </row>
    <row r="352" ht="15.0" customHeight="1">
      <c r="A352" s="55" t="str">
        <f>SiteAttendu!$A350</f>
        <v>C5016</v>
      </c>
      <c r="B352" s="56" t="str">
        <f>VLOOKUP($A352,SiteAttendu!$A$2:$C$366,2,0)</f>
        <v>HOPITAL GENERAL BIANKOUMA</v>
      </c>
      <c r="C352" s="57" t="str">
        <f>VLOOKUP($A352,SiteAttendu!$A$2:$C$366,3,0)</f>
        <v>TONKPI</v>
      </c>
      <c r="D352" s="58">
        <f>IF(VLOOKUP($A352,SiteAttendu!$A$2:$P$366,4,0)="NA","NA",COUNTIFS(soccode,A352,socprog,"PNLS/ANTIRETROVIRAUX ET IO",soctrans,"OUI"))</f>
        <v>1</v>
      </c>
      <c r="E352" s="58">
        <f>IF(VLOOKUP($A352,SiteAttendu!$A$2:$P$366,5,0)="NA","NA",COUNTIFS(soccode,A352,socprog,"PNLS/TESTS RAPIDES ET CONSOMMABLES",soctrans,"OUI"))</f>
        <v>1</v>
      </c>
      <c r="F352" s="58">
        <f>IF(VLOOKUP($A352,SiteAttendu!$A$2:$P$366,6,0)="NA","NA",COUNTIFS(soccode,A352,socprog,"PNLS/PRODUITS DE LABORATOIRE",soctrans,"OUI"))</f>
        <v>1</v>
      </c>
      <c r="G352" s="58" t="str">
        <f>IF(VLOOKUP($A352,SiteAttendu!$A$2:$P$366,7,0)="NA","NA",COUNTIFS(soccode,A352,socprog,"PNLS/CHARGES VIRALES",soctrans,"OUI"))</f>
        <v>NA</v>
      </c>
      <c r="H352" s="58">
        <f>IF(VLOOKUP($A352,SiteAttendu!$A$2:$P$366,9,0)="NA","NA",COUNTIFS(soccode,A352,socprog,"PNLP/MEDICAMENTS ET INTRANTS",soctrans,"OUI"))</f>
        <v>1</v>
      </c>
      <c r="I352" s="58">
        <f>IF(VLOOKUP($A352,SiteAttendu!$A$2:$P$366,10,0)="NA","NA",COUNTIFS(soccode,$A352,socprog,"PNSME/MEDICAMENTS ET INTRANTS",soctrans,"OUI"))</f>
        <v>1</v>
      </c>
      <c r="J352" s="58">
        <f>IF(VLOOKUP($A352,SiteAttendu!$A$2:$P$366,11,0)="NA","NA",COUNTIFS(soccode,$A352,socprog,"PNN/MEDICAMENTS ET INTRANTS",soctrans,"OUI"))</f>
        <v>1</v>
      </c>
      <c r="K352" s="58">
        <f>IF(VLOOKUP($A352,SiteAttendu!$A$2:$O$366,15,0)="NA","NA",IF(COUNTIF(socprog,"PNLT/SENSIBLE MEDICAMENTS ET INTRANTS")=0,"NA",COUNTIFS(soccode,$A352,socprog,"PNLT/SENSIBLE MEDICAMENTS ET INTRANTS",soctrans,"OUI")))</f>
        <v>1</v>
      </c>
      <c r="L352" s="100"/>
      <c r="M352" s="100">
        <f t="shared" ref="M352:S352" si="339">IFERROR(SUMIFS(E$2:E$364,$C$2:$C$364,$C352)/COUNTIFS(E$2:E$364,"&lt;&gt;NA",$C$2:$C$364,$C352),"")</f>
        <v>1</v>
      </c>
      <c r="N352" s="100">
        <f t="shared" si="339"/>
        <v>1</v>
      </c>
      <c r="O352" s="100">
        <f t="shared" si="339"/>
        <v>1</v>
      </c>
      <c r="P352" s="100">
        <f t="shared" si="339"/>
        <v>1</v>
      </c>
      <c r="Q352" s="100">
        <f t="shared" si="339"/>
        <v>0.875</v>
      </c>
      <c r="R352" s="100">
        <f t="shared" si="339"/>
        <v>0.875</v>
      </c>
      <c r="S352" s="100">
        <f t="shared" si="339"/>
        <v>0.75</v>
      </c>
      <c r="T352" s="101">
        <f t="shared" si="298"/>
        <v>1</v>
      </c>
      <c r="U352" s="92">
        <f t="shared" si="4"/>
        <v>3</v>
      </c>
      <c r="V352" s="54">
        <f t="shared" si="5"/>
        <v>3</v>
      </c>
    </row>
    <row r="353" ht="15.0" customHeight="1">
      <c r="A353" s="55" t="str">
        <f>SiteAttendu!$A351</f>
        <v>C5009</v>
      </c>
      <c r="B353" s="56" t="str">
        <f>VLOOKUP($A353,SiteAttendu!$A$2:$C$366,2,0)</f>
        <v>DISTRICT SANITAIRE  DANANE</v>
      </c>
      <c r="C353" s="57" t="str">
        <f>VLOOKUP($A353,SiteAttendu!$A$2:$C$366,3,0)</f>
        <v>TONKPI</v>
      </c>
      <c r="D353" s="58">
        <f>IF(VLOOKUP($A353,SiteAttendu!$A$2:$P$366,4,0)="NA","NA",COUNTIFS(soccode,A353,socprog,"PNLS/ANTIRETROVIRAUX ET IO",soctrans,"OUI"))</f>
        <v>1</v>
      </c>
      <c r="E353" s="58">
        <f>IF(VLOOKUP($A353,SiteAttendu!$A$2:$P$366,5,0)="NA","NA",COUNTIFS(soccode,A353,socprog,"PNLS/TESTS RAPIDES ET CONSOMMABLES",soctrans,"OUI"))</f>
        <v>1</v>
      </c>
      <c r="F353" s="58" t="str">
        <f>IF(VLOOKUP($A353,SiteAttendu!$A$2:$P$366,6,0)="NA","NA",COUNTIFS(soccode,A353,socprog,"PNLS/PRODUITS DE LABORATOIRE",soctrans,"OUI"))</f>
        <v>NA</v>
      </c>
      <c r="G353" s="58" t="str">
        <f>IF(VLOOKUP($A353,SiteAttendu!$A$2:$P$366,7,0)="NA","NA",COUNTIFS(soccode,A353,socprog,"PNLS/CHARGES VIRALES",soctrans,"OUI"))</f>
        <v>NA</v>
      </c>
      <c r="H353" s="58">
        <f>IF(VLOOKUP($A353,SiteAttendu!$A$2:$P$366,9,0)="NA","NA",COUNTIFS(soccode,A353,socprog,"PNLP/MEDICAMENTS ET INTRANTS",soctrans,"OUI"))</f>
        <v>1</v>
      </c>
      <c r="I353" s="58">
        <f>IF(VLOOKUP($A353,SiteAttendu!$A$2:$P$366,10,0)="NA","NA",COUNTIFS(soccode,$A353,socprog,"PNSME/MEDICAMENTS ET INTRANTS",soctrans,"OUI"))</f>
        <v>1</v>
      </c>
      <c r="J353" s="58">
        <f>IF(VLOOKUP($A353,SiteAttendu!$A$2:$P$366,11,0)="NA","NA",COUNTIFS(soccode,$A353,socprog,"PNN/MEDICAMENTS ET INTRANTS",soctrans,"OUI"))</f>
        <v>1</v>
      </c>
      <c r="K353" s="58">
        <f>IF(VLOOKUP($A353,SiteAttendu!$A$2:$O$366,15,0)="NA","NA",IF(COUNTIF(socprog,"PNLT/SENSIBLE MEDICAMENTS ET INTRANTS")=0,"NA",COUNTIFS(soccode,$A353,socprog,"PNLT/SENSIBLE MEDICAMENTS ET INTRANTS",soctrans,"OUI")))</f>
        <v>1</v>
      </c>
      <c r="L353" s="100"/>
      <c r="M353" s="100">
        <f t="shared" ref="M353:S353" si="340">IFERROR(SUMIFS(E$2:E$364,$C$2:$C$364,$C353)/COUNTIFS(E$2:E$364,"&lt;&gt;NA",$C$2:$C$364,$C353),"")</f>
        <v>1</v>
      </c>
      <c r="N353" s="100">
        <f t="shared" si="340"/>
        <v>1</v>
      </c>
      <c r="O353" s="100">
        <f t="shared" si="340"/>
        <v>1</v>
      </c>
      <c r="P353" s="100">
        <f t="shared" si="340"/>
        <v>1</v>
      </c>
      <c r="Q353" s="100">
        <f t="shared" si="340"/>
        <v>0.875</v>
      </c>
      <c r="R353" s="100">
        <f t="shared" si="340"/>
        <v>0.875</v>
      </c>
      <c r="S353" s="100">
        <f t="shared" si="340"/>
        <v>0.75</v>
      </c>
      <c r="T353" s="101">
        <f t="shared" si="298"/>
        <v>1</v>
      </c>
      <c r="U353" s="92">
        <f t="shared" si="4"/>
        <v>2</v>
      </c>
      <c r="V353" s="54">
        <f t="shared" si="5"/>
        <v>2</v>
      </c>
    </row>
    <row r="354" ht="15.0" customHeight="1">
      <c r="A354" s="55" t="str">
        <f>SiteAttendu!$A352</f>
        <v>C5018</v>
      </c>
      <c r="B354" s="56" t="str">
        <f>VLOOKUP($A354,SiteAttendu!$A$2:$C$366,2,0)</f>
        <v>HOPITAL GENERAL DANANE</v>
      </c>
      <c r="C354" s="57" t="str">
        <f>VLOOKUP($A354,SiteAttendu!$A$2:$C$366,3,0)</f>
        <v>TONKPI</v>
      </c>
      <c r="D354" s="58">
        <f>IF(VLOOKUP($A354,SiteAttendu!$A$2:$P$366,4,0)="NA","NA",COUNTIFS(soccode,A354,socprog,"PNLS/ANTIRETROVIRAUX ET IO",soctrans,"OUI"))</f>
        <v>1</v>
      </c>
      <c r="E354" s="58">
        <f>IF(VLOOKUP($A354,SiteAttendu!$A$2:$P$366,5,0)="NA","NA",COUNTIFS(soccode,A354,socprog,"PNLS/TESTS RAPIDES ET CONSOMMABLES",soctrans,"OUI"))</f>
        <v>1</v>
      </c>
      <c r="F354" s="58">
        <f>IF(VLOOKUP($A354,SiteAttendu!$A$2:$P$366,6,0)="NA","NA",COUNTIFS(soccode,A354,socprog,"PNLS/PRODUITS DE LABORATOIRE",soctrans,"OUI"))</f>
        <v>1</v>
      </c>
      <c r="G354" s="58">
        <f>IF(VLOOKUP($A354,SiteAttendu!$A$2:$P$366,7,0)="NA","NA",COUNTIFS(soccode,A354,socprog,"PNLS/CHARGES VIRALES",soctrans,"OUI"))</f>
        <v>1</v>
      </c>
      <c r="H354" s="58">
        <f>IF(VLOOKUP($A354,SiteAttendu!$A$2:$P$366,9,0)="NA","NA",COUNTIFS(soccode,A354,socprog,"PNLP/MEDICAMENTS ET INTRANTS",soctrans,"OUI"))</f>
        <v>1</v>
      </c>
      <c r="I354" s="58">
        <f>IF(VLOOKUP($A354,SiteAttendu!$A$2:$P$366,10,0)="NA","NA",COUNTIFS(soccode,$A354,socprog,"PNSME/MEDICAMENTS ET INTRANTS",soctrans,"OUI"))</f>
        <v>1</v>
      </c>
      <c r="J354" s="58">
        <f>IF(VLOOKUP($A354,SiteAttendu!$A$2:$P$366,11,0)="NA","NA",COUNTIFS(soccode,$A354,socprog,"PNN/MEDICAMENTS ET INTRANTS",soctrans,"OUI"))</f>
        <v>1</v>
      </c>
      <c r="K354" s="58">
        <f>IF(VLOOKUP($A354,SiteAttendu!$A$2:$O$366,15,0)="NA","NA",IF(COUNTIF(socprog,"PNLT/SENSIBLE MEDICAMENTS ET INTRANTS")=0,"NA",COUNTIFS(soccode,$A354,socprog,"PNLT/SENSIBLE MEDICAMENTS ET INTRANTS",soctrans,"OUI")))</f>
        <v>0</v>
      </c>
      <c r="L354" s="100"/>
      <c r="M354" s="100">
        <f t="shared" ref="M354:S354" si="341">IFERROR(SUMIFS(E$2:E$364,$C$2:$C$364,$C354)/COUNTIFS(E$2:E$364,"&lt;&gt;NA",$C$2:$C$364,$C354),"")</f>
        <v>1</v>
      </c>
      <c r="N354" s="100">
        <f t="shared" si="341"/>
        <v>1</v>
      </c>
      <c r="O354" s="100">
        <f t="shared" si="341"/>
        <v>1</v>
      </c>
      <c r="P354" s="100">
        <f t="shared" si="341"/>
        <v>1</v>
      </c>
      <c r="Q354" s="100">
        <f t="shared" si="341"/>
        <v>0.875</v>
      </c>
      <c r="R354" s="100">
        <f t="shared" si="341"/>
        <v>0.875</v>
      </c>
      <c r="S354" s="100">
        <f t="shared" si="341"/>
        <v>0.75</v>
      </c>
      <c r="T354" s="101">
        <f t="shared" si="298"/>
        <v>1</v>
      </c>
      <c r="U354" s="92">
        <f t="shared" si="4"/>
        <v>4</v>
      </c>
      <c r="V354" s="54">
        <f t="shared" si="5"/>
        <v>4</v>
      </c>
    </row>
    <row r="355" ht="15.0" customHeight="1">
      <c r="A355" s="55" t="str">
        <f>SiteAttendu!$A353</f>
        <v>C5001</v>
      </c>
      <c r="B355" s="56" t="str">
        <f>VLOOKUP($A355,SiteAttendu!$A$2:$C$366,2,0)</f>
        <v>CHR MAN</v>
      </c>
      <c r="C355" s="57" t="str">
        <f>VLOOKUP($A355,SiteAttendu!$A$2:$C$366,3,0)</f>
        <v>TONKPI</v>
      </c>
      <c r="D355" s="58">
        <f>IF(VLOOKUP($A355,SiteAttendu!$A$2:$P$366,4,0)="NA","NA",COUNTIFS(soccode,A355,socprog,"PNLS/ANTIRETROVIRAUX ET IO",soctrans,"OUI"))</f>
        <v>1</v>
      </c>
      <c r="E355" s="58">
        <f>IF(VLOOKUP($A355,SiteAttendu!$A$2:$P$366,5,0)="NA","NA",COUNTIFS(soccode,A355,socprog,"PNLS/TESTS RAPIDES ET CONSOMMABLES",soctrans,"OUI"))</f>
        <v>1</v>
      </c>
      <c r="F355" s="58">
        <f>IF(VLOOKUP($A355,SiteAttendu!$A$2:$P$366,6,0)="NA","NA",COUNTIFS(soccode,A355,socprog,"PNLS/PRODUITS DE LABORATOIRE",soctrans,"OUI"))</f>
        <v>1</v>
      </c>
      <c r="G355" s="58">
        <f>IF(VLOOKUP($A355,SiteAttendu!$A$2:$P$366,7,0)="NA","NA",COUNTIFS(soccode,A355,socprog,"PNLS/CHARGES VIRALES",soctrans,"OUI"))</f>
        <v>1</v>
      </c>
      <c r="H355" s="58">
        <f>IF(VLOOKUP($A355,SiteAttendu!$A$2:$P$366,9,0)="NA","NA",COUNTIFS(soccode,A355,socprog,"PNLP/MEDICAMENTS ET INTRANTS",soctrans,"OUI"))</f>
        <v>1</v>
      </c>
      <c r="I355" s="58">
        <f>IF(VLOOKUP($A355,SiteAttendu!$A$2:$P$366,10,0)="NA","NA",COUNTIFS(soccode,$A355,socprog,"PNSME/MEDICAMENTS ET INTRANTS",soctrans,"OUI"))</f>
        <v>1</v>
      </c>
      <c r="J355" s="58">
        <f>IF(VLOOKUP($A355,SiteAttendu!$A$2:$P$366,11,0)="NA","NA",COUNTIFS(soccode,$A355,socprog,"PNN/MEDICAMENTS ET INTRANTS",soctrans,"OUI"))</f>
        <v>1</v>
      </c>
      <c r="K355" s="58" t="str">
        <f>IF(VLOOKUP($A355,SiteAttendu!$A$2:$O$366,15,0)="NA","NA",IF(COUNTIF(socprog,"PNLT/SENSIBLE MEDICAMENTS ET INTRANTS")=0,"NA",COUNTIFS(soccode,$A355,socprog,"PNLT/SENSIBLE MEDICAMENTS ET INTRANTS",soctrans,"OUI")))</f>
        <v>NA</v>
      </c>
      <c r="L355" s="100"/>
      <c r="M355" s="100">
        <f t="shared" ref="M355:S355" si="342">IFERROR(SUMIFS(E$2:E$364,$C$2:$C$364,$C355)/COUNTIFS(E$2:E$364,"&lt;&gt;NA",$C$2:$C$364,$C355),"")</f>
        <v>1</v>
      </c>
      <c r="N355" s="100">
        <f t="shared" si="342"/>
        <v>1</v>
      </c>
      <c r="O355" s="100">
        <f t="shared" si="342"/>
        <v>1</v>
      </c>
      <c r="P355" s="100">
        <f t="shared" si="342"/>
        <v>1</v>
      </c>
      <c r="Q355" s="100">
        <f t="shared" si="342"/>
        <v>0.875</v>
      </c>
      <c r="R355" s="100">
        <f t="shared" si="342"/>
        <v>0.875</v>
      </c>
      <c r="S355" s="100">
        <f t="shared" si="342"/>
        <v>0.75</v>
      </c>
      <c r="T355" s="101">
        <f t="shared" si="298"/>
        <v>1</v>
      </c>
      <c r="U355" s="92">
        <f t="shared" si="4"/>
        <v>4</v>
      </c>
      <c r="V355" s="54">
        <f t="shared" si="5"/>
        <v>4</v>
      </c>
    </row>
    <row r="356" ht="15.0" customHeight="1">
      <c r="A356" s="55" t="str">
        <f>SiteAttendu!$A354</f>
        <v>C5012</v>
      </c>
      <c r="B356" s="56" t="str">
        <f>VLOOKUP($A356,SiteAttendu!$A$2:$C$366,2,0)</f>
        <v>DISTRICT SANITAIRE MAN</v>
      </c>
      <c r="C356" s="57" t="str">
        <f>VLOOKUP($A356,SiteAttendu!$A$2:$C$366,3,0)</f>
        <v>TONKPI</v>
      </c>
      <c r="D356" s="58">
        <f>IF(VLOOKUP($A356,SiteAttendu!$A$2:$P$366,4,0)="NA","NA",COUNTIFS(soccode,A356,socprog,"PNLS/ANTIRETROVIRAUX ET IO",soctrans,"OUI"))</f>
        <v>1</v>
      </c>
      <c r="E356" s="58">
        <f>IF(VLOOKUP($A356,SiteAttendu!$A$2:$P$366,5,0)="NA","NA",COUNTIFS(soccode,A356,socprog,"PNLS/TESTS RAPIDES ET CONSOMMABLES",soctrans,"OUI"))</f>
        <v>1</v>
      </c>
      <c r="F356" s="58">
        <f>IF(VLOOKUP($A356,SiteAttendu!$A$2:$P$366,6,0)="NA","NA",COUNTIFS(soccode,A356,socprog,"PNLS/PRODUITS DE LABORATOIRE",soctrans,"OUI"))</f>
        <v>1</v>
      </c>
      <c r="G356" s="58" t="str">
        <f>IF(VLOOKUP($A356,SiteAttendu!$A$2:$P$366,7,0)="NA","NA",COUNTIFS(soccode,A356,socprog,"PNLS/CHARGES VIRALES",soctrans,"OUI"))</f>
        <v>NA</v>
      </c>
      <c r="H356" s="58">
        <f>IF(VLOOKUP($A356,SiteAttendu!$A$2:$P$366,9,0)="NA","NA",COUNTIFS(soccode,A356,socprog,"PNLP/MEDICAMENTS ET INTRANTS",soctrans,"OUI"))</f>
        <v>1</v>
      </c>
      <c r="I356" s="58">
        <f>IF(VLOOKUP($A356,SiteAttendu!$A$2:$P$366,10,0)="NA","NA",COUNTIFS(soccode,$A356,socprog,"PNSME/MEDICAMENTS ET INTRANTS",soctrans,"OUI"))</f>
        <v>1</v>
      </c>
      <c r="J356" s="58">
        <f>IF(VLOOKUP($A356,SiteAttendu!$A$2:$P$366,11,0)="NA","NA",COUNTIFS(soccode,$A356,socprog,"PNN/MEDICAMENTS ET INTRANTS",soctrans,"OUI"))</f>
        <v>1</v>
      </c>
      <c r="K356" s="58">
        <f>IF(VLOOKUP($A356,SiteAttendu!$A$2:$O$366,15,0)="NA","NA",IF(COUNTIF(socprog,"PNLT/SENSIBLE MEDICAMENTS ET INTRANTS")=0,"NA",COUNTIFS(soccode,$A356,socprog,"PNLT/SENSIBLE MEDICAMENTS ET INTRANTS",soctrans,"OUI")))</f>
        <v>1</v>
      </c>
      <c r="L356" s="100"/>
      <c r="M356" s="100">
        <f t="shared" ref="M356:S356" si="343">IFERROR(SUMIFS(E$2:E$364,$C$2:$C$364,$C356)/COUNTIFS(E$2:E$364,"&lt;&gt;NA",$C$2:$C$364,$C356),"")</f>
        <v>1</v>
      </c>
      <c r="N356" s="100">
        <f t="shared" si="343"/>
        <v>1</v>
      </c>
      <c r="O356" s="100">
        <f t="shared" si="343"/>
        <v>1</v>
      </c>
      <c r="P356" s="100">
        <f t="shared" si="343"/>
        <v>1</v>
      </c>
      <c r="Q356" s="100">
        <f t="shared" si="343"/>
        <v>0.875</v>
      </c>
      <c r="R356" s="100">
        <f t="shared" si="343"/>
        <v>0.875</v>
      </c>
      <c r="S356" s="100">
        <f t="shared" si="343"/>
        <v>0.75</v>
      </c>
      <c r="T356" s="101">
        <f t="shared" si="298"/>
        <v>1</v>
      </c>
      <c r="U356" s="92">
        <f t="shared" si="4"/>
        <v>3</v>
      </c>
      <c r="V356" s="54">
        <f t="shared" si="5"/>
        <v>3</v>
      </c>
    </row>
    <row r="357" ht="15.0" customHeight="1">
      <c r="A357" s="55" t="str">
        <f>SiteAttendu!$A355</f>
        <v>C5061</v>
      </c>
      <c r="B357" s="56" t="str">
        <f>VLOOKUP($A357,SiteAttendu!$A$2:$C$366,2,0)</f>
        <v>CENTRE ANTITUBERCULEUX MAN</v>
      </c>
      <c r="C357" s="57" t="str">
        <f>VLOOKUP($A357,SiteAttendu!$A$2:$C$366,3,0)</f>
        <v>TONKPI</v>
      </c>
      <c r="D357" s="58" t="str">
        <f>IF(VLOOKUP($A357,SiteAttendu!$A$2:$P$366,4,0)="NA","NA",COUNTIFS(soccode,A357,socprog,"PNLS/ANTIRETROVIRAUX ET IO",soctrans,"OUI"))</f>
        <v>NA</v>
      </c>
      <c r="E357" s="58" t="str">
        <f>IF(VLOOKUP($A357,SiteAttendu!$A$2:$P$366,5,0)="NA","NA",COUNTIFS(soccode,A357,socprog,"PNLS/TESTS RAPIDES ET CONSOMMABLES",soctrans,"OUI"))</f>
        <v>NA</v>
      </c>
      <c r="F357" s="58" t="str">
        <f>IF(VLOOKUP($A357,SiteAttendu!$A$2:$P$366,6,0)="NA","NA",COUNTIFS(soccode,A357,socprog,"PNLS/PRODUITS DE LABORATOIRE",soctrans,"OUI"))</f>
        <v>NA</v>
      </c>
      <c r="G357" s="58" t="str">
        <f>IF(VLOOKUP($A357,SiteAttendu!$A$2:$P$366,7,0)="NA","NA",COUNTIFS(soccode,A357,socprog,"PNLS/CHARGES VIRALES",soctrans,"OUI"))</f>
        <v>NA</v>
      </c>
      <c r="H357" s="58" t="str">
        <f>IF(VLOOKUP($A357,SiteAttendu!$A$2:$P$366,9,0)="NA","NA",COUNTIFS(soccode,A357,socprog,"PNLP/MEDICAMENTS ET INTRANTS",soctrans,"OUI"))</f>
        <v>NA</v>
      </c>
      <c r="I357" s="58" t="str">
        <f>IF(VLOOKUP($A357,SiteAttendu!$A$2:$P$366,10,0)="NA","NA",COUNTIFS(soccode,$A357,socprog,"PNSME/MEDICAMENTS ET INTRANTS",soctrans,"OUI"))</f>
        <v>NA</v>
      </c>
      <c r="J357" s="58" t="str">
        <f>IF(VLOOKUP($A357,SiteAttendu!$A$2:$P$366,11,0)="NA","NA",COUNTIFS(soccode,$A357,socprog,"PNN/MEDICAMENTS ET INTRANTS",soctrans,"OUI"))</f>
        <v>NA</v>
      </c>
      <c r="K357" s="58">
        <f>IF(VLOOKUP($A357,SiteAttendu!$A$2:$O$366,15,0)="NA","NA",IF(COUNTIF(socprog,"PNLT/SENSIBLE MEDICAMENTS ET INTRANTS")=0,"NA",COUNTIFS(soccode,$A357,socprog,"PNLT/SENSIBLE MEDICAMENTS ET INTRANTS",soctrans,"OUI")))</f>
        <v>1</v>
      </c>
      <c r="L357" s="100"/>
      <c r="M357" s="100">
        <f t="shared" ref="M357:S357" si="344">IFERROR(SUMIFS(E$2:E$364,$C$2:$C$364,$C357)/COUNTIFS(E$2:E$364,"&lt;&gt;NA",$C$2:$C$364,$C357),"")</f>
        <v>1</v>
      </c>
      <c r="N357" s="100">
        <f t="shared" si="344"/>
        <v>1</v>
      </c>
      <c r="O357" s="100">
        <f t="shared" si="344"/>
        <v>1</v>
      </c>
      <c r="P357" s="100">
        <f t="shared" si="344"/>
        <v>1</v>
      </c>
      <c r="Q357" s="100">
        <f t="shared" si="344"/>
        <v>0.875</v>
      </c>
      <c r="R357" s="100">
        <f t="shared" si="344"/>
        <v>0.875</v>
      </c>
      <c r="S357" s="100">
        <f t="shared" si="344"/>
        <v>0.75</v>
      </c>
      <c r="T357" s="101">
        <f t="shared" si="298"/>
        <v>1</v>
      </c>
      <c r="U357" s="92">
        <f t="shared" si="4"/>
        <v>0</v>
      </c>
      <c r="V357" s="54">
        <f t="shared" si="5"/>
        <v>0</v>
      </c>
      <c r="AC357" s="109">
        <f>23/24</f>
        <v>0.9583333333</v>
      </c>
    </row>
    <row r="358" ht="15.0" customHeight="1">
      <c r="A358" s="55" t="str">
        <f>SiteAttendu!$A356</f>
        <v>C5006</v>
      </c>
      <c r="B358" s="56" t="str">
        <f>VLOOKUP($A358,SiteAttendu!$A$2:$C$366,2,0)</f>
        <v>HOPITAL GENERAL ZOUAN HOUNIEN</v>
      </c>
      <c r="C358" s="57" t="str">
        <f>VLOOKUP($A358,SiteAttendu!$A$2:$C$366,3,0)</f>
        <v>TONKPI</v>
      </c>
      <c r="D358" s="58">
        <f>IF(VLOOKUP($A358,SiteAttendu!$A$2:$P$366,4,0)="NA","NA",COUNTIFS(soccode,A358,socprog,"PNLS/ANTIRETROVIRAUX ET IO",soctrans,"OUI"))</f>
        <v>1</v>
      </c>
      <c r="E358" s="58">
        <f>IF(VLOOKUP($A358,SiteAttendu!$A$2:$P$366,5,0)="NA","NA",COUNTIFS(soccode,A358,socprog,"PNLS/TESTS RAPIDES ET CONSOMMABLES",soctrans,"OUI"))</f>
        <v>1</v>
      </c>
      <c r="F358" s="58">
        <f>IF(VLOOKUP($A358,SiteAttendu!$A$2:$P$366,6,0)="NA","NA",COUNTIFS(soccode,A358,socprog,"PNLS/PRODUITS DE LABORATOIRE",soctrans,"OUI"))</f>
        <v>1</v>
      </c>
      <c r="G358" s="58" t="str">
        <f>IF(VLOOKUP($A358,SiteAttendu!$A$2:$P$366,7,0)="NA","NA",COUNTIFS(soccode,A358,socprog,"PNLS/CHARGES VIRALES",soctrans,"OUI"))</f>
        <v>NA</v>
      </c>
      <c r="H358" s="58">
        <f>IF(VLOOKUP($A358,SiteAttendu!$A$2:$P$366,9,0)="NA","NA",COUNTIFS(soccode,A358,socprog,"PNLP/MEDICAMENTS ET INTRANTS",soctrans,"OUI"))</f>
        <v>1</v>
      </c>
      <c r="I358" s="58">
        <f>IF(VLOOKUP($A358,SiteAttendu!$A$2:$P$366,10,0)="NA","NA",COUNTIFS(soccode,$A358,socprog,"PNSME/MEDICAMENTS ET INTRANTS",soctrans,"OUI"))</f>
        <v>1</v>
      </c>
      <c r="J358" s="58">
        <f>IF(VLOOKUP($A358,SiteAttendu!$A$2:$P$366,11,0)="NA","NA",COUNTIFS(soccode,$A358,socprog,"PNN/MEDICAMENTS ET INTRANTS",soctrans,"OUI"))</f>
        <v>1</v>
      </c>
      <c r="K358" s="58">
        <f>IF(VLOOKUP($A358,SiteAttendu!$A$2:$O$366,15,0)="NA","NA",IF(COUNTIF(socprog,"PNLT/SENSIBLE MEDICAMENTS ET INTRANTS")=0,"NA",COUNTIFS(soccode,$A358,socprog,"PNLT/SENSIBLE MEDICAMENTS ET INTRANTS",soctrans,"OUI")))</f>
        <v>1</v>
      </c>
      <c r="L358" s="100"/>
      <c r="M358" s="100">
        <f t="shared" ref="M358:S358" si="345">IFERROR(SUMIFS(E$2:E$364,$C$2:$C$364,$C358)/COUNTIFS(E$2:E$364,"&lt;&gt;NA",$C$2:$C$364,$C358),"")</f>
        <v>1</v>
      </c>
      <c r="N358" s="100">
        <f t="shared" si="345"/>
        <v>1</v>
      </c>
      <c r="O358" s="100">
        <f t="shared" si="345"/>
        <v>1</v>
      </c>
      <c r="P358" s="100">
        <f t="shared" si="345"/>
        <v>1</v>
      </c>
      <c r="Q358" s="100">
        <f t="shared" si="345"/>
        <v>0.875</v>
      </c>
      <c r="R358" s="100">
        <f t="shared" si="345"/>
        <v>0.875</v>
      </c>
      <c r="S358" s="100">
        <f t="shared" si="345"/>
        <v>0.75</v>
      </c>
      <c r="T358" s="101">
        <f t="shared" si="298"/>
        <v>1</v>
      </c>
      <c r="U358" s="92">
        <f t="shared" si="4"/>
        <v>3</v>
      </c>
      <c r="V358" s="54">
        <f t="shared" si="5"/>
        <v>3</v>
      </c>
    </row>
    <row r="359" ht="15.0" customHeight="1">
      <c r="A359" s="70" t="str">
        <f>SiteAttendu!$A357</f>
        <v>C5040</v>
      </c>
      <c r="B359" s="71" t="str">
        <f>VLOOKUP($A359,SiteAttendu!$A$2:$C$366,2,0)</f>
        <v>DISTRICT SANITAIRE ZOUAN-HOUNIEN</v>
      </c>
      <c r="C359" s="72" t="str">
        <f>VLOOKUP($A359,SiteAttendu!$A$2:$C$366,3,0)</f>
        <v>TONKPI</v>
      </c>
      <c r="D359" s="73">
        <f>IF(VLOOKUP($A359,SiteAttendu!$A$2:$P$366,4,0)="NA","NA",COUNTIFS(soccode,A359,socprog,"PNLS/ANTIRETROVIRAUX ET IO",soctrans,"OUI"))</f>
        <v>1</v>
      </c>
      <c r="E359" s="73">
        <f>IF(VLOOKUP($A359,SiteAttendu!$A$2:$P$366,5,0)="NA","NA",COUNTIFS(soccode,A359,socprog,"PNLS/TESTS RAPIDES ET CONSOMMABLES",soctrans,"OUI"))</f>
        <v>1</v>
      </c>
      <c r="F359" s="73" t="str">
        <f>IF(VLOOKUP($A359,SiteAttendu!$A$2:$P$366,6,0)="NA","NA",COUNTIFS(soccode,A359,socprog,"PNLS/PRODUITS DE LABORATOIRE",soctrans,"OUI"))</f>
        <v>NA</v>
      </c>
      <c r="G359" s="73" t="str">
        <f>IF(VLOOKUP($A359,SiteAttendu!$A$2:$P$366,7,0)="NA","NA",COUNTIFS(soccode,A359,socprog,"PNLS/CHARGES VIRALES",soctrans,"OUI"))</f>
        <v>NA</v>
      </c>
      <c r="H359" s="73">
        <f>IF(VLOOKUP($A359,SiteAttendu!$A$2:$P$366,9,0)="NA","NA",COUNTIFS(soccode,A359,socprog,"PNLP/MEDICAMENTS ET INTRANTS",soctrans,"OUI"))</f>
        <v>1</v>
      </c>
      <c r="I359" s="73">
        <f>IF(VLOOKUP($A359,SiteAttendu!$A$2:$P$366,10,0)="NA","NA",COUNTIFS(soccode,$A359,socprog,"PNSME/MEDICAMENTS ET INTRANTS",soctrans,"OUI"))</f>
        <v>0</v>
      </c>
      <c r="J359" s="73">
        <f>IF(VLOOKUP($A359,SiteAttendu!$A$2:$P$366,11,0)="NA","NA",COUNTIFS(soccode,$A359,socprog,"PNN/MEDICAMENTS ET INTRANTS",soctrans,"OUI"))</f>
        <v>0</v>
      </c>
      <c r="K359" s="73">
        <f>IF(VLOOKUP($A359,SiteAttendu!$A$2:$O$366,15,0)="NA","NA",IF(COUNTIF(socprog,"PNLT/SENSIBLE MEDICAMENTS ET INTRANTS")=0,"NA",COUNTIFS(soccode,$A359,socprog,"PNLT/SENSIBLE MEDICAMENTS ET INTRANTS",soctrans,"OUI")))</f>
        <v>0</v>
      </c>
      <c r="L359" s="89"/>
      <c r="M359" s="89">
        <f t="shared" ref="M359:S359" si="346">IFERROR(SUMIFS(E$2:E$364,$C$2:$C$364,$C359)/COUNTIFS(E$2:E$364,"&lt;&gt;NA",$C$2:$C$364,$C359),"")</f>
        <v>1</v>
      </c>
      <c r="N359" s="89">
        <f t="shared" si="346"/>
        <v>1</v>
      </c>
      <c r="O359" s="89">
        <f t="shared" si="346"/>
        <v>1</v>
      </c>
      <c r="P359" s="89">
        <f t="shared" si="346"/>
        <v>1</v>
      </c>
      <c r="Q359" s="89">
        <f t="shared" si="346"/>
        <v>0.875</v>
      </c>
      <c r="R359" s="89">
        <f t="shared" si="346"/>
        <v>0.875</v>
      </c>
      <c r="S359" s="89">
        <f t="shared" si="346"/>
        <v>0.75</v>
      </c>
      <c r="T359" s="106">
        <f t="shared" si="298"/>
        <v>1</v>
      </c>
      <c r="U359" s="92">
        <f t="shared" si="4"/>
        <v>2</v>
      </c>
      <c r="V359" s="54">
        <f t="shared" si="5"/>
        <v>2</v>
      </c>
    </row>
    <row r="360" ht="15.0" customHeight="1">
      <c r="A360" s="46" t="str">
        <f>SiteAttendu!$A360</f>
        <v>C2041</v>
      </c>
      <c r="B360" s="47" t="str">
        <f>VLOOKUP($A360,SiteAttendu!$A$2:$C$366,2,0)</f>
        <v>HOPITAL GENERAL KANI</v>
      </c>
      <c r="C360" s="48" t="str">
        <f>VLOOKUP($A360,SiteAttendu!$A$2:$C$366,3,0)</f>
        <v>WORODOUGOU</v>
      </c>
      <c r="D360" s="49">
        <f>IF(VLOOKUP($A360,SiteAttendu!$A$2:$P$366,4,0)="NA","NA",COUNTIFS(soccode,A360,socprog,"PNLS/ANTIRETROVIRAUX ET IO",soctrans,"OUI"))</f>
        <v>1</v>
      </c>
      <c r="E360" s="49">
        <f>IF(VLOOKUP($A360,SiteAttendu!$A$2:$P$366,5,0)="NA","NA",COUNTIFS(soccode,A360,socprog,"PNLS/TESTS RAPIDES ET CONSOMMABLES",soctrans,"OUI"))</f>
        <v>1</v>
      </c>
      <c r="F360" s="49">
        <f>IF(VLOOKUP($A360,SiteAttendu!$A$2:$P$366,6,0)="NA","NA",COUNTIFS(soccode,A360,socprog,"PNLS/PRODUITS DE LABORATOIRE",soctrans,"OUI"))</f>
        <v>1</v>
      </c>
      <c r="G360" s="49" t="str">
        <f>IF(VLOOKUP($A360,SiteAttendu!$A$2:$P$366,7,0)="NA","NA",COUNTIFS(soccode,A360,socprog,"PNLS/CHARGES VIRALES",soctrans,"OUI"))</f>
        <v>NA</v>
      </c>
      <c r="H360" s="49">
        <f>IF(VLOOKUP($A360,SiteAttendu!$A$2:$P$366,9,0)="NA","NA",COUNTIFS(soccode,A360,socprog,"PNLP/MEDICAMENTS ET INTRANTS",soctrans,"OUI"))</f>
        <v>1</v>
      </c>
      <c r="I360" s="49">
        <f>IF(VLOOKUP($A360,SiteAttendu!$A$2:$P$366,10,0)="NA","NA",COUNTIFS(soccode,$A360,socprog,"PNSME/MEDICAMENTS ET INTRANTS",soctrans,"OUI"))</f>
        <v>1</v>
      </c>
      <c r="J360" s="49" t="str">
        <f>IF(VLOOKUP($A360,SiteAttendu!$A$2:$P$366,11,0)="NA","NA",COUNTIFS(soccode,$A360,socprog,"PNN/MEDICAMENTS ET INTRANTS",soctrans,"OUI"))</f>
        <v>NA</v>
      </c>
      <c r="K360" s="49" t="str">
        <f>IF(VLOOKUP($A360,SiteAttendu!$A$2:$O$366,15,0)="NA","NA",IF(COUNTIF(socprog,"PNLT/SENSIBLE MEDICAMENTS ET INTRANTS")=0,"NA",COUNTIFS(soccode,$A360,socprog,"PNLT/SENSIBLE MEDICAMENTS ET INTRANTS",soctrans,"OUI")))</f>
        <v>NA</v>
      </c>
      <c r="L360" s="98">
        <f t="shared" ref="L360:S360" si="347">IFERROR(SUMIFS(D$2:D$364,$C$2:$C$364,$C360)/COUNTIFS(D$2:D$364,"&lt;&gt;NA",$C$2:$C$364,$C360),"")</f>
        <v>1</v>
      </c>
      <c r="M360" s="98">
        <f t="shared" si="347"/>
        <v>1</v>
      </c>
      <c r="N360" s="98">
        <f t="shared" si="347"/>
        <v>1</v>
      </c>
      <c r="O360" s="98">
        <f t="shared" si="347"/>
        <v>1</v>
      </c>
      <c r="P360" s="98">
        <f t="shared" si="347"/>
        <v>1</v>
      </c>
      <c r="Q360" s="98">
        <f t="shared" si="347"/>
        <v>1</v>
      </c>
      <c r="R360" s="98">
        <f t="shared" si="347"/>
        <v>1</v>
      </c>
      <c r="S360" s="98">
        <f t="shared" si="347"/>
        <v>1</v>
      </c>
      <c r="T360" s="99">
        <f t="shared" si="298"/>
        <v>1</v>
      </c>
      <c r="U360" s="92">
        <f t="shared" si="4"/>
        <v>3</v>
      </c>
      <c r="V360" s="54">
        <f t="shared" si="5"/>
        <v>3</v>
      </c>
    </row>
    <row r="361" ht="15.0" customHeight="1">
      <c r="A361" s="55" t="str">
        <f>SiteAttendu!$A361</f>
        <v>C5072</v>
      </c>
      <c r="B361" s="56" t="str">
        <f>VLOOKUP($A361,SiteAttendu!$A$2:$C$366,2,0)</f>
        <v>DISTRICT SANITAIRE KANI</v>
      </c>
      <c r="C361" s="57" t="str">
        <f>VLOOKUP($A361,SiteAttendu!$A$2:$C$366,3,0)</f>
        <v>WORODOUGOU</v>
      </c>
      <c r="D361" s="58">
        <f>IF(VLOOKUP($A361,SiteAttendu!$A$2:$P$366,4,0)="NA","NA",COUNTIFS(soccode,A361,socprog,"PNLS/ANTIRETROVIRAUX ET IO",soctrans,"OUI"))</f>
        <v>1</v>
      </c>
      <c r="E361" s="58">
        <f>IF(VLOOKUP($A361,SiteAttendu!$A$2:$P$366,5,0)="NA","NA",COUNTIFS(soccode,A361,socprog,"PNLS/TESTS RAPIDES ET CONSOMMABLES",soctrans,"OUI"))</f>
        <v>1</v>
      </c>
      <c r="F361" s="58" t="str">
        <f>IF(VLOOKUP($A361,SiteAttendu!$A$2:$P$366,6,0)="NA","NA",COUNTIFS(soccode,A361,socprog,"PNLS/PRODUITS DE LABORATOIRE",soctrans,"OUI"))</f>
        <v>NA</v>
      </c>
      <c r="G361" s="58" t="str">
        <f>IF(VLOOKUP($A361,SiteAttendu!$A$2:$P$366,7,0)="NA","NA",COUNTIFS(soccode,A361,socprog,"PNLS/CHARGES VIRALES",soctrans,"OUI"))</f>
        <v>NA</v>
      </c>
      <c r="H361" s="58">
        <f>IF(VLOOKUP($A361,SiteAttendu!$A$2:$P$366,9,0)="NA","NA",COUNTIFS(soccode,A361,socprog,"PNLP/MEDICAMENTS ET INTRANTS",soctrans,"OUI"))</f>
        <v>1</v>
      </c>
      <c r="I361" s="58">
        <f>IF(VLOOKUP($A361,SiteAttendu!$A$2:$P$366,10,0)="NA","NA",COUNTIFS(soccode,$A361,socprog,"PNSME/MEDICAMENTS ET INTRANTS",soctrans,"OUI"))</f>
        <v>1</v>
      </c>
      <c r="J361" s="58">
        <f>IF(VLOOKUP($A361,SiteAttendu!$A$2:$P$366,11,0)="NA","NA",COUNTIFS(soccode,$A361,socprog,"PNN/MEDICAMENTS ET INTRANTS",soctrans,"OUI"))</f>
        <v>1</v>
      </c>
      <c r="K361" s="58">
        <f>IF(VLOOKUP($A361,SiteAttendu!$A$2:$O$366,15,0)="NA","NA",IF(COUNTIF(socprog,"PNLT/SENSIBLE MEDICAMENTS ET INTRANTS")=0,"NA",COUNTIFS(soccode,$A361,socprog,"PNLT/SENSIBLE MEDICAMENTS ET INTRANTS",soctrans,"OUI")))</f>
        <v>1</v>
      </c>
      <c r="L361" s="100"/>
      <c r="M361" s="100">
        <f t="shared" ref="M361:S361" si="348">IFERROR(SUMIFS(E$2:E$364,$C$2:$C$364,$C361)/COUNTIFS(E$2:E$364,"&lt;&gt;NA",$C$2:$C$364,$C361),"")</f>
        <v>1</v>
      </c>
      <c r="N361" s="100">
        <f t="shared" si="348"/>
        <v>1</v>
      </c>
      <c r="O361" s="100">
        <f t="shared" si="348"/>
        <v>1</v>
      </c>
      <c r="P361" s="100">
        <f t="shared" si="348"/>
        <v>1</v>
      </c>
      <c r="Q361" s="100">
        <f t="shared" si="348"/>
        <v>1</v>
      </c>
      <c r="R361" s="100">
        <f t="shared" si="348"/>
        <v>1</v>
      </c>
      <c r="S361" s="100">
        <f t="shared" si="348"/>
        <v>1</v>
      </c>
      <c r="T361" s="101">
        <f t="shared" si="298"/>
        <v>1</v>
      </c>
      <c r="U361" s="92">
        <f t="shared" si="4"/>
        <v>2</v>
      </c>
      <c r="V361" s="54">
        <f t="shared" si="5"/>
        <v>2</v>
      </c>
    </row>
    <row r="362" ht="15.0" customHeight="1">
      <c r="A362" s="55" t="str">
        <f>SiteAttendu!$A362</f>
        <v>C2008</v>
      </c>
      <c r="B362" s="56" t="str">
        <f>VLOOKUP($A362,SiteAttendu!$A$2:$C$366,2,0)</f>
        <v>CHR SEGUELA</v>
      </c>
      <c r="C362" s="57" t="str">
        <f>VLOOKUP($A362,SiteAttendu!$A$2:$C$366,3,0)</f>
        <v>WORODOUGOU</v>
      </c>
      <c r="D362" s="58">
        <f>IF(VLOOKUP($A362,SiteAttendu!$A$2:$P$366,4,0)="NA","NA",COUNTIFS(soccode,A362,socprog,"PNLS/ANTIRETROVIRAUX ET IO",soctrans,"OUI"))</f>
        <v>1</v>
      </c>
      <c r="E362" s="58">
        <f>IF(VLOOKUP($A362,SiteAttendu!$A$2:$P$366,5,0)="NA","NA",COUNTIFS(soccode,A362,socprog,"PNLS/TESTS RAPIDES ET CONSOMMABLES",soctrans,"OUI"))</f>
        <v>1</v>
      </c>
      <c r="F362" s="58">
        <f>IF(VLOOKUP($A362,SiteAttendu!$A$2:$P$366,6,0)="NA","NA",COUNTIFS(soccode,A362,socprog,"PNLS/PRODUITS DE LABORATOIRE",soctrans,"OUI"))</f>
        <v>1</v>
      </c>
      <c r="G362" s="58">
        <f>IF(VLOOKUP($A362,SiteAttendu!$A$2:$P$366,7,0)="NA","NA",COUNTIFS(soccode,A362,socprog,"PNLS/CHARGES VIRALES",soctrans,"OUI"))</f>
        <v>1</v>
      </c>
      <c r="H362" s="58">
        <f>IF(VLOOKUP($A362,SiteAttendu!$A$2:$P$366,9,0)="NA","NA",COUNTIFS(soccode,A362,socprog,"PNLP/MEDICAMENTS ET INTRANTS",soctrans,"OUI"))</f>
        <v>1</v>
      </c>
      <c r="I362" s="58">
        <f>IF(VLOOKUP($A362,SiteAttendu!$A$2:$P$366,10,0)="NA","NA",COUNTIFS(soccode,$A362,socprog,"PNSME/MEDICAMENTS ET INTRANTS",soctrans,"OUI"))</f>
        <v>1</v>
      </c>
      <c r="J362" s="58" t="str">
        <f>IF(VLOOKUP($A362,SiteAttendu!$A$2:$P$366,11,0)="NA","NA",COUNTIFS(soccode,$A362,socprog,"PNN/MEDICAMENTS ET INTRANTS",soctrans,"OUI"))</f>
        <v>NA</v>
      </c>
      <c r="K362" s="58" t="str">
        <f>IF(VLOOKUP($A362,SiteAttendu!$A$2:$O$366,15,0)="NA","NA",IF(COUNTIF(socprog,"PNLT/SENSIBLE MEDICAMENTS ET INTRANTS")=0,"NA",COUNTIFS(soccode,$A362,socprog,"PNLT/SENSIBLE MEDICAMENTS ET INTRANTS",soctrans,"OUI")))</f>
        <v>NA</v>
      </c>
      <c r="L362" s="100"/>
      <c r="M362" s="100">
        <f t="shared" ref="M362:S362" si="349">IFERROR(SUMIFS(E$2:E$364,$C$2:$C$364,$C362)/COUNTIFS(E$2:E$364,"&lt;&gt;NA",$C$2:$C$364,$C362),"")</f>
        <v>1</v>
      </c>
      <c r="N362" s="100">
        <f t="shared" si="349"/>
        <v>1</v>
      </c>
      <c r="O362" s="100">
        <f t="shared" si="349"/>
        <v>1</v>
      </c>
      <c r="P362" s="100">
        <f t="shared" si="349"/>
        <v>1</v>
      </c>
      <c r="Q362" s="100">
        <f t="shared" si="349"/>
        <v>1</v>
      </c>
      <c r="R362" s="100">
        <f t="shared" si="349"/>
        <v>1</v>
      </c>
      <c r="S362" s="100">
        <f t="shared" si="349"/>
        <v>1</v>
      </c>
      <c r="T362" s="101">
        <f t="shared" si="298"/>
        <v>1</v>
      </c>
      <c r="U362" s="92">
        <f t="shared" si="4"/>
        <v>4</v>
      </c>
      <c r="V362" s="54">
        <f t="shared" si="5"/>
        <v>4</v>
      </c>
    </row>
    <row r="363" ht="15.0" customHeight="1">
      <c r="A363" s="55" t="str">
        <f>SiteAttendu!$A363</f>
        <v>C2036</v>
      </c>
      <c r="B363" s="56" t="str">
        <f>VLOOKUP($A363,SiteAttendu!$A$2:$C$366,2,0)</f>
        <v>DISTRICT SANITAIRE SEGUELA</v>
      </c>
      <c r="C363" s="57" t="str">
        <f>VLOOKUP($A363,SiteAttendu!$A$2:$C$366,3,0)</f>
        <v>WORODOUGOU</v>
      </c>
      <c r="D363" s="58">
        <f>IF(VLOOKUP($A363,SiteAttendu!$A$2:$P$366,4,0)="NA","NA",COUNTIFS(soccode,A363,socprog,"PNLS/ANTIRETROVIRAUX ET IO",soctrans,"OUI"))</f>
        <v>1</v>
      </c>
      <c r="E363" s="58">
        <f>IF(VLOOKUP($A363,SiteAttendu!$A$2:$P$366,5,0)="NA","NA",COUNTIFS(soccode,A363,socprog,"PNLS/TESTS RAPIDES ET CONSOMMABLES",soctrans,"OUI"))</f>
        <v>1</v>
      </c>
      <c r="F363" s="58" t="str">
        <f>IF(VLOOKUP($A363,SiteAttendu!$A$2:$P$366,6,0)="NA","NA",COUNTIFS(soccode,A363,socprog,"PNLS/PRODUITS DE LABORATOIRE",soctrans,"OUI"))</f>
        <v>NA</v>
      </c>
      <c r="G363" s="58" t="str">
        <f>IF(VLOOKUP($A363,SiteAttendu!$A$2:$P$366,7,0)="NA","NA",COUNTIFS(soccode,A363,socprog,"PNLS/CHARGES VIRALES",soctrans,"OUI"))</f>
        <v>NA</v>
      </c>
      <c r="H363" s="58">
        <f>IF(VLOOKUP($A363,SiteAttendu!$A$2:$P$366,9,0)="NA","NA",COUNTIFS(soccode,A363,socprog,"PNLP/MEDICAMENTS ET INTRANTS",soctrans,"OUI"))</f>
        <v>1</v>
      </c>
      <c r="I363" s="58">
        <f>IF(VLOOKUP($A363,SiteAttendu!$A$2:$P$366,10,0)="NA","NA",COUNTIFS(soccode,$A363,socprog,"PNSME/MEDICAMENTS ET INTRANTS",soctrans,"OUI"))</f>
        <v>1</v>
      </c>
      <c r="J363" s="58">
        <f>IF(VLOOKUP($A363,SiteAttendu!$A$2:$P$366,11,0)="NA","NA",COUNTIFS(soccode,$A363,socprog,"PNN/MEDICAMENTS ET INTRANTS",soctrans,"OUI"))</f>
        <v>1</v>
      </c>
      <c r="K363" s="58" t="str">
        <f>IF(VLOOKUP($A363,SiteAttendu!$A$2:$O$366,15,0)="NA","NA",IF(COUNTIF(socprog,"PNLT/SENSIBLE MEDICAMENTS ET INTRANTS")=0,"NA",COUNTIFS(soccode,$A363,socprog,"PNLT/SENSIBLE MEDICAMENTS ET INTRANTS",soctrans,"OUI")))</f>
        <v>NA</v>
      </c>
      <c r="L363" s="100"/>
      <c r="M363" s="100">
        <f t="shared" ref="M363:S363" si="350">IFERROR(SUMIFS(E$2:E$364,$C$2:$C$364,$C363)/COUNTIFS(E$2:E$364,"&lt;&gt;NA",$C$2:$C$364,$C363),"")</f>
        <v>1</v>
      </c>
      <c r="N363" s="100">
        <f t="shared" si="350"/>
        <v>1</v>
      </c>
      <c r="O363" s="100">
        <f t="shared" si="350"/>
        <v>1</v>
      </c>
      <c r="P363" s="100">
        <f t="shared" si="350"/>
        <v>1</v>
      </c>
      <c r="Q363" s="100">
        <f t="shared" si="350"/>
        <v>1</v>
      </c>
      <c r="R363" s="100">
        <f t="shared" si="350"/>
        <v>1</v>
      </c>
      <c r="S363" s="100">
        <f t="shared" si="350"/>
        <v>1</v>
      </c>
      <c r="T363" s="101">
        <f t="shared" si="298"/>
        <v>1</v>
      </c>
      <c r="U363" s="92">
        <f t="shared" si="4"/>
        <v>2</v>
      </c>
      <c r="V363" s="54">
        <f t="shared" si="5"/>
        <v>2</v>
      </c>
    </row>
    <row r="364" ht="15.0" customHeight="1">
      <c r="A364" s="62" t="str">
        <f>SiteAttendu!$A364</f>
        <v>C2193</v>
      </c>
      <c r="B364" s="63" t="str">
        <f>VLOOKUP($A364,SiteAttendu!$A$2:$C$366,2,0)</f>
        <v>CENTRE ANTITUBERCULEUX SEGUELA</v>
      </c>
      <c r="C364" s="64" t="str">
        <f>VLOOKUP($A364,SiteAttendu!$A$2:$C$366,3,0)</f>
        <v>WORODOUGOU</v>
      </c>
      <c r="D364" s="65" t="str">
        <f>IF(VLOOKUP($A364,SiteAttendu!$A$2:$P$366,4,0)="NA","NA",COUNTIFS(soccode,A364,socprog,"PNLS/ANTIRETROVIRAUX ET IO",soctrans,"OUI"))</f>
        <v>NA</v>
      </c>
      <c r="E364" s="65" t="str">
        <f>IF(VLOOKUP($A364,SiteAttendu!$A$2:$P$366,5,0)="NA","NA",COUNTIFS(soccode,A364,socprog,"PNLS/TESTS RAPIDES ET CONSOMMABLES",soctrans,"OUI"))</f>
        <v>NA</v>
      </c>
      <c r="F364" s="65" t="str">
        <f>IF(VLOOKUP($A364,SiteAttendu!$A$2:$P$366,6,0)="NA","NA",COUNTIFS(soccode,A364,socprog,"PNLS/PRODUITS DE LABORATOIRE",soctrans,"OUI"))</f>
        <v>NA</v>
      </c>
      <c r="G364" s="65" t="str">
        <f>IF(VLOOKUP($A364,SiteAttendu!$A$2:$P$366,7,0)="NA","NA",COUNTIFS(soccode,A364,socprog,"PNLS/CHARGES VIRALES",soctrans,"OUI"))</f>
        <v>NA</v>
      </c>
      <c r="H364" s="65" t="str">
        <f>IF(VLOOKUP($A364,SiteAttendu!$A$2:$P$366,9,0)="NA","NA",COUNTIFS(soccode,A364,socprog,"PNLP/MEDICAMENTS ET INTRANTS",soctrans,"OUI"))</f>
        <v>NA</v>
      </c>
      <c r="I364" s="65" t="str">
        <f>IF(VLOOKUP($A364,SiteAttendu!$A$2:$P$366,10,0)="NA","NA",COUNTIFS(soccode,$A364,socprog,"PNSME/MEDICAMENTS ET INTRANTS",soctrans,"OUI"))</f>
        <v>NA</v>
      </c>
      <c r="J364" s="65" t="str">
        <f>IF(VLOOKUP($A364,SiteAttendu!$A$2:$P$366,11,0)="NA","NA",COUNTIFS(soccode,$A364,socprog,"PNN/MEDICAMENTS ET INTRANTS",soctrans,"OUI"))</f>
        <v>NA</v>
      </c>
      <c r="K364" s="65">
        <f>IF(VLOOKUP($A364,SiteAttendu!$A$2:$O$366,15,0)="NA","NA",IF(COUNTIF(socprog,"PNLT/SENSIBLE MEDICAMENTS ET INTRANTS")=0,"NA",COUNTIFS(soccode,$A364,socprog,"PNLT/SENSIBLE MEDICAMENTS ET INTRANTS",soctrans,"OUI")))</f>
        <v>1</v>
      </c>
      <c r="L364" s="102"/>
      <c r="M364" s="102">
        <f t="shared" ref="M364:S364" si="351">IFERROR(SUMIFS(E$2:E$364,$C$2:$C$364,$C364)/COUNTIFS(E$2:E$364,"&lt;&gt;NA",$C$2:$C$364,$C364),"")</f>
        <v>1</v>
      </c>
      <c r="N364" s="102">
        <f t="shared" si="351"/>
        <v>1</v>
      </c>
      <c r="O364" s="102">
        <f t="shared" si="351"/>
        <v>1</v>
      </c>
      <c r="P364" s="102">
        <f t="shared" si="351"/>
        <v>1</v>
      </c>
      <c r="Q364" s="102">
        <f t="shared" si="351"/>
        <v>1</v>
      </c>
      <c r="R364" s="102">
        <f t="shared" si="351"/>
        <v>1</v>
      </c>
      <c r="S364" s="102">
        <f t="shared" si="351"/>
        <v>1</v>
      </c>
      <c r="T364" s="103">
        <f t="shared" si="298"/>
        <v>1</v>
      </c>
      <c r="U364" s="110">
        <f t="shared" si="4"/>
        <v>0</v>
      </c>
      <c r="V364" s="111">
        <f t="shared" si="5"/>
        <v>0</v>
      </c>
    </row>
    <row r="365" ht="18.75" customHeight="1">
      <c r="A365" s="112"/>
      <c r="B365" s="112"/>
      <c r="C365" s="112"/>
      <c r="D365" s="113">
        <f t="shared" ref="D365:K365" si="352">IFERROR(SUM(D2:D364)/COUNTIF(D2:D364,"&lt;&gt;NA"),"NA")</f>
        <v>0.9436090226</v>
      </c>
      <c r="E365" s="113">
        <f t="shared" si="352"/>
        <v>0.9438202247</v>
      </c>
      <c r="F365" s="113">
        <f t="shared" si="352"/>
        <v>0.9384615385</v>
      </c>
      <c r="G365" s="113">
        <f t="shared" si="352"/>
        <v>0.8955223881</v>
      </c>
      <c r="H365" s="113">
        <f t="shared" si="352"/>
        <v>0.9197324415</v>
      </c>
      <c r="I365" s="113">
        <f t="shared" si="352"/>
        <v>0.8474576271</v>
      </c>
      <c r="J365" s="113">
        <f t="shared" si="352"/>
        <v>0.9179104478</v>
      </c>
      <c r="K365" s="113">
        <f t="shared" si="352"/>
        <v>0.795</v>
      </c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4"/>
      <c r="X365" s="114"/>
      <c r="Y365" s="114"/>
      <c r="Z365" s="114"/>
      <c r="AA365" s="114"/>
      <c r="AB365" s="114"/>
      <c r="AC365" s="114"/>
    </row>
    <row r="366" ht="30.75" customHeight="1">
      <c r="A366" s="115"/>
      <c r="B366" s="115"/>
      <c r="C366" s="115"/>
      <c r="D366" s="116">
        <f>SUM(D2:K364)/COUNTIF(D2:K364,"&lt;&gt;NA")</f>
        <v>0.901334881</v>
      </c>
      <c r="E366" s="117"/>
      <c r="F366" s="117"/>
      <c r="G366" s="117"/>
      <c r="H366" s="117"/>
      <c r="I366" s="117"/>
      <c r="J366" s="117"/>
      <c r="K366" s="118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</row>
    <row r="367" ht="14.25" customHeight="1">
      <c r="D367" s="119">
        <f t="shared" ref="D367:K367" si="353">COUNTIFS(D2:D364,"&lt;&gt;NA")</f>
        <v>266</v>
      </c>
      <c r="E367" s="119">
        <f t="shared" si="353"/>
        <v>267</v>
      </c>
      <c r="F367" s="119">
        <f t="shared" si="353"/>
        <v>195</v>
      </c>
      <c r="G367" s="119">
        <f t="shared" si="353"/>
        <v>67</v>
      </c>
      <c r="H367" s="119">
        <f t="shared" si="353"/>
        <v>299</v>
      </c>
      <c r="I367" s="119">
        <f t="shared" si="353"/>
        <v>295</v>
      </c>
      <c r="J367" s="119">
        <f t="shared" si="353"/>
        <v>134</v>
      </c>
      <c r="K367" s="119">
        <f t="shared" si="353"/>
        <v>200</v>
      </c>
      <c r="L367" s="119">
        <f t="shared" ref="L367:S367" si="354">SUM(D2:D364)</f>
        <v>251</v>
      </c>
      <c r="M367" s="119">
        <f t="shared" si="354"/>
        <v>252</v>
      </c>
      <c r="N367" s="119">
        <f t="shared" si="354"/>
        <v>183</v>
      </c>
      <c r="O367" s="119">
        <f t="shared" si="354"/>
        <v>60</v>
      </c>
      <c r="P367" s="119">
        <f t="shared" si="354"/>
        <v>275</v>
      </c>
      <c r="Q367" s="119">
        <f t="shared" si="354"/>
        <v>250</v>
      </c>
      <c r="R367" s="119">
        <f t="shared" si="354"/>
        <v>123</v>
      </c>
      <c r="S367" s="119">
        <f t="shared" si="354"/>
        <v>159</v>
      </c>
      <c r="T367" s="119"/>
      <c r="U367" s="119">
        <f t="shared" ref="U367:V367" si="355">SUM(U2:U364)</f>
        <v>746</v>
      </c>
      <c r="V367" s="119">
        <f t="shared" si="355"/>
        <v>795</v>
      </c>
      <c r="W367" s="6">
        <f>U367/V367</f>
        <v>0.9383647799</v>
      </c>
    </row>
    <row r="368" ht="14.25" customHeight="1">
      <c r="H368" s="6">
        <f t="shared" ref="H368:K368" si="356">SUM(H2:H364)</f>
        <v>275</v>
      </c>
      <c r="I368" s="6">
        <f t="shared" si="356"/>
        <v>250</v>
      </c>
      <c r="J368" s="6">
        <f t="shared" si="356"/>
        <v>123</v>
      </c>
      <c r="K368" s="6">
        <f t="shared" si="356"/>
        <v>159</v>
      </c>
    </row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AC$366"/>
  <mergeCells count="1">
    <mergeCell ref="D366:K366"/>
  </mergeCells>
  <conditionalFormatting sqref="D2:K364 U2:V364">
    <cfRule type="cellIs" dxfId="3" priority="1" operator="equal">
      <formula>"NA"</formula>
    </cfRule>
  </conditionalFormatting>
  <conditionalFormatting sqref="D2:K364 U2:V364">
    <cfRule type="cellIs" dxfId="4" priority="2" operator="equal">
      <formula>0</formula>
    </cfRule>
  </conditionalFormatting>
  <conditionalFormatting sqref="D2:K365">
    <cfRule type="cellIs" dxfId="5" priority="3" operator="equal">
      <formula>1</formula>
    </cfRule>
  </conditionalFormatting>
  <conditionalFormatting sqref="D365:K365">
    <cfRule type="cellIs" dxfId="6" priority="4" operator="equal">
      <formula>"NA"</formula>
    </cfRule>
  </conditionalFormatting>
  <conditionalFormatting sqref="D365:K365">
    <cfRule type="cellIs" dxfId="0" priority="5" operator="equal">
      <formula>0</formula>
    </cfRule>
  </conditionalFormatting>
  <conditionalFormatting sqref="U2:V364">
    <cfRule type="cellIs" dxfId="5" priority="6" operator="equal">
      <formula>1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2.43"/>
    <col customWidth="1" min="2" max="2" width="54.86"/>
    <col customWidth="1" min="3" max="3" width="18.71"/>
    <col customWidth="1" min="4" max="6" width="11.43"/>
    <col customWidth="1" min="7" max="7" width="13.57"/>
    <col customWidth="1" min="8" max="8" width="7.14"/>
    <col customWidth="1" min="9" max="11" width="11.43"/>
    <col customWidth="1" min="12" max="20" width="16.57"/>
    <col customWidth="1" min="21" max="26" width="11.43"/>
  </cols>
  <sheetData>
    <row r="1" ht="60.0" customHeight="1">
      <c r="A1" s="120" t="s">
        <v>789</v>
      </c>
      <c r="B1" s="121" t="s">
        <v>790</v>
      </c>
      <c r="C1" s="120" t="s">
        <v>791</v>
      </c>
      <c r="D1" s="120" t="s">
        <v>792</v>
      </c>
      <c r="E1" s="120" t="s">
        <v>793</v>
      </c>
      <c r="F1" s="120" t="s">
        <v>794</v>
      </c>
      <c r="G1" s="39" t="s">
        <v>795</v>
      </c>
      <c r="H1" s="120" t="s">
        <v>797</v>
      </c>
      <c r="I1" s="120" t="s">
        <v>798</v>
      </c>
      <c r="J1" s="120" t="s">
        <v>799</v>
      </c>
      <c r="K1" s="122" t="s">
        <v>803</v>
      </c>
      <c r="L1" s="41" t="s">
        <v>872</v>
      </c>
      <c r="M1" s="41" t="s">
        <v>873</v>
      </c>
      <c r="N1" s="41" t="s">
        <v>874</v>
      </c>
      <c r="O1" s="41" t="s">
        <v>875</v>
      </c>
      <c r="P1" s="42" t="s">
        <v>876</v>
      </c>
      <c r="Q1" s="42" t="s">
        <v>877</v>
      </c>
      <c r="R1" s="42" t="s">
        <v>878</v>
      </c>
      <c r="S1" s="42" t="s">
        <v>879</v>
      </c>
      <c r="T1" s="43" t="s">
        <v>880</v>
      </c>
      <c r="U1" s="123" t="s">
        <v>881</v>
      </c>
      <c r="V1" s="124" t="s">
        <v>882</v>
      </c>
    </row>
    <row r="2" ht="15.75" customHeight="1">
      <c r="A2" s="46" t="str">
        <f>SiteAttendu!$A2</f>
        <v>C1010</v>
      </c>
      <c r="B2" s="47" t="str">
        <f>VLOOKUP($A2,SiteAttendu!$A$2:$C$366,2,0)</f>
        <v>CSU COM ABOBO BANCO SUD</v>
      </c>
      <c r="C2" s="48" t="str">
        <f>VLOOKUP($A2,SiteAttendu!$A$2:$C$366,3,0)</f>
        <v>ABIDJAN 1</v>
      </c>
      <c r="D2" s="49" t="str">
        <f>IF(VLOOKUP(A2,SiteAttendu!$A$2:$P$366,4,0)="NA","NA",COUNTIFS(soccode,A2,socprog,"PNLS/ANTIRETROVIRAUX ET IO",socprompt,1))</f>
        <v>NA</v>
      </c>
      <c r="E2" s="49" t="str">
        <f>IF(VLOOKUP($A2,SiteAttendu!$A$2:$O$366,5,0)="NA","NA",COUNTIFS(soccode,A2,socprog,"PNLS/TESTS RAPIDES ET CONSOMMABLES",socprompt,1))</f>
        <v>NA</v>
      </c>
      <c r="F2" s="49" t="str">
        <f>IF(VLOOKUP($A2,SiteAttendu!$A$2:$O$366,6,0)="NA","NA",COUNTIFS(soccode,A2,socprog,"PNLS/PRODUITS DE LABORATOIRE",socprompt,1))</f>
        <v>NA</v>
      </c>
      <c r="G2" s="49" t="str">
        <f>IF(VLOOKUP($A2,SiteAttendu!$A$2:$O$366,7,0)="NA","NA",COUNTIFS(soccode,A2,socprog,"PNLS/CHARGES VIRALES",socprompt,1))</f>
        <v>NA</v>
      </c>
      <c r="H2" s="49">
        <f>IF(VLOOKUP($A2,SiteAttendu!$A$2:$O$366,9,0)="NA","NA",COUNTIFS(soccode,A2,socprog,"PNLP/MEDICAMENTS ET INTRANTS",socprompt,1))</f>
        <v>1</v>
      </c>
      <c r="I2" s="49">
        <f>IF(VLOOKUP($A2,SiteAttendu!$A$2:$O$366,10,0)="NA","NA",COUNTIFS(soccode,$A2,socprog,"PNSME/MEDICAMENTS ET INTRANTS",socprompt,1))</f>
        <v>1</v>
      </c>
      <c r="J2" s="49" t="str">
        <f>IF(VLOOKUP($A2,SiteAttendu!$A$2:$O$366,11,0)="NA","NA",COUNTIFS(soccode,$A2,socprog,"PNN/MEDICAMENTS ET INTRANTS",socprompt,1))</f>
        <v>NA</v>
      </c>
      <c r="K2" s="49" t="str">
        <f>IF(VLOOKUP($A2,SiteAttendu!$A$2:$O$366,15,0)="NA","NA",IF(COUNTIF(socprog,"PNLT/SENSIBLE MEDICAMENTS ET INTRANTS")=0,"NA",COUNTIFS(soccode,$A2,socprog,"PNLT/SENSIBLE MEDICAMENTS ET INTRANTS",socprompt,1)))</f>
        <v>NA</v>
      </c>
      <c r="L2" s="51">
        <f t="shared" ref="L2:S2" si="1">IFERROR(SUMIFS(D$2:D$364,$C$2:$C$364,$C2)/COUNTIFS(D$2:D$364,"&lt;&gt;NA",$C$2:$C$364,$C2),"")</f>
        <v>0.8333333333</v>
      </c>
      <c r="M2" s="125">
        <f t="shared" si="1"/>
        <v>0.8333333333</v>
      </c>
      <c r="N2" s="125">
        <f t="shared" si="1"/>
        <v>0.7222222222</v>
      </c>
      <c r="O2" s="125">
        <f t="shared" si="1"/>
        <v>0.5555555556</v>
      </c>
      <c r="P2" s="125">
        <f t="shared" si="1"/>
        <v>0.6785714286</v>
      </c>
      <c r="Q2" s="125">
        <f t="shared" si="1"/>
        <v>0.6086956522</v>
      </c>
      <c r="R2" s="125">
        <f t="shared" si="1"/>
        <v>1</v>
      </c>
      <c r="S2" s="125">
        <f t="shared" si="1"/>
        <v>0.6153846154</v>
      </c>
      <c r="T2" s="126">
        <f t="shared" ref="T2:T364" si="3">SUM(COUNTIFS($C:$C,$C2,D:D,1),COUNTIFS($C:$C,$C2,E:E,1),COUNTIFS($C:$C,$C2,F:F,1),COUNTIFS($C:$C,$C2,G:G,1))/SUM(COUNTIFS($C:$C,$C2,D:D,"&lt;&gt;NA"),COUNTIFS($C:$C,$C2,E:E,"&lt;&gt;NA"),COUNTIFS($C:$C,$C2,F:F,"&lt;&gt;NA"),COUNTIFS($C:$C,$C2,G:G,"&lt;&gt;NA"))</f>
        <v>0.7733333333</v>
      </c>
      <c r="U2" s="53">
        <f t="shared" ref="U2:U364" si="4">SUM(D2:G2)</f>
        <v>0</v>
      </c>
      <c r="V2" s="54">
        <f t="shared" ref="V2:V364" si="5">COUNTIF(D2:G2,"&lt;&gt;NA")</f>
        <v>0</v>
      </c>
    </row>
    <row r="3" ht="15.75" customHeight="1">
      <c r="A3" s="55" t="str">
        <f>SiteAttendu!$A3</f>
        <v>C1011</v>
      </c>
      <c r="B3" s="56" t="str">
        <f>VLOOKUP($A3,SiteAttendu!$A$2:$C$366,2,0)</f>
        <v>CSU COM ABOBO BC</v>
      </c>
      <c r="C3" s="57" t="str">
        <f>VLOOKUP($A3,SiteAttendu!$A$2:$C$366,3,0)</f>
        <v>ABIDJAN 1</v>
      </c>
      <c r="D3" s="58" t="str">
        <f>IF(VLOOKUP(A3,SiteAttendu!$A$2:$P$366,4,0)="NA","NA",COUNTIFS(soccode,A3,socprog,"PNLS/ANTIRETROVIRAUX ET IO",socprompt,1))</f>
        <v>NA</v>
      </c>
      <c r="E3" s="58" t="str">
        <f>IF(VLOOKUP($A3,SiteAttendu!$A$2:$O$366,5,0)="NA","NA",COUNTIFS(soccode,A3,socprog,"PNLS/TESTS RAPIDES ET CONSOMMABLES",socprompt,1))</f>
        <v>NA</v>
      </c>
      <c r="F3" s="58" t="str">
        <f>IF(VLOOKUP($A3,SiteAttendu!$A$2:$O$366,6,0)="NA","NA",COUNTIFS(soccode,A3,socprog,"PNLS/PRODUITS DE LABORATOIRE",socprompt,1))</f>
        <v>NA</v>
      </c>
      <c r="G3" s="58" t="str">
        <f>IF(VLOOKUP($A3,SiteAttendu!$A$2:$O$366,7,0)="NA","NA",COUNTIFS(soccode,A3,socprog,"PNLS/CHARGES VIRALES",socprompt,1))</f>
        <v>NA</v>
      </c>
      <c r="H3" s="58">
        <f>IF(VLOOKUP($A3,SiteAttendu!$A$2:$O$366,9,0)="NA","NA",COUNTIFS(soccode,A3,socprog,"PNLP/MEDICAMENTS ET INTRANTS",socprompt,1))</f>
        <v>1</v>
      </c>
      <c r="I3" s="58">
        <f>IF(VLOOKUP($A3,SiteAttendu!$A$2:$O$366,10,0)="NA","NA",COUNTIFS(soccode,$A3,socprog,"PNSME/MEDICAMENTS ET INTRANTS",socprompt,1))</f>
        <v>1</v>
      </c>
      <c r="J3" s="58" t="str">
        <f>IF(VLOOKUP($A3,SiteAttendu!$A$2:$O$366,11,0)="NA","NA",COUNTIFS(soccode,$A3,socprog,"PNN/MEDICAMENTS ET INTRANTS",socprompt,1))</f>
        <v>NA</v>
      </c>
      <c r="K3" s="58" t="str">
        <f>IF(VLOOKUP($A3,SiteAttendu!$A$2:$O$366,15,0)="NA","NA",IF(COUNTIF(socprog,"PNLT/SENSIBLE MEDICAMENTS ET INTRANTS")=0,"NA",COUNTIFS(soccode,$A3,socprog,"PNLT/SENSIBLE MEDICAMENTS ET INTRANTS",socprompt,1)))</f>
        <v>NA</v>
      </c>
      <c r="L3" s="60"/>
      <c r="M3" s="85">
        <f t="shared" ref="M3:S3" si="2">IFERROR(SUMIFS(E$2:E$364,$C$2:$C$364,$C3)/COUNTIFS(E$2:E$364,"&lt;&gt;NA",$C$2:$C$364,$C3),"")</f>
        <v>0.8333333333</v>
      </c>
      <c r="N3" s="85">
        <f t="shared" si="2"/>
        <v>0.7222222222</v>
      </c>
      <c r="O3" s="85">
        <f t="shared" si="2"/>
        <v>0.5555555556</v>
      </c>
      <c r="P3" s="85">
        <f t="shared" si="2"/>
        <v>0.6785714286</v>
      </c>
      <c r="Q3" s="85">
        <f t="shared" si="2"/>
        <v>0.6086956522</v>
      </c>
      <c r="R3" s="85">
        <f t="shared" si="2"/>
        <v>1</v>
      </c>
      <c r="S3" s="85">
        <f t="shared" si="2"/>
        <v>0.6153846154</v>
      </c>
      <c r="T3" s="127">
        <f t="shared" si="3"/>
        <v>0.7733333333</v>
      </c>
      <c r="U3" s="53">
        <f t="shared" si="4"/>
        <v>0</v>
      </c>
      <c r="V3" s="54">
        <f t="shared" si="5"/>
        <v>0</v>
      </c>
    </row>
    <row r="4" ht="15.75" customHeight="1">
      <c r="A4" s="55" t="str">
        <f>SiteAttendu!$A4</f>
        <v>C1012</v>
      </c>
      <c r="B4" s="56" t="str">
        <f>VLOOKUP($A4,SiteAttendu!$A$2:$C$366,2,0)</f>
        <v>CSU COM ABOBO TE</v>
      </c>
      <c r="C4" s="57" t="str">
        <f>VLOOKUP($A4,SiteAttendu!$A$2:$C$366,3,0)</f>
        <v>ABIDJAN 1</v>
      </c>
      <c r="D4" s="58" t="str">
        <f>IF(VLOOKUP(A4,SiteAttendu!$A$2:$P$366,4,0)="NA","NA",COUNTIFS(soccode,A4,socprog,"PNLS/ANTIRETROVIRAUX ET IO",socprompt,1))</f>
        <v>NA</v>
      </c>
      <c r="E4" s="58" t="str">
        <f>IF(VLOOKUP($A4,SiteAttendu!$A$2:$O$366,5,0)="NA","NA",COUNTIFS(soccode,A4,socprog,"PNLS/TESTS RAPIDES ET CONSOMMABLES",socprompt,1))</f>
        <v>NA</v>
      </c>
      <c r="F4" s="58" t="str">
        <f>IF(VLOOKUP($A4,SiteAttendu!$A$2:$O$366,6,0)="NA","NA",COUNTIFS(soccode,A4,socprog,"PNLS/PRODUITS DE LABORATOIRE",socprompt,1))</f>
        <v>NA</v>
      </c>
      <c r="G4" s="58" t="str">
        <f>IF(VLOOKUP($A4,SiteAttendu!$A$2:$O$366,7,0)="NA","NA",COUNTIFS(soccode,A4,socprog,"PNLS/CHARGES VIRALES",socprompt,1))</f>
        <v>NA</v>
      </c>
      <c r="H4" s="58">
        <f>IF(VLOOKUP($A4,SiteAttendu!$A$2:$O$366,9,0)="NA","NA",COUNTIFS(soccode,A4,socprog,"PNLP/MEDICAMENTS ET INTRANTS",socprompt,1))</f>
        <v>1</v>
      </c>
      <c r="I4" s="58" t="str">
        <f>IF(VLOOKUP($A4,SiteAttendu!$A$2:$O$366,10,0)="NA","NA",COUNTIFS(soccode,$A4,socprog,"PNSME/MEDICAMENTS ET INTRANTS",socprompt,1))</f>
        <v>NA</v>
      </c>
      <c r="J4" s="58" t="str">
        <f>IF(VLOOKUP($A4,SiteAttendu!$A$2:$O$366,11,0)="NA","NA",COUNTIFS(soccode,$A4,socprog,"PNN/MEDICAMENTS ET INTRANTS",socprompt,1))</f>
        <v>NA</v>
      </c>
      <c r="K4" s="58" t="str">
        <f>IF(VLOOKUP($A4,SiteAttendu!$A$2:$O$366,15,0)="NA","NA",IF(COUNTIF(socprog,"PNLT/SENSIBLE MEDICAMENTS ET INTRANTS")=0,"NA",COUNTIFS(soccode,$A4,socprog,"PNLT/SENSIBLE MEDICAMENTS ET INTRANTS",socprompt,1)))</f>
        <v>NA</v>
      </c>
      <c r="L4" s="60"/>
      <c r="M4" s="85">
        <f t="shared" ref="M4:S4" si="6">IFERROR(SUMIFS(E$2:E$364,$C$2:$C$364,$C4)/COUNTIFS(E$2:E$364,"&lt;&gt;NA",$C$2:$C$364,$C4),"")</f>
        <v>0.8333333333</v>
      </c>
      <c r="N4" s="85">
        <f t="shared" si="6"/>
        <v>0.7222222222</v>
      </c>
      <c r="O4" s="85">
        <f t="shared" si="6"/>
        <v>0.5555555556</v>
      </c>
      <c r="P4" s="85">
        <f t="shared" si="6"/>
        <v>0.6785714286</v>
      </c>
      <c r="Q4" s="85">
        <f t="shared" si="6"/>
        <v>0.6086956522</v>
      </c>
      <c r="R4" s="85">
        <f t="shared" si="6"/>
        <v>1</v>
      </c>
      <c r="S4" s="85">
        <f t="shared" si="6"/>
        <v>0.6153846154</v>
      </c>
      <c r="T4" s="127">
        <f t="shared" si="3"/>
        <v>0.7733333333</v>
      </c>
      <c r="U4" s="53">
        <f t="shared" si="4"/>
        <v>0</v>
      </c>
      <c r="V4" s="54">
        <f t="shared" si="5"/>
        <v>0</v>
      </c>
    </row>
    <row r="5" ht="15.75" customHeight="1">
      <c r="A5" s="55" t="str">
        <f>SiteAttendu!$A5</f>
        <v>C1026</v>
      </c>
      <c r="B5" s="56" t="str">
        <f>VLOOKUP($A5,SiteAttendu!$A$2:$C$366,2,0)</f>
        <v>CSU COM KENNEDY</v>
      </c>
      <c r="C5" s="57" t="str">
        <f>VLOOKUP($A5,SiteAttendu!$A$2:$C$366,3,0)</f>
        <v>ABIDJAN 1</v>
      </c>
      <c r="D5" s="58">
        <f>IF(VLOOKUP(A5,SiteAttendu!$A$2:$P$366,4,0)="NA","NA",COUNTIFS(soccode,A5,socprog,"PNLS/ANTIRETROVIRAUX ET IO",socprompt,1))</f>
        <v>1</v>
      </c>
      <c r="E5" s="58">
        <f>IF(VLOOKUP($A5,SiteAttendu!$A$2:$O$366,5,0)="NA","NA",COUNTIFS(soccode,A5,socprog,"PNLS/TESTS RAPIDES ET CONSOMMABLES",socprompt,1))</f>
        <v>1</v>
      </c>
      <c r="F5" s="58">
        <f>IF(VLOOKUP($A5,SiteAttendu!$A$2:$O$366,6,0)="NA","NA",COUNTIFS(soccode,A5,socprog,"PNLS/PRODUITS DE LABORATOIRE",socprompt,1))</f>
        <v>1</v>
      </c>
      <c r="G5" s="58" t="str">
        <f>IF(VLOOKUP($A5,SiteAttendu!$A$2:$O$366,7,0)="NA","NA",COUNTIFS(soccode,A5,socprog,"PNLS/CHARGES VIRALES",socprompt,1))</f>
        <v>NA</v>
      </c>
      <c r="H5" s="58">
        <f>IF(VLOOKUP($A5,SiteAttendu!$A$2:$O$366,9,0)="NA","NA",COUNTIFS(soccode,A5,socprog,"PNLP/MEDICAMENTS ET INTRANTS",socprompt,1))</f>
        <v>1</v>
      </c>
      <c r="I5" s="58">
        <f>IF(VLOOKUP($A5,SiteAttendu!$A$2:$O$366,10,0)="NA","NA",COUNTIFS(soccode,$A5,socprog,"PNSME/MEDICAMENTS ET INTRANTS",socprompt,1))</f>
        <v>1</v>
      </c>
      <c r="J5" s="58" t="str">
        <f>IF(VLOOKUP($A5,SiteAttendu!$A$2:$O$366,11,0)="NA","NA",COUNTIFS(soccode,$A5,socprog,"PNN/MEDICAMENTS ET INTRANTS",socprompt,1))</f>
        <v>NA</v>
      </c>
      <c r="K5" s="58" t="str">
        <f>IF(VLOOKUP($A5,SiteAttendu!$A$2:$O$366,15,0)="NA","NA",IF(COUNTIF(socprog,"PNLT/SENSIBLE MEDICAMENTS ET INTRANTS")=0,"NA",COUNTIFS(soccode,$A5,socprog,"PNLT/SENSIBLE MEDICAMENTS ET INTRANTS",socprompt,1)))</f>
        <v>NA</v>
      </c>
      <c r="L5" s="60"/>
      <c r="M5" s="85">
        <f t="shared" ref="M5:S5" si="7">IFERROR(SUMIFS(E$2:E$364,$C$2:$C$364,$C5)/COUNTIFS(E$2:E$364,"&lt;&gt;NA",$C$2:$C$364,$C5),"")</f>
        <v>0.8333333333</v>
      </c>
      <c r="N5" s="85">
        <f t="shared" si="7"/>
        <v>0.7222222222</v>
      </c>
      <c r="O5" s="85">
        <f t="shared" si="7"/>
        <v>0.5555555556</v>
      </c>
      <c r="P5" s="85">
        <f t="shared" si="7"/>
        <v>0.6785714286</v>
      </c>
      <c r="Q5" s="85">
        <f t="shared" si="7"/>
        <v>0.6086956522</v>
      </c>
      <c r="R5" s="85">
        <f t="shared" si="7"/>
        <v>1</v>
      </c>
      <c r="S5" s="85">
        <f t="shared" si="7"/>
        <v>0.6153846154</v>
      </c>
      <c r="T5" s="127">
        <f t="shared" si="3"/>
        <v>0.7733333333</v>
      </c>
      <c r="U5" s="53">
        <f t="shared" si="4"/>
        <v>3</v>
      </c>
      <c r="V5" s="54">
        <f t="shared" si="5"/>
        <v>3</v>
      </c>
    </row>
    <row r="6" ht="15.75" customHeight="1">
      <c r="A6" s="55" t="str">
        <f>SiteAttendu!$A6</f>
        <v>C1063</v>
      </c>
      <c r="B6" s="56" t="str">
        <f>VLOOKUP($A6,SiteAttendu!$A$2:$C$366,2,0)</f>
        <v>FSU COM ABOBO AKEIKOI</v>
      </c>
      <c r="C6" s="57" t="str">
        <f>VLOOKUP($A6,SiteAttendu!$A$2:$C$366,3,0)</f>
        <v>ABIDJAN 1</v>
      </c>
      <c r="D6" s="58" t="str">
        <f>IF(VLOOKUP(A6,SiteAttendu!$A$2:$P$366,4,0)="NA","NA",COUNTIFS(soccode,A6,socprog,"PNLS/ANTIRETROVIRAUX ET IO",socprompt,1))</f>
        <v>NA</v>
      </c>
      <c r="E6" s="58" t="str">
        <f>IF(VLOOKUP($A6,SiteAttendu!$A$2:$O$366,5,0)="NA","NA",COUNTIFS(soccode,A6,socprog,"PNLS/TESTS RAPIDES ET CONSOMMABLES",socprompt,1))</f>
        <v>NA</v>
      </c>
      <c r="F6" s="58" t="str">
        <f>IF(VLOOKUP($A6,SiteAttendu!$A$2:$O$366,6,0)="NA","NA",COUNTIFS(soccode,A6,socprog,"PNLS/PRODUITS DE LABORATOIRE",socprompt,1))</f>
        <v>NA</v>
      </c>
      <c r="G6" s="58" t="str">
        <f>IF(VLOOKUP($A6,SiteAttendu!$A$2:$O$366,7,0)="NA","NA",COUNTIFS(soccode,A6,socprog,"PNLS/CHARGES VIRALES",socprompt,1))</f>
        <v>NA</v>
      </c>
      <c r="H6" s="58">
        <f>IF(VLOOKUP($A6,SiteAttendu!$A$2:$O$366,9,0)="NA","NA",COUNTIFS(soccode,A6,socprog,"PNLP/MEDICAMENTS ET INTRANTS",socprompt,1))</f>
        <v>0</v>
      </c>
      <c r="I6" s="58">
        <f>IF(VLOOKUP($A6,SiteAttendu!$A$2:$O$366,10,0)="NA","NA",COUNTIFS(soccode,$A6,socprog,"PNSME/MEDICAMENTS ET INTRANTS",socprompt,1))</f>
        <v>0</v>
      </c>
      <c r="J6" s="58" t="str">
        <f>IF(VLOOKUP($A6,SiteAttendu!$A$2:$O$366,11,0)="NA","NA",COUNTIFS(soccode,$A6,socprog,"PNN/MEDICAMENTS ET INTRANTS",socprompt,1))</f>
        <v>NA</v>
      </c>
      <c r="K6" s="58" t="str">
        <f>IF(VLOOKUP($A6,SiteAttendu!$A$2:$O$366,15,0)="NA","NA",IF(COUNTIF(socprog,"PNLT/SENSIBLE MEDICAMENTS ET INTRANTS")=0,"NA",COUNTIFS(soccode,$A6,socprog,"PNLT/SENSIBLE MEDICAMENTS ET INTRANTS",socprompt,1)))</f>
        <v>NA</v>
      </c>
      <c r="L6" s="60"/>
      <c r="M6" s="85">
        <f t="shared" ref="M6:S6" si="8">IFERROR(SUMIFS(E$2:E$364,$C$2:$C$364,$C6)/COUNTIFS(E$2:E$364,"&lt;&gt;NA",$C$2:$C$364,$C6),"")</f>
        <v>0.8333333333</v>
      </c>
      <c r="N6" s="85">
        <f t="shared" si="8"/>
        <v>0.7222222222</v>
      </c>
      <c r="O6" s="85">
        <f t="shared" si="8"/>
        <v>0.5555555556</v>
      </c>
      <c r="P6" s="85">
        <f t="shared" si="8"/>
        <v>0.6785714286</v>
      </c>
      <c r="Q6" s="85">
        <f t="shared" si="8"/>
        <v>0.6086956522</v>
      </c>
      <c r="R6" s="85">
        <f t="shared" si="8"/>
        <v>1</v>
      </c>
      <c r="S6" s="85">
        <f t="shared" si="8"/>
        <v>0.6153846154</v>
      </c>
      <c r="T6" s="127">
        <f t="shared" si="3"/>
        <v>0.7733333333</v>
      </c>
      <c r="U6" s="53">
        <f t="shared" si="4"/>
        <v>0</v>
      </c>
      <c r="V6" s="54">
        <f t="shared" si="5"/>
        <v>0</v>
      </c>
    </row>
    <row r="7" ht="15.75" customHeight="1">
      <c r="A7" s="55" t="str">
        <f>SiteAttendu!$A7</f>
        <v>C1064</v>
      </c>
      <c r="B7" s="56" t="str">
        <f>VLOOKUP($A7,SiteAttendu!$A$2:$C$366,2,0)</f>
        <v>FSU COM ABOBO AVOCATIER</v>
      </c>
      <c r="C7" s="57" t="str">
        <f>VLOOKUP($A7,SiteAttendu!$A$2:$C$366,3,0)</f>
        <v>ABIDJAN 1</v>
      </c>
      <c r="D7" s="58">
        <f>IF(VLOOKUP(A7,SiteAttendu!$A$2:$P$366,4,0)="NA","NA",COUNTIFS(soccode,A7,socprog,"PNLS/ANTIRETROVIRAUX ET IO",socprompt,1))</f>
        <v>0</v>
      </c>
      <c r="E7" s="58">
        <f>IF(VLOOKUP($A7,SiteAttendu!$A$2:$O$366,5,0)="NA","NA",COUNTIFS(soccode,A7,socprog,"PNLS/TESTS RAPIDES ET CONSOMMABLES",socprompt,1))</f>
        <v>0</v>
      </c>
      <c r="F7" s="58">
        <f>IF(VLOOKUP($A7,SiteAttendu!$A$2:$O$366,6,0)="NA","NA",COUNTIFS(soccode,A7,socprog,"PNLS/PRODUITS DE LABORATOIRE",socprompt,1))</f>
        <v>0</v>
      </c>
      <c r="G7" s="58">
        <f>IF(VLOOKUP($A7,SiteAttendu!$A$2:$O$366,7,0)="NA","NA",COUNTIFS(soccode,A7,socprog,"PNLS/CHARGES VIRALES",socprompt,1))</f>
        <v>0</v>
      </c>
      <c r="H7" s="58">
        <f>IF(VLOOKUP($A7,SiteAttendu!$A$2:$O$366,9,0)="NA","NA",COUNTIFS(soccode,A7,socprog,"PNLP/MEDICAMENTS ET INTRANTS",socprompt,1))</f>
        <v>0</v>
      </c>
      <c r="I7" s="58" t="str">
        <f>IF(VLOOKUP($A7,SiteAttendu!$A$2:$O$366,10,0)="NA","NA",COUNTIFS(soccode,$A7,socprog,"PNSME/MEDICAMENTS ET INTRANTS",socprompt,1))</f>
        <v>NA</v>
      </c>
      <c r="J7" s="58" t="str">
        <f>IF(VLOOKUP($A7,SiteAttendu!$A$2:$O$366,11,0)="NA","NA",COUNTIFS(soccode,$A7,socprog,"PNN/MEDICAMENTS ET INTRANTS",socprompt,1))</f>
        <v>NA</v>
      </c>
      <c r="K7" s="58">
        <f>IF(VLOOKUP($A7,SiteAttendu!$A$2:$O$366,15,0)="NA","NA",IF(COUNTIF(socprog,"PNLT/SENSIBLE MEDICAMENTS ET INTRANTS")=0,"NA",COUNTIFS(soccode,$A7,socprog,"PNLT/SENSIBLE MEDICAMENTS ET INTRANTS",socprompt,1)))</f>
        <v>0</v>
      </c>
      <c r="L7" s="60"/>
      <c r="M7" s="85">
        <f t="shared" ref="M7:S7" si="9">IFERROR(SUMIFS(E$2:E$364,$C$2:$C$364,$C7)/COUNTIFS(E$2:E$364,"&lt;&gt;NA",$C$2:$C$364,$C7),"")</f>
        <v>0.8333333333</v>
      </c>
      <c r="N7" s="85">
        <f t="shared" si="9"/>
        <v>0.7222222222</v>
      </c>
      <c r="O7" s="85">
        <f t="shared" si="9"/>
        <v>0.5555555556</v>
      </c>
      <c r="P7" s="85">
        <f t="shared" si="9"/>
        <v>0.6785714286</v>
      </c>
      <c r="Q7" s="85">
        <f t="shared" si="9"/>
        <v>0.6086956522</v>
      </c>
      <c r="R7" s="85">
        <f t="shared" si="9"/>
        <v>1</v>
      </c>
      <c r="S7" s="85">
        <f t="shared" si="9"/>
        <v>0.6153846154</v>
      </c>
      <c r="T7" s="127">
        <f t="shared" si="3"/>
        <v>0.7733333333</v>
      </c>
      <c r="U7" s="53">
        <f t="shared" si="4"/>
        <v>0</v>
      </c>
      <c r="V7" s="54">
        <f t="shared" si="5"/>
        <v>4</v>
      </c>
    </row>
    <row r="8" ht="15.75" customHeight="1">
      <c r="A8" s="55" t="str">
        <f>SiteAttendu!$A8</f>
        <v>C1066</v>
      </c>
      <c r="B8" s="56" t="str">
        <f>VLOOKUP($A8,SiteAttendu!$A$2:$C$366,2,0)</f>
        <v>FSU COM ABOBO-BAOULE</v>
      </c>
      <c r="C8" s="57" t="str">
        <f>VLOOKUP($A8,SiteAttendu!$A$2:$C$366,3,0)</f>
        <v>ABIDJAN 1</v>
      </c>
      <c r="D8" s="58" t="str">
        <f>IF(VLOOKUP(A8,SiteAttendu!$A$2:$P$366,4,0)="NA","NA",COUNTIFS(soccode,A8,socprog,"PNLS/ANTIRETROVIRAUX ET IO",socprompt,1))</f>
        <v>NA</v>
      </c>
      <c r="E8" s="58" t="str">
        <f>IF(VLOOKUP($A8,SiteAttendu!$A$2:$O$366,5,0)="NA","NA",COUNTIFS(soccode,A8,socprog,"PNLS/TESTS RAPIDES ET CONSOMMABLES",socprompt,1))</f>
        <v>NA</v>
      </c>
      <c r="F8" s="58" t="str">
        <f>IF(VLOOKUP($A8,SiteAttendu!$A$2:$O$366,6,0)="NA","NA",COUNTIFS(soccode,A8,socprog,"PNLS/PRODUITS DE LABORATOIRE",socprompt,1))</f>
        <v>NA</v>
      </c>
      <c r="G8" s="58" t="str">
        <f>IF(VLOOKUP($A8,SiteAttendu!$A$2:$O$366,7,0)="NA","NA",COUNTIFS(soccode,A8,socprog,"PNLS/CHARGES VIRALES",socprompt,1))</f>
        <v>NA</v>
      </c>
      <c r="H8" s="58">
        <f>IF(VLOOKUP($A8,SiteAttendu!$A$2:$O$366,9,0)="NA","NA",COUNTIFS(soccode,A8,socprog,"PNLP/MEDICAMENTS ET INTRANTS",socprompt,1))</f>
        <v>0</v>
      </c>
      <c r="I8" s="58">
        <f>IF(VLOOKUP($A8,SiteAttendu!$A$2:$O$366,10,0)="NA","NA",COUNTIFS(soccode,$A8,socprog,"PNSME/MEDICAMENTS ET INTRANTS",socprompt,1))</f>
        <v>0</v>
      </c>
      <c r="J8" s="58" t="str">
        <f>IF(VLOOKUP($A8,SiteAttendu!$A$2:$O$366,11,0)="NA","NA",COUNTIFS(soccode,$A8,socprog,"PNN/MEDICAMENTS ET INTRANTS",socprompt,1))</f>
        <v>NA</v>
      </c>
      <c r="K8" s="58">
        <f>IF(VLOOKUP($A8,SiteAttendu!$A$2:$O$366,15,0)="NA","NA",IF(COUNTIF(socprog,"PNLT/SENSIBLE MEDICAMENTS ET INTRANTS")=0,"NA",COUNTIFS(soccode,$A8,socprog,"PNLT/SENSIBLE MEDICAMENTS ET INTRANTS",socprompt,1)))</f>
        <v>0</v>
      </c>
      <c r="L8" s="60"/>
      <c r="M8" s="85">
        <f t="shared" ref="M8:S8" si="10">IFERROR(SUMIFS(E$2:E$364,$C$2:$C$364,$C8)/COUNTIFS(E$2:E$364,"&lt;&gt;NA",$C$2:$C$364,$C8),"")</f>
        <v>0.8333333333</v>
      </c>
      <c r="N8" s="85">
        <f t="shared" si="10"/>
        <v>0.7222222222</v>
      </c>
      <c r="O8" s="85">
        <f t="shared" si="10"/>
        <v>0.5555555556</v>
      </c>
      <c r="P8" s="85">
        <f t="shared" si="10"/>
        <v>0.6785714286</v>
      </c>
      <c r="Q8" s="85">
        <f t="shared" si="10"/>
        <v>0.6086956522</v>
      </c>
      <c r="R8" s="85">
        <f t="shared" si="10"/>
        <v>1</v>
      </c>
      <c r="S8" s="85">
        <f t="shared" si="10"/>
        <v>0.6153846154</v>
      </c>
      <c r="T8" s="127">
        <f t="shared" si="3"/>
        <v>0.7733333333</v>
      </c>
      <c r="U8" s="53">
        <f t="shared" si="4"/>
        <v>0</v>
      </c>
      <c r="V8" s="54">
        <f t="shared" si="5"/>
        <v>0</v>
      </c>
    </row>
    <row r="9" ht="15.75" customHeight="1">
      <c r="A9" s="55" t="str">
        <f>SiteAttendu!$A9</f>
        <v>C1080</v>
      </c>
      <c r="B9" s="56" t="str">
        <f>VLOOKUP($A9,SiteAttendu!$A$2:$C$366,2,0)</f>
        <v>CHR ABOBO</v>
      </c>
      <c r="C9" s="57" t="str">
        <f>VLOOKUP($A9,SiteAttendu!$A$2:$C$366,3,0)</f>
        <v>ABIDJAN 1</v>
      </c>
      <c r="D9" s="58">
        <f>IF(VLOOKUP(A9,SiteAttendu!$A$2:$P$366,4,0)="NA","NA",COUNTIFS(soccode,A9,socprog,"PNLS/ANTIRETROVIRAUX ET IO",socprompt,1))</f>
        <v>1</v>
      </c>
      <c r="E9" s="58">
        <f>IF(VLOOKUP($A9,SiteAttendu!$A$2:$O$366,5,0)="NA","NA",COUNTIFS(soccode,A9,socprog,"PNLS/TESTS RAPIDES ET CONSOMMABLES",socprompt,1))</f>
        <v>1</v>
      </c>
      <c r="F9" s="58">
        <f>IF(VLOOKUP($A9,SiteAttendu!$A$2:$O$366,6,0)="NA","NA",COUNTIFS(soccode,A9,socprog,"PNLS/PRODUITS DE LABORATOIRE",socprompt,1))</f>
        <v>1</v>
      </c>
      <c r="G9" s="58" t="str">
        <f>IF(VLOOKUP($A9,SiteAttendu!$A$2:$O$366,7,0)="NA","NA",COUNTIFS(soccode,A9,socprog,"PNLS/CHARGES VIRALES",socprompt,1))</f>
        <v>NA</v>
      </c>
      <c r="H9" s="58">
        <f>IF(VLOOKUP($A9,SiteAttendu!$A$2:$O$366,9,0)="NA","NA",COUNTIFS(soccode,A9,socprog,"PNLP/MEDICAMENTS ET INTRANTS",socprompt,1))</f>
        <v>1</v>
      </c>
      <c r="I9" s="58">
        <f>IF(VLOOKUP($A9,SiteAttendu!$A$2:$O$366,10,0)="NA","NA",COUNTIFS(soccode,$A9,socprog,"PNSME/MEDICAMENTS ET INTRANTS",socprompt,1))</f>
        <v>1</v>
      </c>
      <c r="J9" s="58">
        <f>IF(VLOOKUP($A9,SiteAttendu!$A$2:$O$366,11,0)="NA","NA",COUNTIFS(soccode,$A9,socprog,"PNN/MEDICAMENTS ET INTRANTS",socprompt,1))</f>
        <v>1</v>
      </c>
      <c r="K9" s="58" t="str">
        <f>IF(VLOOKUP($A9,SiteAttendu!$A$2:$O$366,15,0)="NA","NA",IF(COUNTIF(socprog,"PNLT/SENSIBLE MEDICAMENTS ET INTRANTS")=0,"NA",COUNTIFS(soccode,$A9,socprog,"PNLT/SENSIBLE MEDICAMENTS ET INTRANTS",socprompt,1)))</f>
        <v>NA</v>
      </c>
      <c r="L9" s="60"/>
      <c r="M9" s="85">
        <f t="shared" ref="M9:S9" si="11">IFERROR(SUMIFS(E$2:E$364,$C$2:$C$364,$C9)/COUNTIFS(E$2:E$364,"&lt;&gt;NA",$C$2:$C$364,$C9),"")</f>
        <v>0.8333333333</v>
      </c>
      <c r="N9" s="85">
        <f t="shared" si="11"/>
        <v>0.7222222222</v>
      </c>
      <c r="O9" s="85">
        <f t="shared" si="11"/>
        <v>0.5555555556</v>
      </c>
      <c r="P9" s="85">
        <f t="shared" si="11"/>
        <v>0.6785714286</v>
      </c>
      <c r="Q9" s="85">
        <f t="shared" si="11"/>
        <v>0.6086956522</v>
      </c>
      <c r="R9" s="85">
        <f t="shared" si="11"/>
        <v>1</v>
      </c>
      <c r="S9" s="85">
        <f t="shared" si="11"/>
        <v>0.6153846154</v>
      </c>
      <c r="T9" s="127">
        <f t="shared" si="3"/>
        <v>0.7733333333</v>
      </c>
      <c r="U9" s="53">
        <f t="shared" si="4"/>
        <v>3</v>
      </c>
      <c r="V9" s="54">
        <f t="shared" si="5"/>
        <v>3</v>
      </c>
    </row>
    <row r="10" ht="15.75" customHeight="1">
      <c r="A10" s="55" t="str">
        <f>SiteAttendu!$A10</f>
        <v>C1398</v>
      </c>
      <c r="B10" s="56" t="str">
        <f>VLOOKUP($A10,SiteAttendu!$A$2:$C$366,2,0)</f>
        <v>DISTRICT SANITAIRE ABOBO EST</v>
      </c>
      <c r="C10" s="57" t="str">
        <f>VLOOKUP($A10,SiteAttendu!$A$2:$C$366,3,0)</f>
        <v>ABIDJAN 1</v>
      </c>
      <c r="D10" s="58">
        <f>IF(VLOOKUP(A10,SiteAttendu!$A$2:$P$366,4,0)="NA","NA",COUNTIFS(soccode,A10,socprog,"PNLS/ANTIRETROVIRAUX ET IO",socprompt,1))</f>
        <v>1</v>
      </c>
      <c r="E10" s="58">
        <f>IF(VLOOKUP($A10,SiteAttendu!$A$2:$O$366,5,0)="NA","NA",COUNTIFS(soccode,A10,socprog,"PNLS/TESTS RAPIDES ET CONSOMMABLES",socprompt,1))</f>
        <v>1</v>
      </c>
      <c r="F10" s="58">
        <f>IF(VLOOKUP($A10,SiteAttendu!$A$2:$O$366,6,0)="NA","NA",COUNTIFS(soccode,A10,socprog,"PNLS/PRODUITS DE LABORATOIRE",socprompt,1))</f>
        <v>1</v>
      </c>
      <c r="G10" s="58" t="str">
        <f>IF(VLOOKUP($A10,SiteAttendu!$A$2:$O$366,7,0)="NA","NA",COUNTIFS(soccode,A10,socprog,"PNLS/CHARGES VIRALES",socprompt,1))</f>
        <v>NA</v>
      </c>
      <c r="H10" s="58">
        <f>IF(VLOOKUP($A10,SiteAttendu!$A$2:$O$366,9,0)="NA","NA",COUNTIFS(soccode,A10,socprog,"PNLP/MEDICAMENTS ET INTRANTS",socprompt,1))</f>
        <v>0</v>
      </c>
      <c r="I10" s="58">
        <f>IF(VLOOKUP($A10,SiteAttendu!$A$2:$O$366,10,0)="NA","NA",COUNTIFS(soccode,$A10,socprog,"PNSME/MEDICAMENTS ET INTRANTS",socprompt,1))</f>
        <v>0</v>
      </c>
      <c r="J10" s="58">
        <f>IF(VLOOKUP($A10,SiteAttendu!$A$2:$O$366,11,0)="NA","NA",COUNTIFS(soccode,$A10,socprog,"PNN/MEDICAMENTS ET INTRANTS",socprompt,1))</f>
        <v>1</v>
      </c>
      <c r="K10" s="58" t="str">
        <f>IF(VLOOKUP($A10,SiteAttendu!$A$2:$O$366,15,0)="NA","NA",IF(COUNTIF(socprog,"PNLT/SENSIBLE MEDICAMENTS ET INTRANTS")=0,"NA",COUNTIFS(soccode,$A10,socprog,"PNLT/SENSIBLE MEDICAMENTS ET INTRANTS",socprompt,1)))</f>
        <v>NA</v>
      </c>
      <c r="L10" s="60"/>
      <c r="M10" s="85">
        <f t="shared" ref="M10:S10" si="12">IFERROR(SUMIFS(E$2:E$364,$C$2:$C$364,$C10)/COUNTIFS(E$2:E$364,"&lt;&gt;NA",$C$2:$C$364,$C10),"")</f>
        <v>0.8333333333</v>
      </c>
      <c r="N10" s="85">
        <f t="shared" si="12"/>
        <v>0.7222222222</v>
      </c>
      <c r="O10" s="85">
        <f t="shared" si="12"/>
        <v>0.5555555556</v>
      </c>
      <c r="P10" s="85">
        <f t="shared" si="12"/>
        <v>0.6785714286</v>
      </c>
      <c r="Q10" s="85">
        <f t="shared" si="12"/>
        <v>0.6086956522</v>
      </c>
      <c r="R10" s="85">
        <f t="shared" si="12"/>
        <v>1</v>
      </c>
      <c r="S10" s="85">
        <f t="shared" si="12"/>
        <v>0.6153846154</v>
      </c>
      <c r="T10" s="127">
        <f t="shared" si="3"/>
        <v>0.7733333333</v>
      </c>
      <c r="U10" s="53">
        <f t="shared" si="4"/>
        <v>3</v>
      </c>
      <c r="V10" s="54">
        <f t="shared" si="5"/>
        <v>3</v>
      </c>
    </row>
    <row r="11" ht="15.75" customHeight="1">
      <c r="A11" s="55" t="str">
        <f>SiteAttendu!$A11</f>
        <v>C1405</v>
      </c>
      <c r="B11" s="56" t="str">
        <f>VLOOKUP($A11,SiteAttendu!$A$2:$C$366,2,0)</f>
        <v>CENTRE SOCIO-SANI SR ANGE GARDIEN</v>
      </c>
      <c r="C11" s="57" t="str">
        <f>VLOOKUP($A11,SiteAttendu!$A$2:$C$366,3,0)</f>
        <v>ABIDJAN 1</v>
      </c>
      <c r="D11" s="58" t="str">
        <f>IF(VLOOKUP(A11,SiteAttendu!$A$2:$P$366,4,0)="NA","NA",COUNTIFS(soccode,A11,socprog,"PNLS/ANTIRETROVIRAUX ET IO",socprompt,1))</f>
        <v>NA</v>
      </c>
      <c r="E11" s="58" t="str">
        <f>IF(VLOOKUP($A11,SiteAttendu!$A$2:$O$366,5,0)="NA","NA",COUNTIFS(soccode,A11,socprog,"PNLS/TESTS RAPIDES ET CONSOMMABLES",socprompt,1))</f>
        <v>NA</v>
      </c>
      <c r="F11" s="58" t="str">
        <f>IF(VLOOKUP($A11,SiteAttendu!$A$2:$O$366,6,0)="NA","NA",COUNTIFS(soccode,A11,socprog,"PNLS/PRODUITS DE LABORATOIRE",socprompt,1))</f>
        <v>NA</v>
      </c>
      <c r="G11" s="58" t="str">
        <f>IF(VLOOKUP($A11,SiteAttendu!$A$2:$O$366,7,0)="NA","NA",COUNTIFS(soccode,A11,socprog,"PNLS/CHARGES VIRALES",socprompt,1))</f>
        <v>NA</v>
      </c>
      <c r="H11" s="58">
        <f>IF(VLOOKUP($A11,SiteAttendu!$A$2:$O$366,9,0)="NA","NA",COUNTIFS(soccode,A11,socprog,"PNLP/MEDICAMENTS ET INTRANTS",socprompt,1))</f>
        <v>1</v>
      </c>
      <c r="I11" s="58" t="str">
        <f>IF(VLOOKUP($A11,SiteAttendu!$A$2:$O$366,10,0)="NA","NA",COUNTIFS(soccode,$A11,socprog,"PNSME/MEDICAMENTS ET INTRANTS",socprompt,1))</f>
        <v>NA</v>
      </c>
      <c r="J11" s="58" t="str">
        <f>IF(VLOOKUP($A11,SiteAttendu!$A$2:$O$366,11,0)="NA","NA",COUNTIFS(soccode,$A11,socprog,"PNN/MEDICAMENTS ET INTRANTS",socprompt,1))</f>
        <v>NA</v>
      </c>
      <c r="K11" s="58" t="str">
        <f>IF(VLOOKUP($A11,SiteAttendu!$A$2:$O$366,15,0)="NA","NA",IF(COUNTIF(socprog,"PNLT/SENSIBLE MEDICAMENTS ET INTRANTS")=0,"NA",COUNTIFS(soccode,$A11,socprog,"PNLT/SENSIBLE MEDICAMENTS ET INTRANTS",socprompt,1)))</f>
        <v>NA</v>
      </c>
      <c r="L11" s="60"/>
      <c r="M11" s="85">
        <f t="shared" ref="M11:S11" si="13">IFERROR(SUMIFS(E$2:E$364,$C$2:$C$364,$C11)/COUNTIFS(E$2:E$364,"&lt;&gt;NA",$C$2:$C$364,$C11),"")</f>
        <v>0.8333333333</v>
      </c>
      <c r="N11" s="85">
        <f t="shared" si="13"/>
        <v>0.7222222222</v>
      </c>
      <c r="O11" s="85">
        <f t="shared" si="13"/>
        <v>0.5555555556</v>
      </c>
      <c r="P11" s="85">
        <f t="shared" si="13"/>
        <v>0.6785714286</v>
      </c>
      <c r="Q11" s="85">
        <f t="shared" si="13"/>
        <v>0.6086956522</v>
      </c>
      <c r="R11" s="85">
        <f t="shared" si="13"/>
        <v>1</v>
      </c>
      <c r="S11" s="85">
        <f t="shared" si="13"/>
        <v>0.6153846154</v>
      </c>
      <c r="T11" s="127">
        <f t="shared" si="3"/>
        <v>0.7733333333</v>
      </c>
      <c r="U11" s="53">
        <f t="shared" si="4"/>
        <v>0</v>
      </c>
      <c r="V11" s="54">
        <f t="shared" si="5"/>
        <v>0</v>
      </c>
    </row>
    <row r="12" ht="15.75" customHeight="1">
      <c r="A12" s="55" t="str">
        <f>SiteAttendu!$A12</f>
        <v>C1423</v>
      </c>
      <c r="B12" s="56" t="str">
        <f>VLOOKUP($A12,SiteAttendu!$A$2:$C$366,2,0)</f>
        <v>CENTRE MEDICO-SOCIAL SAINT COEUR ABOBOTE</v>
      </c>
      <c r="C12" s="57" t="str">
        <f>VLOOKUP($A12,SiteAttendu!$A$2:$C$366,3,0)</f>
        <v>ABIDJAN 1</v>
      </c>
      <c r="D12" s="58">
        <f>IF(VLOOKUP(A12,SiteAttendu!$A$2:$P$366,4,0)="NA","NA",COUNTIFS(soccode,A12,socprog,"PNLS/ANTIRETROVIRAUX ET IO",socprompt,1))</f>
        <v>1</v>
      </c>
      <c r="E12" s="58">
        <f>IF(VLOOKUP($A12,SiteAttendu!$A$2:$O$366,5,0)="NA","NA",COUNTIFS(soccode,A12,socprog,"PNLS/TESTS RAPIDES ET CONSOMMABLES",socprompt,1))</f>
        <v>1</v>
      </c>
      <c r="F12" s="58">
        <f>IF(VLOOKUP($A12,SiteAttendu!$A$2:$O$366,6,0)="NA","NA",COUNTIFS(soccode,A12,socprog,"PNLS/PRODUITS DE LABORATOIRE",socprompt,1))</f>
        <v>1</v>
      </c>
      <c r="G12" s="58" t="str">
        <f>IF(VLOOKUP($A12,SiteAttendu!$A$2:$O$366,7,0)="NA","NA",COUNTIFS(soccode,A12,socprog,"PNLS/CHARGES VIRALES",socprompt,1))</f>
        <v>NA</v>
      </c>
      <c r="H12" s="58" t="str">
        <f>IF(VLOOKUP($A12,SiteAttendu!$A$2:$O$366,9,0)="NA","NA",COUNTIFS(soccode,A12,socprog,"PNLP/MEDICAMENTS ET INTRANTS",socprompt,1))</f>
        <v>NA</v>
      </c>
      <c r="I12" s="58" t="str">
        <f>IF(VLOOKUP($A12,SiteAttendu!$A$2:$O$366,10,0)="NA","NA",COUNTIFS(soccode,$A12,socprog,"PNSME/MEDICAMENTS ET INTRANTS",socprompt,1))</f>
        <v>NA</v>
      </c>
      <c r="J12" s="58" t="str">
        <f>IF(VLOOKUP($A12,SiteAttendu!$A$2:$O$366,11,0)="NA","NA",COUNTIFS(soccode,$A12,socprog,"PNN/MEDICAMENTS ET INTRANTS",socprompt,1))</f>
        <v>NA</v>
      </c>
      <c r="K12" s="58" t="str">
        <f>IF(VLOOKUP($A12,SiteAttendu!$A$2:$O$366,15,0)="NA","NA",IF(COUNTIF(socprog,"PNLT/SENSIBLE MEDICAMENTS ET INTRANTS")=0,"NA",COUNTIFS(soccode,$A12,socprog,"PNLT/SENSIBLE MEDICAMENTS ET INTRANTS",socprompt,1)))</f>
        <v>NA</v>
      </c>
      <c r="L12" s="60"/>
      <c r="M12" s="85">
        <f t="shared" ref="M12:S12" si="14">IFERROR(SUMIFS(E$2:E$364,$C$2:$C$364,$C12)/COUNTIFS(E$2:E$364,"&lt;&gt;NA",$C$2:$C$364,$C12),"")</f>
        <v>0.8333333333</v>
      </c>
      <c r="N12" s="85">
        <f t="shared" si="14"/>
        <v>0.7222222222</v>
      </c>
      <c r="O12" s="85">
        <f t="shared" si="14"/>
        <v>0.5555555556</v>
      </c>
      <c r="P12" s="85">
        <f t="shared" si="14"/>
        <v>0.6785714286</v>
      </c>
      <c r="Q12" s="85">
        <f t="shared" si="14"/>
        <v>0.6086956522</v>
      </c>
      <c r="R12" s="85">
        <f t="shared" si="14"/>
        <v>1</v>
      </c>
      <c r="S12" s="85">
        <f t="shared" si="14"/>
        <v>0.6153846154</v>
      </c>
      <c r="T12" s="127">
        <f t="shared" si="3"/>
        <v>0.7733333333</v>
      </c>
      <c r="U12" s="53">
        <f t="shared" si="4"/>
        <v>3</v>
      </c>
      <c r="V12" s="54">
        <f t="shared" si="5"/>
        <v>3</v>
      </c>
    </row>
    <row r="13" ht="15.75" customHeight="1">
      <c r="A13" s="55" t="str">
        <f>SiteAttendu!$A13</f>
        <v>C1680</v>
      </c>
      <c r="B13" s="56" t="str">
        <f>VLOOKUP($A13,SiteAttendu!$A$2:$C$366,2,0)</f>
        <v>CENTRE ANTITUBERCULEUX ABOBO</v>
      </c>
      <c r="C13" s="57" t="str">
        <f>VLOOKUP($A13,SiteAttendu!$A$2:$C$366,3,0)</f>
        <v>ABIDJAN 1</v>
      </c>
      <c r="D13" s="58">
        <f>IF(VLOOKUP(A13,SiteAttendu!$A$2:$P$366,4,0)="NA","NA",COUNTIFS(soccode,A13,socprog,"PNLS/ANTIRETROVIRAUX ET IO",socprompt,1))</f>
        <v>1</v>
      </c>
      <c r="E13" s="58">
        <f>IF(VLOOKUP($A13,SiteAttendu!$A$2:$O$366,5,0)="NA","NA",COUNTIFS(soccode,A13,socprog,"PNLS/TESTS RAPIDES ET CONSOMMABLES",socprompt,1))</f>
        <v>1</v>
      </c>
      <c r="F13" s="58">
        <f>IF(VLOOKUP($A13,SiteAttendu!$A$2:$O$366,6,0)="NA","NA",COUNTIFS(soccode,A13,socprog,"PNLS/PRODUITS DE LABORATOIRE",socprompt,1))</f>
        <v>0</v>
      </c>
      <c r="G13" s="58">
        <f>IF(VLOOKUP($A13,SiteAttendu!$A$2:$O$366,7,0)="NA","NA",COUNTIFS(soccode,A13,socprog,"PNLS/CHARGES VIRALES",socprompt,1))</f>
        <v>0</v>
      </c>
      <c r="H13" s="58" t="str">
        <f>IF(VLOOKUP($A13,SiteAttendu!$A$2:$O$366,9,0)="NA","NA",COUNTIFS(soccode,A13,socprog,"PNLP/MEDICAMENTS ET INTRANTS",socprompt,1))</f>
        <v>NA</v>
      </c>
      <c r="I13" s="58" t="str">
        <f>IF(VLOOKUP($A13,SiteAttendu!$A$2:$O$366,10,0)="NA","NA",COUNTIFS(soccode,$A13,socprog,"PNSME/MEDICAMENTS ET INTRANTS",socprompt,1))</f>
        <v>NA</v>
      </c>
      <c r="J13" s="58" t="str">
        <f>IF(VLOOKUP($A13,SiteAttendu!$A$2:$O$366,11,0)="NA","NA",COUNTIFS(soccode,$A13,socprog,"PNN/MEDICAMENTS ET INTRANTS",socprompt,1))</f>
        <v>NA</v>
      </c>
      <c r="K13" s="58">
        <f>IF(VLOOKUP($A13,SiteAttendu!$A$2:$O$366,15,0)="NA","NA",IF(COUNTIF(socprog,"PNLT/SENSIBLE MEDICAMENTS ET INTRANTS")=0,"NA",COUNTIFS(soccode,$A13,socprog,"PNLT/SENSIBLE MEDICAMENTS ET INTRANTS",socprompt,1)))</f>
        <v>1</v>
      </c>
      <c r="L13" s="60"/>
      <c r="M13" s="85">
        <f t="shared" ref="M13:S13" si="15">IFERROR(SUMIFS(E$2:E$364,$C$2:$C$364,$C13)/COUNTIFS(E$2:E$364,"&lt;&gt;NA",$C$2:$C$364,$C13),"")</f>
        <v>0.8333333333</v>
      </c>
      <c r="N13" s="85">
        <f t="shared" si="15"/>
        <v>0.7222222222</v>
      </c>
      <c r="O13" s="85">
        <f t="shared" si="15"/>
        <v>0.5555555556</v>
      </c>
      <c r="P13" s="85">
        <f t="shared" si="15"/>
        <v>0.6785714286</v>
      </c>
      <c r="Q13" s="85">
        <f t="shared" si="15"/>
        <v>0.6086956522</v>
      </c>
      <c r="R13" s="85">
        <f t="shared" si="15"/>
        <v>1</v>
      </c>
      <c r="S13" s="85">
        <f t="shared" si="15"/>
        <v>0.6153846154</v>
      </c>
      <c r="T13" s="127">
        <f t="shared" si="3"/>
        <v>0.7733333333</v>
      </c>
      <c r="U13" s="53">
        <f t="shared" si="4"/>
        <v>2</v>
      </c>
      <c r="V13" s="54">
        <f t="shared" si="5"/>
        <v>4</v>
      </c>
    </row>
    <row r="14" ht="15.75" customHeight="1">
      <c r="A14" s="55" t="str">
        <f>SiteAttendu!$A14</f>
        <v>C1021</v>
      </c>
      <c r="B14" s="56" t="str">
        <f>VLOOKUP($A14,SiteAttendu!$A$2:$C$366,2,0)</f>
        <v>CSU COM BOCABO</v>
      </c>
      <c r="C14" s="57" t="str">
        <f>VLOOKUP($A14,SiteAttendu!$A$2:$C$366,3,0)</f>
        <v>ABIDJAN 1</v>
      </c>
      <c r="D14" s="58" t="str">
        <f>IF(VLOOKUP(A14,SiteAttendu!$A$2:$P$366,4,0)="NA","NA",COUNTIFS(soccode,A14,socprog,"PNLS/ANTIRETROVIRAUX ET IO",socprompt,1))</f>
        <v>NA</v>
      </c>
      <c r="E14" s="58" t="str">
        <f>IF(VLOOKUP($A14,SiteAttendu!$A$2:$O$366,5,0)="NA","NA",COUNTIFS(soccode,A14,socprog,"PNLS/TESTS RAPIDES ET CONSOMMABLES",socprompt,1))</f>
        <v>NA</v>
      </c>
      <c r="F14" s="58" t="str">
        <f>IF(VLOOKUP($A14,SiteAttendu!$A$2:$O$366,6,0)="NA","NA",COUNTIFS(soccode,A14,socprog,"PNLS/PRODUITS DE LABORATOIRE",socprompt,1))</f>
        <v>NA</v>
      </c>
      <c r="G14" s="58" t="str">
        <f>IF(VLOOKUP($A14,SiteAttendu!$A$2:$O$366,7,0)="NA","NA",COUNTIFS(soccode,A14,socprog,"PNLS/CHARGES VIRALES",socprompt,1))</f>
        <v>NA</v>
      </c>
      <c r="H14" s="58">
        <f>IF(VLOOKUP($A14,SiteAttendu!$A$2:$O$366,9,0)="NA","NA",COUNTIFS(soccode,A14,socprog,"PNLP/MEDICAMENTS ET INTRANTS",socprompt,1))</f>
        <v>0</v>
      </c>
      <c r="I14" s="58" t="str">
        <f>IF(VLOOKUP($A14,SiteAttendu!$A$2:$O$366,10,0)="NA","NA",COUNTIFS(soccode,$A14,socprog,"PNSME/MEDICAMENTS ET INTRANTS",socprompt,1))</f>
        <v>NA</v>
      </c>
      <c r="J14" s="58" t="str">
        <f>IF(VLOOKUP($A14,SiteAttendu!$A$2:$O$366,11,0)="NA","NA",COUNTIFS(soccode,$A14,socprog,"PNN/MEDICAMENTS ET INTRANTS",socprompt,1))</f>
        <v>NA</v>
      </c>
      <c r="K14" s="58" t="str">
        <f>IF(VLOOKUP($A14,SiteAttendu!$A$2:$O$366,15,0)="NA","NA",IF(COUNTIF(socprog,"PNLT/SENSIBLE MEDICAMENTS ET INTRANTS")=0,"NA",COUNTIFS(soccode,$A14,socprog,"PNLT/SENSIBLE MEDICAMENTS ET INTRANTS",socprompt,1)))</f>
        <v>NA</v>
      </c>
      <c r="L14" s="60"/>
      <c r="M14" s="85">
        <f t="shared" ref="M14:S14" si="16">IFERROR(SUMIFS(E$2:E$364,$C$2:$C$364,$C14)/COUNTIFS(E$2:E$364,"&lt;&gt;NA",$C$2:$C$364,$C14),"")</f>
        <v>0.8333333333</v>
      </c>
      <c r="N14" s="85">
        <f t="shared" si="16"/>
        <v>0.7222222222</v>
      </c>
      <c r="O14" s="85">
        <f t="shared" si="16"/>
        <v>0.5555555556</v>
      </c>
      <c r="P14" s="85">
        <f t="shared" si="16"/>
        <v>0.6785714286</v>
      </c>
      <c r="Q14" s="85">
        <f t="shared" si="16"/>
        <v>0.6086956522</v>
      </c>
      <c r="R14" s="85">
        <f t="shared" si="16"/>
        <v>1</v>
      </c>
      <c r="S14" s="85">
        <f t="shared" si="16"/>
        <v>0.6153846154</v>
      </c>
      <c r="T14" s="127">
        <f t="shared" si="3"/>
        <v>0.7733333333</v>
      </c>
      <c r="U14" s="53">
        <f t="shared" si="4"/>
        <v>0</v>
      </c>
      <c r="V14" s="54">
        <f t="shared" si="5"/>
        <v>0</v>
      </c>
    </row>
    <row r="15" ht="15.75" customHeight="1">
      <c r="A15" s="55" t="str">
        <f>SiteAttendu!$A15</f>
        <v>C1022</v>
      </c>
      <c r="B15" s="56" t="str">
        <f>VLOOKUP($A15,SiteAttendu!$A$2:$C$366,2,0)</f>
        <v>CSU COM CARREFOUR PK 18 AGOUETO</v>
      </c>
      <c r="C15" s="57" t="str">
        <f>VLOOKUP($A15,SiteAttendu!$A$2:$C$366,3,0)</f>
        <v>ABIDJAN 1</v>
      </c>
      <c r="D15" s="58" t="str">
        <f>IF(VLOOKUP(A15,SiteAttendu!$A$2:$P$366,4,0)="NA","NA",COUNTIFS(soccode,A15,socprog,"PNLS/ANTIRETROVIRAUX ET IO",socprompt,1))</f>
        <v>NA</v>
      </c>
      <c r="E15" s="58" t="str">
        <f>IF(VLOOKUP($A15,SiteAttendu!$A$2:$O$366,5,0)="NA","NA",COUNTIFS(soccode,A15,socprog,"PNLS/TESTS RAPIDES ET CONSOMMABLES",socprompt,1))</f>
        <v>NA</v>
      </c>
      <c r="F15" s="58" t="str">
        <f>IF(VLOOKUP($A15,SiteAttendu!$A$2:$O$366,6,0)="NA","NA",COUNTIFS(soccode,A15,socprog,"PNLS/PRODUITS DE LABORATOIRE",socprompt,1))</f>
        <v>NA</v>
      </c>
      <c r="G15" s="58" t="str">
        <f>IF(VLOOKUP($A15,SiteAttendu!$A$2:$O$366,7,0)="NA","NA",COUNTIFS(soccode,A15,socprog,"PNLS/CHARGES VIRALES",socprompt,1))</f>
        <v>NA</v>
      </c>
      <c r="H15" s="58">
        <f>IF(VLOOKUP($A15,SiteAttendu!$A$2:$O$366,9,0)="NA","NA",COUNTIFS(soccode,A15,socprog,"PNLP/MEDICAMENTS ET INTRANTS",socprompt,1))</f>
        <v>1</v>
      </c>
      <c r="I15" s="58" t="str">
        <f>IF(VLOOKUP($A15,SiteAttendu!$A$2:$O$366,10,0)="NA","NA",COUNTIFS(soccode,$A15,socprog,"PNSME/MEDICAMENTS ET INTRANTS",socprompt,1))</f>
        <v>NA</v>
      </c>
      <c r="J15" s="58" t="str">
        <f>IF(VLOOKUP($A15,SiteAttendu!$A$2:$O$366,11,0)="NA","NA",COUNTIFS(soccode,$A15,socprog,"PNN/MEDICAMENTS ET INTRANTS",socprompt,1))</f>
        <v>NA</v>
      </c>
      <c r="K15" s="58" t="str">
        <f>IF(VLOOKUP($A15,SiteAttendu!$A$2:$O$366,15,0)="NA","NA",IF(COUNTIF(socprog,"PNLT/SENSIBLE MEDICAMENTS ET INTRANTS")=0,"NA",COUNTIFS(soccode,$A15,socprog,"PNLT/SENSIBLE MEDICAMENTS ET INTRANTS",socprompt,1)))</f>
        <v>NA</v>
      </c>
      <c r="L15" s="60"/>
      <c r="M15" s="85">
        <f t="shared" ref="M15:S15" si="17">IFERROR(SUMIFS(E$2:E$364,$C$2:$C$364,$C15)/COUNTIFS(E$2:E$364,"&lt;&gt;NA",$C$2:$C$364,$C15),"")</f>
        <v>0.8333333333</v>
      </c>
      <c r="N15" s="85">
        <f t="shared" si="17"/>
        <v>0.7222222222</v>
      </c>
      <c r="O15" s="85">
        <f t="shared" si="17"/>
        <v>0.5555555556</v>
      </c>
      <c r="P15" s="85">
        <f t="shared" si="17"/>
        <v>0.6785714286</v>
      </c>
      <c r="Q15" s="85">
        <f t="shared" si="17"/>
        <v>0.6086956522</v>
      </c>
      <c r="R15" s="85">
        <f t="shared" si="17"/>
        <v>1</v>
      </c>
      <c r="S15" s="85">
        <f t="shared" si="17"/>
        <v>0.6153846154</v>
      </c>
      <c r="T15" s="127">
        <f t="shared" si="3"/>
        <v>0.7733333333</v>
      </c>
      <c r="U15" s="53">
        <f t="shared" si="4"/>
        <v>0</v>
      </c>
      <c r="V15" s="54">
        <f t="shared" si="5"/>
        <v>0</v>
      </c>
    </row>
    <row r="16" ht="15.75" customHeight="1">
      <c r="A16" s="55" t="str">
        <f>SiteAttendu!$A16</f>
        <v>C1031</v>
      </c>
      <c r="B16" s="56" t="str">
        <f>VLOOKUP($A16,SiteAttendu!$A$2:$C$366,2,0)</f>
        <v>CSU COM  ASSOMIN</v>
      </c>
      <c r="C16" s="57" t="str">
        <f>VLOOKUP($A16,SiteAttendu!$A$2:$C$366,3,0)</f>
        <v>ABIDJAN 1</v>
      </c>
      <c r="D16" s="58" t="str">
        <f>IF(VLOOKUP(A16,SiteAttendu!$A$2:$P$366,4,0)="NA","NA",COUNTIFS(soccode,A16,socprog,"PNLS/ANTIRETROVIRAUX ET IO",socprompt,1))</f>
        <v>NA</v>
      </c>
      <c r="E16" s="58" t="str">
        <f>IF(VLOOKUP($A16,SiteAttendu!$A$2:$O$366,5,0)="NA","NA",COUNTIFS(soccode,A16,socprog,"PNLS/TESTS RAPIDES ET CONSOMMABLES",socprompt,1))</f>
        <v>NA</v>
      </c>
      <c r="F16" s="58" t="str">
        <f>IF(VLOOKUP($A16,SiteAttendu!$A$2:$O$366,6,0)="NA","NA",COUNTIFS(soccode,A16,socprog,"PNLS/PRODUITS DE LABORATOIRE",socprompt,1))</f>
        <v>NA</v>
      </c>
      <c r="G16" s="58" t="str">
        <f>IF(VLOOKUP($A16,SiteAttendu!$A$2:$O$366,7,0)="NA","NA",COUNTIFS(soccode,A16,socprog,"PNLS/CHARGES VIRALES",socprompt,1))</f>
        <v>NA</v>
      </c>
      <c r="H16" s="58">
        <f>IF(VLOOKUP($A16,SiteAttendu!$A$2:$O$366,9,0)="NA","NA",COUNTIFS(soccode,A16,socprog,"PNLP/MEDICAMENTS ET INTRANTS",socprompt,1))</f>
        <v>0</v>
      </c>
      <c r="I16" s="58">
        <f>IF(VLOOKUP($A16,SiteAttendu!$A$2:$O$366,10,0)="NA","NA",COUNTIFS(soccode,$A16,socprog,"PNSME/MEDICAMENTS ET INTRANTS",socprompt,1))</f>
        <v>1</v>
      </c>
      <c r="J16" s="58" t="str">
        <f>IF(VLOOKUP($A16,SiteAttendu!$A$2:$O$366,11,0)="NA","NA",COUNTIFS(soccode,$A16,socprog,"PNN/MEDICAMENTS ET INTRANTS",socprompt,1))</f>
        <v>NA</v>
      </c>
      <c r="K16" s="58" t="str">
        <f>IF(VLOOKUP($A16,SiteAttendu!$A$2:$O$366,15,0)="NA","NA",IF(COUNTIF(socprog,"PNLT/SENSIBLE MEDICAMENTS ET INTRANTS")=0,"NA",COUNTIFS(soccode,$A16,socprog,"PNLT/SENSIBLE MEDICAMENTS ET INTRANTS",socprompt,1)))</f>
        <v>NA</v>
      </c>
      <c r="L16" s="60"/>
      <c r="M16" s="85">
        <f t="shared" ref="M16:S16" si="18">IFERROR(SUMIFS(E$2:E$364,$C$2:$C$364,$C16)/COUNTIFS(E$2:E$364,"&lt;&gt;NA",$C$2:$C$364,$C16),"")</f>
        <v>0.8333333333</v>
      </c>
      <c r="N16" s="85">
        <f t="shared" si="18"/>
        <v>0.7222222222</v>
      </c>
      <c r="O16" s="85">
        <f t="shared" si="18"/>
        <v>0.5555555556</v>
      </c>
      <c r="P16" s="85">
        <f t="shared" si="18"/>
        <v>0.6785714286</v>
      </c>
      <c r="Q16" s="85">
        <f t="shared" si="18"/>
        <v>0.6086956522</v>
      </c>
      <c r="R16" s="85">
        <f t="shared" si="18"/>
        <v>1</v>
      </c>
      <c r="S16" s="85">
        <f t="shared" si="18"/>
        <v>0.6153846154</v>
      </c>
      <c r="T16" s="127">
        <f t="shared" si="3"/>
        <v>0.7733333333</v>
      </c>
      <c r="U16" s="53">
        <f t="shared" si="4"/>
        <v>0</v>
      </c>
      <c r="V16" s="54">
        <f t="shared" si="5"/>
        <v>0</v>
      </c>
    </row>
    <row r="17" ht="15.75" customHeight="1">
      <c r="A17" s="55" t="str">
        <f>SiteAttendu!$A17</f>
        <v>C1065</v>
      </c>
      <c r="B17" s="56" t="str">
        <f>VLOOKUP($A17,SiteAttendu!$A$2:$C$366,2,0)</f>
        <v>FSU COM ABOBO SAGBE</v>
      </c>
      <c r="C17" s="57" t="str">
        <f>VLOOKUP($A17,SiteAttendu!$A$2:$C$366,3,0)</f>
        <v>ABIDJAN 1</v>
      </c>
      <c r="D17" s="58">
        <f>IF(VLOOKUP(A17,SiteAttendu!$A$2:$P$366,4,0)="NA","NA",COUNTIFS(soccode,A17,socprog,"PNLS/ANTIRETROVIRAUX ET IO",socprompt,1))</f>
        <v>0</v>
      </c>
      <c r="E17" s="58">
        <f>IF(VLOOKUP($A17,SiteAttendu!$A$2:$O$366,5,0)="NA","NA",COUNTIFS(soccode,A17,socprog,"PNLS/TESTS RAPIDES ET CONSOMMABLES",socprompt,1))</f>
        <v>0</v>
      </c>
      <c r="F17" s="58">
        <f>IF(VLOOKUP($A17,SiteAttendu!$A$2:$O$366,6,0)="NA","NA",COUNTIFS(soccode,A17,socprog,"PNLS/PRODUITS DE LABORATOIRE",socprompt,1))</f>
        <v>0</v>
      </c>
      <c r="G17" s="58" t="str">
        <f>IF(VLOOKUP($A17,SiteAttendu!$A$2:$O$366,7,0)="NA","NA",COUNTIFS(soccode,A17,socprog,"PNLS/CHARGES VIRALES",socprompt,1))</f>
        <v>NA</v>
      </c>
      <c r="H17" s="58">
        <f>IF(VLOOKUP($A17,SiteAttendu!$A$2:$O$366,9,0)="NA","NA",COUNTIFS(soccode,A17,socprog,"PNLP/MEDICAMENTS ET INTRANTS",socprompt,1))</f>
        <v>0</v>
      </c>
      <c r="I17" s="58" t="str">
        <f>IF(VLOOKUP($A17,SiteAttendu!$A$2:$O$366,10,0)="NA","NA",COUNTIFS(soccode,$A17,socprog,"PNSME/MEDICAMENTS ET INTRANTS",socprompt,1))</f>
        <v>NA</v>
      </c>
      <c r="J17" s="58" t="str">
        <f>IF(VLOOKUP($A17,SiteAttendu!$A$2:$O$366,11,0)="NA","NA",COUNTIFS(soccode,$A17,socprog,"PNN/MEDICAMENTS ET INTRANTS",socprompt,1))</f>
        <v>NA</v>
      </c>
      <c r="K17" s="58" t="str">
        <f>IF(VLOOKUP($A17,SiteAttendu!$A$2:$O$366,15,0)="NA","NA",IF(COUNTIF(socprog,"PNLT/SENSIBLE MEDICAMENTS ET INTRANTS")=0,"NA",COUNTIFS(soccode,$A17,socprog,"PNLT/SENSIBLE MEDICAMENTS ET INTRANTS",socprompt,1)))</f>
        <v>NA</v>
      </c>
      <c r="L17" s="60"/>
      <c r="M17" s="85">
        <f t="shared" ref="M17:S17" si="19">IFERROR(SUMIFS(E$2:E$364,$C$2:$C$364,$C17)/COUNTIFS(E$2:E$364,"&lt;&gt;NA",$C$2:$C$364,$C17),"")</f>
        <v>0.8333333333</v>
      </c>
      <c r="N17" s="85">
        <f t="shared" si="19"/>
        <v>0.7222222222</v>
      </c>
      <c r="O17" s="85">
        <f t="shared" si="19"/>
        <v>0.5555555556</v>
      </c>
      <c r="P17" s="85">
        <f t="shared" si="19"/>
        <v>0.6785714286</v>
      </c>
      <c r="Q17" s="85">
        <f t="shared" si="19"/>
        <v>0.6086956522</v>
      </c>
      <c r="R17" s="85">
        <f t="shared" si="19"/>
        <v>1</v>
      </c>
      <c r="S17" s="85">
        <f t="shared" si="19"/>
        <v>0.6153846154</v>
      </c>
      <c r="T17" s="127">
        <f t="shared" si="3"/>
        <v>0.7733333333</v>
      </c>
      <c r="U17" s="53">
        <f t="shared" si="4"/>
        <v>0</v>
      </c>
      <c r="V17" s="54">
        <f t="shared" si="5"/>
        <v>3</v>
      </c>
    </row>
    <row r="18" ht="15.75" customHeight="1">
      <c r="A18" s="55" t="str">
        <f>SiteAttendu!$A18</f>
        <v>C1068</v>
      </c>
      <c r="B18" s="56" t="str">
        <f>VLOOKUP($A18,SiteAttendu!$A$2:$C$366,2,0)</f>
        <v>FSU COM ANONKOUA-KOUTE</v>
      </c>
      <c r="C18" s="57" t="str">
        <f>VLOOKUP($A18,SiteAttendu!$A$2:$C$366,3,0)</f>
        <v>ABIDJAN 1</v>
      </c>
      <c r="D18" s="58">
        <f>IF(VLOOKUP(A18,SiteAttendu!$A$2:$P$366,4,0)="NA","NA",COUNTIFS(soccode,A18,socprog,"PNLS/ANTIRETROVIRAUX ET IO",socprompt,1))</f>
        <v>1</v>
      </c>
      <c r="E18" s="58">
        <f>IF(VLOOKUP($A18,SiteAttendu!$A$2:$O$366,5,0)="NA","NA",COUNTIFS(soccode,A18,socprog,"PNLS/TESTS RAPIDES ET CONSOMMABLES",socprompt,1))</f>
        <v>1</v>
      </c>
      <c r="F18" s="58">
        <f>IF(VLOOKUP($A18,SiteAttendu!$A$2:$O$366,6,0)="NA","NA",COUNTIFS(soccode,A18,socprog,"PNLS/PRODUITS DE LABORATOIRE",socprompt,1))</f>
        <v>1</v>
      </c>
      <c r="G18" s="58">
        <f>IF(VLOOKUP($A18,SiteAttendu!$A$2:$O$366,7,0)="NA","NA",COUNTIFS(soccode,A18,socprog,"PNLS/CHARGES VIRALES",socprompt,1))</f>
        <v>1</v>
      </c>
      <c r="H18" s="58">
        <f>IF(VLOOKUP($A18,SiteAttendu!$A$2:$O$366,9,0)="NA","NA",COUNTIFS(soccode,A18,socprog,"PNLP/MEDICAMENTS ET INTRANTS",socprompt,1))</f>
        <v>1</v>
      </c>
      <c r="I18" s="58" t="str">
        <f>IF(VLOOKUP($A18,SiteAttendu!$A$2:$O$366,10,0)="NA","NA",COUNTIFS(soccode,$A18,socprog,"PNSME/MEDICAMENTS ET INTRANTS",socprompt,1))</f>
        <v>NA</v>
      </c>
      <c r="J18" s="58" t="str">
        <f>IF(VLOOKUP($A18,SiteAttendu!$A$2:$O$366,11,0)="NA","NA",COUNTIFS(soccode,$A18,socprog,"PNN/MEDICAMENTS ET INTRANTS",socprompt,1))</f>
        <v>NA</v>
      </c>
      <c r="K18" s="58">
        <f>IF(VLOOKUP($A18,SiteAttendu!$A$2:$O$366,15,0)="NA","NA",IF(COUNTIF(socprog,"PNLT/SENSIBLE MEDICAMENTS ET INTRANTS")=0,"NA",COUNTIFS(soccode,$A18,socprog,"PNLT/SENSIBLE MEDICAMENTS ET INTRANTS",socprompt,1)))</f>
        <v>0</v>
      </c>
      <c r="L18" s="60"/>
      <c r="M18" s="85">
        <f t="shared" ref="M18:S18" si="20">IFERROR(SUMIFS(E$2:E$364,$C$2:$C$364,$C18)/COUNTIFS(E$2:E$364,"&lt;&gt;NA",$C$2:$C$364,$C18),"")</f>
        <v>0.8333333333</v>
      </c>
      <c r="N18" s="85">
        <f t="shared" si="20"/>
        <v>0.7222222222</v>
      </c>
      <c r="O18" s="85">
        <f t="shared" si="20"/>
        <v>0.5555555556</v>
      </c>
      <c r="P18" s="85">
        <f t="shared" si="20"/>
        <v>0.6785714286</v>
      </c>
      <c r="Q18" s="85">
        <f t="shared" si="20"/>
        <v>0.6086956522</v>
      </c>
      <c r="R18" s="85">
        <f t="shared" si="20"/>
        <v>1</v>
      </c>
      <c r="S18" s="85">
        <f t="shared" si="20"/>
        <v>0.6153846154</v>
      </c>
      <c r="T18" s="127">
        <f t="shared" si="3"/>
        <v>0.7733333333</v>
      </c>
      <c r="U18" s="53">
        <f t="shared" si="4"/>
        <v>4</v>
      </c>
      <c r="V18" s="54">
        <f t="shared" si="5"/>
        <v>4</v>
      </c>
    </row>
    <row r="19" ht="15.75" customHeight="1">
      <c r="A19" s="55" t="str">
        <f>SiteAttendu!$A19</f>
        <v>C1397</v>
      </c>
      <c r="B19" s="56" t="str">
        <f>VLOOKUP($A19,SiteAttendu!$A$2:$C$366,2,0)</f>
        <v>DISTRICT SANITAIRE ABOBO OUEST</v>
      </c>
      <c r="C19" s="57" t="str">
        <f>VLOOKUP($A19,SiteAttendu!$A$2:$C$366,3,0)</f>
        <v>ABIDJAN 1</v>
      </c>
      <c r="D19" s="58">
        <f>IF(VLOOKUP(A19,SiteAttendu!$A$2:$P$366,4,0)="NA","NA",COUNTIFS(soccode,A19,socprog,"PNLS/ANTIRETROVIRAUX ET IO",socprompt,1))</f>
        <v>0</v>
      </c>
      <c r="E19" s="58">
        <f>IF(VLOOKUP($A19,SiteAttendu!$A$2:$O$366,5,0)="NA","NA",COUNTIFS(soccode,A19,socprog,"PNLS/TESTS RAPIDES ET CONSOMMABLES",socprompt,1))</f>
        <v>0</v>
      </c>
      <c r="F19" s="58">
        <f>IF(VLOOKUP($A19,SiteAttendu!$A$2:$O$366,6,0)="NA","NA",COUNTIFS(soccode,A19,socprog,"PNLS/PRODUITS DE LABORATOIRE",socprompt,1))</f>
        <v>0</v>
      </c>
      <c r="G19" s="58" t="str">
        <f>IF(VLOOKUP($A19,SiteAttendu!$A$2:$O$366,7,0)="NA","NA",COUNTIFS(soccode,A19,socprog,"PNLS/CHARGES VIRALES",socprompt,1))</f>
        <v>NA</v>
      </c>
      <c r="H19" s="58">
        <f>IF(VLOOKUP($A19,SiteAttendu!$A$2:$O$366,9,0)="NA","NA",COUNTIFS(soccode,A19,socprog,"PNLP/MEDICAMENTS ET INTRANTS",socprompt,1))</f>
        <v>0</v>
      </c>
      <c r="I19" s="58">
        <f>IF(VLOOKUP($A19,SiteAttendu!$A$2:$O$366,10,0)="NA","NA",COUNTIFS(soccode,$A19,socprog,"PNSME/MEDICAMENTS ET INTRANTS",socprompt,1))</f>
        <v>0</v>
      </c>
      <c r="J19" s="58" t="str">
        <f>IF(VLOOKUP($A19,SiteAttendu!$A$2:$O$366,11,0)="NA","NA",COUNTIFS(soccode,$A19,socprog,"PNN/MEDICAMENTS ET INTRANTS",socprompt,1))</f>
        <v>NA</v>
      </c>
      <c r="K19" s="58" t="str">
        <f>IF(VLOOKUP($A19,SiteAttendu!$A$2:$O$366,15,0)="NA","NA",IF(COUNTIF(socprog,"PNLT/SENSIBLE MEDICAMENTS ET INTRANTS")=0,"NA",COUNTIFS(soccode,$A19,socprog,"PNLT/SENSIBLE MEDICAMENTS ET INTRANTS",socprompt,1)))</f>
        <v>NA</v>
      </c>
      <c r="L19" s="60"/>
      <c r="M19" s="85">
        <f t="shared" ref="M19:S19" si="21">IFERROR(SUMIFS(E$2:E$364,$C$2:$C$364,$C19)/COUNTIFS(E$2:E$364,"&lt;&gt;NA",$C$2:$C$364,$C19),"")</f>
        <v>0.8333333333</v>
      </c>
      <c r="N19" s="85">
        <f t="shared" si="21"/>
        <v>0.7222222222</v>
      </c>
      <c r="O19" s="85">
        <f t="shared" si="21"/>
        <v>0.5555555556</v>
      </c>
      <c r="P19" s="85">
        <f t="shared" si="21"/>
        <v>0.6785714286</v>
      </c>
      <c r="Q19" s="85">
        <f t="shared" si="21"/>
        <v>0.6086956522</v>
      </c>
      <c r="R19" s="85">
        <f t="shared" si="21"/>
        <v>1</v>
      </c>
      <c r="S19" s="85">
        <f t="shared" si="21"/>
        <v>0.6153846154</v>
      </c>
      <c r="T19" s="127">
        <f t="shared" si="3"/>
        <v>0.7733333333</v>
      </c>
      <c r="U19" s="53">
        <f t="shared" si="4"/>
        <v>0</v>
      </c>
      <c r="V19" s="54">
        <f t="shared" si="5"/>
        <v>3</v>
      </c>
    </row>
    <row r="20" ht="15.75" customHeight="1">
      <c r="A20" s="55" t="str">
        <f>SiteAttendu!$A20</f>
        <v>C1023</v>
      </c>
      <c r="B20" s="56" t="str">
        <f>VLOOKUP($A20,SiteAttendu!$A$2:$C$366,2,0)</f>
        <v>CENTRE MEDICO-SOCIAL EL RAPHA</v>
      </c>
      <c r="C20" s="57" t="str">
        <f>VLOOKUP($A20,SiteAttendu!$A$2:$C$366,3,0)</f>
        <v>ABIDJAN 1</v>
      </c>
      <c r="D20" s="58">
        <f>IF(VLOOKUP(A20,SiteAttendu!$A$2:$P$366,4,0)="NA","NA",COUNTIFS(soccode,A20,socprog,"PNLS/ANTIRETROVIRAUX ET IO",socprompt,1))</f>
        <v>1</v>
      </c>
      <c r="E20" s="58">
        <f>IF(VLOOKUP($A20,SiteAttendu!$A$2:$O$366,5,0)="NA","NA",COUNTIFS(soccode,A20,socprog,"PNLS/TESTS RAPIDES ET CONSOMMABLES",socprompt,1))</f>
        <v>1</v>
      </c>
      <c r="F20" s="58">
        <f>IF(VLOOKUP($A20,SiteAttendu!$A$2:$O$366,6,0)="NA","NA",COUNTIFS(soccode,A20,socprog,"PNLS/PRODUITS DE LABORATOIRE",socprompt,1))</f>
        <v>1</v>
      </c>
      <c r="G20" s="58">
        <f>IF(VLOOKUP($A20,SiteAttendu!$A$2:$O$366,7,0)="NA","NA",COUNTIFS(soccode,A20,socprog,"PNLS/CHARGES VIRALES",socprompt,1))</f>
        <v>0</v>
      </c>
      <c r="H20" s="58" t="str">
        <f>IF(VLOOKUP($A20,SiteAttendu!$A$2:$O$366,9,0)="NA","NA",COUNTIFS(soccode,A20,socprog,"PNLP/MEDICAMENTS ET INTRANTS",socprompt,1))</f>
        <v>NA</v>
      </c>
      <c r="I20" s="58" t="str">
        <f>IF(VLOOKUP($A20,SiteAttendu!$A$2:$O$366,10,0)="NA","NA",COUNTIFS(soccode,$A20,socprog,"PNSME/MEDICAMENTS ET INTRANTS",socprompt,1))</f>
        <v>NA</v>
      </c>
      <c r="J20" s="58" t="str">
        <f>IF(VLOOKUP($A20,SiteAttendu!$A$2:$O$366,11,0)="NA","NA",COUNTIFS(soccode,$A20,socprog,"PNN/MEDICAMENTS ET INTRANTS",socprompt,1))</f>
        <v>NA</v>
      </c>
      <c r="K20" s="58" t="str">
        <f>IF(VLOOKUP($A20,SiteAttendu!$A$2:$O$366,15,0)="NA","NA",IF(COUNTIF(socprog,"PNLT/SENSIBLE MEDICAMENTS ET INTRANTS")=0,"NA",COUNTIFS(soccode,$A20,socprog,"PNLT/SENSIBLE MEDICAMENTS ET INTRANTS",socprompt,1)))</f>
        <v>NA</v>
      </c>
      <c r="L20" s="60"/>
      <c r="M20" s="85">
        <f t="shared" ref="M20:S20" si="22">IFERROR(SUMIFS(E$2:E$364,$C$2:$C$364,$C20)/COUNTIFS(E$2:E$364,"&lt;&gt;NA",$C$2:$C$364,$C20),"")</f>
        <v>0.8333333333</v>
      </c>
      <c r="N20" s="85">
        <f t="shared" si="22"/>
        <v>0.7222222222</v>
      </c>
      <c r="O20" s="85">
        <f t="shared" si="22"/>
        <v>0.5555555556</v>
      </c>
      <c r="P20" s="85">
        <f t="shared" si="22"/>
        <v>0.6785714286</v>
      </c>
      <c r="Q20" s="85">
        <f t="shared" si="22"/>
        <v>0.6086956522</v>
      </c>
      <c r="R20" s="85">
        <f t="shared" si="22"/>
        <v>1</v>
      </c>
      <c r="S20" s="85">
        <f t="shared" si="22"/>
        <v>0.6153846154</v>
      </c>
      <c r="T20" s="127">
        <f t="shared" si="3"/>
        <v>0.7733333333</v>
      </c>
      <c r="U20" s="53">
        <f t="shared" si="4"/>
        <v>3</v>
      </c>
      <c r="V20" s="54">
        <f t="shared" si="5"/>
        <v>4</v>
      </c>
    </row>
    <row r="21" ht="15.75" customHeight="1">
      <c r="A21" s="55" t="str">
        <f>SiteAttendu!$A21</f>
        <v>C1084</v>
      </c>
      <c r="B21" s="56" t="str">
        <f>VLOOKUP($A21,SiteAttendu!$A$2:$C$366,2,0)</f>
        <v>HOPITAL GENERAL ANYAMA</v>
      </c>
      <c r="C21" s="57" t="str">
        <f>VLOOKUP($A21,SiteAttendu!$A$2:$C$366,3,0)</f>
        <v>ABIDJAN 1</v>
      </c>
      <c r="D21" s="58">
        <f>IF(VLOOKUP(A21,SiteAttendu!$A$2:$P$366,4,0)="NA","NA",COUNTIFS(soccode,A21,socprog,"PNLS/ANTIRETROVIRAUX ET IO",socprompt,1))</f>
        <v>1</v>
      </c>
      <c r="E21" s="58">
        <f>IF(VLOOKUP($A21,SiteAttendu!$A$2:$O$366,5,0)="NA","NA",COUNTIFS(soccode,A21,socprog,"PNLS/TESTS RAPIDES ET CONSOMMABLES",socprompt,1))</f>
        <v>1</v>
      </c>
      <c r="F21" s="58">
        <f>IF(VLOOKUP($A21,SiteAttendu!$A$2:$O$366,6,0)="NA","NA",COUNTIFS(soccode,A21,socprog,"PNLS/PRODUITS DE LABORATOIRE",socprompt,1))</f>
        <v>1</v>
      </c>
      <c r="G21" s="58" t="str">
        <f>IF(VLOOKUP($A21,SiteAttendu!$A$2:$O$366,7,0)="NA","NA",COUNTIFS(soccode,A21,socprog,"PNLS/CHARGES VIRALES",socprompt,1))</f>
        <v>NA</v>
      </c>
      <c r="H21" s="58">
        <f>IF(VLOOKUP($A21,SiteAttendu!$A$2:$O$366,9,0)="NA","NA",COUNTIFS(soccode,A21,socprog,"PNLP/MEDICAMENTS ET INTRANTS",socprompt,1))</f>
        <v>1</v>
      </c>
      <c r="I21" s="58">
        <f>IF(VLOOKUP($A21,SiteAttendu!$A$2:$O$366,10,0)="NA","NA",COUNTIFS(soccode,$A21,socprog,"PNSME/MEDICAMENTS ET INTRANTS",socprompt,1))</f>
        <v>1</v>
      </c>
      <c r="J21" s="58">
        <f>IF(VLOOKUP($A21,SiteAttendu!$A$2:$O$366,11,0)="NA","NA",COUNTIFS(soccode,$A21,socprog,"PNN/MEDICAMENTS ET INTRANTS",socprompt,1))</f>
        <v>1</v>
      </c>
      <c r="K21" s="58">
        <f>IF(VLOOKUP($A21,SiteAttendu!$A$2:$O$366,15,0)="NA","NA",IF(COUNTIF(socprog,"PNLT/SENSIBLE MEDICAMENTS ET INTRANTS")=0,"NA",COUNTIFS(soccode,$A21,socprog,"PNLT/SENSIBLE MEDICAMENTS ET INTRANTS",socprompt,1)))</f>
        <v>1</v>
      </c>
      <c r="L21" s="60"/>
      <c r="M21" s="85">
        <f t="shared" ref="M21:S21" si="23">IFERROR(SUMIFS(E$2:E$364,$C$2:$C$364,$C21)/COUNTIFS(E$2:E$364,"&lt;&gt;NA",$C$2:$C$364,$C21),"")</f>
        <v>0.8333333333</v>
      </c>
      <c r="N21" s="85">
        <f t="shared" si="23"/>
        <v>0.7222222222</v>
      </c>
      <c r="O21" s="85">
        <f t="shared" si="23"/>
        <v>0.5555555556</v>
      </c>
      <c r="P21" s="85">
        <f t="shared" si="23"/>
        <v>0.6785714286</v>
      </c>
      <c r="Q21" s="85">
        <f t="shared" si="23"/>
        <v>0.6086956522</v>
      </c>
      <c r="R21" s="85">
        <f t="shared" si="23"/>
        <v>1</v>
      </c>
      <c r="S21" s="85">
        <f t="shared" si="23"/>
        <v>0.6153846154</v>
      </c>
      <c r="T21" s="127">
        <f t="shared" si="3"/>
        <v>0.7733333333</v>
      </c>
      <c r="U21" s="53">
        <f t="shared" si="4"/>
        <v>3</v>
      </c>
      <c r="V21" s="54">
        <f t="shared" si="5"/>
        <v>3</v>
      </c>
    </row>
    <row r="22" ht="15.75" customHeight="1">
      <c r="A22" s="55" t="str">
        <f>SiteAttendu!$A22</f>
        <v>C1412</v>
      </c>
      <c r="B22" s="56" t="str">
        <f>VLOOKUP($A22,SiteAttendu!$A$2:$C$366,2,0)</f>
        <v>DISTRICT SANITAIRE ANYAMA</v>
      </c>
      <c r="C22" s="57" t="str">
        <f>VLOOKUP($A22,SiteAttendu!$A$2:$C$366,3,0)</f>
        <v>ABIDJAN 1</v>
      </c>
      <c r="D22" s="58">
        <f>IF(VLOOKUP(A22,SiteAttendu!$A$2:$P$366,4,0)="NA","NA",COUNTIFS(soccode,A22,socprog,"PNLS/ANTIRETROVIRAUX ET IO",socprompt,1))</f>
        <v>1</v>
      </c>
      <c r="E22" s="58">
        <f>IF(VLOOKUP($A22,SiteAttendu!$A$2:$O$366,5,0)="NA","NA",COUNTIFS(soccode,A22,socprog,"PNLS/TESTS RAPIDES ET CONSOMMABLES",socprompt,1))</f>
        <v>1</v>
      </c>
      <c r="F22" s="58" t="str">
        <f>IF(VLOOKUP($A22,SiteAttendu!$A$2:$O$366,6,0)="NA","NA",COUNTIFS(soccode,A22,socprog,"PNLS/PRODUITS DE LABORATOIRE",socprompt,1))</f>
        <v>NA</v>
      </c>
      <c r="G22" s="58" t="str">
        <f>IF(VLOOKUP($A22,SiteAttendu!$A$2:$O$366,7,0)="NA","NA",COUNTIFS(soccode,A22,socprog,"PNLS/CHARGES VIRALES",socprompt,1))</f>
        <v>NA</v>
      </c>
      <c r="H22" s="58">
        <f>IF(VLOOKUP($A22,SiteAttendu!$A$2:$O$366,9,0)="NA","NA",COUNTIFS(soccode,A22,socprog,"PNLP/MEDICAMENTS ET INTRANTS",socprompt,1))</f>
        <v>1</v>
      </c>
      <c r="I22" s="58">
        <f>IF(VLOOKUP($A22,SiteAttendu!$A$2:$O$366,10,0)="NA","NA",COUNTIFS(soccode,$A22,socprog,"PNSME/MEDICAMENTS ET INTRANTS",socprompt,1))</f>
        <v>1</v>
      </c>
      <c r="J22" s="58">
        <f>IF(VLOOKUP($A22,SiteAttendu!$A$2:$O$366,11,0)="NA","NA",COUNTIFS(soccode,$A22,socprog,"PNN/MEDICAMENTS ET INTRANTS",socprompt,1))</f>
        <v>1</v>
      </c>
      <c r="K22" s="58" t="str">
        <f>IF(VLOOKUP($A22,SiteAttendu!$A$2:$O$366,15,0)="NA","NA",IF(COUNTIF(socprog,"PNLT/SENSIBLE MEDICAMENTS ET INTRANTS")=0,"NA",COUNTIFS(soccode,$A22,socprog,"PNLT/SENSIBLE MEDICAMENTS ET INTRANTS",socprompt,1)))</f>
        <v>NA</v>
      </c>
      <c r="L22" s="60"/>
      <c r="M22" s="85">
        <f t="shared" ref="M22:S22" si="24">IFERROR(SUMIFS(E$2:E$364,$C$2:$C$364,$C22)/COUNTIFS(E$2:E$364,"&lt;&gt;NA",$C$2:$C$364,$C22),"")</f>
        <v>0.8333333333</v>
      </c>
      <c r="N22" s="85">
        <f t="shared" si="24"/>
        <v>0.7222222222</v>
      </c>
      <c r="O22" s="85">
        <f t="shared" si="24"/>
        <v>0.5555555556</v>
      </c>
      <c r="P22" s="85">
        <f t="shared" si="24"/>
        <v>0.6785714286</v>
      </c>
      <c r="Q22" s="85">
        <f t="shared" si="24"/>
        <v>0.6086956522</v>
      </c>
      <c r="R22" s="85">
        <f t="shared" si="24"/>
        <v>1</v>
      </c>
      <c r="S22" s="85">
        <f t="shared" si="24"/>
        <v>0.6153846154</v>
      </c>
      <c r="T22" s="127">
        <f t="shared" si="3"/>
        <v>0.7733333333</v>
      </c>
      <c r="U22" s="53">
        <f t="shared" si="4"/>
        <v>2</v>
      </c>
      <c r="V22" s="54">
        <f t="shared" si="5"/>
        <v>2</v>
      </c>
    </row>
    <row r="23" ht="15.75" customHeight="1">
      <c r="A23" s="55" t="str">
        <f>SiteAttendu!$A23</f>
        <v>C1017</v>
      </c>
      <c r="B23" s="56" t="str">
        <f>VLOOKUP($A23,SiteAttendu!$A$2:$C$366,2,0)</f>
        <v>FSU COM ANDOKOI</v>
      </c>
      <c r="C23" s="57" t="str">
        <f>VLOOKUP($A23,SiteAttendu!$A$2:$C$366,3,0)</f>
        <v>ABIDJAN 1</v>
      </c>
      <c r="D23" s="58" t="str">
        <f>IF(VLOOKUP(A23,SiteAttendu!$A$2:$P$366,4,0)="NA","NA",COUNTIFS(soccode,A23,socprog,"PNLS/ANTIRETROVIRAUX ET IO",socprompt,1))</f>
        <v>NA</v>
      </c>
      <c r="E23" s="58" t="str">
        <f>IF(VLOOKUP($A23,SiteAttendu!$A$2:$O$366,5,0)="NA","NA",COUNTIFS(soccode,A23,socprog,"PNLS/TESTS RAPIDES ET CONSOMMABLES",socprompt,1))</f>
        <v>NA</v>
      </c>
      <c r="F23" s="58" t="str">
        <f>IF(VLOOKUP($A23,SiteAttendu!$A$2:$O$366,6,0)="NA","NA",COUNTIFS(soccode,A23,socprog,"PNLS/PRODUITS DE LABORATOIRE",socprompt,1))</f>
        <v>NA</v>
      </c>
      <c r="G23" s="58" t="str">
        <f>IF(VLOOKUP($A23,SiteAttendu!$A$2:$O$366,7,0)="NA","NA",COUNTIFS(soccode,A23,socprog,"PNLS/CHARGES VIRALES",socprompt,1))</f>
        <v>NA</v>
      </c>
      <c r="H23" s="58">
        <f>IF(VLOOKUP($A23,SiteAttendu!$A$2:$O$366,9,0)="NA","NA",COUNTIFS(soccode,A23,socprog,"PNLP/MEDICAMENTS ET INTRANTS",socprompt,1))</f>
        <v>1</v>
      </c>
      <c r="I23" s="58">
        <f>IF(VLOOKUP($A23,SiteAttendu!$A$2:$O$366,10,0)="NA","NA",COUNTIFS(soccode,$A23,socprog,"PNSME/MEDICAMENTS ET INTRANTS",socprompt,1))</f>
        <v>1</v>
      </c>
      <c r="J23" s="58" t="str">
        <f>IF(VLOOKUP($A23,SiteAttendu!$A$2:$O$366,11,0)="NA","NA",COUNTIFS(soccode,$A23,socprog,"PNN/MEDICAMENTS ET INTRANTS",socprompt,1))</f>
        <v>NA</v>
      </c>
      <c r="K23" s="58">
        <f>IF(VLOOKUP($A23,SiteAttendu!$A$2:$O$366,15,0)="NA","NA",IF(COUNTIF(socprog,"PNLT/SENSIBLE MEDICAMENTS ET INTRANTS")=0,"NA",COUNTIFS(soccode,$A23,socprog,"PNLT/SENSIBLE MEDICAMENTS ET INTRANTS",socprompt,1)))</f>
        <v>1</v>
      </c>
      <c r="L23" s="60"/>
      <c r="M23" s="85">
        <f t="shared" ref="M23:S23" si="25">IFERROR(SUMIFS(E$2:E$364,$C$2:$C$364,$C23)/COUNTIFS(E$2:E$364,"&lt;&gt;NA",$C$2:$C$364,$C23),"")</f>
        <v>0.8333333333</v>
      </c>
      <c r="N23" s="85">
        <f t="shared" si="25"/>
        <v>0.7222222222</v>
      </c>
      <c r="O23" s="85">
        <f t="shared" si="25"/>
        <v>0.5555555556</v>
      </c>
      <c r="P23" s="85">
        <f t="shared" si="25"/>
        <v>0.6785714286</v>
      </c>
      <c r="Q23" s="85">
        <f t="shared" si="25"/>
        <v>0.6086956522</v>
      </c>
      <c r="R23" s="85">
        <f t="shared" si="25"/>
        <v>1</v>
      </c>
      <c r="S23" s="85">
        <f t="shared" si="25"/>
        <v>0.6153846154</v>
      </c>
      <c r="T23" s="127">
        <f t="shared" si="3"/>
        <v>0.7733333333</v>
      </c>
      <c r="U23" s="53">
        <f t="shared" si="4"/>
        <v>0</v>
      </c>
      <c r="V23" s="54">
        <f t="shared" si="5"/>
        <v>0</v>
      </c>
    </row>
    <row r="24" ht="15.75" customHeight="1">
      <c r="A24" s="55" t="str">
        <f>SiteAttendu!$A24</f>
        <v>C1070</v>
      </c>
      <c r="B24" s="56" t="str">
        <f>VLOOKUP($A24,SiteAttendu!$A$2:$C$366,2,0)</f>
        <v>FSU COM KOWEIT</v>
      </c>
      <c r="C24" s="57" t="str">
        <f>VLOOKUP($A24,SiteAttendu!$A$2:$C$366,3,0)</f>
        <v>ABIDJAN 1</v>
      </c>
      <c r="D24" s="58" t="str">
        <f>IF(VLOOKUP(A24,SiteAttendu!$A$2:$P$366,4,0)="NA","NA",COUNTIFS(soccode,A24,socprog,"PNLS/ANTIRETROVIRAUX ET IO",socprompt,1))</f>
        <v>NA</v>
      </c>
      <c r="E24" s="58" t="str">
        <f>IF(VLOOKUP($A24,SiteAttendu!$A$2:$O$366,5,0)="NA","NA",COUNTIFS(soccode,A24,socprog,"PNLS/TESTS RAPIDES ET CONSOMMABLES",socprompt,1))</f>
        <v>NA</v>
      </c>
      <c r="F24" s="58" t="str">
        <f>IF(VLOOKUP($A24,SiteAttendu!$A$2:$O$366,6,0)="NA","NA",COUNTIFS(soccode,A24,socprog,"PNLS/PRODUITS DE LABORATOIRE",socprompt,1))</f>
        <v>NA</v>
      </c>
      <c r="G24" s="58" t="str">
        <f>IF(VLOOKUP($A24,SiteAttendu!$A$2:$O$366,7,0)="NA","NA",COUNTIFS(soccode,A24,socprog,"PNLS/CHARGES VIRALES",socprompt,1))</f>
        <v>NA</v>
      </c>
      <c r="H24" s="58">
        <f>IF(VLOOKUP($A24,SiteAttendu!$A$2:$O$366,9,0)="NA","NA",COUNTIFS(soccode,A24,socprog,"PNLP/MEDICAMENTS ET INTRANTS",socprompt,1))</f>
        <v>1</v>
      </c>
      <c r="I24" s="58">
        <f>IF(VLOOKUP($A24,SiteAttendu!$A$2:$O$366,10,0)="NA","NA",COUNTIFS(soccode,$A24,socprog,"PNSME/MEDICAMENTS ET INTRANTS",socprompt,1))</f>
        <v>1</v>
      </c>
      <c r="J24" s="58" t="str">
        <f>IF(VLOOKUP($A24,SiteAttendu!$A$2:$O$366,11,0)="NA","NA",COUNTIFS(soccode,$A24,socprog,"PNN/MEDICAMENTS ET INTRANTS",socprompt,1))</f>
        <v>NA</v>
      </c>
      <c r="K24" s="58" t="str">
        <f>IF(VLOOKUP($A24,SiteAttendu!$A$2:$O$366,15,0)="NA","NA",IF(COUNTIF(socprog,"PNLT/SENSIBLE MEDICAMENTS ET INTRANTS")=0,"NA",COUNTIFS(soccode,$A24,socprog,"PNLT/SENSIBLE MEDICAMENTS ET INTRANTS",socprompt,1)))</f>
        <v>NA</v>
      </c>
      <c r="L24" s="60"/>
      <c r="M24" s="85">
        <f t="shared" ref="M24:S24" si="26">IFERROR(SUMIFS(E$2:E$364,$C$2:$C$364,$C24)/COUNTIFS(E$2:E$364,"&lt;&gt;NA",$C$2:$C$364,$C24),"")</f>
        <v>0.8333333333</v>
      </c>
      <c r="N24" s="85">
        <f t="shared" si="26"/>
        <v>0.7222222222</v>
      </c>
      <c r="O24" s="85">
        <f t="shared" si="26"/>
        <v>0.5555555556</v>
      </c>
      <c r="P24" s="85">
        <f t="shared" si="26"/>
        <v>0.6785714286</v>
      </c>
      <c r="Q24" s="85">
        <f t="shared" si="26"/>
        <v>0.6086956522</v>
      </c>
      <c r="R24" s="85">
        <f t="shared" si="26"/>
        <v>1</v>
      </c>
      <c r="S24" s="85">
        <f t="shared" si="26"/>
        <v>0.6153846154</v>
      </c>
      <c r="T24" s="127">
        <f t="shared" si="3"/>
        <v>0.7733333333</v>
      </c>
      <c r="U24" s="53">
        <f t="shared" si="4"/>
        <v>0</v>
      </c>
      <c r="V24" s="54">
        <f t="shared" si="5"/>
        <v>0</v>
      </c>
    </row>
    <row r="25" ht="15.75" customHeight="1">
      <c r="A25" s="55" t="str">
        <f>SiteAttendu!$A25</f>
        <v>C1073</v>
      </c>
      <c r="B25" s="56" t="str">
        <f>VLOOKUP($A25,SiteAttendu!$A$2:$C$366,2,0)</f>
        <v>FSU COM YOPOUGON ATTIE-OUASSAKARA</v>
      </c>
      <c r="C25" s="57" t="str">
        <f>VLOOKUP($A25,SiteAttendu!$A$2:$C$366,3,0)</f>
        <v>ABIDJAN 1</v>
      </c>
      <c r="D25" s="58">
        <f>IF(VLOOKUP(A25,SiteAttendu!$A$2:$P$366,4,0)="NA","NA",COUNTIFS(soccode,A25,socprog,"PNLS/ANTIRETROVIRAUX ET IO",socprompt,1))</f>
        <v>1</v>
      </c>
      <c r="E25" s="58">
        <f>IF(VLOOKUP($A25,SiteAttendu!$A$2:$O$366,5,0)="NA","NA",COUNTIFS(soccode,A25,socprog,"PNLS/TESTS RAPIDES ET CONSOMMABLES",socprompt,1))</f>
        <v>1</v>
      </c>
      <c r="F25" s="58" t="str">
        <f>IF(VLOOKUP($A25,SiteAttendu!$A$2:$O$366,6,0)="NA","NA",COUNTIFS(soccode,A25,socprog,"PNLS/PRODUITS DE LABORATOIRE",socprompt,1))</f>
        <v>NA</v>
      </c>
      <c r="G25" s="58" t="str">
        <f>IF(VLOOKUP($A25,SiteAttendu!$A$2:$O$366,7,0)="NA","NA",COUNTIFS(soccode,A25,socprog,"PNLS/CHARGES VIRALES",socprompt,1))</f>
        <v>NA</v>
      </c>
      <c r="H25" s="58">
        <f>IF(VLOOKUP($A25,SiteAttendu!$A$2:$O$366,9,0)="NA","NA",COUNTIFS(soccode,A25,socprog,"PNLP/MEDICAMENTS ET INTRANTS",socprompt,1))</f>
        <v>1</v>
      </c>
      <c r="I25" s="58">
        <f>IF(VLOOKUP($A25,SiteAttendu!$A$2:$O$366,10,0)="NA","NA",COUNTIFS(soccode,$A25,socprog,"PNSME/MEDICAMENTS ET INTRANTS",socprompt,1))</f>
        <v>1</v>
      </c>
      <c r="J25" s="58" t="str">
        <f>IF(VLOOKUP($A25,SiteAttendu!$A$2:$O$366,11,0)="NA","NA",COUNTIFS(soccode,$A25,socprog,"PNN/MEDICAMENTS ET INTRANTS",socprompt,1))</f>
        <v>NA</v>
      </c>
      <c r="K25" s="58">
        <f>IF(VLOOKUP($A25,SiteAttendu!$A$2:$O$366,15,0)="NA","NA",IF(COUNTIF(socprog,"PNLT/SENSIBLE MEDICAMENTS ET INTRANTS")=0,"NA",COUNTIFS(soccode,$A25,socprog,"PNLT/SENSIBLE MEDICAMENTS ET INTRANTS",socprompt,1)))</f>
        <v>1</v>
      </c>
      <c r="L25" s="60"/>
      <c r="M25" s="85">
        <f t="shared" ref="M25:S25" si="27">IFERROR(SUMIFS(E$2:E$364,$C$2:$C$364,$C25)/COUNTIFS(E$2:E$364,"&lt;&gt;NA",$C$2:$C$364,$C25),"")</f>
        <v>0.8333333333</v>
      </c>
      <c r="N25" s="85">
        <f t="shared" si="27"/>
        <v>0.7222222222</v>
      </c>
      <c r="O25" s="85">
        <f t="shared" si="27"/>
        <v>0.5555555556</v>
      </c>
      <c r="P25" s="85">
        <f t="shared" si="27"/>
        <v>0.6785714286</v>
      </c>
      <c r="Q25" s="85">
        <f t="shared" si="27"/>
        <v>0.6086956522</v>
      </c>
      <c r="R25" s="85">
        <f t="shared" si="27"/>
        <v>1</v>
      </c>
      <c r="S25" s="85">
        <f t="shared" si="27"/>
        <v>0.6153846154</v>
      </c>
      <c r="T25" s="127">
        <f t="shared" si="3"/>
        <v>0.7733333333</v>
      </c>
      <c r="U25" s="53">
        <f t="shared" si="4"/>
        <v>2</v>
      </c>
      <c r="V25" s="54">
        <f t="shared" si="5"/>
        <v>2</v>
      </c>
    </row>
    <row r="26" ht="15.75" customHeight="1">
      <c r="A26" s="55" t="str">
        <f>SiteAttendu!$A26</f>
        <v>C1075</v>
      </c>
      <c r="B26" s="56" t="str">
        <f>VLOOKUP($A26,SiteAttendu!$A$2:$C$366,2,0)</f>
        <v>FSU COM YOPOUGON KOUTE</v>
      </c>
      <c r="C26" s="57" t="str">
        <f>VLOOKUP($A26,SiteAttendu!$A$2:$C$366,3,0)</f>
        <v>ABIDJAN 1</v>
      </c>
      <c r="D26" s="58" t="str">
        <f>IF(VLOOKUP(A26,SiteAttendu!$A$2:$P$366,4,0)="NA","NA",COUNTIFS(soccode,A26,socprog,"PNLS/ANTIRETROVIRAUX ET IO",socprompt,1))</f>
        <v>NA</v>
      </c>
      <c r="E26" s="58" t="str">
        <f>IF(VLOOKUP($A26,SiteAttendu!$A$2:$O$366,5,0)="NA","NA",COUNTIFS(soccode,A26,socprog,"PNLS/TESTS RAPIDES ET CONSOMMABLES",socprompt,1))</f>
        <v>NA</v>
      </c>
      <c r="F26" s="58" t="str">
        <f>IF(VLOOKUP($A26,SiteAttendu!$A$2:$O$366,6,0)="NA","NA",COUNTIFS(soccode,A26,socprog,"PNLS/PRODUITS DE LABORATOIRE",socprompt,1))</f>
        <v>NA</v>
      </c>
      <c r="G26" s="58" t="str">
        <f>IF(VLOOKUP($A26,SiteAttendu!$A$2:$O$366,7,0)="NA","NA",COUNTIFS(soccode,A26,socprog,"PNLS/CHARGES VIRALES",socprompt,1))</f>
        <v>NA</v>
      </c>
      <c r="H26" s="58">
        <f>IF(VLOOKUP($A26,SiteAttendu!$A$2:$O$366,9,0)="NA","NA",COUNTIFS(soccode,A26,socprog,"PNLP/MEDICAMENTS ET INTRANTS",socprompt,1))</f>
        <v>0</v>
      </c>
      <c r="I26" s="58" t="str">
        <f>IF(VLOOKUP($A26,SiteAttendu!$A$2:$O$366,10,0)="NA","NA",COUNTIFS(soccode,$A26,socprog,"PNSME/MEDICAMENTS ET INTRANTS",socprompt,1))</f>
        <v>NA</v>
      </c>
      <c r="J26" s="58" t="str">
        <f>IF(VLOOKUP($A26,SiteAttendu!$A$2:$O$366,11,0)="NA","NA",COUNTIFS(soccode,$A26,socprog,"PNN/MEDICAMENTS ET INTRANTS",socprompt,1))</f>
        <v>NA</v>
      </c>
      <c r="K26" s="58" t="str">
        <f>IF(VLOOKUP($A26,SiteAttendu!$A$2:$O$366,15,0)="NA","NA",IF(COUNTIF(socprog,"PNLT/SENSIBLE MEDICAMENTS ET INTRANTS")=0,"NA",COUNTIFS(soccode,$A26,socprog,"PNLT/SENSIBLE MEDICAMENTS ET INTRANTS",socprompt,1)))</f>
        <v>NA</v>
      </c>
      <c r="L26" s="60"/>
      <c r="M26" s="85">
        <f t="shared" ref="M26:S26" si="28">IFERROR(SUMIFS(E$2:E$364,$C$2:$C$364,$C26)/COUNTIFS(E$2:E$364,"&lt;&gt;NA",$C$2:$C$364,$C26),"")</f>
        <v>0.8333333333</v>
      </c>
      <c r="N26" s="85">
        <f t="shared" si="28"/>
        <v>0.7222222222</v>
      </c>
      <c r="O26" s="85">
        <f t="shared" si="28"/>
        <v>0.5555555556</v>
      </c>
      <c r="P26" s="85">
        <f t="shared" si="28"/>
        <v>0.6785714286</v>
      </c>
      <c r="Q26" s="85">
        <f t="shared" si="28"/>
        <v>0.6086956522</v>
      </c>
      <c r="R26" s="85">
        <f t="shared" si="28"/>
        <v>1</v>
      </c>
      <c r="S26" s="85">
        <f t="shared" si="28"/>
        <v>0.6153846154</v>
      </c>
      <c r="T26" s="127">
        <f t="shared" si="3"/>
        <v>0.7733333333</v>
      </c>
      <c r="U26" s="53">
        <f t="shared" si="4"/>
        <v>0</v>
      </c>
      <c r="V26" s="54">
        <f t="shared" si="5"/>
        <v>0</v>
      </c>
    </row>
    <row r="27" ht="15.75" customHeight="1">
      <c r="A27" s="55" t="str">
        <f>SiteAttendu!$A27</f>
        <v>C1078</v>
      </c>
      <c r="B27" s="56" t="str">
        <f>VLOOKUP($A27,SiteAttendu!$A$2:$C$366,2,0)</f>
        <v>FSU COM YOPOUGON TOIT ROUGE</v>
      </c>
      <c r="C27" s="57" t="str">
        <f>VLOOKUP($A27,SiteAttendu!$A$2:$C$366,3,0)</f>
        <v>ABIDJAN 1</v>
      </c>
      <c r="D27" s="58">
        <f>IF(VLOOKUP(A27,SiteAttendu!$A$2:$P$366,4,0)="NA","NA",COUNTIFS(soccode,A27,socprog,"PNLS/ANTIRETROVIRAUX ET IO",socprompt,1))</f>
        <v>1</v>
      </c>
      <c r="E27" s="58">
        <f>IF(VLOOKUP($A27,SiteAttendu!$A$2:$O$366,5,0)="NA","NA",COUNTIFS(soccode,A27,socprog,"PNLS/TESTS RAPIDES ET CONSOMMABLES",socprompt,1))</f>
        <v>1</v>
      </c>
      <c r="F27" s="58" t="str">
        <f>IF(VLOOKUP($A27,SiteAttendu!$A$2:$O$366,6,0)="NA","NA",COUNTIFS(soccode,A27,socprog,"PNLS/PRODUITS DE LABORATOIRE",socprompt,1))</f>
        <v>NA</v>
      </c>
      <c r="G27" s="58">
        <f>IF(VLOOKUP($A27,SiteAttendu!$A$2:$O$366,7,0)="NA","NA",COUNTIFS(soccode,A27,socprog,"PNLS/CHARGES VIRALES",socprompt,1))</f>
        <v>1</v>
      </c>
      <c r="H27" s="58">
        <f>IF(VLOOKUP($A27,SiteAttendu!$A$2:$O$366,9,0)="NA","NA",COUNTIFS(soccode,A27,socprog,"PNLP/MEDICAMENTS ET INTRANTS",socprompt,1))</f>
        <v>1</v>
      </c>
      <c r="I27" s="58">
        <f>IF(VLOOKUP($A27,SiteAttendu!$A$2:$O$366,10,0)="NA","NA",COUNTIFS(soccode,$A27,socprog,"PNSME/MEDICAMENTS ET INTRANTS",socprompt,1))</f>
        <v>1</v>
      </c>
      <c r="J27" s="58" t="str">
        <f>IF(VLOOKUP($A27,SiteAttendu!$A$2:$O$366,11,0)="NA","NA",COUNTIFS(soccode,$A27,socprog,"PNN/MEDICAMENTS ET INTRANTS",socprompt,1))</f>
        <v>NA</v>
      </c>
      <c r="K27" s="58">
        <f>IF(VLOOKUP($A27,SiteAttendu!$A$2:$O$366,15,0)="NA","NA",IF(COUNTIF(socprog,"PNLT/SENSIBLE MEDICAMENTS ET INTRANTS")=0,"NA",COUNTIFS(soccode,$A27,socprog,"PNLT/SENSIBLE MEDICAMENTS ET INTRANTS",socprompt,1)))</f>
        <v>1</v>
      </c>
      <c r="L27" s="60"/>
      <c r="M27" s="85">
        <f t="shared" ref="M27:S27" si="29">IFERROR(SUMIFS(E$2:E$364,$C$2:$C$364,$C27)/COUNTIFS(E$2:E$364,"&lt;&gt;NA",$C$2:$C$364,$C27),"")</f>
        <v>0.8333333333</v>
      </c>
      <c r="N27" s="85">
        <f t="shared" si="29"/>
        <v>0.7222222222</v>
      </c>
      <c r="O27" s="85">
        <f t="shared" si="29"/>
        <v>0.5555555556</v>
      </c>
      <c r="P27" s="85">
        <f t="shared" si="29"/>
        <v>0.6785714286</v>
      </c>
      <c r="Q27" s="85">
        <f t="shared" si="29"/>
        <v>0.6086956522</v>
      </c>
      <c r="R27" s="85">
        <f t="shared" si="29"/>
        <v>1</v>
      </c>
      <c r="S27" s="85">
        <f t="shared" si="29"/>
        <v>0.6153846154</v>
      </c>
      <c r="T27" s="127">
        <f t="shared" si="3"/>
        <v>0.7733333333</v>
      </c>
      <c r="U27" s="53">
        <f t="shared" si="4"/>
        <v>3</v>
      </c>
      <c r="V27" s="54">
        <f t="shared" si="5"/>
        <v>3</v>
      </c>
    </row>
    <row r="28" ht="15.75" customHeight="1">
      <c r="A28" s="55" t="str">
        <f>SiteAttendu!$A28</f>
        <v>C1415</v>
      </c>
      <c r="B28" s="56" t="str">
        <f>VLOOKUP($A28,SiteAttendu!$A$2:$C$366,2,0)</f>
        <v>DISTRICT SANITAIRE YOPOUGON EST</v>
      </c>
      <c r="C28" s="57" t="str">
        <f>VLOOKUP($A28,SiteAttendu!$A$2:$C$366,3,0)</f>
        <v>ABIDJAN 1</v>
      </c>
      <c r="D28" s="58">
        <f>IF(VLOOKUP(A28,SiteAttendu!$A$2:$P$366,4,0)="NA","NA",COUNTIFS(soccode,A28,socprog,"PNLS/ANTIRETROVIRAUX ET IO",socprompt,1))</f>
        <v>1</v>
      </c>
      <c r="E28" s="58">
        <f>IF(VLOOKUP($A28,SiteAttendu!$A$2:$O$366,5,0)="NA","NA",COUNTIFS(soccode,A28,socprog,"PNLS/TESTS RAPIDES ET CONSOMMABLES",socprompt,1))</f>
        <v>1</v>
      </c>
      <c r="F28" s="58">
        <f>IF(VLOOKUP($A28,SiteAttendu!$A$2:$O$366,6,0)="NA","NA",COUNTIFS(soccode,A28,socprog,"PNLS/PRODUITS DE LABORATOIRE",socprompt,1))</f>
        <v>1</v>
      </c>
      <c r="G28" s="58" t="str">
        <f>IF(VLOOKUP($A28,SiteAttendu!$A$2:$O$366,7,0)="NA","NA",COUNTIFS(soccode,A28,socprog,"PNLS/CHARGES VIRALES",socprompt,1))</f>
        <v>NA</v>
      </c>
      <c r="H28" s="58">
        <f>IF(VLOOKUP($A28,SiteAttendu!$A$2:$O$366,9,0)="NA","NA",COUNTIFS(soccode,A28,socprog,"PNLP/MEDICAMENTS ET INTRANTS",socprompt,1))</f>
        <v>1</v>
      </c>
      <c r="I28" s="58">
        <f>IF(VLOOKUP($A28,SiteAttendu!$A$2:$O$366,10,0)="NA","NA",COUNTIFS(soccode,$A28,socprog,"PNSME/MEDICAMENTS ET INTRANTS",socprompt,1))</f>
        <v>1</v>
      </c>
      <c r="J28" s="58">
        <f>IF(VLOOKUP($A28,SiteAttendu!$A$2:$O$366,11,0)="NA","NA",COUNTIFS(soccode,$A28,socprog,"PNN/MEDICAMENTS ET INTRANTS",socprompt,1))</f>
        <v>1</v>
      </c>
      <c r="K28" s="58">
        <f>IF(VLOOKUP($A28,SiteAttendu!$A$2:$O$366,15,0)="NA","NA",IF(COUNTIF(socprog,"PNLT/SENSIBLE MEDICAMENTS ET INTRANTS")=0,"NA",COUNTIFS(soccode,$A28,socprog,"PNLT/SENSIBLE MEDICAMENTS ET INTRANTS",socprompt,1)))</f>
        <v>1</v>
      </c>
      <c r="L28" s="60"/>
      <c r="M28" s="85">
        <f t="shared" ref="M28:S28" si="30">IFERROR(SUMIFS(E$2:E$364,$C$2:$C$364,$C28)/COUNTIFS(E$2:E$364,"&lt;&gt;NA",$C$2:$C$364,$C28),"")</f>
        <v>0.8333333333</v>
      </c>
      <c r="N28" s="85">
        <f t="shared" si="30"/>
        <v>0.7222222222</v>
      </c>
      <c r="O28" s="85">
        <f t="shared" si="30"/>
        <v>0.5555555556</v>
      </c>
      <c r="P28" s="85">
        <f t="shared" si="30"/>
        <v>0.6785714286</v>
      </c>
      <c r="Q28" s="85">
        <f t="shared" si="30"/>
        <v>0.6086956522</v>
      </c>
      <c r="R28" s="85">
        <f t="shared" si="30"/>
        <v>1</v>
      </c>
      <c r="S28" s="85">
        <f t="shared" si="30"/>
        <v>0.6153846154</v>
      </c>
      <c r="T28" s="127">
        <f t="shared" si="3"/>
        <v>0.7733333333</v>
      </c>
      <c r="U28" s="53">
        <f t="shared" si="4"/>
        <v>3</v>
      </c>
      <c r="V28" s="54">
        <f t="shared" si="5"/>
        <v>3</v>
      </c>
    </row>
    <row r="29" ht="15.75" customHeight="1">
      <c r="A29" s="55" t="str">
        <f>SiteAttendu!$A29</f>
        <v>C1007</v>
      </c>
      <c r="B29" s="56" t="str">
        <f>VLOOKUP($A29,SiteAttendu!$A$2:$C$366,2,0)</f>
        <v>CHU YOPOUGON</v>
      </c>
      <c r="C29" s="57" t="str">
        <f>VLOOKUP($A29,SiteAttendu!$A$2:$C$366,3,0)</f>
        <v>ABIDJAN 1</v>
      </c>
      <c r="D29" s="58">
        <f>IF(VLOOKUP(A29,SiteAttendu!$A$2:$P$366,4,0)="NA","NA",COUNTIFS(soccode,A29,socprog,"PNLS/ANTIRETROVIRAUX ET IO",socprompt,1))</f>
        <v>0</v>
      </c>
      <c r="E29" s="58">
        <f>IF(VLOOKUP($A29,SiteAttendu!$A$2:$O$366,5,0)="NA","NA",COUNTIFS(soccode,A29,socprog,"PNLS/TESTS RAPIDES ET CONSOMMABLES",socprompt,1))</f>
        <v>0</v>
      </c>
      <c r="F29" s="58" t="str">
        <f>IF(VLOOKUP($A29,SiteAttendu!$A$2:$O$366,6,0)="NA","NA",COUNTIFS(soccode,A29,socprog,"PNLS/PRODUITS DE LABORATOIRE",socprompt,1))</f>
        <v>NA</v>
      </c>
      <c r="G29" s="58" t="str">
        <f>IF(VLOOKUP($A29,SiteAttendu!$A$2:$O$366,7,0)="NA","NA",COUNTIFS(soccode,A29,socprog,"PNLS/CHARGES VIRALES",socprompt,1))</f>
        <v>NA</v>
      </c>
      <c r="H29" s="58" t="str">
        <f>IF(VLOOKUP($A29,SiteAttendu!$A$2:$O$366,9,0)="NA","NA",COUNTIFS(soccode,A29,socprog,"PNLP/MEDICAMENTS ET INTRANTS",socprompt,1))</f>
        <v>NA</v>
      </c>
      <c r="I29" s="58" t="str">
        <f>IF(VLOOKUP($A29,SiteAttendu!$A$2:$O$366,10,0)="NA","NA",COUNTIFS(soccode,$A29,socprog,"PNSME/MEDICAMENTS ET INTRANTS",socprompt,1))</f>
        <v>NA</v>
      </c>
      <c r="J29" s="58" t="str">
        <f>IF(VLOOKUP($A29,SiteAttendu!$A$2:$O$366,11,0)="NA","NA",COUNTIFS(soccode,$A29,socprog,"PNN/MEDICAMENTS ET INTRANTS",socprompt,1))</f>
        <v>NA</v>
      </c>
      <c r="K29" s="58">
        <f>IF(VLOOKUP($A29,SiteAttendu!$A$2:$O$366,15,0)="NA","NA",IF(COUNTIF(socprog,"PNLT/SENSIBLE MEDICAMENTS ET INTRANTS")=0,"NA",COUNTIFS(soccode,$A29,socprog,"PNLT/SENSIBLE MEDICAMENTS ET INTRANTS",socprompt,1)))</f>
        <v>0</v>
      </c>
      <c r="L29" s="60"/>
      <c r="M29" s="85">
        <f t="shared" ref="M29:S29" si="31">IFERROR(SUMIFS(E$2:E$364,$C$2:$C$364,$C29)/COUNTIFS(E$2:E$364,"&lt;&gt;NA",$C$2:$C$364,$C29),"")</f>
        <v>0.8333333333</v>
      </c>
      <c r="N29" s="85">
        <f t="shared" si="31"/>
        <v>0.7222222222</v>
      </c>
      <c r="O29" s="85">
        <f t="shared" si="31"/>
        <v>0.5555555556</v>
      </c>
      <c r="P29" s="85">
        <f t="shared" si="31"/>
        <v>0.6785714286</v>
      </c>
      <c r="Q29" s="85">
        <f t="shared" si="31"/>
        <v>0.6086956522</v>
      </c>
      <c r="R29" s="85">
        <f t="shared" si="31"/>
        <v>1</v>
      </c>
      <c r="S29" s="85">
        <f t="shared" si="31"/>
        <v>0.6153846154</v>
      </c>
      <c r="T29" s="127">
        <f t="shared" si="3"/>
        <v>0.7733333333</v>
      </c>
      <c r="U29" s="53">
        <f t="shared" si="4"/>
        <v>0</v>
      </c>
      <c r="V29" s="54">
        <f t="shared" si="5"/>
        <v>2</v>
      </c>
    </row>
    <row r="30" ht="15.75" customHeight="1">
      <c r="A30" s="55" t="str">
        <f>SiteAttendu!$A30</f>
        <v>C1364</v>
      </c>
      <c r="B30" s="56" t="str">
        <f>VLOOKUP($A30,SiteAttendu!$A$2:$C$366,2,0)</f>
        <v>RUBAN ROUGE</v>
      </c>
      <c r="C30" s="57" t="str">
        <f>VLOOKUP($A30,SiteAttendu!$A$2:$C$366,3,0)</f>
        <v>ABIDJAN 1</v>
      </c>
      <c r="D30" s="58">
        <f>IF(VLOOKUP(A30,SiteAttendu!$A$2:$P$366,4,0)="NA","NA",COUNTIFS(soccode,A30,socprog,"PNLS/ANTIRETROVIRAUX ET IO",socprompt,1))</f>
        <v>1</v>
      </c>
      <c r="E30" s="58">
        <f>IF(VLOOKUP($A30,SiteAttendu!$A$2:$O$366,5,0)="NA","NA",COUNTIFS(soccode,A30,socprog,"PNLS/TESTS RAPIDES ET CONSOMMABLES",socprompt,1))</f>
        <v>1</v>
      </c>
      <c r="F30" s="58">
        <f>IF(VLOOKUP($A30,SiteAttendu!$A$2:$O$366,6,0)="NA","NA",COUNTIFS(soccode,A30,socprog,"PNLS/PRODUITS DE LABORATOIRE",socprompt,1))</f>
        <v>1</v>
      </c>
      <c r="G30" s="58" t="str">
        <f>IF(VLOOKUP($A30,SiteAttendu!$A$2:$O$366,7,0)="NA","NA",COUNTIFS(soccode,A30,socprog,"PNLS/CHARGES VIRALES",socprompt,1))</f>
        <v>NA</v>
      </c>
      <c r="H30" s="58" t="str">
        <f>IF(VLOOKUP($A30,SiteAttendu!$A$2:$O$366,9,0)="NA","NA",COUNTIFS(soccode,A30,socprog,"PNLP/MEDICAMENTS ET INTRANTS",socprompt,1))</f>
        <v>NA</v>
      </c>
      <c r="I30" s="58" t="str">
        <f>IF(VLOOKUP($A30,SiteAttendu!$A$2:$O$366,10,0)="NA","NA",COUNTIFS(soccode,$A30,socprog,"PNSME/MEDICAMENTS ET INTRANTS",socprompt,1))</f>
        <v>NA</v>
      </c>
      <c r="J30" s="58" t="str">
        <f>IF(VLOOKUP($A30,SiteAttendu!$A$2:$O$366,11,0)="NA","NA",COUNTIFS(soccode,$A30,socprog,"PNN/MEDICAMENTS ET INTRANTS",socprompt,1))</f>
        <v>NA</v>
      </c>
      <c r="K30" s="58" t="str">
        <f>IF(VLOOKUP($A30,SiteAttendu!$A$2:$O$366,15,0)="NA","NA",IF(COUNTIF(socprog,"PNLT/SENSIBLE MEDICAMENTS ET INTRANTS")=0,"NA",COUNTIFS(soccode,$A30,socprog,"PNLT/SENSIBLE MEDICAMENTS ET INTRANTS",socprompt,1)))</f>
        <v>NA</v>
      </c>
      <c r="L30" s="60"/>
      <c r="M30" s="85">
        <f t="shared" ref="M30:S30" si="32">IFERROR(SUMIFS(E$2:E$364,$C$2:$C$364,$C30)/COUNTIFS(E$2:E$364,"&lt;&gt;NA",$C$2:$C$364,$C30),"")</f>
        <v>0.8333333333</v>
      </c>
      <c r="N30" s="85">
        <f t="shared" si="32"/>
        <v>0.7222222222</v>
      </c>
      <c r="O30" s="85">
        <f t="shared" si="32"/>
        <v>0.5555555556</v>
      </c>
      <c r="P30" s="85">
        <f t="shared" si="32"/>
        <v>0.6785714286</v>
      </c>
      <c r="Q30" s="85">
        <f t="shared" si="32"/>
        <v>0.6086956522</v>
      </c>
      <c r="R30" s="85">
        <f t="shared" si="32"/>
        <v>1</v>
      </c>
      <c r="S30" s="85">
        <f t="shared" si="32"/>
        <v>0.6153846154</v>
      </c>
      <c r="T30" s="127">
        <f t="shared" si="3"/>
        <v>0.7733333333</v>
      </c>
      <c r="U30" s="53">
        <f t="shared" si="4"/>
        <v>3</v>
      </c>
      <c r="V30" s="54">
        <f t="shared" si="5"/>
        <v>3</v>
      </c>
    </row>
    <row r="31" ht="15.75" customHeight="1">
      <c r="A31" s="55" t="str">
        <f>SiteAttendu!$A31</f>
        <v>C1409</v>
      </c>
      <c r="B31" s="56" t="str">
        <f>VLOOKUP($A31,SiteAttendu!$A$2:$C$366,2,0)</f>
        <v>CS NAZAREEN</v>
      </c>
      <c r="C31" s="57" t="str">
        <f>VLOOKUP($A31,SiteAttendu!$A$2:$C$366,3,0)</f>
        <v>ABIDJAN 1</v>
      </c>
      <c r="D31" s="58">
        <f>IF(VLOOKUP(A31,SiteAttendu!$A$2:$P$366,4,0)="NA","NA",COUNTIFS(soccode,A31,socprog,"PNLS/ANTIRETROVIRAUX ET IO",socprompt,1))</f>
        <v>1</v>
      </c>
      <c r="E31" s="58">
        <f>IF(VLOOKUP($A31,SiteAttendu!$A$2:$O$366,5,0)="NA","NA",COUNTIFS(soccode,A31,socprog,"PNLS/TESTS RAPIDES ET CONSOMMABLES",socprompt,1))</f>
        <v>1</v>
      </c>
      <c r="F31" s="58">
        <f>IF(VLOOKUP($A31,SiteAttendu!$A$2:$O$366,6,0)="NA","NA",COUNTIFS(soccode,A31,socprog,"PNLS/PRODUITS DE LABORATOIRE",socprompt,1))</f>
        <v>1</v>
      </c>
      <c r="G31" s="58" t="str">
        <f>IF(VLOOKUP($A31,SiteAttendu!$A$2:$O$366,7,0)="NA","NA",COUNTIFS(soccode,A31,socprog,"PNLS/CHARGES VIRALES",socprompt,1))</f>
        <v>NA</v>
      </c>
      <c r="H31" s="58" t="str">
        <f>IF(VLOOKUP($A31,SiteAttendu!$A$2:$O$366,9,0)="NA","NA",COUNTIFS(soccode,A31,socprog,"PNLP/MEDICAMENTS ET INTRANTS",socprompt,1))</f>
        <v>NA</v>
      </c>
      <c r="I31" s="58" t="str">
        <f>IF(VLOOKUP($A31,SiteAttendu!$A$2:$O$366,10,0)="NA","NA",COUNTIFS(soccode,$A31,socprog,"PNSME/MEDICAMENTS ET INTRANTS",socprompt,1))</f>
        <v>NA</v>
      </c>
      <c r="J31" s="58" t="str">
        <f>IF(VLOOKUP($A31,SiteAttendu!$A$2:$O$366,11,0)="NA","NA",COUNTIFS(soccode,$A31,socprog,"PNN/MEDICAMENTS ET INTRANTS",socprompt,1))</f>
        <v>NA</v>
      </c>
      <c r="K31" s="58" t="str">
        <f>IF(VLOOKUP($A31,SiteAttendu!$A$2:$O$366,15,0)="NA","NA",IF(COUNTIF(socprog,"PNLT/SENSIBLE MEDICAMENTS ET INTRANTS")=0,"NA",COUNTIFS(soccode,$A31,socprog,"PNLT/SENSIBLE MEDICAMENTS ET INTRANTS",socprompt,1)))</f>
        <v>NA</v>
      </c>
      <c r="L31" s="60"/>
      <c r="M31" s="85">
        <f t="shared" ref="M31:S31" si="33">IFERROR(SUMIFS(E$2:E$364,$C$2:$C$364,$C31)/COUNTIFS(E$2:E$364,"&lt;&gt;NA",$C$2:$C$364,$C31),"")</f>
        <v>0.8333333333</v>
      </c>
      <c r="N31" s="85">
        <f t="shared" si="33"/>
        <v>0.7222222222</v>
      </c>
      <c r="O31" s="85">
        <f t="shared" si="33"/>
        <v>0.5555555556</v>
      </c>
      <c r="P31" s="85">
        <f t="shared" si="33"/>
        <v>0.6785714286</v>
      </c>
      <c r="Q31" s="85">
        <f t="shared" si="33"/>
        <v>0.6086956522</v>
      </c>
      <c r="R31" s="85">
        <f t="shared" si="33"/>
        <v>1</v>
      </c>
      <c r="S31" s="85">
        <f t="shared" si="33"/>
        <v>0.6153846154</v>
      </c>
      <c r="T31" s="127">
        <f t="shared" si="3"/>
        <v>0.7733333333</v>
      </c>
      <c r="U31" s="53">
        <f t="shared" si="4"/>
        <v>3</v>
      </c>
      <c r="V31" s="54">
        <f t="shared" si="5"/>
        <v>3</v>
      </c>
    </row>
    <row r="32" ht="15.75" customHeight="1">
      <c r="A32" s="55" t="str">
        <f>SiteAttendu!$A32</f>
        <v>C1020</v>
      </c>
      <c r="B32" s="56" t="str">
        <f>VLOOKUP($A32,SiteAttendu!$A$2:$C$366,2,0)</f>
        <v>CSU COM AZITO</v>
      </c>
      <c r="C32" s="57" t="str">
        <f>VLOOKUP($A32,SiteAttendu!$A$2:$C$366,3,0)</f>
        <v>ABIDJAN 1</v>
      </c>
      <c r="D32" s="58" t="str">
        <f>IF(VLOOKUP(A32,SiteAttendu!$A$2:$P$366,4,0)="NA","NA",COUNTIFS(soccode,A32,socprog,"PNLS/ANTIRETROVIRAUX ET IO",socprompt,1))</f>
        <v>NA</v>
      </c>
      <c r="E32" s="58" t="str">
        <f>IF(VLOOKUP($A32,SiteAttendu!$A$2:$O$366,5,0)="NA","NA",COUNTIFS(soccode,A32,socprog,"PNLS/TESTS RAPIDES ET CONSOMMABLES",socprompt,1))</f>
        <v>NA</v>
      </c>
      <c r="F32" s="58" t="str">
        <f>IF(VLOOKUP($A32,SiteAttendu!$A$2:$O$366,6,0)="NA","NA",COUNTIFS(soccode,A32,socprog,"PNLS/PRODUITS DE LABORATOIRE",socprompt,1))</f>
        <v>NA</v>
      </c>
      <c r="G32" s="58" t="str">
        <f>IF(VLOOKUP($A32,SiteAttendu!$A$2:$O$366,7,0)="NA","NA",COUNTIFS(soccode,A32,socprog,"PNLS/CHARGES VIRALES",socprompt,1))</f>
        <v>NA</v>
      </c>
      <c r="H32" s="58">
        <f>IF(VLOOKUP($A32,SiteAttendu!$A$2:$O$366,9,0)="NA","NA",COUNTIFS(soccode,A32,socprog,"PNLP/MEDICAMENTS ET INTRANTS",socprompt,1))</f>
        <v>1</v>
      </c>
      <c r="I32" s="58" t="str">
        <f>IF(VLOOKUP($A32,SiteAttendu!$A$2:$O$366,10,0)="NA","NA",COUNTIFS(soccode,$A32,socprog,"PNSME/MEDICAMENTS ET INTRANTS",socprompt,1))</f>
        <v>NA</v>
      </c>
      <c r="J32" s="58" t="str">
        <f>IF(VLOOKUP($A32,SiteAttendu!$A$2:$O$366,11,0)="NA","NA",COUNTIFS(soccode,$A32,socprog,"PNN/MEDICAMENTS ET INTRANTS",socprompt,1))</f>
        <v>NA</v>
      </c>
      <c r="K32" s="58">
        <f>IF(VLOOKUP($A32,SiteAttendu!$A$2:$O$366,15,0)="NA","NA",IF(COUNTIF(socprog,"PNLT/SENSIBLE MEDICAMENTS ET INTRANTS")=0,"NA",COUNTIFS(soccode,$A32,socprog,"PNLT/SENSIBLE MEDICAMENTS ET INTRANTS",socprompt,1)))</f>
        <v>1</v>
      </c>
      <c r="L32" s="60"/>
      <c r="M32" s="85">
        <f t="shared" ref="M32:S32" si="34">IFERROR(SUMIFS(E$2:E$364,$C$2:$C$364,$C32)/COUNTIFS(E$2:E$364,"&lt;&gt;NA",$C$2:$C$364,$C32),"")</f>
        <v>0.8333333333</v>
      </c>
      <c r="N32" s="85">
        <f t="shared" si="34"/>
        <v>0.7222222222</v>
      </c>
      <c r="O32" s="85">
        <f t="shared" si="34"/>
        <v>0.5555555556</v>
      </c>
      <c r="P32" s="85">
        <f t="shared" si="34"/>
        <v>0.6785714286</v>
      </c>
      <c r="Q32" s="85">
        <f t="shared" si="34"/>
        <v>0.6086956522</v>
      </c>
      <c r="R32" s="85">
        <f t="shared" si="34"/>
        <v>1</v>
      </c>
      <c r="S32" s="85">
        <f t="shared" si="34"/>
        <v>0.6153846154</v>
      </c>
      <c r="T32" s="127">
        <f t="shared" si="3"/>
        <v>0.7733333333</v>
      </c>
      <c r="U32" s="53">
        <f t="shared" si="4"/>
        <v>0</v>
      </c>
      <c r="V32" s="54">
        <f t="shared" si="5"/>
        <v>0</v>
      </c>
    </row>
    <row r="33" ht="15.75" customHeight="1">
      <c r="A33" s="55" t="str">
        <f>SiteAttendu!$A33</f>
        <v>C1099</v>
      </c>
      <c r="B33" s="56" t="str">
        <f>VLOOKUP($A33,SiteAttendu!$A$2:$C$366,2,0)</f>
        <v>HOPITAL GENERAL YOPOUGON ATTIE</v>
      </c>
      <c r="C33" s="57" t="str">
        <f>VLOOKUP($A33,SiteAttendu!$A$2:$C$366,3,0)</f>
        <v>ABIDJAN 1</v>
      </c>
      <c r="D33" s="58">
        <f>IF(VLOOKUP(A33,SiteAttendu!$A$2:$P$366,4,0)="NA","NA",COUNTIFS(soccode,A33,socprog,"PNLS/ANTIRETROVIRAUX ET IO",socprompt,1))</f>
        <v>1</v>
      </c>
      <c r="E33" s="58">
        <f>IF(VLOOKUP($A33,SiteAttendu!$A$2:$O$366,5,0)="NA","NA",COUNTIFS(soccode,A33,socprog,"PNLS/TESTS RAPIDES ET CONSOMMABLES",socprompt,1))</f>
        <v>1</v>
      </c>
      <c r="F33" s="58" t="str">
        <f>IF(VLOOKUP($A33,SiteAttendu!$A$2:$O$366,6,0)="NA","NA",COUNTIFS(soccode,A33,socprog,"PNLS/PRODUITS DE LABORATOIRE",socprompt,1))</f>
        <v>NA</v>
      </c>
      <c r="G33" s="58" t="str">
        <f>IF(VLOOKUP($A33,SiteAttendu!$A$2:$O$366,7,0)="NA","NA",COUNTIFS(soccode,A33,socprog,"PNLS/CHARGES VIRALES",socprompt,1))</f>
        <v>NA</v>
      </c>
      <c r="H33" s="58">
        <f>IF(VLOOKUP($A33,SiteAttendu!$A$2:$O$366,9,0)="NA","NA",COUNTIFS(soccode,A33,socprog,"PNLP/MEDICAMENTS ET INTRANTS",socprompt,1))</f>
        <v>1</v>
      </c>
      <c r="I33" s="58">
        <f>IF(VLOOKUP($A33,SiteAttendu!$A$2:$O$366,10,0)="NA","NA",COUNTIFS(soccode,$A33,socprog,"PNSME/MEDICAMENTS ET INTRANTS",socprompt,1))</f>
        <v>0</v>
      </c>
      <c r="J33" s="58" t="str">
        <f>IF(VLOOKUP($A33,SiteAttendu!$A$2:$O$366,11,0)="NA","NA",COUNTIFS(soccode,$A33,socprog,"PNN/MEDICAMENTS ET INTRANTS",socprompt,1))</f>
        <v>NA</v>
      </c>
      <c r="K33" s="58" t="str">
        <f>IF(VLOOKUP($A33,SiteAttendu!$A$2:$O$366,15,0)="NA","NA",IF(COUNTIF(socprog,"PNLT/SENSIBLE MEDICAMENTS ET INTRANTS")=0,"NA",COUNTIFS(soccode,$A33,socprog,"PNLT/SENSIBLE MEDICAMENTS ET INTRANTS",socprompt,1)))</f>
        <v>NA</v>
      </c>
      <c r="L33" s="60"/>
      <c r="M33" s="85">
        <f t="shared" ref="M33:S33" si="35">IFERROR(SUMIFS(E$2:E$364,$C$2:$C$364,$C33)/COUNTIFS(E$2:E$364,"&lt;&gt;NA",$C$2:$C$364,$C33),"")</f>
        <v>0.8333333333</v>
      </c>
      <c r="N33" s="85">
        <f t="shared" si="35"/>
        <v>0.7222222222</v>
      </c>
      <c r="O33" s="85">
        <f t="shared" si="35"/>
        <v>0.5555555556</v>
      </c>
      <c r="P33" s="85">
        <f t="shared" si="35"/>
        <v>0.6785714286</v>
      </c>
      <c r="Q33" s="85">
        <f t="shared" si="35"/>
        <v>0.6086956522</v>
      </c>
      <c r="R33" s="85">
        <f t="shared" si="35"/>
        <v>1</v>
      </c>
      <c r="S33" s="85">
        <f t="shared" si="35"/>
        <v>0.6153846154</v>
      </c>
      <c r="T33" s="127">
        <f t="shared" si="3"/>
        <v>0.7733333333</v>
      </c>
      <c r="U33" s="53">
        <f t="shared" si="4"/>
        <v>2</v>
      </c>
      <c r="V33" s="54">
        <f t="shared" si="5"/>
        <v>2</v>
      </c>
    </row>
    <row r="34" ht="15.75" customHeight="1">
      <c r="A34" s="55" t="str">
        <f>SiteAttendu!$A34</f>
        <v>C1416</v>
      </c>
      <c r="B34" s="56" t="str">
        <f>VLOOKUP($A34,SiteAttendu!$A$2:$C$366,2,0)</f>
        <v>DISTRICT SANITAIRE YOPOUGON OUEST SONGON</v>
      </c>
      <c r="C34" s="57" t="str">
        <f>VLOOKUP($A34,SiteAttendu!$A$2:$C$366,3,0)</f>
        <v>ABIDJAN 1</v>
      </c>
      <c r="D34" s="58">
        <f>IF(VLOOKUP(A34,SiteAttendu!$A$2:$P$366,4,0)="NA","NA",COUNTIFS(soccode,A34,socprog,"PNLS/ANTIRETROVIRAUX ET IO",socprompt,1))</f>
        <v>1</v>
      </c>
      <c r="E34" s="58">
        <f>IF(VLOOKUP($A34,SiteAttendu!$A$2:$O$366,5,0)="NA","NA",COUNTIFS(soccode,A34,socprog,"PNLS/TESTS RAPIDES ET CONSOMMABLES",socprompt,1))</f>
        <v>1</v>
      </c>
      <c r="F34" s="58">
        <f>IF(VLOOKUP($A34,SiteAttendu!$A$2:$O$366,6,0)="NA","NA",COUNTIFS(soccode,A34,socprog,"PNLS/PRODUITS DE LABORATOIRE",socprompt,1))</f>
        <v>1</v>
      </c>
      <c r="G34" s="58" t="str">
        <f>IF(VLOOKUP($A34,SiteAttendu!$A$2:$O$366,7,0)="NA","NA",COUNTIFS(soccode,A34,socprog,"PNLS/CHARGES VIRALES",socprompt,1))</f>
        <v>NA</v>
      </c>
      <c r="H34" s="58">
        <f>IF(VLOOKUP($A34,SiteAttendu!$A$2:$O$366,9,0)="NA","NA",COUNTIFS(soccode,A34,socprog,"PNLP/MEDICAMENTS ET INTRANTS",socprompt,1))</f>
        <v>1</v>
      </c>
      <c r="I34" s="58">
        <f>IF(VLOOKUP($A34,SiteAttendu!$A$2:$O$366,10,0)="NA","NA",COUNTIFS(soccode,$A34,socprog,"PNSME/MEDICAMENTS ET INTRANTS",socprompt,1))</f>
        <v>1</v>
      </c>
      <c r="J34" s="58">
        <f>IF(VLOOKUP($A34,SiteAttendu!$A$2:$O$366,11,0)="NA","NA",COUNTIFS(soccode,$A34,socprog,"PNN/MEDICAMENTS ET INTRANTS",socprompt,1))</f>
        <v>1</v>
      </c>
      <c r="K34" s="58" t="str">
        <f>IF(VLOOKUP($A34,SiteAttendu!$A$2:$O$366,15,0)="NA","NA",IF(COUNTIF(socprog,"PNLT/SENSIBLE MEDICAMENTS ET INTRANTS")=0,"NA",COUNTIFS(soccode,$A34,socprog,"PNLT/SENSIBLE MEDICAMENTS ET INTRANTS",socprompt,1)))</f>
        <v>NA</v>
      </c>
      <c r="L34" s="60"/>
      <c r="M34" s="85">
        <f t="shared" ref="M34:S34" si="36">IFERROR(SUMIFS(E$2:E$364,$C$2:$C$364,$C34)/COUNTIFS(E$2:E$364,"&lt;&gt;NA",$C$2:$C$364,$C34),"")</f>
        <v>0.8333333333</v>
      </c>
      <c r="N34" s="85">
        <f t="shared" si="36"/>
        <v>0.7222222222</v>
      </c>
      <c r="O34" s="85">
        <f t="shared" si="36"/>
        <v>0.5555555556</v>
      </c>
      <c r="P34" s="85">
        <f t="shared" si="36"/>
        <v>0.6785714286</v>
      </c>
      <c r="Q34" s="85">
        <f t="shared" si="36"/>
        <v>0.6086956522</v>
      </c>
      <c r="R34" s="85">
        <f t="shared" si="36"/>
        <v>1</v>
      </c>
      <c r="S34" s="85">
        <f t="shared" si="36"/>
        <v>0.6153846154</v>
      </c>
      <c r="T34" s="127">
        <f t="shared" si="3"/>
        <v>0.7733333333</v>
      </c>
      <c r="U34" s="53">
        <f t="shared" si="4"/>
        <v>3</v>
      </c>
      <c r="V34" s="54">
        <f t="shared" si="5"/>
        <v>3</v>
      </c>
    </row>
    <row r="35" ht="15.75" customHeight="1">
      <c r="A35" s="55" t="str">
        <f>SiteAttendu!$A35</f>
        <v>C1905</v>
      </c>
      <c r="B35" s="56" t="str">
        <f>VLOOKUP($A35,SiteAttendu!$A$2:$C$366,2,0)</f>
        <v>CSU SONGON KASSEMBLE</v>
      </c>
      <c r="C35" s="57" t="str">
        <f>VLOOKUP($A35,SiteAttendu!$A$2:$C$366,3,0)</f>
        <v>ABIDJAN 1</v>
      </c>
      <c r="D35" s="58">
        <f>IF(VLOOKUP(A35,SiteAttendu!$A$2:$P$366,4,0)="NA","NA",COUNTIFS(soccode,A35,socprog,"PNLS/ANTIRETROVIRAUX ET IO",socprompt,1))</f>
        <v>1</v>
      </c>
      <c r="E35" s="58">
        <f>IF(VLOOKUP($A35,SiteAttendu!$A$2:$O$366,5,0)="NA","NA",COUNTIFS(soccode,A35,socprog,"PNLS/TESTS RAPIDES ET CONSOMMABLES",socprompt,1))</f>
        <v>1</v>
      </c>
      <c r="F35" s="58" t="str">
        <f>IF(VLOOKUP($A35,SiteAttendu!$A$2:$O$366,6,0)="NA","NA",COUNTIFS(soccode,A35,socprog,"PNLS/PRODUITS DE LABORATOIRE",socprompt,1))</f>
        <v>NA</v>
      </c>
      <c r="G35" s="58">
        <f>IF(VLOOKUP($A35,SiteAttendu!$A$2:$O$366,7,0)="NA","NA",COUNTIFS(soccode,A35,socprog,"PNLS/CHARGES VIRALES",socprompt,1))</f>
        <v>1</v>
      </c>
      <c r="H35" s="58">
        <f>IF(VLOOKUP($A35,SiteAttendu!$A$2:$O$366,9,0)="NA","NA",COUNTIFS(soccode,A35,socprog,"PNLP/MEDICAMENTS ET INTRANTS",socprompt,1))</f>
        <v>1</v>
      </c>
      <c r="I35" s="58">
        <f>IF(VLOOKUP($A35,SiteAttendu!$A$2:$O$366,10,0)="NA","NA",COUNTIFS(soccode,$A35,socprog,"PNSME/MEDICAMENTS ET INTRANTS",socprompt,1))</f>
        <v>0</v>
      </c>
      <c r="J35" s="58" t="str">
        <f>IF(VLOOKUP($A35,SiteAttendu!$A$2:$O$366,11,0)="NA","NA",COUNTIFS(soccode,$A35,socprog,"PNN/MEDICAMENTS ET INTRANTS",socprompt,1))</f>
        <v>NA</v>
      </c>
      <c r="K35" s="58" t="str">
        <f>IF(VLOOKUP($A35,SiteAttendu!$A$2:$O$366,15,0)="NA","NA",IF(COUNTIF(socprog,"PNLT/SENSIBLE MEDICAMENTS ET INTRANTS")=0,"NA",COUNTIFS(soccode,$A35,socprog,"PNLT/SENSIBLE MEDICAMENTS ET INTRANTS",socprompt,1)))</f>
        <v>NA</v>
      </c>
      <c r="L35" s="60"/>
      <c r="M35" s="85">
        <f t="shared" ref="M35:S35" si="37">IFERROR(SUMIFS(E$2:E$364,$C$2:$C$364,$C35)/COUNTIFS(E$2:E$364,"&lt;&gt;NA",$C$2:$C$364,$C35),"")</f>
        <v>0.8333333333</v>
      </c>
      <c r="N35" s="85">
        <f t="shared" si="37"/>
        <v>0.7222222222</v>
      </c>
      <c r="O35" s="85">
        <f t="shared" si="37"/>
        <v>0.5555555556</v>
      </c>
      <c r="P35" s="85">
        <f t="shared" si="37"/>
        <v>0.6785714286</v>
      </c>
      <c r="Q35" s="85">
        <f t="shared" si="37"/>
        <v>0.6086956522</v>
      </c>
      <c r="R35" s="85">
        <f t="shared" si="37"/>
        <v>1</v>
      </c>
      <c r="S35" s="85">
        <f t="shared" si="37"/>
        <v>0.6153846154</v>
      </c>
      <c r="T35" s="127">
        <f t="shared" si="3"/>
        <v>0.7733333333</v>
      </c>
      <c r="U35" s="53">
        <f t="shared" si="4"/>
        <v>3</v>
      </c>
      <c r="V35" s="54">
        <f t="shared" si="5"/>
        <v>3</v>
      </c>
    </row>
    <row r="36" ht="15.75" customHeight="1">
      <c r="A36" s="55" t="str">
        <f>SiteAttendu!$A36</f>
        <v>C1076</v>
      </c>
      <c r="B36" s="56" t="str">
        <f>VLOOKUP($A36,SiteAttendu!$A$2:$C$366,2,0)</f>
        <v>FSU COM YOPOUGON NIANGON</v>
      </c>
      <c r="C36" s="57" t="str">
        <f>VLOOKUP($A36,SiteAttendu!$A$2:$C$366,3,0)</f>
        <v>ABIDJAN 1</v>
      </c>
      <c r="D36" s="58">
        <f>IF(VLOOKUP(A36,SiteAttendu!$A$2:$P$366,4,0)="NA","NA",COUNTIFS(soccode,A36,socprog,"PNLS/ANTIRETROVIRAUX ET IO",socprompt,1))</f>
        <v>1</v>
      </c>
      <c r="E36" s="58">
        <f>IF(VLOOKUP($A36,SiteAttendu!$A$2:$O$366,5,0)="NA","NA",COUNTIFS(soccode,A36,socprog,"PNLS/TESTS RAPIDES ET CONSOMMABLES",socprompt,1))</f>
        <v>1</v>
      </c>
      <c r="F36" s="58">
        <f>IF(VLOOKUP($A36,SiteAttendu!$A$2:$O$366,6,0)="NA","NA",COUNTIFS(soccode,A36,socprog,"PNLS/PRODUITS DE LABORATOIRE",socprompt,1))</f>
        <v>0</v>
      </c>
      <c r="G36" s="58">
        <f>IF(VLOOKUP($A36,SiteAttendu!$A$2:$O$366,7,0)="NA","NA",COUNTIFS(soccode,A36,socprog,"PNLS/CHARGES VIRALES",socprompt,1))</f>
        <v>1</v>
      </c>
      <c r="H36" s="58" t="str">
        <f>IF(VLOOKUP($A36,SiteAttendu!$A$2:$O$366,9,0)="NA","NA",COUNTIFS(soccode,A36,socprog,"PNLP/MEDICAMENTS ET INTRANTS",socprompt,1))</f>
        <v>NA</v>
      </c>
      <c r="I36" s="58" t="str">
        <f>IF(VLOOKUP($A36,SiteAttendu!$A$2:$O$366,10,0)="NA","NA",COUNTIFS(soccode,$A36,socprog,"PNSME/MEDICAMENTS ET INTRANTS",socprompt,1))</f>
        <v>NA</v>
      </c>
      <c r="J36" s="58" t="str">
        <f>IF(VLOOKUP($A36,SiteAttendu!$A$2:$O$366,11,0)="NA","NA",COUNTIFS(soccode,$A36,socprog,"PNN/MEDICAMENTS ET INTRANTS",socprompt,1))</f>
        <v>NA</v>
      </c>
      <c r="K36" s="58" t="str">
        <f>IF(VLOOKUP($A36,SiteAttendu!$A$2:$O$366,15,0)="NA","NA",IF(COUNTIF(socprog,"PNLT/SENSIBLE MEDICAMENTS ET INTRANTS")=0,"NA",COUNTIFS(soccode,$A36,socprog,"PNLT/SENSIBLE MEDICAMENTS ET INTRANTS",socprompt,1)))</f>
        <v>NA</v>
      </c>
      <c r="L36" s="60"/>
      <c r="M36" s="85">
        <f t="shared" ref="M36:S36" si="38">IFERROR(SUMIFS(E$2:E$364,$C$2:$C$364,$C36)/COUNTIFS(E$2:E$364,"&lt;&gt;NA",$C$2:$C$364,$C36),"")</f>
        <v>0.8333333333</v>
      </c>
      <c r="N36" s="85">
        <f t="shared" si="38"/>
        <v>0.7222222222</v>
      </c>
      <c r="O36" s="85">
        <f t="shared" si="38"/>
        <v>0.5555555556</v>
      </c>
      <c r="P36" s="85">
        <f t="shared" si="38"/>
        <v>0.6785714286</v>
      </c>
      <c r="Q36" s="85">
        <f t="shared" si="38"/>
        <v>0.6086956522</v>
      </c>
      <c r="R36" s="85">
        <f t="shared" si="38"/>
        <v>1</v>
      </c>
      <c r="S36" s="85">
        <f t="shared" si="38"/>
        <v>0.6153846154</v>
      </c>
      <c r="T36" s="127">
        <f t="shared" si="3"/>
        <v>0.7733333333</v>
      </c>
      <c r="U36" s="53">
        <f t="shared" si="4"/>
        <v>3</v>
      </c>
      <c r="V36" s="54">
        <f t="shared" si="5"/>
        <v>4</v>
      </c>
    </row>
    <row r="37" ht="15.75" customHeight="1">
      <c r="A37" s="55" t="str">
        <f>SiteAttendu!$A37</f>
        <v>C1077</v>
      </c>
      <c r="B37" s="56" t="str">
        <f>VLOOKUP($A37,SiteAttendu!$A$2:$C$366,2,0)</f>
        <v>FSU COM YOPOUGON PORT-BOUET 2</v>
      </c>
      <c r="C37" s="57" t="str">
        <f>VLOOKUP($A37,SiteAttendu!$A$2:$C$366,3,0)</f>
        <v>ABIDJAN 1</v>
      </c>
      <c r="D37" s="58">
        <f>IF(VLOOKUP(A37,SiteAttendu!$A$2:$P$366,4,0)="NA","NA",COUNTIFS(soccode,A37,socprog,"PNLS/ANTIRETROVIRAUX ET IO",socprompt,1))</f>
        <v>1</v>
      </c>
      <c r="E37" s="58">
        <f>IF(VLOOKUP($A37,SiteAttendu!$A$2:$O$366,5,0)="NA","NA",COUNTIFS(soccode,A37,socprog,"PNLS/TESTS RAPIDES ET CONSOMMABLES",socprompt,1))</f>
        <v>1</v>
      </c>
      <c r="F37" s="58">
        <f>IF(VLOOKUP($A37,SiteAttendu!$A$2:$O$366,6,0)="NA","NA",COUNTIFS(soccode,A37,socprog,"PNLS/PRODUITS DE LABORATOIRE",socprompt,1))</f>
        <v>1</v>
      </c>
      <c r="G37" s="58">
        <f>IF(VLOOKUP($A37,SiteAttendu!$A$2:$O$366,7,0)="NA","NA",COUNTIFS(soccode,A37,socprog,"PNLS/CHARGES VIRALES",socprompt,1))</f>
        <v>0</v>
      </c>
      <c r="H37" s="58" t="str">
        <f>IF(VLOOKUP($A37,SiteAttendu!$A$2:$O$366,9,0)="NA","NA",COUNTIFS(soccode,A37,socprog,"PNLP/MEDICAMENTS ET INTRANTS",socprompt,1))</f>
        <v>NA</v>
      </c>
      <c r="I37" s="58">
        <f>IF(VLOOKUP($A37,SiteAttendu!$A$2:$O$366,10,0)="NA","NA",COUNTIFS(soccode,$A37,socprog,"PNSME/MEDICAMENTS ET INTRANTS",socprompt,1))</f>
        <v>0</v>
      </c>
      <c r="J37" s="58" t="str">
        <f>IF(VLOOKUP($A37,SiteAttendu!$A$2:$O$366,11,0)="NA","NA",COUNTIFS(soccode,$A37,socprog,"PNN/MEDICAMENTS ET INTRANTS",socprompt,1))</f>
        <v>NA</v>
      </c>
      <c r="K37" s="58" t="str">
        <f>IF(VLOOKUP($A37,SiteAttendu!$A$2:$O$366,15,0)="NA","NA",IF(COUNTIF(socprog,"PNLT/SENSIBLE MEDICAMENTS ET INTRANTS")=0,"NA",COUNTIFS(soccode,$A37,socprog,"PNLT/SENSIBLE MEDICAMENTS ET INTRANTS",socprompt,1)))</f>
        <v>NA</v>
      </c>
      <c r="L37" s="60"/>
      <c r="M37" s="85">
        <f t="shared" ref="M37:S37" si="39">IFERROR(SUMIFS(E$2:E$364,$C$2:$C$364,$C37)/COUNTIFS(E$2:E$364,"&lt;&gt;NA",$C$2:$C$364,$C37),"")</f>
        <v>0.8333333333</v>
      </c>
      <c r="N37" s="85">
        <f t="shared" si="39"/>
        <v>0.7222222222</v>
      </c>
      <c r="O37" s="85">
        <f t="shared" si="39"/>
        <v>0.5555555556</v>
      </c>
      <c r="P37" s="85">
        <f t="shared" si="39"/>
        <v>0.6785714286</v>
      </c>
      <c r="Q37" s="85">
        <f t="shared" si="39"/>
        <v>0.6086956522</v>
      </c>
      <c r="R37" s="85">
        <f t="shared" si="39"/>
        <v>1</v>
      </c>
      <c r="S37" s="85">
        <f t="shared" si="39"/>
        <v>0.6153846154</v>
      </c>
      <c r="T37" s="127">
        <f t="shared" si="3"/>
        <v>0.7733333333</v>
      </c>
      <c r="U37" s="53">
        <f t="shared" si="4"/>
        <v>3</v>
      </c>
      <c r="V37" s="54">
        <f t="shared" si="5"/>
        <v>4</v>
      </c>
    </row>
    <row r="38" ht="15.75" customHeight="1">
      <c r="A38" s="55" t="str">
        <f>SiteAttendu!$A38</f>
        <v>C1404</v>
      </c>
      <c r="B38" s="56" t="str">
        <f>VLOOKUP($A38,SiteAttendu!$A$2:$C$366,2,0)</f>
        <v>CEPREF</v>
      </c>
      <c r="C38" s="57" t="str">
        <f>VLOOKUP($A38,SiteAttendu!$A$2:$C$366,3,0)</f>
        <v>ABIDJAN 1</v>
      </c>
      <c r="D38" s="58">
        <f>IF(VLOOKUP(A38,SiteAttendu!$A$2:$P$366,4,0)="NA","NA",COUNTIFS(soccode,A38,socprog,"PNLS/ANTIRETROVIRAUX ET IO",socprompt,1))</f>
        <v>1</v>
      </c>
      <c r="E38" s="58">
        <f>IF(VLOOKUP($A38,SiteAttendu!$A$2:$O$366,5,0)="NA","NA",COUNTIFS(soccode,A38,socprog,"PNLS/TESTS RAPIDES ET CONSOMMABLES",socprompt,1))</f>
        <v>1</v>
      </c>
      <c r="F38" s="58">
        <f>IF(VLOOKUP($A38,SiteAttendu!$A$2:$O$366,6,0)="NA","NA",COUNTIFS(soccode,A38,socprog,"PNLS/PRODUITS DE LABORATOIRE",socprompt,1))</f>
        <v>1</v>
      </c>
      <c r="G38" s="58">
        <f>IF(VLOOKUP($A38,SiteAttendu!$A$2:$O$366,7,0)="NA","NA",COUNTIFS(soccode,A38,socprog,"PNLS/CHARGES VIRALES",socprompt,1))</f>
        <v>1</v>
      </c>
      <c r="H38" s="58" t="str">
        <f>IF(VLOOKUP($A38,SiteAttendu!$A$2:$O$366,9,0)="NA","NA",COUNTIFS(soccode,A38,socprog,"PNLP/MEDICAMENTS ET INTRANTS",socprompt,1))</f>
        <v>NA</v>
      </c>
      <c r="I38" s="58" t="str">
        <f>IF(VLOOKUP($A38,SiteAttendu!$A$2:$O$366,10,0)="NA","NA",COUNTIFS(soccode,$A38,socprog,"PNSME/MEDICAMENTS ET INTRANTS",socprompt,1))</f>
        <v>NA</v>
      </c>
      <c r="J38" s="58" t="str">
        <f>IF(VLOOKUP($A38,SiteAttendu!$A$2:$O$366,11,0)="NA","NA",COUNTIFS(soccode,$A38,socprog,"PNN/MEDICAMENTS ET INTRANTS",socprompt,1))</f>
        <v>NA</v>
      </c>
      <c r="K38" s="58" t="str">
        <f>IF(VLOOKUP($A38,SiteAttendu!$A$2:$O$366,15,0)="NA","NA",IF(COUNTIF(socprog,"PNLT/SENSIBLE MEDICAMENTS ET INTRANTS")=0,"NA",COUNTIFS(soccode,$A38,socprog,"PNLT/SENSIBLE MEDICAMENTS ET INTRANTS",socprompt,1)))</f>
        <v>NA</v>
      </c>
      <c r="L38" s="60"/>
      <c r="M38" s="85">
        <f t="shared" ref="M38:S38" si="40">IFERROR(SUMIFS(E$2:E$364,$C$2:$C$364,$C38)/COUNTIFS(E$2:E$364,"&lt;&gt;NA",$C$2:$C$364,$C38),"")</f>
        <v>0.8333333333</v>
      </c>
      <c r="N38" s="85">
        <f t="shared" si="40"/>
        <v>0.7222222222</v>
      </c>
      <c r="O38" s="85">
        <f t="shared" si="40"/>
        <v>0.5555555556</v>
      </c>
      <c r="P38" s="85">
        <f t="shared" si="40"/>
        <v>0.6785714286</v>
      </c>
      <c r="Q38" s="85">
        <f t="shared" si="40"/>
        <v>0.6086956522</v>
      </c>
      <c r="R38" s="85">
        <f t="shared" si="40"/>
        <v>1</v>
      </c>
      <c r="S38" s="85">
        <f t="shared" si="40"/>
        <v>0.6153846154</v>
      </c>
      <c r="T38" s="127">
        <f t="shared" si="3"/>
        <v>0.7733333333</v>
      </c>
      <c r="U38" s="53">
        <f t="shared" si="4"/>
        <v>4</v>
      </c>
      <c r="V38" s="54">
        <f t="shared" si="5"/>
        <v>4</v>
      </c>
    </row>
    <row r="39" ht="15.75" customHeight="1">
      <c r="A39" s="55" t="str">
        <f>SiteAttendu!$A39</f>
        <v>C1074</v>
      </c>
      <c r="B39" s="56" t="str">
        <f>VLOOKUP($A39,SiteAttendu!$A$2:$C$366,2,0)</f>
        <v>FSU COM YOPOUGON GESCO</v>
      </c>
      <c r="C39" s="57" t="str">
        <f>VLOOKUP($A39,SiteAttendu!$A$2:$C$366,3,0)</f>
        <v>ABIDJAN 1</v>
      </c>
      <c r="D39" s="58" t="str">
        <f>IF(VLOOKUP(A39,SiteAttendu!$A$2:$P$366,4,0)="NA","NA",COUNTIFS(soccode,A39,socprog,"PNLS/ANTIRETROVIRAUX ET IO",socprompt,1))</f>
        <v>NA</v>
      </c>
      <c r="E39" s="58" t="str">
        <f>IF(VLOOKUP($A39,SiteAttendu!$A$2:$O$366,5,0)="NA","NA",COUNTIFS(soccode,A39,socprog,"PNLS/TESTS RAPIDES ET CONSOMMABLES",socprompt,1))</f>
        <v>NA</v>
      </c>
      <c r="F39" s="58" t="str">
        <f>IF(VLOOKUP($A39,SiteAttendu!$A$2:$O$366,6,0)="NA","NA",COUNTIFS(soccode,A39,socprog,"PNLS/PRODUITS DE LABORATOIRE",socprompt,1))</f>
        <v>NA</v>
      </c>
      <c r="G39" s="58" t="str">
        <f>IF(VLOOKUP($A39,SiteAttendu!$A$2:$O$366,7,0)="NA","NA",COUNTIFS(soccode,A39,socprog,"PNLS/CHARGES VIRALES",socprompt,1))</f>
        <v>NA</v>
      </c>
      <c r="H39" s="58" t="str">
        <f>IF(VLOOKUP($A39,SiteAttendu!$A$2:$O$366,9,0)="NA","NA",COUNTIFS(soccode,A39,socprog,"PNLP/MEDICAMENTS ET INTRANTS",socprompt,1))</f>
        <v>NA</v>
      </c>
      <c r="I39" s="58">
        <f>IF(VLOOKUP($A39,SiteAttendu!$A$2:$O$366,10,0)="NA","NA",COUNTIFS(soccode,$A39,socprog,"PNSME/MEDICAMENTS ET INTRANTS",socprompt,1))</f>
        <v>1</v>
      </c>
      <c r="J39" s="58" t="str">
        <f>IF(VLOOKUP($A39,SiteAttendu!$A$2:$O$366,11,0)="NA","NA",COUNTIFS(soccode,$A39,socprog,"PNN/MEDICAMENTS ET INTRANTS",socprompt,1))</f>
        <v>NA</v>
      </c>
      <c r="K39" s="58">
        <f>IF(VLOOKUP($A39,SiteAttendu!$A$2:$O$366,15,0)="NA","NA",IF(COUNTIF(socprog,"PNLT/SENSIBLE MEDICAMENTS ET INTRANTS")=0,"NA",COUNTIFS(soccode,$A39,socprog,"PNLT/SENSIBLE MEDICAMENTS ET INTRANTS",socprompt,1)))</f>
        <v>1</v>
      </c>
      <c r="L39" s="60"/>
      <c r="M39" s="85">
        <f t="shared" ref="M39:S39" si="41">IFERROR(SUMIFS(E$2:E$364,$C$2:$C$364,$C39)/COUNTIFS(E$2:E$364,"&lt;&gt;NA",$C$2:$C$364,$C39),"")</f>
        <v>0.8333333333</v>
      </c>
      <c r="N39" s="85">
        <f t="shared" si="41"/>
        <v>0.7222222222</v>
      </c>
      <c r="O39" s="85">
        <f t="shared" si="41"/>
        <v>0.5555555556</v>
      </c>
      <c r="P39" s="85">
        <f t="shared" si="41"/>
        <v>0.6785714286</v>
      </c>
      <c r="Q39" s="85">
        <f t="shared" si="41"/>
        <v>0.6086956522</v>
      </c>
      <c r="R39" s="85">
        <f t="shared" si="41"/>
        <v>1</v>
      </c>
      <c r="S39" s="85">
        <f t="shared" si="41"/>
        <v>0.6153846154</v>
      </c>
      <c r="T39" s="127">
        <f t="shared" si="3"/>
        <v>0.7733333333</v>
      </c>
      <c r="U39" s="53">
        <f t="shared" si="4"/>
        <v>0</v>
      </c>
      <c r="V39" s="54">
        <f t="shared" si="5"/>
        <v>0</v>
      </c>
    </row>
    <row r="40" ht="16.5" customHeight="1">
      <c r="A40" s="55" t="str">
        <f>SiteAttendu!$A40</f>
        <v>C1686</v>
      </c>
      <c r="B40" s="56" t="str">
        <f>VLOOKUP($A40,SiteAttendu!$A$2:$C$366,2,0)</f>
        <v>CENTRE ANTITUBERCULEUX YOPOUGON</v>
      </c>
      <c r="C40" s="57" t="str">
        <f>VLOOKUP($A40,SiteAttendu!$A$2:$C$366,3,0)</f>
        <v>ABIDJAN 1</v>
      </c>
      <c r="D40" s="58" t="str">
        <f>IF(VLOOKUP(A40,SiteAttendu!$A$2:$P$366,4,0)="NA","NA",COUNTIFS(soccode,A40,socprog,"PNLS/ANTIRETROVIRAUX ET IO",socprompt,1))</f>
        <v>NA</v>
      </c>
      <c r="E40" s="58" t="str">
        <f>IF(VLOOKUP($A40,SiteAttendu!$A$2:$O$366,5,0)="NA","NA",COUNTIFS(soccode,A40,socprog,"PNLS/TESTS RAPIDES ET CONSOMMABLES",socprompt,1))</f>
        <v>NA</v>
      </c>
      <c r="F40" s="58" t="str">
        <f>IF(VLOOKUP($A40,SiteAttendu!$A$2:$O$366,6,0)="NA","NA",COUNTIFS(soccode,A40,socprog,"PNLS/PRODUITS DE LABORATOIRE",socprompt,1))</f>
        <v>NA</v>
      </c>
      <c r="G40" s="58" t="str">
        <f>IF(VLOOKUP($A40,SiteAttendu!$A$2:$O$366,7,0)="NA","NA",COUNTIFS(soccode,A40,socprog,"PNLS/CHARGES VIRALES",socprompt,1))</f>
        <v>NA</v>
      </c>
      <c r="H40" s="58" t="str">
        <f>IF(VLOOKUP($A40,SiteAttendu!$A$2:$O$366,9,0)="NA","NA",COUNTIFS(soccode,A40,socprog,"PNLP/MEDICAMENTS ET INTRANTS",socprompt,1))</f>
        <v>NA</v>
      </c>
      <c r="I40" s="58" t="str">
        <f>IF(VLOOKUP($A40,SiteAttendu!$A$2:$O$366,10,0)="NA","NA",COUNTIFS(soccode,$A40,socprog,"PNSME/MEDICAMENTS ET INTRANTS",socprompt,1))</f>
        <v>NA</v>
      </c>
      <c r="J40" s="58" t="str">
        <f>IF(VLOOKUP($A40,SiteAttendu!$A$2:$O$366,11,0)="NA","NA",COUNTIFS(soccode,$A40,socprog,"PNN/MEDICAMENTS ET INTRANTS",socprompt,1))</f>
        <v>NA</v>
      </c>
      <c r="K40" s="58">
        <f>IF(VLOOKUP($A40,SiteAttendu!$A$2:$O$366,15,0)="NA","NA",IF(COUNTIF(socprog,"PNLT/SENSIBLE MEDICAMENTS ET INTRANTS")=0,"NA",COUNTIFS(soccode,$A40,socprog,"PNLT/SENSIBLE MEDICAMENTS ET INTRANTS",socprompt,1)))</f>
        <v>0</v>
      </c>
      <c r="L40" s="60"/>
      <c r="M40" s="85">
        <f t="shared" ref="M40:S40" si="42">IFERROR(SUMIFS(E$2:E$364,$C$2:$C$364,$C40)/COUNTIFS(E$2:E$364,"&lt;&gt;NA",$C$2:$C$364,$C40),"")</f>
        <v>0.8333333333</v>
      </c>
      <c r="N40" s="85">
        <f t="shared" si="42"/>
        <v>0.7222222222</v>
      </c>
      <c r="O40" s="85">
        <f t="shared" si="42"/>
        <v>0.5555555556</v>
      </c>
      <c r="P40" s="85">
        <f t="shared" si="42"/>
        <v>0.6785714286</v>
      </c>
      <c r="Q40" s="85">
        <f t="shared" si="42"/>
        <v>0.6086956522</v>
      </c>
      <c r="R40" s="85">
        <f t="shared" si="42"/>
        <v>1</v>
      </c>
      <c r="S40" s="85">
        <f t="shared" si="42"/>
        <v>0.6153846154</v>
      </c>
      <c r="T40" s="127">
        <f t="shared" si="3"/>
        <v>0.7733333333</v>
      </c>
      <c r="U40" s="53">
        <f t="shared" si="4"/>
        <v>0</v>
      </c>
      <c r="V40" s="54">
        <f t="shared" si="5"/>
        <v>0</v>
      </c>
    </row>
    <row r="41" ht="15.75" customHeight="1">
      <c r="A41" s="55" t="str">
        <f>SiteAttendu!$A41</f>
        <v>C1028</v>
      </c>
      <c r="B41" s="56" t="str">
        <f>VLOOKUP($A41,SiteAttendu!$A$2:$C$366,2,0)</f>
        <v>CSU COM NIANGON LOKOA</v>
      </c>
      <c r="C41" s="57" t="str">
        <f>VLOOKUP($A41,SiteAttendu!$A$2:$C$366,3,0)</f>
        <v>ABIDJAN 1</v>
      </c>
      <c r="D41" s="58" t="str">
        <f>IF(VLOOKUP(A41,SiteAttendu!$A$2:$P$366,4,0)="NA","NA",COUNTIFS(soccode,A41,socprog,"PNLS/ANTIRETROVIRAUX ET IO",socprompt,1))</f>
        <v>NA</v>
      </c>
      <c r="E41" s="58" t="str">
        <f>IF(VLOOKUP($A41,SiteAttendu!$A$2:$O$366,5,0)="NA","NA",COUNTIFS(soccode,A41,socprog,"PNLS/TESTS RAPIDES ET CONSOMMABLES",socprompt,1))</f>
        <v>NA</v>
      </c>
      <c r="F41" s="58" t="str">
        <f>IF(VLOOKUP($A41,SiteAttendu!$A$2:$O$366,6,0)="NA","NA",COUNTIFS(soccode,A41,socprog,"PNLS/PRODUITS DE LABORATOIRE",socprompt,1))</f>
        <v>NA</v>
      </c>
      <c r="G41" s="58" t="str">
        <f>IF(VLOOKUP($A41,SiteAttendu!$A$2:$O$366,7,0)="NA","NA",COUNTIFS(soccode,A41,socprog,"PNLS/CHARGES VIRALES",socprompt,1))</f>
        <v>NA</v>
      </c>
      <c r="H41" s="58" t="str">
        <f>IF(VLOOKUP($A41,SiteAttendu!$A$2:$O$366,9,0)="NA","NA",COUNTIFS(soccode,A41,socprog,"PNLP/MEDICAMENTS ET INTRANTS",socprompt,1))</f>
        <v>NA</v>
      </c>
      <c r="I41" s="58">
        <f>IF(VLOOKUP($A41,SiteAttendu!$A$2:$O$366,10,0)="NA","NA",COUNTIFS(soccode,$A41,socprog,"PNSME/MEDICAMENTS ET INTRANTS",socprompt,1))</f>
        <v>0</v>
      </c>
      <c r="J41" s="58" t="str">
        <f>IF(VLOOKUP($A41,SiteAttendu!$A$2:$O$366,11,0)="NA","NA",COUNTIFS(soccode,$A41,socprog,"PNN/MEDICAMENTS ET INTRANTS",socprompt,1))</f>
        <v>NA</v>
      </c>
      <c r="K41" s="58" t="str">
        <f>IF(VLOOKUP($A41,SiteAttendu!$A$2:$O$366,15,0)="NA","NA",IF(COUNTIF(socprog,"PNLT/SENSIBLE MEDICAMENTS ET INTRANTS")=0,"NA",COUNTIFS(soccode,$A41,socprog,"PNLT/SENSIBLE MEDICAMENTS ET INTRANTS",socprompt,1)))</f>
        <v>NA</v>
      </c>
      <c r="L41" s="60"/>
      <c r="M41" s="85">
        <f t="shared" ref="M41:S41" si="43">IFERROR(SUMIFS(E$2:E$364,$C$2:$C$364,$C41)/COUNTIFS(E$2:E$364,"&lt;&gt;NA",$C$2:$C$364,$C41),"")</f>
        <v>0.8333333333</v>
      </c>
      <c r="N41" s="85">
        <f t="shared" si="43"/>
        <v>0.7222222222</v>
      </c>
      <c r="O41" s="85">
        <f t="shared" si="43"/>
        <v>0.5555555556</v>
      </c>
      <c r="P41" s="85">
        <f t="shared" si="43"/>
        <v>0.6785714286</v>
      </c>
      <c r="Q41" s="85">
        <f t="shared" si="43"/>
        <v>0.6086956522</v>
      </c>
      <c r="R41" s="85">
        <f t="shared" si="43"/>
        <v>1</v>
      </c>
      <c r="S41" s="85">
        <f t="shared" si="43"/>
        <v>0.6153846154</v>
      </c>
      <c r="T41" s="127">
        <f t="shared" si="3"/>
        <v>0.7733333333</v>
      </c>
      <c r="U41" s="53">
        <f t="shared" si="4"/>
        <v>0</v>
      </c>
      <c r="V41" s="54">
        <f t="shared" si="5"/>
        <v>0</v>
      </c>
    </row>
    <row r="42" ht="15.75" customHeight="1">
      <c r="A42" s="62" t="str">
        <f>SiteAttendu!$A42</f>
        <v>C1067</v>
      </c>
      <c r="B42" s="63" t="str">
        <f>VLOOKUP($A42,SiteAttendu!$A$2:$C$366,2,0)</f>
        <v>FSU COM ADIOPODOUME</v>
      </c>
      <c r="C42" s="64" t="str">
        <f>VLOOKUP($A42,SiteAttendu!$A$2:$C$366,3,0)</f>
        <v>ABIDJAN 1</v>
      </c>
      <c r="D42" s="65" t="str">
        <f>IF(VLOOKUP(A42,SiteAttendu!$A$2:$P$366,4,0)="NA","NA",COUNTIFS(soccode,A42,socprog,"PNLS/ANTIRETROVIRAUX ET IO",socprompt,1))</f>
        <v>NA</v>
      </c>
      <c r="E42" s="65" t="str">
        <f>IF(VLOOKUP($A42,SiteAttendu!$A$2:$O$366,5,0)="NA","NA",COUNTIFS(soccode,A42,socprog,"PNLS/TESTS RAPIDES ET CONSOMMABLES",socprompt,1))</f>
        <v>NA</v>
      </c>
      <c r="F42" s="65" t="str">
        <f>IF(VLOOKUP($A42,SiteAttendu!$A$2:$O$366,6,0)="NA","NA",COUNTIFS(soccode,A42,socprog,"PNLS/PRODUITS DE LABORATOIRE",socprompt,1))</f>
        <v>NA</v>
      </c>
      <c r="G42" s="65" t="str">
        <f>IF(VLOOKUP($A42,SiteAttendu!$A$2:$O$366,7,0)="NA","NA",COUNTIFS(soccode,A42,socprog,"PNLS/CHARGES VIRALES",socprompt,1))</f>
        <v>NA</v>
      </c>
      <c r="H42" s="65" t="str">
        <f>IF(VLOOKUP($A42,SiteAttendu!$A$2:$O$366,9,0)="NA","NA",COUNTIFS(soccode,A42,socprog,"PNLP/MEDICAMENTS ET INTRANTS",socprompt,1))</f>
        <v>NA</v>
      </c>
      <c r="I42" s="65">
        <f>IF(VLOOKUP($A42,SiteAttendu!$A$2:$O$366,10,0)="NA","NA",COUNTIFS(soccode,$A42,socprog,"PNSME/MEDICAMENTS ET INTRANTS",socprompt,1))</f>
        <v>0</v>
      </c>
      <c r="J42" s="65" t="str">
        <f>IF(VLOOKUP($A42,SiteAttendu!$A$2:$O$366,11,0)="NA","NA",COUNTIFS(soccode,$A42,socprog,"PNN/MEDICAMENTS ET INTRANTS",socprompt,1))</f>
        <v>NA</v>
      </c>
      <c r="K42" s="65" t="str">
        <f>IF(VLOOKUP($A42,SiteAttendu!$A$2:$O$366,15,0)="NA","NA",IF(COUNTIF(socprog,"PNLT/SENSIBLE MEDICAMENTS ET INTRANTS")=0,"NA",COUNTIFS(soccode,$A42,socprog,"PNLT/SENSIBLE MEDICAMENTS ET INTRANTS",socprompt,1)))</f>
        <v>NA</v>
      </c>
      <c r="L42" s="67"/>
      <c r="M42" s="86">
        <f t="shared" ref="M42:S42" si="44">IFERROR(SUMIFS(E$2:E$364,$C$2:$C$364,$C42)/COUNTIFS(E$2:E$364,"&lt;&gt;NA",$C$2:$C$364,$C42),"")</f>
        <v>0.8333333333</v>
      </c>
      <c r="N42" s="86">
        <f t="shared" si="44"/>
        <v>0.7222222222</v>
      </c>
      <c r="O42" s="86">
        <f t="shared" si="44"/>
        <v>0.5555555556</v>
      </c>
      <c r="P42" s="86">
        <f t="shared" si="44"/>
        <v>0.6785714286</v>
      </c>
      <c r="Q42" s="86">
        <f t="shared" si="44"/>
        <v>0.6086956522</v>
      </c>
      <c r="R42" s="86">
        <f t="shared" si="44"/>
        <v>1</v>
      </c>
      <c r="S42" s="86">
        <f t="shared" si="44"/>
        <v>0.6153846154</v>
      </c>
      <c r="T42" s="128">
        <f t="shared" si="3"/>
        <v>0.7733333333</v>
      </c>
      <c r="U42" s="53">
        <f t="shared" si="4"/>
        <v>0</v>
      </c>
      <c r="V42" s="54">
        <f t="shared" si="5"/>
        <v>0</v>
      </c>
    </row>
    <row r="43" ht="15.75" customHeight="1">
      <c r="A43" s="46" t="str">
        <f>SiteAttendu!$A43</f>
        <v>C1014</v>
      </c>
      <c r="B43" s="47" t="str">
        <f>VLOOKUP($A43,SiteAttendu!$A$2:$C$366,2,0)</f>
        <v>CSU COM AGBAN VILLAGE</v>
      </c>
      <c r="C43" s="48" t="str">
        <f>VLOOKUP($A43,SiteAttendu!$A$2:$C$366,3,0)</f>
        <v>ABIDJAN 2</v>
      </c>
      <c r="D43" s="49" t="str">
        <f>IF(VLOOKUP(A43,SiteAttendu!$A$2:$P$366,4,0)="NA","NA",COUNTIFS(soccode,A43,socprog,"PNLS/ANTIRETROVIRAUX ET IO",socprompt,1))</f>
        <v>NA</v>
      </c>
      <c r="E43" s="49" t="str">
        <f>IF(VLOOKUP($A43,SiteAttendu!$A$2:$O$366,5,0)="NA","NA",COUNTIFS(soccode,A43,socprog,"PNLS/TESTS RAPIDES ET CONSOMMABLES",socprompt,1))</f>
        <v>NA</v>
      </c>
      <c r="F43" s="49" t="str">
        <f>IF(VLOOKUP($A43,SiteAttendu!$A$2:$O$366,6,0)="NA","NA",COUNTIFS(soccode,A43,socprog,"PNLS/PRODUITS DE LABORATOIRE",socprompt,1))</f>
        <v>NA</v>
      </c>
      <c r="G43" s="49" t="str">
        <f>IF(VLOOKUP($A43,SiteAttendu!$A$2:$O$366,7,0)="NA","NA",COUNTIFS(soccode,A43,socprog,"PNLS/CHARGES VIRALES",socprompt,1))</f>
        <v>NA</v>
      </c>
      <c r="H43" s="49">
        <f>IF(VLOOKUP($A43,SiteAttendu!$A$2:$O$366,9,0)="NA","NA",COUNTIFS(soccode,A43,socprog,"PNLP/MEDICAMENTS ET INTRANTS",socprompt,1))</f>
        <v>1</v>
      </c>
      <c r="I43" s="49">
        <f>IF(VLOOKUP($A43,SiteAttendu!$A$2:$O$366,10,0)="NA","NA",COUNTIFS(soccode,$A43,socprog,"PNSME/MEDICAMENTS ET INTRANTS",socprompt,1))</f>
        <v>1</v>
      </c>
      <c r="J43" s="49" t="str">
        <f>IF(VLOOKUP($A43,SiteAttendu!$A$2:$O$366,11,0)="NA","NA",COUNTIFS(soccode,$A43,socprog,"PNN/MEDICAMENTS ET INTRANTS",socprompt,1))</f>
        <v>NA</v>
      </c>
      <c r="K43" s="49" t="str">
        <f>IF(VLOOKUP($A43,SiteAttendu!$A$2:$O$366,15,0)="NA","NA",IF(COUNTIF(socprog,"PNLT/SENSIBLE MEDICAMENTS ET INTRANTS")=0,"NA",COUNTIFS(soccode,$A43,socprog,"PNLT/SENSIBLE MEDICAMENTS ET INTRANTS",socprompt,1)))</f>
        <v>NA</v>
      </c>
      <c r="L43" s="51">
        <f t="shared" ref="L43:S43" si="45">IFERROR(SUMIFS(D$2:D$364,$C$2:$C$364,$C43)/COUNTIFS(D$2:D$364,"&lt;&gt;NA",$C$2:$C$364,$C43),"")</f>
        <v>0.6923076923</v>
      </c>
      <c r="M43" s="125">
        <f t="shared" si="45"/>
        <v>0.6666666667</v>
      </c>
      <c r="N43" s="125">
        <f t="shared" si="45"/>
        <v>0.6818181818</v>
      </c>
      <c r="O43" s="125">
        <f t="shared" si="45"/>
        <v>0.5384615385</v>
      </c>
      <c r="P43" s="125">
        <f t="shared" si="45"/>
        <v>0.7804878049</v>
      </c>
      <c r="Q43" s="125">
        <f t="shared" si="45"/>
        <v>0.8</v>
      </c>
      <c r="R43" s="125">
        <f t="shared" si="45"/>
        <v>0.625</v>
      </c>
      <c r="S43" s="125">
        <f t="shared" si="45"/>
        <v>0.6842105263</v>
      </c>
      <c r="T43" s="126">
        <f t="shared" si="3"/>
        <v>0.6590909091</v>
      </c>
      <c r="U43" s="53">
        <f t="shared" si="4"/>
        <v>0</v>
      </c>
      <c r="V43" s="54">
        <f t="shared" si="5"/>
        <v>0</v>
      </c>
    </row>
    <row r="44" ht="15.75" customHeight="1">
      <c r="A44" s="55" t="str">
        <f>SiteAttendu!$A44</f>
        <v>C1034</v>
      </c>
      <c r="B44" s="56" t="str">
        <f>VLOOKUP($A44,SiteAttendu!$A$2:$C$366,2,0)</f>
        <v>CSU COM WILLIAMSVILLE</v>
      </c>
      <c r="C44" s="57" t="str">
        <f>VLOOKUP($A44,SiteAttendu!$A$2:$C$366,3,0)</f>
        <v>ABIDJAN 2</v>
      </c>
      <c r="D44" s="58" t="str">
        <f>IF(VLOOKUP(A44,SiteAttendu!$A$2:$P$366,4,0)="NA","NA",COUNTIFS(soccode,A44,socprog,"PNLS/ANTIRETROVIRAUX ET IO",socprompt,1))</f>
        <v>NA</v>
      </c>
      <c r="E44" s="58" t="str">
        <f>IF(VLOOKUP($A44,SiteAttendu!$A$2:$O$366,5,0)="NA","NA",COUNTIFS(soccode,A44,socprog,"PNLS/TESTS RAPIDES ET CONSOMMABLES",socprompt,1))</f>
        <v>NA</v>
      </c>
      <c r="F44" s="58" t="str">
        <f>IF(VLOOKUP($A44,SiteAttendu!$A$2:$O$366,6,0)="NA","NA",COUNTIFS(soccode,A44,socprog,"PNLS/PRODUITS DE LABORATOIRE",socprompt,1))</f>
        <v>NA</v>
      </c>
      <c r="G44" s="58" t="str">
        <f>IF(VLOOKUP($A44,SiteAttendu!$A$2:$O$366,7,0)="NA","NA",COUNTIFS(soccode,A44,socprog,"PNLS/CHARGES VIRALES",socprompt,1))</f>
        <v>NA</v>
      </c>
      <c r="H44" s="58">
        <f>IF(VLOOKUP($A44,SiteAttendu!$A$2:$O$366,9,0)="NA","NA",COUNTIFS(soccode,A44,socprog,"PNLP/MEDICAMENTS ET INTRANTS",socprompt,1))</f>
        <v>0</v>
      </c>
      <c r="I44" s="58">
        <f>IF(VLOOKUP($A44,SiteAttendu!$A$2:$O$366,10,0)="NA","NA",COUNTIFS(soccode,$A44,socprog,"PNSME/MEDICAMENTS ET INTRANTS",socprompt,1))</f>
        <v>0</v>
      </c>
      <c r="J44" s="58" t="str">
        <f>IF(VLOOKUP($A44,SiteAttendu!$A$2:$O$366,11,0)="NA","NA",COUNTIFS(soccode,$A44,socprog,"PNN/MEDICAMENTS ET INTRANTS",socprompt,1))</f>
        <v>NA</v>
      </c>
      <c r="K44" s="58" t="str">
        <f>IF(VLOOKUP($A44,SiteAttendu!$A$2:$O$366,15,0)="NA","NA",IF(COUNTIF(socprog,"PNLT/SENSIBLE MEDICAMENTS ET INTRANTS")=0,"NA",COUNTIFS(soccode,$A44,socprog,"PNLT/SENSIBLE MEDICAMENTS ET INTRANTS",socprompt,1)))</f>
        <v>NA</v>
      </c>
      <c r="L44" s="60"/>
      <c r="M44" s="85">
        <f t="shared" ref="M44:S44" si="46">IFERROR(SUMIFS(E$2:E$364,$C$2:$C$364,$C44)/COUNTIFS(E$2:E$364,"&lt;&gt;NA",$C$2:$C$364,$C44),"")</f>
        <v>0.6666666667</v>
      </c>
      <c r="N44" s="85">
        <f t="shared" si="46"/>
        <v>0.6818181818</v>
      </c>
      <c r="O44" s="85">
        <f t="shared" si="46"/>
        <v>0.5384615385</v>
      </c>
      <c r="P44" s="85">
        <f t="shared" si="46"/>
        <v>0.7804878049</v>
      </c>
      <c r="Q44" s="85">
        <f t="shared" si="46"/>
        <v>0.8</v>
      </c>
      <c r="R44" s="85">
        <f t="shared" si="46"/>
        <v>0.625</v>
      </c>
      <c r="S44" s="85">
        <f t="shared" si="46"/>
        <v>0.6842105263</v>
      </c>
      <c r="T44" s="127">
        <f t="shared" si="3"/>
        <v>0.6590909091</v>
      </c>
      <c r="U44" s="53">
        <f t="shared" si="4"/>
        <v>0</v>
      </c>
      <c r="V44" s="54">
        <f t="shared" si="5"/>
        <v>0</v>
      </c>
    </row>
    <row r="45" ht="15.75" customHeight="1">
      <c r="A45" s="55" t="str">
        <f>SiteAttendu!$A45</f>
        <v>C1051</v>
      </c>
      <c r="B45" s="56" t="str">
        <f>VLOOKUP($A45,SiteAttendu!$A$2:$C$366,2,0)</f>
        <v>FSU ABOBO DOUME</v>
      </c>
      <c r="C45" s="57" t="str">
        <f>VLOOKUP($A45,SiteAttendu!$A$2:$C$366,3,0)</f>
        <v>ABIDJAN 2</v>
      </c>
      <c r="D45" s="58" t="str">
        <f>IF(VLOOKUP(A45,SiteAttendu!$A$2:$P$366,4,0)="NA","NA",COUNTIFS(soccode,A45,socprog,"PNLS/ANTIRETROVIRAUX ET IO",socprompt,1))</f>
        <v>NA</v>
      </c>
      <c r="E45" s="58" t="str">
        <f>IF(VLOOKUP($A45,SiteAttendu!$A$2:$O$366,5,0)="NA","NA",COUNTIFS(soccode,A45,socprog,"PNLS/TESTS RAPIDES ET CONSOMMABLES",socprompt,1))</f>
        <v>NA</v>
      </c>
      <c r="F45" s="58" t="str">
        <f>IF(VLOOKUP($A45,SiteAttendu!$A$2:$O$366,6,0)="NA","NA",COUNTIFS(soccode,A45,socprog,"PNLS/PRODUITS DE LABORATOIRE",socprompt,1))</f>
        <v>NA</v>
      </c>
      <c r="G45" s="58" t="str">
        <f>IF(VLOOKUP($A45,SiteAttendu!$A$2:$O$366,7,0)="NA","NA",COUNTIFS(soccode,A45,socprog,"PNLS/CHARGES VIRALES",socprompt,1))</f>
        <v>NA</v>
      </c>
      <c r="H45" s="58">
        <f>IF(VLOOKUP($A45,SiteAttendu!$A$2:$O$366,9,0)="NA","NA",COUNTIFS(soccode,A45,socprog,"PNLP/MEDICAMENTS ET INTRANTS",socprompt,1))</f>
        <v>1</v>
      </c>
      <c r="I45" s="58">
        <f>IF(VLOOKUP($A45,SiteAttendu!$A$2:$O$366,10,0)="NA","NA",COUNTIFS(soccode,$A45,socprog,"PNSME/MEDICAMENTS ET INTRANTS",socprompt,1))</f>
        <v>1</v>
      </c>
      <c r="J45" s="58" t="str">
        <f>IF(VLOOKUP($A45,SiteAttendu!$A$2:$O$366,11,0)="NA","NA",COUNTIFS(soccode,$A45,socprog,"PNN/MEDICAMENTS ET INTRANTS",socprompt,1))</f>
        <v>NA</v>
      </c>
      <c r="K45" s="58">
        <f>IF(VLOOKUP($A45,SiteAttendu!$A$2:$O$366,15,0)="NA","NA",IF(COUNTIF(socprog,"PNLT/SENSIBLE MEDICAMENTS ET INTRANTS")=0,"NA",COUNTIFS(soccode,$A45,socprog,"PNLT/SENSIBLE MEDICAMENTS ET INTRANTS",socprompt,1)))</f>
        <v>1</v>
      </c>
      <c r="L45" s="60"/>
      <c r="M45" s="85">
        <f t="shared" ref="M45:S45" si="47">IFERROR(SUMIFS(E$2:E$364,$C$2:$C$364,$C45)/COUNTIFS(E$2:E$364,"&lt;&gt;NA",$C$2:$C$364,$C45),"")</f>
        <v>0.6666666667</v>
      </c>
      <c r="N45" s="85">
        <f t="shared" si="47"/>
        <v>0.6818181818</v>
      </c>
      <c r="O45" s="85">
        <f t="shared" si="47"/>
        <v>0.5384615385</v>
      </c>
      <c r="P45" s="85">
        <f t="shared" si="47"/>
        <v>0.7804878049</v>
      </c>
      <c r="Q45" s="85">
        <f t="shared" si="47"/>
        <v>0.8</v>
      </c>
      <c r="R45" s="85">
        <f t="shared" si="47"/>
        <v>0.625</v>
      </c>
      <c r="S45" s="85">
        <f t="shared" si="47"/>
        <v>0.6842105263</v>
      </c>
      <c r="T45" s="127">
        <f t="shared" si="3"/>
        <v>0.6590909091</v>
      </c>
      <c r="U45" s="53">
        <f t="shared" si="4"/>
        <v>0</v>
      </c>
      <c r="V45" s="54">
        <f t="shared" si="5"/>
        <v>0</v>
      </c>
    </row>
    <row r="46" ht="15.75" customHeight="1">
      <c r="A46" s="55" t="str">
        <f>SiteAttendu!$A46</f>
        <v>C1052</v>
      </c>
      <c r="B46" s="56" t="str">
        <f>VLOOKUP($A46,SiteAttendu!$A$2:$C$366,2,0)</f>
        <v>FSU ADJAME 220 LOGEMENTS</v>
      </c>
      <c r="C46" s="57" t="str">
        <f>VLOOKUP($A46,SiteAttendu!$A$2:$C$366,3,0)</f>
        <v>ABIDJAN 2</v>
      </c>
      <c r="D46" s="58" t="str">
        <f>IF(VLOOKUP(A46,SiteAttendu!$A$2:$P$366,4,0)="NA","NA",COUNTIFS(soccode,A46,socprog,"PNLS/ANTIRETROVIRAUX ET IO",socprompt,1))</f>
        <v>NA</v>
      </c>
      <c r="E46" s="58" t="str">
        <f>IF(VLOOKUP($A46,SiteAttendu!$A$2:$O$366,5,0)="NA","NA",COUNTIFS(soccode,A46,socprog,"PNLS/TESTS RAPIDES ET CONSOMMABLES",socprompt,1))</f>
        <v>NA</v>
      </c>
      <c r="F46" s="58" t="str">
        <f>IF(VLOOKUP($A46,SiteAttendu!$A$2:$O$366,6,0)="NA","NA",COUNTIFS(soccode,A46,socprog,"PNLS/PRODUITS DE LABORATOIRE",socprompt,1))</f>
        <v>NA</v>
      </c>
      <c r="G46" s="58" t="str">
        <f>IF(VLOOKUP($A46,SiteAttendu!$A$2:$O$366,7,0)="NA","NA",COUNTIFS(soccode,A46,socprog,"PNLS/CHARGES VIRALES",socprompt,1))</f>
        <v>NA</v>
      </c>
      <c r="H46" s="58">
        <f>IF(VLOOKUP($A46,SiteAttendu!$A$2:$O$366,9,0)="NA","NA",COUNTIFS(soccode,A46,socprog,"PNLP/MEDICAMENTS ET INTRANTS",socprompt,1))</f>
        <v>1</v>
      </c>
      <c r="I46" s="58" t="str">
        <f>IF(VLOOKUP($A46,SiteAttendu!$A$2:$O$366,10,0)="NA","NA",COUNTIFS(soccode,$A46,socprog,"PNSME/MEDICAMENTS ET INTRANTS",socprompt,1))</f>
        <v>NA</v>
      </c>
      <c r="J46" s="58" t="str">
        <f>IF(VLOOKUP($A46,SiteAttendu!$A$2:$O$366,11,0)="NA","NA",COUNTIFS(soccode,$A46,socprog,"PNN/MEDICAMENTS ET INTRANTS",socprompt,1))</f>
        <v>NA</v>
      </c>
      <c r="K46" s="58" t="str">
        <f>IF(VLOOKUP($A46,SiteAttendu!$A$2:$O$366,15,0)="NA","NA",IF(COUNTIF(socprog,"PNLT/SENSIBLE MEDICAMENTS ET INTRANTS")=0,"NA",COUNTIFS(soccode,$A46,socprog,"PNLT/SENSIBLE MEDICAMENTS ET INTRANTS",socprompt,1)))</f>
        <v>NA</v>
      </c>
      <c r="L46" s="60"/>
      <c r="M46" s="85">
        <f t="shared" ref="M46:S46" si="48">IFERROR(SUMIFS(E$2:E$364,$C$2:$C$364,$C46)/COUNTIFS(E$2:E$364,"&lt;&gt;NA",$C$2:$C$364,$C46),"")</f>
        <v>0.6666666667</v>
      </c>
      <c r="N46" s="85">
        <f t="shared" si="48"/>
        <v>0.6818181818</v>
      </c>
      <c r="O46" s="85">
        <f t="shared" si="48"/>
        <v>0.5384615385</v>
      </c>
      <c r="P46" s="85">
        <f t="shared" si="48"/>
        <v>0.7804878049</v>
      </c>
      <c r="Q46" s="85">
        <f t="shared" si="48"/>
        <v>0.8</v>
      </c>
      <c r="R46" s="85">
        <f t="shared" si="48"/>
        <v>0.625</v>
      </c>
      <c r="S46" s="85">
        <f t="shared" si="48"/>
        <v>0.6842105263</v>
      </c>
      <c r="T46" s="127">
        <f t="shared" si="3"/>
        <v>0.6590909091</v>
      </c>
      <c r="U46" s="53">
        <f t="shared" si="4"/>
        <v>0</v>
      </c>
      <c r="V46" s="54">
        <f t="shared" si="5"/>
        <v>0</v>
      </c>
    </row>
    <row r="47" ht="15.75" customHeight="1">
      <c r="A47" s="55" t="str">
        <f>SiteAttendu!$A47</f>
        <v>C1054</v>
      </c>
      <c r="B47" s="56" t="str">
        <f>VLOOKUP($A47,SiteAttendu!$A$2:$C$366,2,0)</f>
        <v>FSU ATTECOUBE CENTRE</v>
      </c>
      <c r="C47" s="57" t="str">
        <f>VLOOKUP($A47,SiteAttendu!$A$2:$C$366,3,0)</f>
        <v>ABIDJAN 2</v>
      </c>
      <c r="D47" s="58" t="str">
        <f>IF(VLOOKUP(A47,SiteAttendu!$A$2:$P$366,4,0)="NA","NA",COUNTIFS(soccode,A47,socprog,"PNLS/ANTIRETROVIRAUX ET IO",socprompt,1))</f>
        <v>NA</v>
      </c>
      <c r="E47" s="58" t="str">
        <f>IF(VLOOKUP($A47,SiteAttendu!$A$2:$O$366,5,0)="NA","NA",COUNTIFS(soccode,A47,socprog,"PNLS/TESTS RAPIDES ET CONSOMMABLES",socprompt,1))</f>
        <v>NA</v>
      </c>
      <c r="F47" s="58" t="str">
        <f>IF(VLOOKUP($A47,SiteAttendu!$A$2:$O$366,6,0)="NA","NA",COUNTIFS(soccode,A47,socprog,"PNLS/PRODUITS DE LABORATOIRE",socprompt,1))</f>
        <v>NA</v>
      </c>
      <c r="G47" s="58" t="str">
        <f>IF(VLOOKUP($A47,SiteAttendu!$A$2:$O$366,7,0)="NA","NA",COUNTIFS(soccode,A47,socprog,"PNLS/CHARGES VIRALES",socprompt,1))</f>
        <v>NA</v>
      </c>
      <c r="H47" s="58">
        <f>IF(VLOOKUP($A47,SiteAttendu!$A$2:$O$366,9,0)="NA","NA",COUNTIFS(soccode,A47,socprog,"PNLP/MEDICAMENTS ET INTRANTS",socprompt,1))</f>
        <v>1</v>
      </c>
      <c r="I47" s="58">
        <f>IF(VLOOKUP($A47,SiteAttendu!$A$2:$O$366,10,0)="NA","NA",COUNTIFS(soccode,$A47,socprog,"PNSME/MEDICAMENTS ET INTRANTS",socprompt,1))</f>
        <v>1</v>
      </c>
      <c r="J47" s="58" t="str">
        <f>IF(VLOOKUP($A47,SiteAttendu!$A$2:$O$366,11,0)="NA","NA",COUNTIFS(soccode,$A47,socprog,"PNN/MEDICAMENTS ET INTRANTS",socprompt,1))</f>
        <v>NA</v>
      </c>
      <c r="K47" s="58">
        <f>IF(VLOOKUP($A47,SiteAttendu!$A$2:$O$366,15,0)="NA","NA",IF(COUNTIF(socprog,"PNLT/SENSIBLE MEDICAMENTS ET INTRANTS")=0,"NA",COUNTIFS(soccode,$A47,socprog,"PNLT/SENSIBLE MEDICAMENTS ET INTRANTS",socprompt,1)))</f>
        <v>1</v>
      </c>
      <c r="L47" s="60"/>
      <c r="M47" s="85">
        <f t="shared" ref="M47:S47" si="49">IFERROR(SUMIFS(E$2:E$364,$C$2:$C$364,$C47)/COUNTIFS(E$2:E$364,"&lt;&gt;NA",$C$2:$C$364,$C47),"")</f>
        <v>0.6666666667</v>
      </c>
      <c r="N47" s="85">
        <f t="shared" si="49"/>
        <v>0.6818181818</v>
      </c>
      <c r="O47" s="85">
        <f t="shared" si="49"/>
        <v>0.5384615385</v>
      </c>
      <c r="P47" s="85">
        <f t="shared" si="49"/>
        <v>0.7804878049</v>
      </c>
      <c r="Q47" s="85">
        <f t="shared" si="49"/>
        <v>0.8</v>
      </c>
      <c r="R47" s="85">
        <f t="shared" si="49"/>
        <v>0.625</v>
      </c>
      <c r="S47" s="85">
        <f t="shared" si="49"/>
        <v>0.6842105263</v>
      </c>
      <c r="T47" s="127">
        <f t="shared" si="3"/>
        <v>0.6590909091</v>
      </c>
      <c r="U47" s="53">
        <f t="shared" si="4"/>
        <v>0</v>
      </c>
      <c r="V47" s="54">
        <f t="shared" si="5"/>
        <v>0</v>
      </c>
    </row>
    <row r="48" ht="15.75" customHeight="1">
      <c r="A48" s="55" t="str">
        <f>SiteAttendu!$A48</f>
        <v>C1059</v>
      </c>
      <c r="B48" s="56" t="str">
        <f>VLOOKUP($A48,SiteAttendu!$A$2:$C$366,2,0)</f>
        <v>FSU LOCODJORO</v>
      </c>
      <c r="C48" s="57" t="str">
        <f>VLOOKUP($A48,SiteAttendu!$A$2:$C$366,3,0)</f>
        <v>ABIDJAN 2</v>
      </c>
      <c r="D48" s="58" t="str">
        <f>IF(VLOOKUP(A48,SiteAttendu!$A$2:$P$366,4,0)="NA","NA",COUNTIFS(soccode,A48,socprog,"PNLS/ANTIRETROVIRAUX ET IO",socprompt,1))</f>
        <v>NA</v>
      </c>
      <c r="E48" s="58" t="str">
        <f>IF(VLOOKUP($A48,SiteAttendu!$A$2:$O$366,5,0)="NA","NA",COUNTIFS(soccode,A48,socprog,"PNLS/TESTS RAPIDES ET CONSOMMABLES",socprompt,1))</f>
        <v>NA</v>
      </c>
      <c r="F48" s="58" t="str">
        <f>IF(VLOOKUP($A48,SiteAttendu!$A$2:$O$366,6,0)="NA","NA",COUNTIFS(soccode,A48,socprog,"PNLS/PRODUITS DE LABORATOIRE",socprompt,1))</f>
        <v>NA</v>
      </c>
      <c r="G48" s="58" t="str">
        <f>IF(VLOOKUP($A48,SiteAttendu!$A$2:$O$366,7,0)="NA","NA",COUNTIFS(soccode,A48,socprog,"PNLS/CHARGES VIRALES",socprompt,1))</f>
        <v>NA</v>
      </c>
      <c r="H48" s="58">
        <f>IF(VLOOKUP($A48,SiteAttendu!$A$2:$O$366,9,0)="NA","NA",COUNTIFS(soccode,A48,socprog,"PNLP/MEDICAMENTS ET INTRANTS",socprompt,1))</f>
        <v>1</v>
      </c>
      <c r="I48" s="58">
        <f>IF(VLOOKUP($A48,SiteAttendu!$A$2:$O$366,10,0)="NA","NA",COUNTIFS(soccode,$A48,socprog,"PNSME/MEDICAMENTS ET INTRANTS",socprompt,1))</f>
        <v>1</v>
      </c>
      <c r="J48" s="58" t="str">
        <f>IF(VLOOKUP($A48,SiteAttendu!$A$2:$O$366,11,0)="NA","NA",COUNTIFS(soccode,$A48,socprog,"PNN/MEDICAMENTS ET INTRANTS",socprompt,1))</f>
        <v>NA</v>
      </c>
      <c r="K48" s="58" t="str">
        <f>IF(VLOOKUP($A48,SiteAttendu!$A$2:$O$366,15,0)="NA","NA",IF(COUNTIF(socprog,"PNLT/SENSIBLE MEDICAMENTS ET INTRANTS")=0,"NA",COUNTIFS(soccode,$A48,socprog,"PNLT/SENSIBLE MEDICAMENTS ET INTRANTS",socprompt,1)))</f>
        <v>NA</v>
      </c>
      <c r="L48" s="60"/>
      <c r="M48" s="85">
        <f t="shared" ref="M48:S48" si="50">IFERROR(SUMIFS(E$2:E$364,$C$2:$C$364,$C48)/COUNTIFS(E$2:E$364,"&lt;&gt;NA",$C$2:$C$364,$C48),"")</f>
        <v>0.6666666667</v>
      </c>
      <c r="N48" s="85">
        <f t="shared" si="50"/>
        <v>0.6818181818</v>
      </c>
      <c r="O48" s="85">
        <f t="shared" si="50"/>
        <v>0.5384615385</v>
      </c>
      <c r="P48" s="85">
        <f t="shared" si="50"/>
        <v>0.7804878049</v>
      </c>
      <c r="Q48" s="85">
        <f t="shared" si="50"/>
        <v>0.8</v>
      </c>
      <c r="R48" s="85">
        <f t="shared" si="50"/>
        <v>0.625</v>
      </c>
      <c r="S48" s="85">
        <f t="shared" si="50"/>
        <v>0.6842105263</v>
      </c>
      <c r="T48" s="127">
        <f t="shared" si="3"/>
        <v>0.6590909091</v>
      </c>
      <c r="U48" s="53">
        <f t="shared" si="4"/>
        <v>0</v>
      </c>
      <c r="V48" s="54">
        <f t="shared" si="5"/>
        <v>0</v>
      </c>
    </row>
    <row r="49" ht="15.75" customHeight="1">
      <c r="A49" s="55" t="str">
        <f>SiteAttendu!$A49</f>
        <v>C1062</v>
      </c>
      <c r="B49" s="56" t="str">
        <f>VLOOKUP($A49,SiteAttendu!$A$2:$C$366,2,0)</f>
        <v>FSU WILLIAMSVILLE</v>
      </c>
      <c r="C49" s="57" t="str">
        <f>VLOOKUP($A49,SiteAttendu!$A$2:$C$366,3,0)</f>
        <v>ABIDJAN 2</v>
      </c>
      <c r="D49" s="58" t="str">
        <f>IF(VLOOKUP(A49,SiteAttendu!$A$2:$P$366,4,0)="NA","NA",COUNTIFS(soccode,A49,socprog,"PNLS/ANTIRETROVIRAUX ET IO",socprompt,1))</f>
        <v>NA</v>
      </c>
      <c r="E49" s="58" t="str">
        <f>IF(VLOOKUP($A49,SiteAttendu!$A$2:$O$366,5,0)="NA","NA",COUNTIFS(soccode,A49,socprog,"PNLS/TESTS RAPIDES ET CONSOMMABLES",socprompt,1))</f>
        <v>NA</v>
      </c>
      <c r="F49" s="58" t="str">
        <f>IF(VLOOKUP($A49,SiteAttendu!$A$2:$O$366,6,0)="NA","NA",COUNTIFS(soccode,A49,socprog,"PNLS/PRODUITS DE LABORATOIRE",socprompt,1))</f>
        <v>NA</v>
      </c>
      <c r="G49" s="58" t="str">
        <f>IF(VLOOKUP($A49,SiteAttendu!$A$2:$O$366,7,0)="NA","NA",COUNTIFS(soccode,A49,socprog,"PNLS/CHARGES VIRALES",socprompt,1))</f>
        <v>NA</v>
      </c>
      <c r="H49" s="58">
        <f>IF(VLOOKUP($A49,SiteAttendu!$A$2:$O$366,9,0)="NA","NA",COUNTIFS(soccode,A49,socprog,"PNLP/MEDICAMENTS ET INTRANTS",socprompt,1))</f>
        <v>1</v>
      </c>
      <c r="I49" s="58">
        <f>IF(VLOOKUP($A49,SiteAttendu!$A$2:$O$366,10,0)="NA","NA",COUNTIFS(soccode,$A49,socprog,"PNSME/MEDICAMENTS ET INTRANTS",socprompt,1))</f>
        <v>1</v>
      </c>
      <c r="J49" s="58" t="str">
        <f>IF(VLOOKUP($A49,SiteAttendu!$A$2:$O$366,11,0)="NA","NA",COUNTIFS(soccode,$A49,socprog,"PNN/MEDICAMENTS ET INTRANTS",socprompt,1))</f>
        <v>NA</v>
      </c>
      <c r="K49" s="58">
        <f>IF(VLOOKUP($A49,SiteAttendu!$A$2:$O$366,15,0)="NA","NA",IF(COUNTIF(socprog,"PNLT/SENSIBLE MEDICAMENTS ET INTRANTS")=0,"NA",COUNTIFS(soccode,$A49,socprog,"PNLT/SENSIBLE MEDICAMENTS ET INTRANTS",socprompt,1)))</f>
        <v>1</v>
      </c>
      <c r="L49" s="60"/>
      <c r="M49" s="85">
        <f t="shared" ref="M49:S49" si="51">IFERROR(SUMIFS(E$2:E$364,$C$2:$C$364,$C49)/COUNTIFS(E$2:E$364,"&lt;&gt;NA",$C$2:$C$364,$C49),"")</f>
        <v>0.6666666667</v>
      </c>
      <c r="N49" s="85">
        <f t="shared" si="51"/>
        <v>0.6818181818</v>
      </c>
      <c r="O49" s="85">
        <f t="shared" si="51"/>
        <v>0.5384615385</v>
      </c>
      <c r="P49" s="85">
        <f t="shared" si="51"/>
        <v>0.7804878049</v>
      </c>
      <c r="Q49" s="85">
        <f t="shared" si="51"/>
        <v>0.8</v>
      </c>
      <c r="R49" s="85">
        <f t="shared" si="51"/>
        <v>0.625</v>
      </c>
      <c r="S49" s="85">
        <f t="shared" si="51"/>
        <v>0.6842105263</v>
      </c>
      <c r="T49" s="127">
        <f t="shared" si="3"/>
        <v>0.6590909091</v>
      </c>
      <c r="U49" s="53">
        <f t="shared" si="4"/>
        <v>0</v>
      </c>
      <c r="V49" s="54">
        <f t="shared" si="5"/>
        <v>0</v>
      </c>
    </row>
    <row r="50" ht="15.75" customHeight="1">
      <c r="A50" s="55" t="str">
        <f>SiteAttendu!$A50</f>
        <v>C1106</v>
      </c>
      <c r="B50" s="56" t="str">
        <f>VLOOKUP($A50,SiteAttendu!$A$2:$C$366,2,0)</f>
        <v>INSTITUT NATIONAL DE LA SANTE PUBLIQUE</v>
      </c>
      <c r="C50" s="57" t="str">
        <f>VLOOKUP($A50,SiteAttendu!$A$2:$C$366,3,0)</f>
        <v>ABIDJAN 2</v>
      </c>
      <c r="D50" s="58">
        <f>IF(VLOOKUP(A50,SiteAttendu!$A$2:$P$366,4,0)="NA","NA",COUNTIFS(soccode,A50,socprog,"PNLS/ANTIRETROVIRAUX ET IO",socprompt,1))</f>
        <v>1</v>
      </c>
      <c r="E50" s="58" t="str">
        <f>IF(VLOOKUP($A50,SiteAttendu!$A$2:$O$366,5,0)="NA","NA",COUNTIFS(soccode,A50,socprog,"PNLS/TESTS RAPIDES ET CONSOMMABLES",socprompt,1))</f>
        <v>NA</v>
      </c>
      <c r="F50" s="58" t="str">
        <f>IF(VLOOKUP($A50,SiteAttendu!$A$2:$O$366,6,0)="NA","NA",COUNTIFS(soccode,A50,socprog,"PNLS/PRODUITS DE LABORATOIRE",socprompt,1))</f>
        <v>NA</v>
      </c>
      <c r="G50" s="58">
        <f>IF(VLOOKUP($A50,SiteAttendu!$A$2:$O$366,7,0)="NA","NA",COUNTIFS(soccode,A50,socprog,"PNLS/CHARGES VIRALES",socprompt,1))</f>
        <v>1</v>
      </c>
      <c r="H50" s="58">
        <f>IF(VLOOKUP($A50,SiteAttendu!$A$2:$O$366,9,0)="NA","NA",COUNTIFS(soccode,A50,socprog,"PNLP/MEDICAMENTS ET INTRANTS",socprompt,1))</f>
        <v>1</v>
      </c>
      <c r="I50" s="58">
        <f>IF(VLOOKUP($A50,SiteAttendu!$A$2:$O$366,10,0)="NA","NA",COUNTIFS(soccode,$A50,socprog,"PNSME/MEDICAMENTS ET INTRANTS",socprompt,1))</f>
        <v>1</v>
      </c>
      <c r="J50" s="58" t="str">
        <f>IF(VLOOKUP($A50,SiteAttendu!$A$2:$O$366,11,0)="NA","NA",COUNTIFS(soccode,$A50,socprog,"PNN/MEDICAMENTS ET INTRANTS",socprompt,1))</f>
        <v>NA</v>
      </c>
      <c r="K50" s="58" t="str">
        <f>IF(VLOOKUP($A50,SiteAttendu!$A$2:$O$366,15,0)="NA","NA",IF(COUNTIF(socprog,"PNLT/SENSIBLE MEDICAMENTS ET INTRANTS")=0,"NA",COUNTIFS(soccode,$A50,socprog,"PNLT/SENSIBLE MEDICAMENTS ET INTRANTS",socprompt,1)))</f>
        <v>NA</v>
      </c>
      <c r="L50" s="60"/>
      <c r="M50" s="85">
        <f t="shared" ref="M50:S50" si="52">IFERROR(SUMIFS(E$2:E$364,$C$2:$C$364,$C50)/COUNTIFS(E$2:E$364,"&lt;&gt;NA",$C$2:$C$364,$C50),"")</f>
        <v>0.6666666667</v>
      </c>
      <c r="N50" s="85">
        <f t="shared" si="52"/>
        <v>0.6818181818</v>
      </c>
      <c r="O50" s="85">
        <f t="shared" si="52"/>
        <v>0.5384615385</v>
      </c>
      <c r="P50" s="85">
        <f t="shared" si="52"/>
        <v>0.7804878049</v>
      </c>
      <c r="Q50" s="85">
        <f t="shared" si="52"/>
        <v>0.8</v>
      </c>
      <c r="R50" s="85">
        <f t="shared" si="52"/>
        <v>0.625</v>
      </c>
      <c r="S50" s="85">
        <f t="shared" si="52"/>
        <v>0.6842105263</v>
      </c>
      <c r="T50" s="127">
        <f t="shared" si="3"/>
        <v>0.6590909091</v>
      </c>
      <c r="U50" s="53">
        <f t="shared" si="4"/>
        <v>2</v>
      </c>
      <c r="V50" s="54">
        <f t="shared" si="5"/>
        <v>2</v>
      </c>
    </row>
    <row r="51" ht="15.75" customHeight="1">
      <c r="A51" s="55" t="str">
        <f>SiteAttendu!$A51</f>
        <v>C1413</v>
      </c>
      <c r="B51" s="56" t="str">
        <f>VLOOKUP($A51,SiteAttendu!$A$2:$C$366,2,0)</f>
        <v>FSU EDMOND BASQUE ( PLATEAU)</v>
      </c>
      <c r="C51" s="57" t="str">
        <f>VLOOKUP($A51,SiteAttendu!$A$2:$C$366,3,0)</f>
        <v>ABIDJAN 2</v>
      </c>
      <c r="D51" s="58" t="str">
        <f>IF(VLOOKUP(A51,SiteAttendu!$A$2:$P$366,4,0)="NA","NA",COUNTIFS(soccode,A51,socprog,"PNLS/ANTIRETROVIRAUX ET IO",socprompt,1))</f>
        <v>NA</v>
      </c>
      <c r="E51" s="58" t="str">
        <f>IF(VLOOKUP($A51,SiteAttendu!$A$2:$O$366,5,0)="NA","NA",COUNTIFS(soccode,A51,socprog,"PNLS/TESTS RAPIDES ET CONSOMMABLES",socprompt,1))</f>
        <v>NA</v>
      </c>
      <c r="F51" s="58" t="str">
        <f>IF(VLOOKUP($A51,SiteAttendu!$A$2:$O$366,6,0)="NA","NA",COUNTIFS(soccode,A51,socprog,"PNLS/PRODUITS DE LABORATOIRE",socprompt,1))</f>
        <v>NA</v>
      </c>
      <c r="G51" s="58" t="str">
        <f>IF(VLOOKUP($A51,SiteAttendu!$A$2:$O$366,7,0)="NA","NA",COUNTIFS(soccode,A51,socprog,"PNLS/CHARGES VIRALES",socprompt,1))</f>
        <v>NA</v>
      </c>
      <c r="H51" s="58">
        <f>IF(VLOOKUP($A51,SiteAttendu!$A$2:$O$366,9,0)="NA","NA",COUNTIFS(soccode,A51,socprog,"PNLP/MEDICAMENTS ET INTRANTS",socprompt,1))</f>
        <v>1</v>
      </c>
      <c r="I51" s="58">
        <f>IF(VLOOKUP($A51,SiteAttendu!$A$2:$O$366,10,0)="NA","NA",COUNTIFS(soccode,$A51,socprog,"PNSME/MEDICAMENTS ET INTRANTS",socprompt,1))</f>
        <v>1</v>
      </c>
      <c r="J51" s="58" t="str">
        <f>IF(VLOOKUP($A51,SiteAttendu!$A$2:$O$366,11,0)="NA","NA",COUNTIFS(soccode,$A51,socprog,"PNN/MEDICAMENTS ET INTRANTS",socprompt,1))</f>
        <v>NA</v>
      </c>
      <c r="K51" s="58" t="str">
        <f>IF(VLOOKUP($A51,SiteAttendu!$A$2:$O$366,15,0)="NA","NA",IF(COUNTIF(socprog,"PNLT/SENSIBLE MEDICAMENTS ET INTRANTS")=0,"NA",COUNTIFS(soccode,$A51,socprog,"PNLT/SENSIBLE MEDICAMENTS ET INTRANTS",socprompt,1)))</f>
        <v>NA</v>
      </c>
      <c r="L51" s="60"/>
      <c r="M51" s="85">
        <f t="shared" ref="M51:S51" si="53">IFERROR(SUMIFS(E$2:E$364,$C$2:$C$364,$C51)/COUNTIFS(E$2:E$364,"&lt;&gt;NA",$C$2:$C$364,$C51),"")</f>
        <v>0.6666666667</v>
      </c>
      <c r="N51" s="85">
        <f t="shared" si="53"/>
        <v>0.6818181818</v>
      </c>
      <c r="O51" s="85">
        <f t="shared" si="53"/>
        <v>0.5384615385</v>
      </c>
      <c r="P51" s="85">
        <f t="shared" si="53"/>
        <v>0.7804878049</v>
      </c>
      <c r="Q51" s="85">
        <f t="shared" si="53"/>
        <v>0.8</v>
      </c>
      <c r="R51" s="85">
        <f t="shared" si="53"/>
        <v>0.625</v>
      </c>
      <c r="S51" s="85">
        <f t="shared" si="53"/>
        <v>0.6842105263</v>
      </c>
      <c r="T51" s="127">
        <f t="shared" si="3"/>
        <v>0.6590909091</v>
      </c>
      <c r="U51" s="53">
        <f t="shared" si="4"/>
        <v>0</v>
      </c>
      <c r="V51" s="54">
        <f t="shared" si="5"/>
        <v>0</v>
      </c>
    </row>
    <row r="52" ht="15.75" customHeight="1">
      <c r="A52" s="55" t="str">
        <f>SiteAttendu!$A52</f>
        <v>C1414</v>
      </c>
      <c r="B52" s="56" t="str">
        <f>VLOOKUP($A52,SiteAttendu!$A$2:$C$366,2,0)</f>
        <v>DISTRICT SANITAIRE ADJAME PLATEAU ATTECOUBE</v>
      </c>
      <c r="C52" s="57" t="str">
        <f>VLOOKUP($A52,SiteAttendu!$A$2:$C$366,3,0)</f>
        <v>ABIDJAN 2</v>
      </c>
      <c r="D52" s="58">
        <f>IF(VLOOKUP(A52,SiteAttendu!$A$2:$P$366,4,0)="NA","NA",COUNTIFS(soccode,A52,socprog,"PNLS/ANTIRETROVIRAUX ET IO",socprompt,1))</f>
        <v>1</v>
      </c>
      <c r="E52" s="58">
        <f>IF(VLOOKUP($A52,SiteAttendu!$A$2:$O$366,5,0)="NA","NA",COUNTIFS(soccode,A52,socprog,"PNLS/TESTS RAPIDES ET CONSOMMABLES",socprompt,1))</f>
        <v>1</v>
      </c>
      <c r="F52" s="58">
        <f>IF(VLOOKUP($A52,SiteAttendu!$A$2:$O$366,6,0)="NA","NA",COUNTIFS(soccode,A52,socprog,"PNLS/PRODUITS DE LABORATOIRE",socprompt,1))</f>
        <v>1</v>
      </c>
      <c r="G52" s="58" t="str">
        <f>IF(VLOOKUP($A52,SiteAttendu!$A$2:$O$366,7,0)="NA","NA",COUNTIFS(soccode,A52,socprog,"PNLS/CHARGES VIRALES",socprompt,1))</f>
        <v>NA</v>
      </c>
      <c r="H52" s="58">
        <f>IF(VLOOKUP($A52,SiteAttendu!$A$2:$O$366,9,0)="NA","NA",COUNTIFS(soccode,A52,socprog,"PNLP/MEDICAMENTS ET INTRANTS",socprompt,1))</f>
        <v>1</v>
      </c>
      <c r="I52" s="58">
        <f>IF(VLOOKUP($A52,SiteAttendu!$A$2:$O$366,10,0)="NA","NA",COUNTIFS(soccode,$A52,socprog,"PNSME/MEDICAMENTS ET INTRANTS",socprompt,1))</f>
        <v>1</v>
      </c>
      <c r="J52" s="58">
        <f>IF(VLOOKUP($A52,SiteAttendu!$A$2:$O$366,11,0)="NA","NA",COUNTIFS(soccode,$A52,socprog,"PNN/MEDICAMENTS ET INTRANTS",socprompt,1))</f>
        <v>1</v>
      </c>
      <c r="K52" s="58" t="str">
        <f>IF(VLOOKUP($A52,SiteAttendu!$A$2:$O$366,15,0)="NA","NA",IF(COUNTIF(socprog,"PNLT/SENSIBLE MEDICAMENTS ET INTRANTS")=0,"NA",COUNTIFS(soccode,$A52,socprog,"PNLT/SENSIBLE MEDICAMENTS ET INTRANTS",socprompt,1)))</f>
        <v>NA</v>
      </c>
      <c r="L52" s="60"/>
      <c r="M52" s="85">
        <f t="shared" ref="M52:S52" si="54">IFERROR(SUMIFS(E$2:E$364,$C$2:$C$364,$C52)/COUNTIFS(E$2:E$364,"&lt;&gt;NA",$C$2:$C$364,$C52),"")</f>
        <v>0.6666666667</v>
      </c>
      <c r="N52" s="85">
        <f t="shared" si="54"/>
        <v>0.6818181818</v>
      </c>
      <c r="O52" s="85">
        <f t="shared" si="54"/>
        <v>0.5384615385</v>
      </c>
      <c r="P52" s="85">
        <f t="shared" si="54"/>
        <v>0.7804878049</v>
      </c>
      <c r="Q52" s="85">
        <f t="shared" si="54"/>
        <v>0.8</v>
      </c>
      <c r="R52" s="85">
        <f t="shared" si="54"/>
        <v>0.625</v>
      </c>
      <c r="S52" s="85">
        <f t="shared" si="54"/>
        <v>0.6842105263</v>
      </c>
      <c r="T52" s="127">
        <f t="shared" si="3"/>
        <v>0.6590909091</v>
      </c>
      <c r="U52" s="53">
        <f t="shared" si="4"/>
        <v>3</v>
      </c>
      <c r="V52" s="54">
        <f t="shared" si="5"/>
        <v>3</v>
      </c>
    </row>
    <row r="53" ht="15.75" customHeight="1">
      <c r="A53" s="55" t="str">
        <f>SiteAttendu!$A53</f>
        <v>C1681</v>
      </c>
      <c r="B53" s="56" t="str">
        <f>VLOOKUP($A53,SiteAttendu!$A$2:$C$366,2,0)</f>
        <v>HOPITAL GENERAL ADJAME</v>
      </c>
      <c r="C53" s="57" t="str">
        <f>VLOOKUP($A53,SiteAttendu!$A$2:$C$366,3,0)</f>
        <v>ABIDJAN 2</v>
      </c>
      <c r="D53" s="58">
        <f>IF(VLOOKUP(A53,SiteAttendu!$A$2:$P$366,4,0)="NA","NA",COUNTIFS(soccode,A53,socprog,"PNLS/ANTIRETROVIRAUX ET IO",socprompt,1))</f>
        <v>0</v>
      </c>
      <c r="E53" s="58">
        <f>IF(VLOOKUP($A53,SiteAttendu!$A$2:$O$366,5,0)="NA","NA",COUNTIFS(soccode,A53,socprog,"PNLS/TESTS RAPIDES ET CONSOMMABLES",socprompt,1))</f>
        <v>0</v>
      </c>
      <c r="F53" s="58" t="str">
        <f>IF(VLOOKUP($A53,SiteAttendu!$A$2:$O$366,6,0)="NA","NA",COUNTIFS(soccode,A53,socprog,"PNLS/PRODUITS DE LABORATOIRE",socprompt,1))</f>
        <v>NA</v>
      </c>
      <c r="G53" s="58" t="str">
        <f>IF(VLOOKUP($A53,SiteAttendu!$A$2:$O$366,7,0)="NA","NA",COUNTIFS(soccode,A53,socprog,"PNLS/CHARGES VIRALES",socprompt,1))</f>
        <v>NA</v>
      </c>
      <c r="H53" s="58">
        <f>IF(VLOOKUP($A53,SiteAttendu!$A$2:$O$366,9,0)="NA","NA",COUNTIFS(soccode,A53,socprog,"PNLP/MEDICAMENTS ET INTRANTS",socprompt,1))</f>
        <v>0</v>
      </c>
      <c r="I53" s="58">
        <f>IF(VLOOKUP($A53,SiteAttendu!$A$2:$O$366,10,0)="NA","NA",COUNTIFS(soccode,$A53,socprog,"PNSME/MEDICAMENTS ET INTRANTS",socprompt,1))</f>
        <v>0</v>
      </c>
      <c r="J53" s="58" t="str">
        <f>IF(VLOOKUP($A53,SiteAttendu!$A$2:$O$366,11,0)="NA","NA",COUNTIFS(soccode,$A53,socprog,"PNN/MEDICAMENTS ET INTRANTS",socprompt,1))</f>
        <v>NA</v>
      </c>
      <c r="K53" s="58" t="str">
        <f>IF(VLOOKUP($A53,SiteAttendu!$A$2:$O$366,15,0)="NA","NA",IF(COUNTIF(socprog,"PNLT/SENSIBLE MEDICAMENTS ET INTRANTS")=0,"NA",COUNTIFS(soccode,$A53,socprog,"PNLT/SENSIBLE MEDICAMENTS ET INTRANTS",socprompt,1)))</f>
        <v>NA</v>
      </c>
      <c r="L53" s="60"/>
      <c r="M53" s="85">
        <f t="shared" ref="M53:S53" si="55">IFERROR(SUMIFS(E$2:E$364,$C$2:$C$364,$C53)/COUNTIFS(E$2:E$364,"&lt;&gt;NA",$C$2:$C$364,$C53),"")</f>
        <v>0.6666666667</v>
      </c>
      <c r="N53" s="85">
        <f t="shared" si="55"/>
        <v>0.6818181818</v>
      </c>
      <c r="O53" s="85">
        <f t="shared" si="55"/>
        <v>0.5384615385</v>
      </c>
      <c r="P53" s="85">
        <f t="shared" si="55"/>
        <v>0.7804878049</v>
      </c>
      <c r="Q53" s="85">
        <f t="shared" si="55"/>
        <v>0.8</v>
      </c>
      <c r="R53" s="85">
        <f t="shared" si="55"/>
        <v>0.625</v>
      </c>
      <c r="S53" s="85">
        <f t="shared" si="55"/>
        <v>0.6842105263</v>
      </c>
      <c r="T53" s="127">
        <f t="shared" si="3"/>
        <v>0.6590909091</v>
      </c>
      <c r="U53" s="53">
        <f t="shared" si="4"/>
        <v>0</v>
      </c>
      <c r="V53" s="54">
        <f t="shared" si="5"/>
        <v>2</v>
      </c>
    </row>
    <row r="54" ht="15.75" customHeight="1">
      <c r="A54" s="55" t="str">
        <f>SiteAttendu!$A54</f>
        <v>C1001</v>
      </c>
      <c r="B54" s="56" t="str">
        <f>VLOOKUP($A54,SiteAttendu!$A$2:$C$366,2,0)</f>
        <v>CENTRE ANTITUBERCULEUX ADJAME</v>
      </c>
      <c r="C54" s="57" t="str">
        <f>VLOOKUP($A54,SiteAttendu!$A$2:$C$366,3,0)</f>
        <v>ABIDJAN 2</v>
      </c>
      <c r="D54" s="58">
        <f>IF(VLOOKUP(A54,SiteAttendu!$A$2:$P$366,4,0)="NA","NA",COUNTIFS(soccode,A54,socprog,"PNLS/ANTIRETROVIRAUX ET IO",socprompt,1))</f>
        <v>0</v>
      </c>
      <c r="E54" s="58">
        <f>IF(VLOOKUP($A54,SiteAttendu!$A$2:$O$366,5,0)="NA","NA",COUNTIFS(soccode,A54,socprog,"PNLS/TESTS RAPIDES ET CONSOMMABLES",socprompt,1))</f>
        <v>0</v>
      </c>
      <c r="F54" s="58">
        <f>IF(VLOOKUP($A54,SiteAttendu!$A$2:$O$366,6,0)="NA","NA",COUNTIFS(soccode,A54,socprog,"PNLS/PRODUITS DE LABORATOIRE",socprompt,1))</f>
        <v>0</v>
      </c>
      <c r="G54" s="58">
        <f>IF(VLOOKUP($A54,SiteAttendu!$A$2:$O$366,7,0)="NA","NA",COUNTIFS(soccode,A54,socprog,"PNLS/CHARGES VIRALES",socprompt,1))</f>
        <v>0</v>
      </c>
      <c r="H54" s="58" t="str">
        <f>IF(VLOOKUP($A54,SiteAttendu!$A$2:$O$366,9,0)="NA","NA",COUNTIFS(soccode,A54,socprog,"PNLP/MEDICAMENTS ET INTRANTS",socprompt,1))</f>
        <v>NA</v>
      </c>
      <c r="I54" s="58" t="str">
        <f>IF(VLOOKUP($A54,SiteAttendu!$A$2:$O$366,10,0)="NA","NA",COUNTIFS(soccode,$A54,socprog,"PNSME/MEDICAMENTS ET INTRANTS",socprompt,1))</f>
        <v>NA</v>
      </c>
      <c r="J54" s="58" t="str">
        <f>IF(VLOOKUP($A54,SiteAttendu!$A$2:$O$366,11,0)="NA","NA",COUNTIFS(soccode,$A54,socprog,"PNN/MEDICAMENTS ET INTRANTS",socprompt,1))</f>
        <v>NA</v>
      </c>
      <c r="K54" s="58">
        <f>IF(VLOOKUP($A54,SiteAttendu!$A$2:$O$366,15,0)="NA","NA",IF(COUNTIF(socprog,"PNLT/SENSIBLE MEDICAMENTS ET INTRANTS")=0,"NA",COUNTIFS(soccode,$A54,socprog,"PNLT/SENSIBLE MEDICAMENTS ET INTRANTS",socprompt,1)))</f>
        <v>0</v>
      </c>
      <c r="L54" s="60"/>
      <c r="M54" s="85">
        <f t="shared" ref="M54:S54" si="56">IFERROR(SUMIFS(E$2:E$364,$C$2:$C$364,$C54)/COUNTIFS(E$2:E$364,"&lt;&gt;NA",$C$2:$C$364,$C54),"")</f>
        <v>0.6666666667</v>
      </c>
      <c r="N54" s="85">
        <f t="shared" si="56"/>
        <v>0.6818181818</v>
      </c>
      <c r="O54" s="85">
        <f t="shared" si="56"/>
        <v>0.5384615385</v>
      </c>
      <c r="P54" s="85">
        <f t="shared" si="56"/>
        <v>0.7804878049</v>
      </c>
      <c r="Q54" s="85">
        <f t="shared" si="56"/>
        <v>0.8</v>
      </c>
      <c r="R54" s="85">
        <f t="shared" si="56"/>
        <v>0.625</v>
      </c>
      <c r="S54" s="85">
        <f t="shared" si="56"/>
        <v>0.6842105263</v>
      </c>
      <c r="T54" s="127">
        <f t="shared" si="3"/>
        <v>0.6590909091</v>
      </c>
      <c r="U54" s="53">
        <f t="shared" si="4"/>
        <v>0</v>
      </c>
      <c r="V54" s="54">
        <f t="shared" si="5"/>
        <v>4</v>
      </c>
    </row>
    <row r="55" ht="15.75" customHeight="1">
      <c r="A55" s="55" t="str">
        <f>SiteAttendu!$A55</f>
        <v>C1177</v>
      </c>
      <c r="B55" s="56" t="str">
        <f>VLOOKUP($A55,SiteAttendu!$A$2:$C$366,2,0)</f>
        <v>DSSA (DIR DU SCE DE SANTE DES ARMEES)</v>
      </c>
      <c r="C55" s="57" t="str">
        <f>VLOOKUP($A55,SiteAttendu!$A$2:$C$366,3,0)</f>
        <v>ABIDJAN 2</v>
      </c>
      <c r="D55" s="58">
        <f>IF(VLOOKUP(A55,SiteAttendu!$A$2:$P$366,4,0)="NA","NA",COUNTIFS(soccode,A55,socprog,"PNLS/ANTIRETROVIRAUX ET IO",socprompt,1))</f>
        <v>0</v>
      </c>
      <c r="E55" s="58">
        <f>IF(VLOOKUP($A55,SiteAttendu!$A$2:$O$366,5,0)="NA","NA",COUNTIFS(soccode,A55,socprog,"PNLS/TESTS RAPIDES ET CONSOMMABLES",socprompt,1))</f>
        <v>0</v>
      </c>
      <c r="F55" s="58">
        <f>IF(VLOOKUP($A55,SiteAttendu!$A$2:$O$366,6,0)="NA","NA",COUNTIFS(soccode,A55,socprog,"PNLS/PRODUITS DE LABORATOIRE",socprompt,1))</f>
        <v>0</v>
      </c>
      <c r="G55" s="58" t="str">
        <f>IF(VLOOKUP($A55,SiteAttendu!$A$2:$O$366,7,0)="NA","NA",COUNTIFS(soccode,A55,socprog,"PNLS/CHARGES VIRALES",socprompt,1))</f>
        <v>NA</v>
      </c>
      <c r="H55" s="58" t="str">
        <f>IF(VLOOKUP($A55,SiteAttendu!$A$2:$O$366,9,0)="NA","NA",COUNTIFS(soccode,A55,socprog,"PNLP/MEDICAMENTS ET INTRANTS",socprompt,1))</f>
        <v>NA</v>
      </c>
      <c r="I55" s="58" t="str">
        <f>IF(VLOOKUP($A55,SiteAttendu!$A$2:$O$366,10,0)="NA","NA",COUNTIFS(soccode,$A55,socprog,"PNSME/MEDICAMENTS ET INTRANTS",socprompt,1))</f>
        <v>NA</v>
      </c>
      <c r="J55" s="58" t="str">
        <f>IF(VLOOKUP($A55,SiteAttendu!$A$2:$O$366,11,0)="NA","NA",COUNTIFS(soccode,$A55,socprog,"PNN/MEDICAMENTS ET INTRANTS",socprompt,1))</f>
        <v>NA</v>
      </c>
      <c r="K55" s="58">
        <f>IF(VLOOKUP($A55,SiteAttendu!$A$2:$O$366,15,0)="NA","NA",IF(COUNTIF(socprog,"PNLT/SENSIBLE MEDICAMENTS ET INTRANTS")=0,"NA",COUNTIFS(soccode,$A55,socprog,"PNLT/SENSIBLE MEDICAMENTS ET INTRANTS",socprompt,1)))</f>
        <v>0</v>
      </c>
      <c r="L55" s="60"/>
      <c r="M55" s="85">
        <f t="shared" ref="M55:S55" si="57">IFERROR(SUMIFS(E$2:E$364,$C$2:$C$364,$C55)/COUNTIFS(E$2:E$364,"&lt;&gt;NA",$C$2:$C$364,$C55),"")</f>
        <v>0.6666666667</v>
      </c>
      <c r="N55" s="85">
        <f t="shared" si="57"/>
        <v>0.6818181818</v>
      </c>
      <c r="O55" s="85">
        <f t="shared" si="57"/>
        <v>0.5384615385</v>
      </c>
      <c r="P55" s="85">
        <f t="shared" si="57"/>
        <v>0.7804878049</v>
      </c>
      <c r="Q55" s="85">
        <f t="shared" si="57"/>
        <v>0.8</v>
      </c>
      <c r="R55" s="85">
        <f t="shared" si="57"/>
        <v>0.625</v>
      </c>
      <c r="S55" s="85">
        <f t="shared" si="57"/>
        <v>0.6842105263</v>
      </c>
      <c r="T55" s="127">
        <f t="shared" si="3"/>
        <v>0.6590909091</v>
      </c>
      <c r="U55" s="53">
        <f t="shared" si="4"/>
        <v>0</v>
      </c>
      <c r="V55" s="54">
        <f t="shared" si="5"/>
        <v>3</v>
      </c>
    </row>
    <row r="56" ht="15.75" customHeight="1">
      <c r="A56" s="55" t="str">
        <f>SiteAttendu!$A56</f>
        <v>C1018</v>
      </c>
      <c r="B56" s="56" t="str">
        <f>VLOOKUP($A56,SiteAttendu!$A$2:$C$366,2,0)</f>
        <v>CSU COM ANGRE</v>
      </c>
      <c r="C56" s="57" t="str">
        <f>VLOOKUP($A56,SiteAttendu!$A$2:$C$366,3,0)</f>
        <v>ABIDJAN 2</v>
      </c>
      <c r="D56" s="58" t="str">
        <f>IF(VLOOKUP(A56,SiteAttendu!$A$2:$P$366,4,0)="NA","NA",COUNTIFS(soccode,A56,socprog,"PNLS/ANTIRETROVIRAUX ET IO",socprompt,1))</f>
        <v>NA</v>
      </c>
      <c r="E56" s="58" t="str">
        <f>IF(VLOOKUP($A56,SiteAttendu!$A$2:$O$366,5,0)="NA","NA",COUNTIFS(soccode,A56,socprog,"PNLS/TESTS RAPIDES ET CONSOMMABLES",socprompt,1))</f>
        <v>NA</v>
      </c>
      <c r="F56" s="58" t="str">
        <f>IF(VLOOKUP($A56,SiteAttendu!$A$2:$O$366,6,0)="NA","NA",COUNTIFS(soccode,A56,socprog,"PNLS/PRODUITS DE LABORATOIRE",socprompt,1))</f>
        <v>NA</v>
      </c>
      <c r="G56" s="58" t="str">
        <f>IF(VLOOKUP($A56,SiteAttendu!$A$2:$O$366,7,0)="NA","NA",COUNTIFS(soccode,A56,socprog,"PNLS/CHARGES VIRALES",socprompt,1))</f>
        <v>NA</v>
      </c>
      <c r="H56" s="58">
        <f>IF(VLOOKUP($A56,SiteAttendu!$A$2:$O$366,9,0)="NA","NA",COUNTIFS(soccode,A56,socprog,"PNLP/MEDICAMENTS ET INTRANTS",socprompt,1))</f>
        <v>0</v>
      </c>
      <c r="I56" s="58">
        <f>IF(VLOOKUP($A56,SiteAttendu!$A$2:$O$366,10,0)="NA","NA",COUNTIFS(soccode,$A56,socprog,"PNSME/MEDICAMENTS ET INTRANTS",socprompt,1))</f>
        <v>0</v>
      </c>
      <c r="J56" s="58" t="str">
        <f>IF(VLOOKUP($A56,SiteAttendu!$A$2:$O$366,11,0)="NA","NA",COUNTIFS(soccode,$A56,socprog,"PNN/MEDICAMENTS ET INTRANTS",socprompt,1))</f>
        <v>NA</v>
      </c>
      <c r="K56" s="58" t="str">
        <f>IF(VLOOKUP($A56,SiteAttendu!$A$2:$O$366,15,0)="NA","NA",IF(COUNTIF(socprog,"PNLT/SENSIBLE MEDICAMENTS ET INTRANTS")=0,"NA",COUNTIFS(soccode,$A56,socprog,"PNLT/SENSIBLE MEDICAMENTS ET INTRANTS",socprompt,1)))</f>
        <v>NA</v>
      </c>
      <c r="L56" s="60"/>
      <c r="M56" s="85">
        <f t="shared" ref="M56:S56" si="58">IFERROR(SUMIFS(E$2:E$364,$C$2:$C$364,$C56)/COUNTIFS(E$2:E$364,"&lt;&gt;NA",$C$2:$C$364,$C56),"")</f>
        <v>0.6666666667</v>
      </c>
      <c r="N56" s="85">
        <f t="shared" si="58"/>
        <v>0.6818181818</v>
      </c>
      <c r="O56" s="85">
        <f t="shared" si="58"/>
        <v>0.5384615385</v>
      </c>
      <c r="P56" s="85">
        <f t="shared" si="58"/>
        <v>0.7804878049</v>
      </c>
      <c r="Q56" s="85">
        <f t="shared" si="58"/>
        <v>0.8</v>
      </c>
      <c r="R56" s="85">
        <f t="shared" si="58"/>
        <v>0.625</v>
      </c>
      <c r="S56" s="85">
        <f t="shared" si="58"/>
        <v>0.6842105263</v>
      </c>
      <c r="T56" s="127">
        <f t="shared" si="3"/>
        <v>0.6590909091</v>
      </c>
      <c r="U56" s="53">
        <f t="shared" si="4"/>
        <v>0</v>
      </c>
      <c r="V56" s="54">
        <f t="shared" si="5"/>
        <v>0</v>
      </c>
    </row>
    <row r="57" ht="15.75" customHeight="1">
      <c r="A57" s="55" t="str">
        <f>SiteAttendu!$A57</f>
        <v>C1019</v>
      </c>
      <c r="B57" s="56" t="str">
        <f>VLOOKUP($A57,SiteAttendu!$A$2:$C$366,2,0)</f>
        <v>CSU COM ANONO VILLAGE</v>
      </c>
      <c r="C57" s="57" t="str">
        <f>VLOOKUP($A57,SiteAttendu!$A$2:$C$366,3,0)</f>
        <v>ABIDJAN 2</v>
      </c>
      <c r="D57" s="58" t="str">
        <f>IF(VLOOKUP(A57,SiteAttendu!$A$2:$P$366,4,0)="NA","NA",COUNTIFS(soccode,A57,socprog,"PNLS/ANTIRETROVIRAUX ET IO",socprompt,1))</f>
        <v>NA</v>
      </c>
      <c r="E57" s="58" t="str">
        <f>IF(VLOOKUP($A57,SiteAttendu!$A$2:$O$366,5,0)="NA","NA",COUNTIFS(soccode,A57,socprog,"PNLS/TESTS RAPIDES ET CONSOMMABLES",socprompt,1))</f>
        <v>NA</v>
      </c>
      <c r="F57" s="58" t="str">
        <f>IF(VLOOKUP($A57,SiteAttendu!$A$2:$O$366,6,0)="NA","NA",COUNTIFS(soccode,A57,socprog,"PNLS/PRODUITS DE LABORATOIRE",socprompt,1))</f>
        <v>NA</v>
      </c>
      <c r="G57" s="58" t="str">
        <f>IF(VLOOKUP($A57,SiteAttendu!$A$2:$O$366,7,0)="NA","NA",COUNTIFS(soccode,A57,socprog,"PNLS/CHARGES VIRALES",socprompt,1))</f>
        <v>NA</v>
      </c>
      <c r="H57" s="58">
        <f>IF(VLOOKUP($A57,SiteAttendu!$A$2:$O$366,9,0)="NA","NA",COUNTIFS(soccode,A57,socprog,"PNLP/MEDICAMENTS ET INTRANTS",socprompt,1))</f>
        <v>1</v>
      </c>
      <c r="I57" s="58">
        <f>IF(VLOOKUP($A57,SiteAttendu!$A$2:$O$366,10,0)="NA","NA",COUNTIFS(soccode,$A57,socprog,"PNSME/MEDICAMENTS ET INTRANTS",socprompt,1))</f>
        <v>1</v>
      </c>
      <c r="J57" s="58" t="str">
        <f>IF(VLOOKUP($A57,SiteAttendu!$A$2:$O$366,11,0)="NA","NA",COUNTIFS(soccode,$A57,socprog,"PNN/MEDICAMENTS ET INTRANTS",socprompt,1))</f>
        <v>NA</v>
      </c>
      <c r="K57" s="58" t="str">
        <f>IF(VLOOKUP($A57,SiteAttendu!$A$2:$O$366,15,0)="NA","NA",IF(COUNTIF(socprog,"PNLT/SENSIBLE MEDICAMENTS ET INTRANTS")=0,"NA",COUNTIFS(soccode,$A57,socprog,"PNLT/SENSIBLE MEDICAMENTS ET INTRANTS",socprompt,1)))</f>
        <v>NA</v>
      </c>
      <c r="L57" s="60"/>
      <c r="M57" s="85">
        <f t="shared" ref="M57:S57" si="59">IFERROR(SUMIFS(E$2:E$364,$C$2:$C$364,$C57)/COUNTIFS(E$2:E$364,"&lt;&gt;NA",$C$2:$C$364,$C57),"")</f>
        <v>0.6666666667</v>
      </c>
      <c r="N57" s="85">
        <f t="shared" si="59"/>
        <v>0.6818181818</v>
      </c>
      <c r="O57" s="85">
        <f t="shared" si="59"/>
        <v>0.5384615385</v>
      </c>
      <c r="P57" s="85">
        <f t="shared" si="59"/>
        <v>0.7804878049</v>
      </c>
      <c r="Q57" s="85">
        <f t="shared" si="59"/>
        <v>0.8</v>
      </c>
      <c r="R57" s="85">
        <f t="shared" si="59"/>
        <v>0.625</v>
      </c>
      <c r="S57" s="85">
        <f t="shared" si="59"/>
        <v>0.6842105263</v>
      </c>
      <c r="T57" s="127">
        <f t="shared" si="3"/>
        <v>0.6590909091</v>
      </c>
      <c r="U57" s="53">
        <f t="shared" si="4"/>
        <v>0</v>
      </c>
      <c r="V57" s="54">
        <f t="shared" si="5"/>
        <v>0</v>
      </c>
    </row>
    <row r="58" ht="15.75" customHeight="1">
      <c r="A58" s="55" t="str">
        <f>SiteAttendu!$A58</f>
        <v>C1029</v>
      </c>
      <c r="B58" s="56" t="str">
        <f>VLOOKUP($A58,SiteAttendu!$A$2:$C$366,2,0)</f>
        <v>CSU COM PALMERAIE</v>
      </c>
      <c r="C58" s="57" t="str">
        <f>VLOOKUP($A58,SiteAttendu!$A$2:$C$366,3,0)</f>
        <v>ABIDJAN 2</v>
      </c>
      <c r="D58" s="58" t="str">
        <f>IF(VLOOKUP(A58,SiteAttendu!$A$2:$P$366,4,0)="NA","NA",COUNTIFS(soccode,A58,socprog,"PNLS/ANTIRETROVIRAUX ET IO",socprompt,1))</f>
        <v>NA</v>
      </c>
      <c r="E58" s="58" t="str">
        <f>IF(VLOOKUP($A58,SiteAttendu!$A$2:$O$366,5,0)="NA","NA",COUNTIFS(soccode,A58,socprog,"PNLS/TESTS RAPIDES ET CONSOMMABLES",socprompt,1))</f>
        <v>NA</v>
      </c>
      <c r="F58" s="58" t="str">
        <f>IF(VLOOKUP($A58,SiteAttendu!$A$2:$O$366,6,0)="NA","NA",COUNTIFS(soccode,A58,socprog,"PNLS/PRODUITS DE LABORATOIRE",socprompt,1))</f>
        <v>NA</v>
      </c>
      <c r="G58" s="58" t="str">
        <f>IF(VLOOKUP($A58,SiteAttendu!$A$2:$O$366,7,0)="NA","NA",COUNTIFS(soccode,A58,socprog,"PNLS/CHARGES VIRALES",socprompt,1))</f>
        <v>NA</v>
      </c>
      <c r="H58" s="58">
        <f>IF(VLOOKUP($A58,SiteAttendu!$A$2:$O$366,9,0)="NA","NA",COUNTIFS(soccode,A58,socprog,"PNLP/MEDICAMENTS ET INTRANTS",socprompt,1))</f>
        <v>1</v>
      </c>
      <c r="I58" s="58">
        <f>IF(VLOOKUP($A58,SiteAttendu!$A$2:$O$366,10,0)="NA","NA",COUNTIFS(soccode,$A58,socprog,"PNSME/MEDICAMENTS ET INTRANTS",socprompt,1))</f>
        <v>1</v>
      </c>
      <c r="J58" s="58" t="str">
        <f>IF(VLOOKUP($A58,SiteAttendu!$A$2:$O$366,11,0)="NA","NA",COUNTIFS(soccode,$A58,socprog,"PNN/MEDICAMENTS ET INTRANTS",socprompt,1))</f>
        <v>NA</v>
      </c>
      <c r="K58" s="58" t="str">
        <f>IF(VLOOKUP($A58,SiteAttendu!$A$2:$O$366,15,0)="NA","NA",IF(COUNTIF(socprog,"PNLT/SENSIBLE MEDICAMENTS ET INTRANTS")=0,"NA",COUNTIFS(soccode,$A58,socprog,"PNLT/SENSIBLE MEDICAMENTS ET INTRANTS",socprompt,1)))</f>
        <v>NA</v>
      </c>
      <c r="L58" s="60"/>
      <c r="M58" s="85">
        <f t="shared" ref="M58:S58" si="60">IFERROR(SUMIFS(E$2:E$364,$C$2:$C$364,$C58)/COUNTIFS(E$2:E$364,"&lt;&gt;NA",$C$2:$C$364,$C58),"")</f>
        <v>0.6666666667</v>
      </c>
      <c r="N58" s="85">
        <f t="shared" si="60"/>
        <v>0.6818181818</v>
      </c>
      <c r="O58" s="85">
        <f t="shared" si="60"/>
        <v>0.5384615385</v>
      </c>
      <c r="P58" s="85">
        <f t="shared" si="60"/>
        <v>0.7804878049</v>
      </c>
      <c r="Q58" s="85">
        <f t="shared" si="60"/>
        <v>0.8</v>
      </c>
      <c r="R58" s="85">
        <f t="shared" si="60"/>
        <v>0.625</v>
      </c>
      <c r="S58" s="85">
        <f t="shared" si="60"/>
        <v>0.6842105263</v>
      </c>
      <c r="T58" s="127">
        <f t="shared" si="3"/>
        <v>0.6590909091</v>
      </c>
      <c r="U58" s="53">
        <f t="shared" si="4"/>
        <v>0</v>
      </c>
      <c r="V58" s="54">
        <f t="shared" si="5"/>
        <v>0</v>
      </c>
    </row>
    <row r="59" ht="15.75" customHeight="1">
      <c r="A59" s="55" t="str">
        <f>SiteAttendu!$A59</f>
        <v>C1055</v>
      </c>
      <c r="B59" s="56" t="str">
        <f>VLOOKUP($A59,SiteAttendu!$A$2:$C$366,2,0)</f>
        <v>FSU BLOCKHAUSS</v>
      </c>
      <c r="C59" s="57" t="str">
        <f>VLOOKUP($A59,SiteAttendu!$A$2:$C$366,3,0)</f>
        <v>ABIDJAN 2</v>
      </c>
      <c r="D59" s="58" t="str">
        <f>IF(VLOOKUP(A59,SiteAttendu!$A$2:$P$366,4,0)="NA","NA",COUNTIFS(soccode,A59,socprog,"PNLS/ANTIRETROVIRAUX ET IO",socprompt,1))</f>
        <v>NA</v>
      </c>
      <c r="E59" s="58" t="str">
        <f>IF(VLOOKUP($A59,SiteAttendu!$A$2:$O$366,5,0)="NA","NA",COUNTIFS(soccode,A59,socprog,"PNLS/TESTS RAPIDES ET CONSOMMABLES",socprompt,1))</f>
        <v>NA</v>
      </c>
      <c r="F59" s="58" t="str">
        <f>IF(VLOOKUP($A59,SiteAttendu!$A$2:$O$366,6,0)="NA","NA",COUNTIFS(soccode,A59,socprog,"PNLS/PRODUITS DE LABORATOIRE",socprompt,1))</f>
        <v>NA</v>
      </c>
      <c r="G59" s="58" t="str">
        <f>IF(VLOOKUP($A59,SiteAttendu!$A$2:$O$366,7,0)="NA","NA",COUNTIFS(soccode,A59,socprog,"PNLS/CHARGES VIRALES",socprompt,1))</f>
        <v>NA</v>
      </c>
      <c r="H59" s="58">
        <f>IF(VLOOKUP($A59,SiteAttendu!$A$2:$O$366,9,0)="NA","NA",COUNTIFS(soccode,A59,socprog,"PNLP/MEDICAMENTS ET INTRANTS",socprompt,1))</f>
        <v>1</v>
      </c>
      <c r="I59" s="58">
        <f>IF(VLOOKUP($A59,SiteAttendu!$A$2:$O$366,10,0)="NA","NA",COUNTIFS(soccode,$A59,socprog,"PNSME/MEDICAMENTS ET INTRANTS",socprompt,1))</f>
        <v>0</v>
      </c>
      <c r="J59" s="58" t="str">
        <f>IF(VLOOKUP($A59,SiteAttendu!$A$2:$O$366,11,0)="NA","NA",COUNTIFS(soccode,$A59,socprog,"PNN/MEDICAMENTS ET INTRANTS",socprompt,1))</f>
        <v>NA</v>
      </c>
      <c r="K59" s="58" t="str">
        <f>IF(VLOOKUP($A59,SiteAttendu!$A$2:$O$366,15,0)="NA","NA",IF(COUNTIF(socprog,"PNLT/SENSIBLE MEDICAMENTS ET INTRANTS")=0,"NA",COUNTIFS(soccode,$A59,socprog,"PNLT/SENSIBLE MEDICAMENTS ET INTRANTS",socprompt,1)))</f>
        <v>NA</v>
      </c>
      <c r="L59" s="60"/>
      <c r="M59" s="85">
        <f t="shared" ref="M59:S59" si="61">IFERROR(SUMIFS(E$2:E$364,$C$2:$C$364,$C59)/COUNTIFS(E$2:E$364,"&lt;&gt;NA",$C$2:$C$364,$C59),"")</f>
        <v>0.6666666667</v>
      </c>
      <c r="N59" s="85">
        <f t="shared" si="61"/>
        <v>0.6818181818</v>
      </c>
      <c r="O59" s="85">
        <f t="shared" si="61"/>
        <v>0.5384615385</v>
      </c>
      <c r="P59" s="85">
        <f t="shared" si="61"/>
        <v>0.7804878049</v>
      </c>
      <c r="Q59" s="85">
        <f t="shared" si="61"/>
        <v>0.8</v>
      </c>
      <c r="R59" s="85">
        <f t="shared" si="61"/>
        <v>0.625</v>
      </c>
      <c r="S59" s="85">
        <f t="shared" si="61"/>
        <v>0.6842105263</v>
      </c>
      <c r="T59" s="127">
        <f t="shared" si="3"/>
        <v>0.6590909091</v>
      </c>
      <c r="U59" s="53">
        <f t="shared" si="4"/>
        <v>0</v>
      </c>
      <c r="V59" s="54">
        <f t="shared" si="5"/>
        <v>0</v>
      </c>
    </row>
    <row r="60" ht="15.75" customHeight="1">
      <c r="A60" s="55" t="str">
        <f>SiteAttendu!$A60</f>
        <v>C1056</v>
      </c>
      <c r="B60" s="56" t="str">
        <f>VLOOKUP($A60,SiteAttendu!$A$2:$C$366,2,0)</f>
        <v>FSU COCODY DISPENSAIRE</v>
      </c>
      <c r="C60" s="57" t="str">
        <f>VLOOKUP($A60,SiteAttendu!$A$2:$C$366,3,0)</f>
        <v>ABIDJAN 2</v>
      </c>
      <c r="D60" s="58" t="str">
        <f>IF(VLOOKUP(A60,SiteAttendu!$A$2:$P$366,4,0)="NA","NA",COUNTIFS(soccode,A60,socprog,"PNLS/ANTIRETROVIRAUX ET IO",socprompt,1))</f>
        <v>NA</v>
      </c>
      <c r="E60" s="58" t="str">
        <f>IF(VLOOKUP($A60,SiteAttendu!$A$2:$O$366,5,0)="NA","NA",COUNTIFS(soccode,A60,socprog,"PNLS/TESTS RAPIDES ET CONSOMMABLES",socprompt,1))</f>
        <v>NA</v>
      </c>
      <c r="F60" s="58" t="str">
        <f>IF(VLOOKUP($A60,SiteAttendu!$A$2:$O$366,6,0)="NA","NA",COUNTIFS(soccode,A60,socprog,"PNLS/PRODUITS DE LABORATOIRE",socprompt,1))</f>
        <v>NA</v>
      </c>
      <c r="G60" s="58" t="str">
        <f>IF(VLOOKUP($A60,SiteAttendu!$A$2:$O$366,7,0)="NA","NA",COUNTIFS(soccode,A60,socprog,"PNLS/CHARGES VIRALES",socprompt,1))</f>
        <v>NA</v>
      </c>
      <c r="H60" s="58">
        <f>IF(VLOOKUP($A60,SiteAttendu!$A$2:$O$366,9,0)="NA","NA",COUNTIFS(soccode,A60,socprog,"PNLP/MEDICAMENTS ET INTRANTS",socprompt,1))</f>
        <v>1</v>
      </c>
      <c r="I60" s="58">
        <f>IF(VLOOKUP($A60,SiteAttendu!$A$2:$O$366,10,0)="NA","NA",COUNTIFS(soccode,$A60,socprog,"PNSME/MEDICAMENTS ET INTRANTS",socprompt,1))</f>
        <v>1</v>
      </c>
      <c r="J60" s="58" t="str">
        <f>IF(VLOOKUP($A60,SiteAttendu!$A$2:$O$366,11,0)="NA","NA",COUNTIFS(soccode,$A60,socprog,"PNN/MEDICAMENTS ET INTRANTS",socprompt,1))</f>
        <v>NA</v>
      </c>
      <c r="K60" s="58" t="str">
        <f>IF(VLOOKUP($A60,SiteAttendu!$A$2:$O$366,15,0)="NA","NA",IF(COUNTIF(socprog,"PNLT/SENSIBLE MEDICAMENTS ET INTRANTS")=0,"NA",COUNTIFS(soccode,$A60,socprog,"PNLT/SENSIBLE MEDICAMENTS ET INTRANTS",socprompt,1)))</f>
        <v>NA</v>
      </c>
      <c r="L60" s="60"/>
      <c r="M60" s="85">
        <f t="shared" ref="M60:S60" si="62">IFERROR(SUMIFS(E$2:E$364,$C$2:$C$364,$C60)/COUNTIFS(E$2:E$364,"&lt;&gt;NA",$C$2:$C$364,$C60),"")</f>
        <v>0.6666666667</v>
      </c>
      <c r="N60" s="85">
        <f t="shared" si="62"/>
        <v>0.6818181818</v>
      </c>
      <c r="O60" s="85">
        <f t="shared" si="62"/>
        <v>0.5384615385</v>
      </c>
      <c r="P60" s="85">
        <f t="shared" si="62"/>
        <v>0.7804878049</v>
      </c>
      <c r="Q60" s="85">
        <f t="shared" si="62"/>
        <v>0.8</v>
      </c>
      <c r="R60" s="85">
        <f t="shared" si="62"/>
        <v>0.625</v>
      </c>
      <c r="S60" s="85">
        <f t="shared" si="62"/>
        <v>0.6842105263</v>
      </c>
      <c r="T60" s="127">
        <f t="shared" si="3"/>
        <v>0.6590909091</v>
      </c>
      <c r="U60" s="53">
        <f t="shared" si="4"/>
        <v>0</v>
      </c>
      <c r="V60" s="54">
        <f t="shared" si="5"/>
        <v>0</v>
      </c>
    </row>
    <row r="61" ht="15.75" customHeight="1">
      <c r="A61" s="55" t="str">
        <f>SiteAttendu!$A61</f>
        <v>C1086</v>
      </c>
      <c r="B61" s="56" t="str">
        <f>VLOOKUP($A61,SiteAttendu!$A$2:$C$366,2,0)</f>
        <v>HOPITAL GENERAL BINGERVILLE</v>
      </c>
      <c r="C61" s="57" t="str">
        <f>VLOOKUP($A61,SiteAttendu!$A$2:$C$366,3,0)</f>
        <v>ABIDJAN 2</v>
      </c>
      <c r="D61" s="58">
        <f>IF(VLOOKUP(A61,SiteAttendu!$A$2:$P$366,4,0)="NA","NA",COUNTIFS(soccode,A61,socprog,"PNLS/ANTIRETROVIRAUX ET IO",socprompt,1))</f>
        <v>1</v>
      </c>
      <c r="E61" s="58">
        <f>IF(VLOOKUP($A61,SiteAttendu!$A$2:$O$366,5,0)="NA","NA",COUNTIFS(soccode,A61,socprog,"PNLS/TESTS RAPIDES ET CONSOMMABLES",socprompt,1))</f>
        <v>1</v>
      </c>
      <c r="F61" s="58">
        <f>IF(VLOOKUP($A61,SiteAttendu!$A$2:$O$366,6,0)="NA","NA",COUNTIFS(soccode,A61,socprog,"PNLS/PRODUITS DE LABORATOIRE",socprompt,1))</f>
        <v>0</v>
      </c>
      <c r="G61" s="58" t="str">
        <f>IF(VLOOKUP($A61,SiteAttendu!$A$2:$O$366,7,0)="NA","NA",COUNTIFS(soccode,A61,socprog,"PNLS/CHARGES VIRALES",socprompt,1))</f>
        <v>NA</v>
      </c>
      <c r="H61" s="58">
        <f>IF(VLOOKUP($A61,SiteAttendu!$A$2:$O$366,9,0)="NA","NA",COUNTIFS(soccode,A61,socprog,"PNLP/MEDICAMENTS ET INTRANTS",socprompt,1))</f>
        <v>1</v>
      </c>
      <c r="I61" s="58">
        <f>IF(VLOOKUP($A61,SiteAttendu!$A$2:$O$366,10,0)="NA","NA",COUNTIFS(soccode,$A61,socprog,"PNSME/MEDICAMENTS ET INTRANTS",socprompt,1))</f>
        <v>1</v>
      </c>
      <c r="J61" s="58">
        <f>IF(VLOOKUP($A61,SiteAttendu!$A$2:$O$366,11,0)="NA","NA",COUNTIFS(soccode,$A61,socprog,"PNN/MEDICAMENTS ET INTRANTS",socprompt,1))</f>
        <v>1</v>
      </c>
      <c r="K61" s="58" t="str">
        <f>IF(VLOOKUP($A61,SiteAttendu!$A$2:$O$366,15,0)="NA","NA",IF(COUNTIF(socprog,"PNLT/SENSIBLE MEDICAMENTS ET INTRANTS")=0,"NA",COUNTIFS(soccode,$A61,socprog,"PNLT/SENSIBLE MEDICAMENTS ET INTRANTS",socprompt,1)))</f>
        <v>NA</v>
      </c>
      <c r="L61" s="60"/>
      <c r="M61" s="85">
        <f t="shared" ref="M61:S61" si="63">IFERROR(SUMIFS(E$2:E$364,$C$2:$C$364,$C61)/COUNTIFS(E$2:E$364,"&lt;&gt;NA",$C$2:$C$364,$C61),"")</f>
        <v>0.6666666667</v>
      </c>
      <c r="N61" s="85">
        <f t="shared" si="63"/>
        <v>0.6818181818</v>
      </c>
      <c r="O61" s="85">
        <f t="shared" si="63"/>
        <v>0.5384615385</v>
      </c>
      <c r="P61" s="85">
        <f t="shared" si="63"/>
        <v>0.7804878049</v>
      </c>
      <c r="Q61" s="85">
        <f t="shared" si="63"/>
        <v>0.8</v>
      </c>
      <c r="R61" s="85">
        <f t="shared" si="63"/>
        <v>0.625</v>
      </c>
      <c r="S61" s="85">
        <f t="shared" si="63"/>
        <v>0.6842105263</v>
      </c>
      <c r="T61" s="127">
        <f t="shared" si="3"/>
        <v>0.6590909091</v>
      </c>
      <c r="U61" s="53">
        <f t="shared" si="4"/>
        <v>2</v>
      </c>
      <c r="V61" s="54">
        <f t="shared" si="5"/>
        <v>3</v>
      </c>
    </row>
    <row r="62" ht="15.75" customHeight="1">
      <c r="A62" s="55" t="str">
        <f>SiteAttendu!$A62</f>
        <v>C1143</v>
      </c>
      <c r="B62" s="56" t="str">
        <f>VLOOKUP($A62,SiteAttendu!$A$2:$C$366,2,0)</f>
        <v>FSU COCODY PMI</v>
      </c>
      <c r="C62" s="57" t="str">
        <f>VLOOKUP($A62,SiteAttendu!$A$2:$C$366,3,0)</f>
        <v>ABIDJAN 2</v>
      </c>
      <c r="D62" s="58" t="str">
        <f>IF(VLOOKUP(A62,SiteAttendu!$A$2:$P$366,4,0)="NA","NA",COUNTIFS(soccode,A62,socprog,"PNLS/ANTIRETROVIRAUX ET IO",socprompt,1))</f>
        <v>NA</v>
      </c>
      <c r="E62" s="58" t="str">
        <f>IF(VLOOKUP($A62,SiteAttendu!$A$2:$O$366,5,0)="NA","NA",COUNTIFS(soccode,A62,socprog,"PNLS/TESTS RAPIDES ET CONSOMMABLES",socprompt,1))</f>
        <v>NA</v>
      </c>
      <c r="F62" s="58" t="str">
        <f>IF(VLOOKUP($A62,SiteAttendu!$A$2:$O$366,6,0)="NA","NA",COUNTIFS(soccode,A62,socprog,"PNLS/PRODUITS DE LABORATOIRE",socprompt,1))</f>
        <v>NA</v>
      </c>
      <c r="G62" s="58" t="str">
        <f>IF(VLOOKUP($A62,SiteAttendu!$A$2:$O$366,7,0)="NA","NA",COUNTIFS(soccode,A62,socprog,"PNLS/CHARGES VIRALES",socprompt,1))</f>
        <v>NA</v>
      </c>
      <c r="H62" s="58">
        <f>IF(VLOOKUP($A62,SiteAttendu!$A$2:$O$366,9,0)="NA","NA",COUNTIFS(soccode,A62,socprog,"PNLP/MEDICAMENTS ET INTRANTS",socprompt,1))</f>
        <v>0</v>
      </c>
      <c r="I62" s="58" t="str">
        <f>IF(VLOOKUP($A62,SiteAttendu!$A$2:$O$366,10,0)="NA","NA",COUNTIFS(soccode,$A62,socprog,"PNSME/MEDICAMENTS ET INTRANTS",socprompt,1))</f>
        <v>NA</v>
      </c>
      <c r="J62" s="58" t="str">
        <f>IF(VLOOKUP($A62,SiteAttendu!$A$2:$O$366,11,0)="NA","NA",COUNTIFS(soccode,$A62,socprog,"PNN/MEDICAMENTS ET INTRANTS",socprompt,1))</f>
        <v>NA</v>
      </c>
      <c r="K62" s="58" t="str">
        <f>IF(VLOOKUP($A62,SiteAttendu!$A$2:$O$366,15,0)="NA","NA",IF(COUNTIF(socprog,"PNLT/SENSIBLE MEDICAMENTS ET INTRANTS")=0,"NA",COUNTIFS(soccode,$A62,socprog,"PNLT/SENSIBLE MEDICAMENTS ET INTRANTS",socprompt,1)))</f>
        <v>NA</v>
      </c>
      <c r="L62" s="60"/>
      <c r="M62" s="85">
        <f t="shared" ref="M62:S62" si="64">IFERROR(SUMIFS(E$2:E$364,$C$2:$C$364,$C62)/COUNTIFS(E$2:E$364,"&lt;&gt;NA",$C$2:$C$364,$C62),"")</f>
        <v>0.6666666667</v>
      </c>
      <c r="N62" s="85">
        <f t="shared" si="64"/>
        <v>0.6818181818</v>
      </c>
      <c r="O62" s="85">
        <f t="shared" si="64"/>
        <v>0.5384615385</v>
      </c>
      <c r="P62" s="85">
        <f t="shared" si="64"/>
        <v>0.7804878049</v>
      </c>
      <c r="Q62" s="85">
        <f t="shared" si="64"/>
        <v>0.8</v>
      </c>
      <c r="R62" s="85">
        <f t="shared" si="64"/>
        <v>0.625</v>
      </c>
      <c r="S62" s="85">
        <f t="shared" si="64"/>
        <v>0.6842105263</v>
      </c>
      <c r="T62" s="127">
        <f t="shared" si="3"/>
        <v>0.6590909091</v>
      </c>
      <c r="U62" s="53">
        <f t="shared" si="4"/>
        <v>0</v>
      </c>
      <c r="V62" s="54">
        <f t="shared" si="5"/>
        <v>0</v>
      </c>
    </row>
    <row r="63" ht="15.75" customHeight="1">
      <c r="A63" s="55" t="str">
        <f>SiteAttendu!$A63</f>
        <v>C1144</v>
      </c>
      <c r="B63" s="56" t="str">
        <f>VLOOKUP($A63,SiteAttendu!$A$2:$C$366,2,0)</f>
        <v>PMI COMBES-BINGERVILLE</v>
      </c>
      <c r="C63" s="57" t="str">
        <f>VLOOKUP($A63,SiteAttendu!$A$2:$C$366,3,0)</f>
        <v>ABIDJAN 2</v>
      </c>
      <c r="D63" s="58" t="str">
        <f>IF(VLOOKUP(A63,SiteAttendu!$A$2:$P$366,4,0)="NA","NA",COUNTIFS(soccode,A63,socprog,"PNLS/ANTIRETROVIRAUX ET IO",socprompt,1))</f>
        <v>NA</v>
      </c>
      <c r="E63" s="58" t="str">
        <f>IF(VLOOKUP($A63,SiteAttendu!$A$2:$O$366,5,0)="NA","NA",COUNTIFS(soccode,A63,socprog,"PNLS/TESTS RAPIDES ET CONSOMMABLES",socprompt,1))</f>
        <v>NA</v>
      </c>
      <c r="F63" s="58" t="str">
        <f>IF(VLOOKUP($A63,SiteAttendu!$A$2:$O$366,6,0)="NA","NA",COUNTIFS(soccode,A63,socprog,"PNLS/PRODUITS DE LABORATOIRE",socprompt,1))</f>
        <v>NA</v>
      </c>
      <c r="G63" s="58" t="str">
        <f>IF(VLOOKUP($A63,SiteAttendu!$A$2:$O$366,7,0)="NA","NA",COUNTIFS(soccode,A63,socprog,"PNLS/CHARGES VIRALES",socprompt,1))</f>
        <v>NA</v>
      </c>
      <c r="H63" s="58">
        <f>IF(VLOOKUP($A63,SiteAttendu!$A$2:$O$366,9,0)="NA","NA",COUNTIFS(soccode,A63,socprog,"PNLP/MEDICAMENTS ET INTRANTS",socprompt,1))</f>
        <v>1</v>
      </c>
      <c r="I63" s="58">
        <f>IF(VLOOKUP($A63,SiteAttendu!$A$2:$O$366,10,0)="NA","NA",COUNTIFS(soccode,$A63,socprog,"PNSME/MEDICAMENTS ET INTRANTS",socprompt,1))</f>
        <v>1</v>
      </c>
      <c r="J63" s="58" t="str">
        <f>IF(VLOOKUP($A63,SiteAttendu!$A$2:$O$366,11,0)="NA","NA",COUNTIFS(soccode,$A63,socprog,"PNN/MEDICAMENTS ET INTRANTS",socprompt,1))</f>
        <v>NA</v>
      </c>
      <c r="K63" s="58" t="str">
        <f>IF(VLOOKUP($A63,SiteAttendu!$A$2:$O$366,15,0)="NA","NA",IF(COUNTIF(socprog,"PNLT/SENSIBLE MEDICAMENTS ET INTRANTS")=0,"NA",COUNTIFS(soccode,$A63,socprog,"PNLT/SENSIBLE MEDICAMENTS ET INTRANTS",socprompt,1)))</f>
        <v>NA</v>
      </c>
      <c r="L63" s="60"/>
      <c r="M63" s="85">
        <f t="shared" ref="M63:S63" si="65">IFERROR(SUMIFS(E$2:E$364,$C$2:$C$364,$C63)/COUNTIFS(E$2:E$364,"&lt;&gt;NA",$C$2:$C$364,$C63),"")</f>
        <v>0.6666666667</v>
      </c>
      <c r="N63" s="85">
        <f t="shared" si="65"/>
        <v>0.6818181818</v>
      </c>
      <c r="O63" s="85">
        <f t="shared" si="65"/>
        <v>0.5384615385</v>
      </c>
      <c r="P63" s="85">
        <f t="shared" si="65"/>
        <v>0.7804878049</v>
      </c>
      <c r="Q63" s="85">
        <f t="shared" si="65"/>
        <v>0.8</v>
      </c>
      <c r="R63" s="85">
        <f t="shared" si="65"/>
        <v>0.625</v>
      </c>
      <c r="S63" s="85">
        <f t="shared" si="65"/>
        <v>0.6842105263</v>
      </c>
      <c r="T63" s="127">
        <f t="shared" si="3"/>
        <v>0.6590909091</v>
      </c>
      <c r="U63" s="53">
        <f t="shared" si="4"/>
        <v>0</v>
      </c>
      <c r="V63" s="54">
        <f t="shared" si="5"/>
        <v>0</v>
      </c>
    </row>
    <row r="64" ht="15.75" customHeight="1">
      <c r="A64" s="55" t="str">
        <f>SiteAttendu!$A64</f>
        <v>C1399</v>
      </c>
      <c r="B64" s="56" t="str">
        <f>VLOOKUP($A64,SiteAttendu!$A$2:$C$366,2,0)</f>
        <v>ASAPSU (1) ASS.SOUTIEN.AUTOPROMO.SANIT</v>
      </c>
      <c r="C64" s="57" t="str">
        <f>VLOOKUP($A64,SiteAttendu!$A$2:$C$366,3,0)</f>
        <v>ABIDJAN 2</v>
      </c>
      <c r="D64" s="58">
        <f>IF(VLOOKUP(A64,SiteAttendu!$A$2:$P$366,4,0)="NA","NA",COUNTIFS(soccode,A64,socprog,"PNLS/ANTIRETROVIRAUX ET IO",socprompt,1))</f>
        <v>0</v>
      </c>
      <c r="E64" s="58">
        <f>IF(VLOOKUP($A64,SiteAttendu!$A$2:$O$366,5,0)="NA","NA",COUNTIFS(soccode,A64,socprog,"PNLS/TESTS RAPIDES ET CONSOMMABLES",socprompt,1))</f>
        <v>0</v>
      </c>
      <c r="F64" s="58" t="str">
        <f>IF(VLOOKUP($A64,SiteAttendu!$A$2:$O$366,6,0)="NA","NA",COUNTIFS(soccode,A64,socprog,"PNLS/PRODUITS DE LABORATOIRE",socprompt,1))</f>
        <v>NA</v>
      </c>
      <c r="G64" s="58" t="str">
        <f>IF(VLOOKUP($A64,SiteAttendu!$A$2:$O$366,7,0)="NA","NA",COUNTIFS(soccode,A64,socprog,"PNLS/CHARGES VIRALES",socprompt,1))</f>
        <v>NA</v>
      </c>
      <c r="H64" s="58">
        <f>IF(VLOOKUP($A64,SiteAttendu!$A$2:$O$366,9,0)="NA","NA",COUNTIFS(soccode,A64,socprog,"PNLP/MEDICAMENTS ET INTRANTS",socprompt,1))</f>
        <v>0</v>
      </c>
      <c r="I64" s="58">
        <f>IF(VLOOKUP($A64,SiteAttendu!$A$2:$O$366,10,0)="NA","NA",COUNTIFS(soccode,$A64,socprog,"PNSME/MEDICAMENTS ET INTRANTS",socprompt,1))</f>
        <v>0</v>
      </c>
      <c r="J64" s="58" t="str">
        <f>IF(VLOOKUP($A64,SiteAttendu!$A$2:$O$366,11,0)="NA","NA",COUNTIFS(soccode,$A64,socprog,"PNN/MEDICAMENTS ET INTRANTS",socprompt,1))</f>
        <v>NA</v>
      </c>
      <c r="K64" s="58" t="str">
        <f>IF(VLOOKUP($A64,SiteAttendu!$A$2:$O$366,15,0)="NA","NA",IF(COUNTIF(socprog,"PNLT/SENSIBLE MEDICAMENTS ET INTRANTS")=0,"NA",COUNTIFS(soccode,$A64,socprog,"PNLT/SENSIBLE MEDICAMENTS ET INTRANTS",socprompt,1)))</f>
        <v>NA</v>
      </c>
      <c r="L64" s="60"/>
      <c r="M64" s="85">
        <f t="shared" ref="M64:S64" si="66">IFERROR(SUMIFS(E$2:E$364,$C$2:$C$364,$C64)/COUNTIFS(E$2:E$364,"&lt;&gt;NA",$C$2:$C$364,$C64),"")</f>
        <v>0.6666666667</v>
      </c>
      <c r="N64" s="85">
        <f t="shared" si="66"/>
        <v>0.6818181818</v>
      </c>
      <c r="O64" s="85">
        <f t="shared" si="66"/>
        <v>0.5384615385</v>
      </c>
      <c r="P64" s="85">
        <f t="shared" si="66"/>
        <v>0.7804878049</v>
      </c>
      <c r="Q64" s="85">
        <f t="shared" si="66"/>
        <v>0.8</v>
      </c>
      <c r="R64" s="85">
        <f t="shared" si="66"/>
        <v>0.625</v>
      </c>
      <c r="S64" s="85">
        <f t="shared" si="66"/>
        <v>0.6842105263</v>
      </c>
      <c r="T64" s="127">
        <f t="shared" si="3"/>
        <v>0.6590909091</v>
      </c>
      <c r="U64" s="53">
        <f t="shared" si="4"/>
        <v>0</v>
      </c>
      <c r="V64" s="54">
        <f t="shared" si="5"/>
        <v>2</v>
      </c>
    </row>
    <row r="65" ht="15.75" customHeight="1">
      <c r="A65" s="55" t="str">
        <f>SiteAttendu!$A65</f>
        <v>C1400</v>
      </c>
      <c r="B65" s="56" t="str">
        <f>VLOOKUP($A65,SiteAttendu!$A$2:$C$366,2,0)</f>
        <v>DISTRICT SANITAIRE COCODY BINGERVILLE</v>
      </c>
      <c r="C65" s="57" t="str">
        <f>VLOOKUP($A65,SiteAttendu!$A$2:$C$366,3,0)</f>
        <v>ABIDJAN 2</v>
      </c>
      <c r="D65" s="58">
        <f>IF(VLOOKUP(A65,SiteAttendu!$A$2:$P$366,4,0)="NA","NA",COUNTIFS(soccode,A65,socprog,"PNLS/ANTIRETROVIRAUX ET IO",socprompt,1))</f>
        <v>0</v>
      </c>
      <c r="E65" s="58">
        <f>IF(VLOOKUP($A65,SiteAttendu!$A$2:$O$366,5,0)="NA","NA",COUNTIFS(soccode,A65,socprog,"PNLS/TESTS RAPIDES ET CONSOMMABLES",socprompt,1))</f>
        <v>1</v>
      </c>
      <c r="F65" s="58">
        <f>IF(VLOOKUP($A65,SiteAttendu!$A$2:$O$366,6,0)="NA","NA",COUNTIFS(soccode,A65,socprog,"PNLS/PRODUITS DE LABORATOIRE",socprompt,1))</f>
        <v>1</v>
      </c>
      <c r="G65" s="58" t="str">
        <f>IF(VLOOKUP($A65,SiteAttendu!$A$2:$O$366,7,0)="NA","NA",COUNTIFS(soccode,A65,socprog,"PNLS/CHARGES VIRALES",socprompt,1))</f>
        <v>NA</v>
      </c>
      <c r="H65" s="58">
        <f>IF(VLOOKUP($A65,SiteAttendu!$A$2:$O$366,9,0)="NA","NA",COUNTIFS(soccode,A65,socprog,"PNLP/MEDICAMENTS ET INTRANTS",socprompt,1))</f>
        <v>0</v>
      </c>
      <c r="I65" s="58">
        <f>IF(VLOOKUP($A65,SiteAttendu!$A$2:$O$366,10,0)="NA","NA",COUNTIFS(soccode,$A65,socprog,"PNSME/MEDICAMENTS ET INTRANTS",socprompt,1))</f>
        <v>1</v>
      </c>
      <c r="J65" s="58">
        <f>IF(VLOOKUP($A65,SiteAttendu!$A$2:$O$366,11,0)="NA","NA",COUNTIFS(soccode,$A65,socprog,"PNN/MEDICAMENTS ET INTRANTS",socprompt,1))</f>
        <v>1</v>
      </c>
      <c r="K65" s="58" t="str">
        <f>IF(VLOOKUP($A65,SiteAttendu!$A$2:$O$366,15,0)="NA","NA",IF(COUNTIF(socprog,"PNLT/SENSIBLE MEDICAMENTS ET INTRANTS")=0,"NA",COUNTIFS(soccode,$A65,socprog,"PNLT/SENSIBLE MEDICAMENTS ET INTRANTS",socprompt,1)))</f>
        <v>NA</v>
      </c>
      <c r="L65" s="60"/>
      <c r="M65" s="85">
        <f t="shared" ref="M65:S65" si="67">IFERROR(SUMIFS(E$2:E$364,$C$2:$C$364,$C65)/COUNTIFS(E$2:E$364,"&lt;&gt;NA",$C$2:$C$364,$C65),"")</f>
        <v>0.6666666667</v>
      </c>
      <c r="N65" s="85">
        <f t="shared" si="67"/>
        <v>0.6818181818</v>
      </c>
      <c r="O65" s="85">
        <f t="shared" si="67"/>
        <v>0.5384615385</v>
      </c>
      <c r="P65" s="85">
        <f t="shared" si="67"/>
        <v>0.7804878049</v>
      </c>
      <c r="Q65" s="85">
        <f t="shared" si="67"/>
        <v>0.8</v>
      </c>
      <c r="R65" s="85">
        <f t="shared" si="67"/>
        <v>0.625</v>
      </c>
      <c r="S65" s="85">
        <f t="shared" si="67"/>
        <v>0.6842105263</v>
      </c>
      <c r="T65" s="127">
        <f t="shared" si="3"/>
        <v>0.6590909091</v>
      </c>
      <c r="U65" s="53">
        <f t="shared" si="4"/>
        <v>2</v>
      </c>
      <c r="V65" s="54">
        <f t="shared" si="5"/>
        <v>3</v>
      </c>
    </row>
    <row r="66" ht="15.75" customHeight="1">
      <c r="A66" s="55" t="str">
        <f>SiteAttendu!$A66</f>
        <v>C1745</v>
      </c>
      <c r="B66" s="56" t="str">
        <f>VLOOKUP($A66,SiteAttendu!$A$2:$C$366,2,0)</f>
        <v>CHU ANGRE</v>
      </c>
      <c r="C66" s="57" t="str">
        <f>VLOOKUP($A66,SiteAttendu!$A$2:$C$366,3,0)</f>
        <v>ABIDJAN 2</v>
      </c>
      <c r="D66" s="58">
        <f>IF(VLOOKUP(A66,SiteAttendu!$A$2:$P$366,4,0)="NA","NA",COUNTIFS(soccode,A66,socprog,"PNLS/ANTIRETROVIRAUX ET IO",socprompt,1))</f>
        <v>1</v>
      </c>
      <c r="E66" s="58">
        <f>IF(VLOOKUP($A66,SiteAttendu!$A$2:$O$366,5,0)="NA","NA",COUNTIFS(soccode,A66,socprog,"PNLS/TESTS RAPIDES ET CONSOMMABLES",socprompt,1))</f>
        <v>1</v>
      </c>
      <c r="F66" s="58" t="str">
        <f>IF(VLOOKUP($A66,SiteAttendu!$A$2:$O$366,6,0)="NA","NA",COUNTIFS(soccode,A66,socprog,"PNLS/PRODUITS DE LABORATOIRE",socprompt,1))</f>
        <v>NA</v>
      </c>
      <c r="G66" s="58">
        <f>IF(VLOOKUP($A66,SiteAttendu!$A$2:$O$366,7,0)="NA","NA",COUNTIFS(soccode,A66,socprog,"PNLS/CHARGES VIRALES",socprompt,1))</f>
        <v>1</v>
      </c>
      <c r="H66" s="58">
        <f>IF(VLOOKUP($A66,SiteAttendu!$A$2:$O$366,9,0)="NA","NA",COUNTIFS(soccode,A66,socprog,"PNLP/MEDICAMENTS ET INTRANTS",socprompt,1))</f>
        <v>1</v>
      </c>
      <c r="I66" s="58">
        <f>IF(VLOOKUP($A66,SiteAttendu!$A$2:$O$366,10,0)="NA","NA",COUNTIFS(soccode,$A66,socprog,"PNSME/MEDICAMENTS ET INTRANTS",socprompt,1))</f>
        <v>1</v>
      </c>
      <c r="J66" s="58" t="str">
        <f>IF(VLOOKUP($A66,SiteAttendu!$A$2:$O$366,11,0)="NA","NA",COUNTIFS(soccode,$A66,socprog,"PNN/MEDICAMENTS ET INTRANTS",socprompt,1))</f>
        <v>NA</v>
      </c>
      <c r="K66" s="58" t="str">
        <f>IF(VLOOKUP($A66,SiteAttendu!$A$2:$O$366,15,0)="NA","NA",IF(COUNTIF(socprog,"PNLT/SENSIBLE MEDICAMENTS ET INTRANTS")=0,"NA",COUNTIFS(soccode,$A66,socprog,"PNLT/SENSIBLE MEDICAMENTS ET INTRANTS",socprompt,1)))</f>
        <v>NA</v>
      </c>
      <c r="L66" s="60"/>
      <c r="M66" s="85">
        <f t="shared" ref="M66:S66" si="68">IFERROR(SUMIFS(E$2:E$364,$C$2:$C$364,$C66)/COUNTIFS(E$2:E$364,"&lt;&gt;NA",$C$2:$C$364,$C66),"")</f>
        <v>0.6666666667</v>
      </c>
      <c r="N66" s="85">
        <f t="shared" si="68"/>
        <v>0.6818181818</v>
      </c>
      <c r="O66" s="85">
        <f t="shared" si="68"/>
        <v>0.5384615385</v>
      </c>
      <c r="P66" s="85">
        <f t="shared" si="68"/>
        <v>0.7804878049</v>
      </c>
      <c r="Q66" s="85">
        <f t="shared" si="68"/>
        <v>0.8</v>
      </c>
      <c r="R66" s="85">
        <f t="shared" si="68"/>
        <v>0.625</v>
      </c>
      <c r="S66" s="85">
        <f t="shared" si="68"/>
        <v>0.6842105263</v>
      </c>
      <c r="T66" s="127">
        <f t="shared" si="3"/>
        <v>0.6590909091</v>
      </c>
      <c r="U66" s="53">
        <f t="shared" si="4"/>
        <v>3</v>
      </c>
      <c r="V66" s="54">
        <f t="shared" si="5"/>
        <v>3</v>
      </c>
    </row>
    <row r="67" ht="15.75" customHeight="1">
      <c r="A67" s="55" t="str">
        <f>SiteAttendu!$A67</f>
        <v>C1005</v>
      </c>
      <c r="B67" s="56" t="str">
        <f>VLOOKUP($A67,SiteAttendu!$A$2:$C$366,2,0)</f>
        <v>CHU COCODY</v>
      </c>
      <c r="C67" s="57" t="str">
        <f>VLOOKUP($A67,SiteAttendu!$A$2:$C$366,3,0)</f>
        <v>ABIDJAN 2</v>
      </c>
      <c r="D67" s="58">
        <f>IF(VLOOKUP(A67,SiteAttendu!$A$2:$P$366,4,0)="NA","NA",COUNTIFS(soccode,A67,socprog,"PNLS/ANTIRETROVIRAUX ET IO",socprompt,1))</f>
        <v>0</v>
      </c>
      <c r="E67" s="58">
        <f>IF(VLOOKUP($A67,SiteAttendu!$A$2:$O$366,5,0)="NA","NA",COUNTIFS(soccode,A67,socprog,"PNLS/TESTS RAPIDES ET CONSOMMABLES",socprompt,1))</f>
        <v>0</v>
      </c>
      <c r="F67" s="58">
        <f>IF(VLOOKUP($A67,SiteAttendu!$A$2:$O$366,6,0)="NA","NA",COUNTIFS(soccode,A67,socprog,"PNLS/PRODUITS DE LABORATOIRE",socprompt,1))</f>
        <v>0</v>
      </c>
      <c r="G67" s="58" t="str">
        <f>IF(VLOOKUP($A67,SiteAttendu!$A$2:$O$366,7,0)="NA","NA",COUNTIFS(soccode,A67,socprog,"PNLS/CHARGES VIRALES",socprompt,1))</f>
        <v>NA</v>
      </c>
      <c r="H67" s="58" t="str">
        <f>IF(VLOOKUP($A67,SiteAttendu!$A$2:$O$366,9,0)="NA","NA",COUNTIFS(soccode,A67,socprog,"PNLP/MEDICAMENTS ET INTRANTS",socprompt,1))</f>
        <v>NA</v>
      </c>
      <c r="I67" s="58" t="str">
        <f>IF(VLOOKUP($A67,SiteAttendu!$A$2:$O$366,10,0)="NA","NA",COUNTIFS(soccode,$A67,socprog,"PNSME/MEDICAMENTS ET INTRANTS",socprompt,1))</f>
        <v>NA</v>
      </c>
      <c r="J67" s="58">
        <f>IF(VLOOKUP($A67,SiteAttendu!$A$2:$O$366,11,0)="NA","NA",COUNTIFS(soccode,$A67,socprog,"PNN/MEDICAMENTS ET INTRANTS",socprompt,1))</f>
        <v>0</v>
      </c>
      <c r="K67" s="58">
        <f>IF(VLOOKUP($A67,SiteAttendu!$A$2:$O$366,15,0)="NA","NA",IF(COUNTIF(socprog,"PNLT/SENSIBLE MEDICAMENTS ET INTRANTS")=0,"NA",COUNTIFS(soccode,$A67,socprog,"PNLT/SENSIBLE MEDICAMENTS ET INTRANTS",socprompt,1)))</f>
        <v>0</v>
      </c>
      <c r="L67" s="60"/>
      <c r="M67" s="85">
        <f t="shared" ref="M67:S67" si="69">IFERROR(SUMIFS(E$2:E$364,$C$2:$C$364,$C67)/COUNTIFS(E$2:E$364,"&lt;&gt;NA",$C$2:$C$364,$C67),"")</f>
        <v>0.6666666667</v>
      </c>
      <c r="N67" s="85">
        <f t="shared" si="69"/>
        <v>0.6818181818</v>
      </c>
      <c r="O67" s="85">
        <f t="shared" si="69"/>
        <v>0.5384615385</v>
      </c>
      <c r="P67" s="85">
        <f t="shared" si="69"/>
        <v>0.7804878049</v>
      </c>
      <c r="Q67" s="85">
        <f t="shared" si="69"/>
        <v>0.8</v>
      </c>
      <c r="R67" s="85">
        <f t="shared" si="69"/>
        <v>0.625</v>
      </c>
      <c r="S67" s="85">
        <f t="shared" si="69"/>
        <v>0.6842105263</v>
      </c>
      <c r="T67" s="127">
        <f t="shared" si="3"/>
        <v>0.6590909091</v>
      </c>
      <c r="U67" s="53">
        <f t="shared" si="4"/>
        <v>0</v>
      </c>
      <c r="V67" s="54">
        <f t="shared" si="5"/>
        <v>3</v>
      </c>
    </row>
    <row r="68" ht="15.75" customHeight="1">
      <c r="A68" s="55" t="str">
        <f>SiteAttendu!$A68</f>
        <v>C1107</v>
      </c>
      <c r="B68" s="56" t="str">
        <f>VLOOKUP($A68,SiteAttendu!$A$2:$C$366,2,0)</f>
        <v>INSTITUT PASTEUR COTE D'IVOIRE</v>
      </c>
      <c r="C68" s="57" t="str">
        <f>VLOOKUP($A68,SiteAttendu!$A$2:$C$366,3,0)</f>
        <v>ABIDJAN 2</v>
      </c>
      <c r="D68" s="58">
        <f>IF(VLOOKUP(A68,SiteAttendu!$A$2:$P$366,4,0)="NA","NA",COUNTIFS(soccode,A68,socprog,"PNLS/ANTIRETROVIRAUX ET IO",socprompt,1))</f>
        <v>1</v>
      </c>
      <c r="E68" s="58">
        <f>IF(VLOOKUP($A68,SiteAttendu!$A$2:$O$366,5,0)="NA","NA",COUNTIFS(soccode,A68,socprog,"PNLS/TESTS RAPIDES ET CONSOMMABLES",socprompt,1))</f>
        <v>1</v>
      </c>
      <c r="F68" s="58">
        <f>IF(VLOOKUP($A68,SiteAttendu!$A$2:$O$366,6,0)="NA","NA",COUNTIFS(soccode,A68,socprog,"PNLS/PRODUITS DE LABORATOIRE",socprompt,1))</f>
        <v>1</v>
      </c>
      <c r="G68" s="58">
        <f>IF(VLOOKUP($A68,SiteAttendu!$A$2:$O$366,7,0)="NA","NA",COUNTIFS(soccode,A68,socprog,"PNLS/CHARGES VIRALES",socprompt,1))</f>
        <v>1</v>
      </c>
      <c r="H68" s="58" t="str">
        <f>IF(VLOOKUP($A68,SiteAttendu!$A$2:$O$366,9,0)="NA","NA",COUNTIFS(soccode,A68,socprog,"PNLP/MEDICAMENTS ET INTRANTS",socprompt,1))</f>
        <v>NA</v>
      </c>
      <c r="I68" s="58" t="str">
        <f>IF(VLOOKUP($A68,SiteAttendu!$A$2:$O$366,10,0)="NA","NA",COUNTIFS(soccode,$A68,socprog,"PNSME/MEDICAMENTS ET INTRANTS",socprompt,1))</f>
        <v>NA</v>
      </c>
      <c r="J68" s="58" t="str">
        <f>IF(VLOOKUP($A68,SiteAttendu!$A$2:$O$366,11,0)="NA","NA",COUNTIFS(soccode,$A68,socprog,"PNN/MEDICAMENTS ET INTRANTS",socprompt,1))</f>
        <v>NA</v>
      </c>
      <c r="K68" s="58" t="str">
        <f>IF(VLOOKUP($A68,SiteAttendu!$A$2:$O$366,15,0)="NA","NA",IF(COUNTIF(socprog,"PNLT/SENSIBLE MEDICAMENTS ET INTRANTS")=0,"NA",COUNTIFS(soccode,$A68,socprog,"PNLT/SENSIBLE MEDICAMENTS ET INTRANTS",socprompt,1)))</f>
        <v>NA</v>
      </c>
      <c r="L68" s="60"/>
      <c r="M68" s="85">
        <f t="shared" ref="M68:S68" si="70">IFERROR(SUMIFS(E$2:E$364,$C$2:$C$364,$C68)/COUNTIFS(E$2:E$364,"&lt;&gt;NA",$C$2:$C$364,$C68),"")</f>
        <v>0.6666666667</v>
      </c>
      <c r="N68" s="85">
        <f t="shared" si="70"/>
        <v>0.6818181818</v>
      </c>
      <c r="O68" s="85">
        <f t="shared" si="70"/>
        <v>0.5384615385</v>
      </c>
      <c r="P68" s="85">
        <f t="shared" si="70"/>
        <v>0.7804878049</v>
      </c>
      <c r="Q68" s="85">
        <f t="shared" si="70"/>
        <v>0.8</v>
      </c>
      <c r="R68" s="85">
        <f t="shared" si="70"/>
        <v>0.625</v>
      </c>
      <c r="S68" s="85">
        <f t="shared" si="70"/>
        <v>0.6842105263</v>
      </c>
      <c r="T68" s="127">
        <f t="shared" si="3"/>
        <v>0.6590909091</v>
      </c>
      <c r="U68" s="53">
        <f t="shared" si="4"/>
        <v>4</v>
      </c>
      <c r="V68" s="54">
        <f t="shared" si="5"/>
        <v>4</v>
      </c>
    </row>
    <row r="69" ht="15.75" customHeight="1">
      <c r="A69" s="55" t="str">
        <f>SiteAttendu!$A69</f>
        <v>C1749</v>
      </c>
      <c r="B69" s="56" t="str">
        <f>VLOOKUP($A69,SiteAttendu!$A$2:$C$366,2,0)</f>
        <v>CENTRE ANTITUBERCULEUX BINGERVILLE</v>
      </c>
      <c r="C69" s="57" t="str">
        <f>VLOOKUP($A69,SiteAttendu!$A$2:$C$366,3,0)</f>
        <v>ABIDJAN 2</v>
      </c>
      <c r="D69" s="58" t="str">
        <f>IF(VLOOKUP(A69,SiteAttendu!$A$2:$P$366,4,0)="NA","NA",COUNTIFS(soccode,A69,socprog,"PNLS/ANTIRETROVIRAUX ET IO",socprompt,1))</f>
        <v>NA</v>
      </c>
      <c r="E69" s="58" t="str">
        <f>IF(VLOOKUP($A69,SiteAttendu!$A$2:$O$366,5,0)="NA","NA",COUNTIFS(soccode,A69,socprog,"PNLS/TESTS RAPIDES ET CONSOMMABLES",socprompt,1))</f>
        <v>NA</v>
      </c>
      <c r="F69" s="58" t="str">
        <f>IF(VLOOKUP($A69,SiteAttendu!$A$2:$O$366,6,0)="NA","NA",COUNTIFS(soccode,A69,socprog,"PNLS/PRODUITS DE LABORATOIRE",socprompt,1))</f>
        <v>NA</v>
      </c>
      <c r="G69" s="58" t="str">
        <f>IF(VLOOKUP($A69,SiteAttendu!$A$2:$O$366,7,0)="NA","NA",COUNTIFS(soccode,A69,socprog,"PNLS/CHARGES VIRALES",socprompt,1))</f>
        <v>NA</v>
      </c>
      <c r="H69" s="58" t="str">
        <f>IF(VLOOKUP($A69,SiteAttendu!$A$2:$O$366,9,0)="NA","NA",COUNTIFS(soccode,A69,socprog,"PNLP/MEDICAMENTS ET INTRANTS",socprompt,1))</f>
        <v>NA</v>
      </c>
      <c r="I69" s="58" t="str">
        <f>IF(VLOOKUP($A69,SiteAttendu!$A$2:$O$366,10,0)="NA","NA",COUNTIFS(soccode,$A69,socprog,"PNSME/MEDICAMENTS ET INTRANTS",socprompt,1))</f>
        <v>NA</v>
      </c>
      <c r="J69" s="58" t="str">
        <f>IF(VLOOKUP($A69,SiteAttendu!$A$2:$O$366,11,0)="NA","NA",COUNTIFS(soccode,$A69,socprog,"PNN/MEDICAMENTS ET INTRANTS",socprompt,1))</f>
        <v>NA</v>
      </c>
      <c r="K69" s="58">
        <f>IF(VLOOKUP($A69,SiteAttendu!$A$2:$O$366,15,0)="NA","NA",IF(COUNTIF(socprog,"PNLT/SENSIBLE MEDICAMENTS ET INTRANTS")=0,"NA",COUNTIFS(soccode,$A69,socprog,"PNLT/SENSIBLE MEDICAMENTS ET INTRANTS",socprompt,1)))</f>
        <v>1</v>
      </c>
      <c r="L69" s="60"/>
      <c r="M69" s="85">
        <f t="shared" ref="M69:S69" si="71">IFERROR(SUMIFS(E$2:E$364,$C$2:$C$364,$C69)/COUNTIFS(E$2:E$364,"&lt;&gt;NA",$C$2:$C$364,$C69),"")</f>
        <v>0.6666666667</v>
      </c>
      <c r="N69" s="85">
        <f t="shared" si="71"/>
        <v>0.6818181818</v>
      </c>
      <c r="O69" s="85">
        <f t="shared" si="71"/>
        <v>0.5384615385</v>
      </c>
      <c r="P69" s="85">
        <f t="shared" si="71"/>
        <v>0.7804878049</v>
      </c>
      <c r="Q69" s="85">
        <f t="shared" si="71"/>
        <v>0.8</v>
      </c>
      <c r="R69" s="85">
        <f t="shared" si="71"/>
        <v>0.625</v>
      </c>
      <c r="S69" s="85">
        <f t="shared" si="71"/>
        <v>0.6842105263</v>
      </c>
      <c r="T69" s="127">
        <f t="shared" si="3"/>
        <v>0.6590909091</v>
      </c>
      <c r="U69" s="53">
        <f t="shared" si="4"/>
        <v>0</v>
      </c>
      <c r="V69" s="54">
        <f t="shared" si="5"/>
        <v>0</v>
      </c>
    </row>
    <row r="70" ht="15.75" customHeight="1">
      <c r="A70" s="55" t="str">
        <f>SiteAttendu!$A70</f>
        <v>C1175</v>
      </c>
      <c r="B70" s="56" t="str">
        <f>VLOOKUP($A70,SiteAttendu!$A$2:$C$366,2,0)</f>
        <v>DISPENSAIRE MUNICIPAL AKOUEDO</v>
      </c>
      <c r="C70" s="57" t="str">
        <f>VLOOKUP($A70,SiteAttendu!$A$2:$C$366,3,0)</f>
        <v>ABIDJAN 2</v>
      </c>
      <c r="D70" s="58" t="str">
        <f>IF(VLOOKUP(A70,SiteAttendu!$A$2:$P$366,4,0)="NA","NA",COUNTIFS(soccode,A70,socprog,"PNLS/ANTIRETROVIRAUX ET IO",socprompt,1))</f>
        <v>NA</v>
      </c>
      <c r="E70" s="58" t="str">
        <f>IF(VLOOKUP($A70,SiteAttendu!$A$2:$O$366,5,0)="NA","NA",COUNTIFS(soccode,A70,socprog,"PNLS/TESTS RAPIDES ET CONSOMMABLES",socprompt,1))</f>
        <v>NA</v>
      </c>
      <c r="F70" s="58" t="str">
        <f>IF(VLOOKUP($A70,SiteAttendu!$A$2:$O$366,6,0)="NA","NA",COUNTIFS(soccode,A70,socprog,"PNLS/PRODUITS DE LABORATOIRE",socprompt,1))</f>
        <v>NA</v>
      </c>
      <c r="G70" s="58" t="str">
        <f>IF(VLOOKUP($A70,SiteAttendu!$A$2:$O$366,7,0)="NA","NA",COUNTIFS(soccode,A70,socprog,"PNLS/CHARGES VIRALES",socprompt,1))</f>
        <v>NA</v>
      </c>
      <c r="H70" s="58" t="str">
        <f>IF(VLOOKUP($A70,SiteAttendu!$A$2:$O$366,9,0)="NA","NA",COUNTIFS(soccode,A70,socprog,"PNLP/MEDICAMENTS ET INTRANTS",socprompt,1))</f>
        <v>NA</v>
      </c>
      <c r="I70" s="58">
        <f>IF(VLOOKUP($A70,SiteAttendu!$A$2:$O$366,10,0)="NA","NA",COUNTIFS(soccode,$A70,socprog,"PNSME/MEDICAMENTS ET INTRANTS",socprompt,1))</f>
        <v>1</v>
      </c>
      <c r="J70" s="58" t="str">
        <f>IF(VLOOKUP($A70,SiteAttendu!$A$2:$O$366,11,0)="NA","NA",COUNTIFS(soccode,$A70,socprog,"PNN/MEDICAMENTS ET INTRANTS",socprompt,1))</f>
        <v>NA</v>
      </c>
      <c r="K70" s="58" t="str">
        <f>IF(VLOOKUP($A70,SiteAttendu!$A$2:$O$366,15,0)="NA","NA",IF(COUNTIF(socprog,"PNLT/SENSIBLE MEDICAMENTS ET INTRANTS")=0,"NA",COUNTIFS(soccode,$A70,socprog,"PNLT/SENSIBLE MEDICAMENTS ET INTRANTS",socprompt,1)))</f>
        <v>NA</v>
      </c>
      <c r="L70" s="60"/>
      <c r="M70" s="85">
        <f t="shared" ref="M70:S70" si="72">IFERROR(SUMIFS(E$2:E$364,$C$2:$C$364,$C70)/COUNTIFS(E$2:E$364,"&lt;&gt;NA",$C$2:$C$364,$C70),"")</f>
        <v>0.6666666667</v>
      </c>
      <c r="N70" s="85">
        <f t="shared" si="72"/>
        <v>0.6818181818</v>
      </c>
      <c r="O70" s="85">
        <f t="shared" si="72"/>
        <v>0.5384615385</v>
      </c>
      <c r="P70" s="85">
        <f t="shared" si="72"/>
        <v>0.7804878049</v>
      </c>
      <c r="Q70" s="85">
        <f t="shared" si="72"/>
        <v>0.8</v>
      </c>
      <c r="R70" s="85">
        <f t="shared" si="72"/>
        <v>0.625</v>
      </c>
      <c r="S70" s="85">
        <f t="shared" si="72"/>
        <v>0.6842105263</v>
      </c>
      <c r="T70" s="127">
        <f t="shared" si="3"/>
        <v>0.6590909091</v>
      </c>
      <c r="U70" s="53">
        <f t="shared" si="4"/>
        <v>0</v>
      </c>
      <c r="V70" s="54">
        <f t="shared" si="5"/>
        <v>0</v>
      </c>
    </row>
    <row r="71" ht="15.75" customHeight="1">
      <c r="A71" s="55" t="str">
        <f>SiteAttendu!$A71</f>
        <v>C1027</v>
      </c>
      <c r="B71" s="56" t="str">
        <f>VLOOKUP($A71,SiteAttendu!$A$2:$C$366,2,0)</f>
        <v>CSU COM KOUMASSI-DIVO</v>
      </c>
      <c r="C71" s="57" t="str">
        <f>VLOOKUP($A71,SiteAttendu!$A$2:$C$366,3,0)</f>
        <v>ABIDJAN 2</v>
      </c>
      <c r="D71" s="58" t="str">
        <f>IF(VLOOKUP(A71,SiteAttendu!$A$2:$P$366,4,0)="NA","NA",COUNTIFS(soccode,A71,socprog,"PNLS/ANTIRETROVIRAUX ET IO",socprompt,1))</f>
        <v>NA</v>
      </c>
      <c r="E71" s="58" t="str">
        <f>IF(VLOOKUP($A71,SiteAttendu!$A$2:$O$366,5,0)="NA","NA",COUNTIFS(soccode,A71,socprog,"PNLS/TESTS RAPIDES ET CONSOMMABLES",socprompt,1))</f>
        <v>NA</v>
      </c>
      <c r="F71" s="58" t="str">
        <f>IF(VLOOKUP($A71,SiteAttendu!$A$2:$O$366,6,0)="NA","NA",COUNTIFS(soccode,A71,socprog,"PNLS/PRODUITS DE LABORATOIRE",socprompt,1))</f>
        <v>NA</v>
      </c>
      <c r="G71" s="58" t="str">
        <f>IF(VLOOKUP($A71,SiteAttendu!$A$2:$O$366,7,0)="NA","NA",COUNTIFS(soccode,A71,socprog,"PNLS/CHARGES VIRALES",socprompt,1))</f>
        <v>NA</v>
      </c>
      <c r="H71" s="58">
        <f>IF(VLOOKUP($A71,SiteAttendu!$A$2:$O$366,9,0)="NA","NA",COUNTIFS(soccode,A71,socprog,"PNLP/MEDICAMENTS ET INTRANTS",socprompt,1))</f>
        <v>1</v>
      </c>
      <c r="I71" s="58">
        <f>IF(VLOOKUP($A71,SiteAttendu!$A$2:$O$366,10,0)="NA","NA",COUNTIFS(soccode,$A71,socprog,"PNSME/MEDICAMENTS ET INTRANTS",socprompt,1))</f>
        <v>1</v>
      </c>
      <c r="J71" s="58" t="str">
        <f>IF(VLOOKUP($A71,SiteAttendu!$A$2:$O$366,11,0)="NA","NA",COUNTIFS(soccode,$A71,socprog,"PNN/MEDICAMENTS ET INTRANTS",socprompt,1))</f>
        <v>NA</v>
      </c>
      <c r="K71" s="58">
        <f>IF(VLOOKUP($A71,SiteAttendu!$A$2:$O$366,15,0)="NA","NA",IF(COUNTIF(socprog,"PNLT/SENSIBLE MEDICAMENTS ET INTRANTS")=0,"NA",COUNTIFS(soccode,$A71,socprog,"PNLT/SENSIBLE MEDICAMENTS ET INTRANTS",socprompt,1)))</f>
        <v>1</v>
      </c>
      <c r="L71" s="60"/>
      <c r="M71" s="85">
        <f t="shared" ref="M71:S71" si="73">IFERROR(SUMIFS(E$2:E$364,$C$2:$C$364,$C71)/COUNTIFS(E$2:E$364,"&lt;&gt;NA",$C$2:$C$364,$C71),"")</f>
        <v>0.6666666667</v>
      </c>
      <c r="N71" s="85">
        <f t="shared" si="73"/>
        <v>0.6818181818</v>
      </c>
      <c r="O71" s="85">
        <f t="shared" si="73"/>
        <v>0.5384615385</v>
      </c>
      <c r="P71" s="85">
        <f t="shared" si="73"/>
        <v>0.7804878049</v>
      </c>
      <c r="Q71" s="85">
        <f t="shared" si="73"/>
        <v>0.8</v>
      </c>
      <c r="R71" s="85">
        <f t="shared" si="73"/>
        <v>0.625</v>
      </c>
      <c r="S71" s="85">
        <f t="shared" si="73"/>
        <v>0.6842105263</v>
      </c>
      <c r="T71" s="127">
        <f t="shared" si="3"/>
        <v>0.6590909091</v>
      </c>
      <c r="U71" s="53">
        <f t="shared" si="4"/>
        <v>0</v>
      </c>
      <c r="V71" s="54">
        <f t="shared" si="5"/>
        <v>0</v>
      </c>
    </row>
    <row r="72" ht="15.75" customHeight="1">
      <c r="A72" s="55" t="str">
        <f>SiteAttendu!$A72</f>
        <v>C1058</v>
      </c>
      <c r="B72" s="56" t="str">
        <f>VLOOKUP($A72,SiteAttendu!$A$2:$C$366,2,0)</f>
        <v>HOPITAL GENERAL KOUMASSI</v>
      </c>
      <c r="C72" s="57" t="str">
        <f>VLOOKUP($A72,SiteAttendu!$A$2:$C$366,3,0)</f>
        <v>ABIDJAN 2</v>
      </c>
      <c r="D72" s="58">
        <f>IF(VLOOKUP(A72,SiteAttendu!$A$2:$P$366,4,0)="NA","NA",COUNTIFS(soccode,A72,socprog,"PNLS/ANTIRETROVIRAUX ET IO",socprompt,1))</f>
        <v>1</v>
      </c>
      <c r="E72" s="58">
        <f>IF(VLOOKUP($A72,SiteAttendu!$A$2:$O$366,5,0)="NA","NA",COUNTIFS(soccode,A72,socprog,"PNLS/TESTS RAPIDES ET CONSOMMABLES",socprompt,1))</f>
        <v>0</v>
      </c>
      <c r="F72" s="58">
        <f>IF(VLOOKUP($A72,SiteAttendu!$A$2:$O$366,6,0)="NA","NA",COUNTIFS(soccode,A72,socprog,"PNLS/PRODUITS DE LABORATOIRE",socprompt,1))</f>
        <v>1</v>
      </c>
      <c r="G72" s="58">
        <f>IF(VLOOKUP($A72,SiteAttendu!$A$2:$O$366,7,0)="NA","NA",COUNTIFS(soccode,A72,socprog,"PNLS/CHARGES VIRALES",socprompt,1))</f>
        <v>0</v>
      </c>
      <c r="H72" s="58">
        <f>IF(VLOOKUP($A72,SiteAttendu!$A$2:$O$366,9,0)="NA","NA",COUNTIFS(soccode,A72,socprog,"PNLP/MEDICAMENTS ET INTRANTS",socprompt,1))</f>
        <v>1</v>
      </c>
      <c r="I72" s="58">
        <f>IF(VLOOKUP($A72,SiteAttendu!$A$2:$O$366,10,0)="NA","NA",COUNTIFS(soccode,$A72,socprog,"PNSME/MEDICAMENTS ET INTRANTS",socprompt,1))</f>
        <v>1</v>
      </c>
      <c r="J72" s="58" t="str">
        <f>IF(VLOOKUP($A72,SiteAttendu!$A$2:$O$366,11,0)="NA","NA",COUNTIFS(soccode,$A72,socprog,"PNN/MEDICAMENTS ET INTRANTS",socprompt,1))</f>
        <v>NA</v>
      </c>
      <c r="K72" s="58">
        <f>IF(VLOOKUP($A72,SiteAttendu!$A$2:$O$366,15,0)="NA","NA",IF(COUNTIF(socprog,"PNLT/SENSIBLE MEDICAMENTS ET INTRANTS")=0,"NA",COUNTIFS(soccode,$A72,socprog,"PNLT/SENSIBLE MEDICAMENTS ET INTRANTS",socprompt,1)))</f>
        <v>1</v>
      </c>
      <c r="L72" s="60"/>
      <c r="M72" s="85">
        <f t="shared" ref="M72:S72" si="74">IFERROR(SUMIFS(E$2:E$364,$C$2:$C$364,$C72)/COUNTIFS(E$2:E$364,"&lt;&gt;NA",$C$2:$C$364,$C72),"")</f>
        <v>0.6666666667</v>
      </c>
      <c r="N72" s="85">
        <f t="shared" si="74"/>
        <v>0.6818181818</v>
      </c>
      <c r="O72" s="85">
        <f t="shared" si="74"/>
        <v>0.5384615385</v>
      </c>
      <c r="P72" s="85">
        <f t="shared" si="74"/>
        <v>0.7804878049</v>
      </c>
      <c r="Q72" s="85">
        <f t="shared" si="74"/>
        <v>0.8</v>
      </c>
      <c r="R72" s="85">
        <f t="shared" si="74"/>
        <v>0.625</v>
      </c>
      <c r="S72" s="85">
        <f t="shared" si="74"/>
        <v>0.6842105263</v>
      </c>
      <c r="T72" s="127">
        <f t="shared" si="3"/>
        <v>0.6590909091</v>
      </c>
      <c r="U72" s="53">
        <f t="shared" si="4"/>
        <v>2</v>
      </c>
      <c r="V72" s="54">
        <f t="shared" si="5"/>
        <v>4</v>
      </c>
    </row>
    <row r="73" ht="15.75" customHeight="1">
      <c r="A73" s="55" t="str">
        <f>SiteAttendu!$A73</f>
        <v>C1069</v>
      </c>
      <c r="B73" s="56" t="str">
        <f>VLOOKUP($A73,SiteAttendu!$A$2:$C$366,2,0)</f>
        <v>FSU COM KOUMASSI GRAND CAMPEMENT</v>
      </c>
      <c r="C73" s="57" t="str">
        <f>VLOOKUP($A73,SiteAttendu!$A$2:$C$366,3,0)</f>
        <v>ABIDJAN 2</v>
      </c>
      <c r="D73" s="58">
        <f>IF(VLOOKUP(A73,SiteAttendu!$A$2:$P$366,4,0)="NA","NA",COUNTIFS(soccode,A73,socprog,"PNLS/ANTIRETROVIRAUX ET IO",socprompt,1))</f>
        <v>1</v>
      </c>
      <c r="E73" s="58">
        <f>IF(VLOOKUP($A73,SiteAttendu!$A$2:$O$366,5,0)="NA","NA",COUNTIFS(soccode,A73,socprog,"PNLS/TESTS RAPIDES ET CONSOMMABLES",socprompt,1))</f>
        <v>1</v>
      </c>
      <c r="F73" s="58">
        <f>IF(VLOOKUP($A73,SiteAttendu!$A$2:$O$366,6,0)="NA","NA",COUNTIFS(soccode,A73,socprog,"PNLS/PRODUITS DE LABORATOIRE",socprompt,1))</f>
        <v>1</v>
      </c>
      <c r="G73" s="58" t="str">
        <f>IF(VLOOKUP($A73,SiteAttendu!$A$2:$O$366,7,0)="NA","NA",COUNTIFS(soccode,A73,socprog,"PNLS/CHARGES VIRALES",socprompt,1))</f>
        <v>NA</v>
      </c>
      <c r="H73" s="58">
        <f>IF(VLOOKUP($A73,SiteAttendu!$A$2:$O$366,9,0)="NA","NA",COUNTIFS(soccode,A73,socprog,"PNLP/MEDICAMENTS ET INTRANTS",socprompt,1))</f>
        <v>1</v>
      </c>
      <c r="I73" s="58">
        <f>IF(VLOOKUP($A73,SiteAttendu!$A$2:$O$366,10,0)="NA","NA",COUNTIFS(soccode,$A73,socprog,"PNSME/MEDICAMENTS ET INTRANTS",socprompt,1))</f>
        <v>1</v>
      </c>
      <c r="J73" s="58" t="str">
        <f>IF(VLOOKUP($A73,SiteAttendu!$A$2:$O$366,11,0)="NA","NA",COUNTIFS(soccode,$A73,socprog,"PNN/MEDICAMENTS ET INTRANTS",socprompt,1))</f>
        <v>NA</v>
      </c>
      <c r="K73" s="58" t="str">
        <f>IF(VLOOKUP($A73,SiteAttendu!$A$2:$O$366,15,0)="NA","NA",IF(COUNTIF(socprog,"PNLT/SENSIBLE MEDICAMENTS ET INTRANTS")=0,"NA",COUNTIFS(soccode,$A73,socprog,"PNLT/SENSIBLE MEDICAMENTS ET INTRANTS",socprompt,1)))</f>
        <v>NA</v>
      </c>
      <c r="L73" s="60"/>
      <c r="M73" s="85">
        <f t="shared" ref="M73:S73" si="75">IFERROR(SUMIFS(E$2:E$364,$C$2:$C$364,$C73)/COUNTIFS(E$2:E$364,"&lt;&gt;NA",$C$2:$C$364,$C73),"")</f>
        <v>0.6666666667</v>
      </c>
      <c r="N73" s="85">
        <f t="shared" si="75"/>
        <v>0.6818181818</v>
      </c>
      <c r="O73" s="85">
        <f t="shared" si="75"/>
        <v>0.5384615385</v>
      </c>
      <c r="P73" s="85">
        <f t="shared" si="75"/>
        <v>0.7804878049</v>
      </c>
      <c r="Q73" s="85">
        <f t="shared" si="75"/>
        <v>0.8</v>
      </c>
      <c r="R73" s="85">
        <f t="shared" si="75"/>
        <v>0.625</v>
      </c>
      <c r="S73" s="85">
        <f t="shared" si="75"/>
        <v>0.6842105263</v>
      </c>
      <c r="T73" s="127">
        <f t="shared" si="3"/>
        <v>0.6590909091</v>
      </c>
      <c r="U73" s="53">
        <f t="shared" si="4"/>
        <v>3</v>
      </c>
      <c r="V73" s="54">
        <f t="shared" si="5"/>
        <v>3</v>
      </c>
    </row>
    <row r="74" ht="15.75" customHeight="1">
      <c r="A74" s="55" t="str">
        <f>SiteAttendu!$A74</f>
        <v>C1904</v>
      </c>
      <c r="B74" s="56" t="str">
        <f>VLOOKUP($A74,SiteAttendu!$A$2:$C$366,2,0)</f>
        <v>DISTRICT SANITAIRE KOUMASSI</v>
      </c>
      <c r="C74" s="57" t="str">
        <f>VLOOKUP($A74,SiteAttendu!$A$2:$C$366,3,0)</f>
        <v>ABIDJAN 2</v>
      </c>
      <c r="D74" s="58">
        <f>IF(VLOOKUP(A74,SiteAttendu!$A$2:$P$366,4,0)="NA","NA",COUNTIFS(soccode,A74,socprog,"PNLS/ANTIRETROVIRAUX ET IO",socprompt,1))</f>
        <v>1</v>
      </c>
      <c r="E74" s="58">
        <f>IF(VLOOKUP($A74,SiteAttendu!$A$2:$O$366,5,0)="NA","NA",COUNTIFS(soccode,A74,socprog,"PNLS/TESTS RAPIDES ET CONSOMMABLES",socprompt,1))</f>
        <v>1</v>
      </c>
      <c r="F74" s="58">
        <f>IF(VLOOKUP($A74,SiteAttendu!$A$2:$O$366,6,0)="NA","NA",COUNTIFS(soccode,A74,socprog,"PNLS/PRODUITS DE LABORATOIRE",socprompt,1))</f>
        <v>1</v>
      </c>
      <c r="G74" s="58" t="str">
        <f>IF(VLOOKUP($A74,SiteAttendu!$A$2:$O$366,7,0)="NA","NA",COUNTIFS(soccode,A74,socprog,"PNLS/CHARGES VIRALES",socprompt,1))</f>
        <v>NA</v>
      </c>
      <c r="H74" s="58">
        <f>IF(VLOOKUP($A74,SiteAttendu!$A$2:$O$366,9,0)="NA","NA",COUNTIFS(soccode,A74,socprog,"PNLP/MEDICAMENTS ET INTRANTS",socprompt,1))</f>
        <v>1</v>
      </c>
      <c r="I74" s="58">
        <f>IF(VLOOKUP($A74,SiteAttendu!$A$2:$O$366,10,0)="NA","NA",COUNTIFS(soccode,$A74,socprog,"PNSME/MEDICAMENTS ET INTRANTS",socprompt,1))</f>
        <v>1</v>
      </c>
      <c r="J74" s="58" t="str">
        <f>IF(VLOOKUP($A74,SiteAttendu!$A$2:$O$366,11,0)="NA","NA",COUNTIFS(soccode,$A74,socprog,"PNN/MEDICAMENTS ET INTRANTS",socprompt,1))</f>
        <v>NA</v>
      </c>
      <c r="K74" s="58" t="str">
        <f>IF(VLOOKUP($A74,SiteAttendu!$A$2:$O$366,15,0)="NA","NA",IF(COUNTIF(socprog,"PNLT/SENSIBLE MEDICAMENTS ET INTRANTS")=0,"NA",COUNTIFS(soccode,$A74,socprog,"PNLT/SENSIBLE MEDICAMENTS ET INTRANTS",socprompt,1)))</f>
        <v>NA</v>
      </c>
      <c r="L74" s="60"/>
      <c r="M74" s="85">
        <f t="shared" ref="M74:S74" si="76">IFERROR(SUMIFS(E$2:E$364,$C$2:$C$364,$C74)/COUNTIFS(E$2:E$364,"&lt;&gt;NA",$C$2:$C$364,$C74),"")</f>
        <v>0.6666666667</v>
      </c>
      <c r="N74" s="85">
        <f t="shared" si="76"/>
        <v>0.6818181818</v>
      </c>
      <c r="O74" s="85">
        <f t="shared" si="76"/>
        <v>0.5384615385</v>
      </c>
      <c r="P74" s="85">
        <f t="shared" si="76"/>
        <v>0.7804878049</v>
      </c>
      <c r="Q74" s="85">
        <f t="shared" si="76"/>
        <v>0.8</v>
      </c>
      <c r="R74" s="85">
        <f t="shared" si="76"/>
        <v>0.625</v>
      </c>
      <c r="S74" s="85">
        <f t="shared" si="76"/>
        <v>0.6842105263</v>
      </c>
      <c r="T74" s="127">
        <f t="shared" si="3"/>
        <v>0.6590909091</v>
      </c>
      <c r="U74" s="53">
        <f t="shared" si="4"/>
        <v>3</v>
      </c>
      <c r="V74" s="54">
        <f t="shared" si="5"/>
        <v>3</v>
      </c>
    </row>
    <row r="75" ht="15.75" customHeight="1">
      <c r="A75" s="55" t="str">
        <f>SiteAttendu!$A75</f>
        <v>C1685</v>
      </c>
      <c r="B75" s="56" t="str">
        <f>VLOOKUP($A75,SiteAttendu!$A$2:$C$366,2,0)</f>
        <v>CENTRE ANTI-TUBERCULEUX KOUMASSI</v>
      </c>
      <c r="C75" s="57" t="str">
        <f>VLOOKUP($A75,SiteAttendu!$A$2:$C$366,3,0)</f>
        <v>ABIDJAN 2</v>
      </c>
      <c r="D75" s="58" t="str">
        <f>IF(VLOOKUP(A75,SiteAttendu!$A$2:$P$366,4,0)="NA","NA",COUNTIFS(soccode,A75,socprog,"PNLS/ANTIRETROVIRAUX ET IO",socprompt,1))</f>
        <v>NA</v>
      </c>
      <c r="E75" s="58" t="str">
        <f>IF(VLOOKUP($A75,SiteAttendu!$A$2:$O$366,5,0)="NA","NA",COUNTIFS(soccode,A75,socprog,"PNLS/TESTS RAPIDES ET CONSOMMABLES",socprompt,1))</f>
        <v>NA</v>
      </c>
      <c r="F75" s="58" t="str">
        <f>IF(VLOOKUP($A75,SiteAttendu!$A$2:$O$366,6,0)="NA","NA",COUNTIFS(soccode,A75,socprog,"PNLS/PRODUITS DE LABORATOIRE",socprompt,1))</f>
        <v>NA</v>
      </c>
      <c r="G75" s="58" t="str">
        <f>IF(VLOOKUP($A75,SiteAttendu!$A$2:$O$366,7,0)="NA","NA",COUNTIFS(soccode,A75,socprog,"PNLS/CHARGES VIRALES",socprompt,1))</f>
        <v>NA</v>
      </c>
      <c r="H75" s="58" t="str">
        <f>IF(VLOOKUP($A75,SiteAttendu!$A$2:$O$366,9,0)="NA","NA",COUNTIFS(soccode,A75,socprog,"PNLP/MEDICAMENTS ET INTRANTS",socprompt,1))</f>
        <v>NA</v>
      </c>
      <c r="I75" s="58" t="str">
        <f>IF(VLOOKUP($A75,SiteAttendu!$A$2:$O$366,10,0)="NA","NA",COUNTIFS(soccode,$A75,socprog,"PNSME/MEDICAMENTS ET INTRANTS",socprompt,1))</f>
        <v>NA</v>
      </c>
      <c r="J75" s="58" t="str">
        <f>IF(VLOOKUP($A75,SiteAttendu!$A$2:$O$366,11,0)="NA","NA",COUNTIFS(soccode,$A75,socprog,"PNN/MEDICAMENTS ET INTRANTS",socprompt,1))</f>
        <v>NA</v>
      </c>
      <c r="K75" s="58">
        <f>IF(VLOOKUP($A75,SiteAttendu!$A$2:$O$366,15,0)="NA","NA",IF(COUNTIF(socprog,"PNLT/SENSIBLE MEDICAMENTS ET INTRANTS")=0,"NA",COUNTIFS(soccode,$A75,socprog,"PNLT/SENSIBLE MEDICAMENTS ET INTRANTS",socprompt,1)))</f>
        <v>0</v>
      </c>
      <c r="L75" s="60"/>
      <c r="M75" s="85">
        <f t="shared" ref="M75:S75" si="77">IFERROR(SUMIFS(E$2:E$364,$C$2:$C$364,$C75)/COUNTIFS(E$2:E$364,"&lt;&gt;NA",$C$2:$C$364,$C75),"")</f>
        <v>0.6666666667</v>
      </c>
      <c r="N75" s="85">
        <f t="shared" si="77"/>
        <v>0.6818181818</v>
      </c>
      <c r="O75" s="85">
        <f t="shared" si="77"/>
        <v>0.5384615385</v>
      </c>
      <c r="P75" s="85">
        <f t="shared" si="77"/>
        <v>0.7804878049</v>
      </c>
      <c r="Q75" s="85">
        <f t="shared" si="77"/>
        <v>0.8</v>
      </c>
      <c r="R75" s="85">
        <f t="shared" si="77"/>
        <v>0.625</v>
      </c>
      <c r="S75" s="85">
        <f t="shared" si="77"/>
        <v>0.6842105263</v>
      </c>
      <c r="T75" s="127">
        <f t="shared" si="3"/>
        <v>0.6590909091</v>
      </c>
      <c r="U75" s="53">
        <f t="shared" si="4"/>
        <v>0</v>
      </c>
      <c r="V75" s="54">
        <f t="shared" si="5"/>
        <v>0</v>
      </c>
    </row>
    <row r="76" ht="15.75" customHeight="1">
      <c r="A76" s="55" t="str">
        <f>SiteAttendu!$A76</f>
        <v>C1033</v>
      </c>
      <c r="B76" s="56" t="str">
        <f>VLOOKUP($A76,SiteAttendu!$A$2:$C$366,2,0)</f>
        <v>CSU COM POINTE DES FUMEURS</v>
      </c>
      <c r="C76" s="57" t="str">
        <f>VLOOKUP($A76,SiteAttendu!$A$2:$C$366,3,0)</f>
        <v>ABIDJAN 2</v>
      </c>
      <c r="D76" s="58" t="str">
        <f>IF(VLOOKUP(A76,SiteAttendu!$A$2:$P$366,4,0)="NA","NA",COUNTIFS(soccode,A76,socprog,"PNLS/ANTIRETROVIRAUX ET IO",socprompt,1))</f>
        <v>NA</v>
      </c>
      <c r="E76" s="58" t="str">
        <f>IF(VLOOKUP($A76,SiteAttendu!$A$2:$O$366,5,0)="NA","NA",COUNTIFS(soccode,A76,socprog,"PNLS/TESTS RAPIDES ET CONSOMMABLES",socprompt,1))</f>
        <v>NA</v>
      </c>
      <c r="F76" s="58" t="str">
        <f>IF(VLOOKUP($A76,SiteAttendu!$A$2:$O$366,6,0)="NA","NA",COUNTIFS(soccode,A76,socprog,"PNLS/PRODUITS DE LABORATOIRE",socprompt,1))</f>
        <v>NA</v>
      </c>
      <c r="G76" s="58" t="str">
        <f>IF(VLOOKUP($A76,SiteAttendu!$A$2:$O$366,7,0)="NA","NA",COUNTIFS(soccode,A76,socprog,"PNLS/CHARGES VIRALES",socprompt,1))</f>
        <v>NA</v>
      </c>
      <c r="H76" s="58">
        <f>IF(VLOOKUP($A76,SiteAttendu!$A$2:$O$366,9,0)="NA","NA",COUNTIFS(soccode,A76,socprog,"PNLP/MEDICAMENTS ET INTRANTS",socprompt,1))</f>
        <v>0</v>
      </c>
      <c r="I76" s="58" t="str">
        <f>IF(VLOOKUP($A76,SiteAttendu!$A$2:$O$366,10,0)="NA","NA",COUNTIFS(soccode,$A76,socprog,"PNSME/MEDICAMENTS ET INTRANTS",socprompt,1))</f>
        <v>NA</v>
      </c>
      <c r="J76" s="58" t="str">
        <f>IF(VLOOKUP($A76,SiteAttendu!$A$2:$O$366,11,0)="NA","NA",COUNTIFS(soccode,$A76,socprog,"PNN/MEDICAMENTS ET INTRANTS",socprompt,1))</f>
        <v>NA</v>
      </c>
      <c r="K76" s="58" t="str">
        <f>IF(VLOOKUP($A76,SiteAttendu!$A$2:$O$366,15,0)="NA","NA",IF(COUNTIF(socprog,"PNLT/SENSIBLE MEDICAMENTS ET INTRANTS")=0,"NA",COUNTIFS(soccode,$A76,socprog,"PNLT/SENSIBLE MEDICAMENTS ET INTRANTS",socprompt,1)))</f>
        <v>NA</v>
      </c>
      <c r="L76" s="60"/>
      <c r="M76" s="85">
        <f t="shared" ref="M76:S76" si="78">IFERROR(SUMIFS(E$2:E$364,$C$2:$C$364,$C76)/COUNTIFS(E$2:E$364,"&lt;&gt;NA",$C$2:$C$364,$C76),"")</f>
        <v>0.6666666667</v>
      </c>
      <c r="N76" s="85">
        <f t="shared" si="78"/>
        <v>0.6818181818</v>
      </c>
      <c r="O76" s="85">
        <f t="shared" si="78"/>
        <v>0.5384615385</v>
      </c>
      <c r="P76" s="85">
        <f t="shared" si="78"/>
        <v>0.7804878049</v>
      </c>
      <c r="Q76" s="85">
        <f t="shared" si="78"/>
        <v>0.8</v>
      </c>
      <c r="R76" s="85">
        <f t="shared" si="78"/>
        <v>0.625</v>
      </c>
      <c r="S76" s="85">
        <f t="shared" si="78"/>
        <v>0.6842105263</v>
      </c>
      <c r="T76" s="127">
        <f t="shared" si="3"/>
        <v>0.6590909091</v>
      </c>
      <c r="U76" s="53">
        <f t="shared" si="4"/>
        <v>0</v>
      </c>
      <c r="V76" s="54">
        <f t="shared" si="5"/>
        <v>0</v>
      </c>
    </row>
    <row r="77" ht="15.75" customHeight="1">
      <c r="A77" s="55" t="str">
        <f>SiteAttendu!$A77</f>
        <v>C1015</v>
      </c>
      <c r="B77" s="56" t="str">
        <f>VLOOKUP($A77,SiteAttendu!$A$2:$C$366,2,0)</f>
        <v>CSU COM AKLOMIABLA</v>
      </c>
      <c r="C77" s="57" t="str">
        <f>VLOOKUP($A77,SiteAttendu!$A$2:$C$366,3,0)</f>
        <v>ABIDJAN 2</v>
      </c>
      <c r="D77" s="58" t="str">
        <f>IF(VLOOKUP(A77,SiteAttendu!$A$2:$P$366,4,0)="NA","NA",COUNTIFS(soccode,A77,socprog,"PNLS/ANTIRETROVIRAUX ET IO",socprompt,1))</f>
        <v>NA</v>
      </c>
      <c r="E77" s="58" t="str">
        <f>IF(VLOOKUP($A77,SiteAttendu!$A$2:$O$366,5,0)="NA","NA",COUNTIFS(soccode,A77,socprog,"PNLS/TESTS RAPIDES ET CONSOMMABLES",socprompt,1))</f>
        <v>NA</v>
      </c>
      <c r="F77" s="58" t="str">
        <f>IF(VLOOKUP($A77,SiteAttendu!$A$2:$O$366,6,0)="NA","NA",COUNTIFS(soccode,A77,socprog,"PNLS/PRODUITS DE LABORATOIRE",socprompt,1))</f>
        <v>NA</v>
      </c>
      <c r="G77" s="58" t="str">
        <f>IF(VLOOKUP($A77,SiteAttendu!$A$2:$O$366,7,0)="NA","NA",COUNTIFS(soccode,A77,socprog,"PNLS/CHARGES VIRALES",socprompt,1))</f>
        <v>NA</v>
      </c>
      <c r="H77" s="58">
        <f>IF(VLOOKUP($A77,SiteAttendu!$A$2:$O$366,9,0)="NA","NA",COUNTIFS(soccode,A77,socprog,"PNLP/MEDICAMENTS ET INTRANTS",socprompt,1))</f>
        <v>1</v>
      </c>
      <c r="I77" s="58">
        <f>IF(VLOOKUP($A77,SiteAttendu!$A$2:$O$366,10,0)="NA","NA",COUNTIFS(soccode,$A77,socprog,"PNSME/MEDICAMENTS ET INTRANTS",socprompt,1))</f>
        <v>1</v>
      </c>
      <c r="J77" s="58" t="str">
        <f>IF(VLOOKUP($A77,SiteAttendu!$A$2:$O$366,11,0)="NA","NA",COUNTIFS(soccode,$A77,socprog,"PNN/MEDICAMENTS ET INTRANTS",socprompt,1))</f>
        <v>NA</v>
      </c>
      <c r="K77" s="58" t="str">
        <f>IF(VLOOKUP($A77,SiteAttendu!$A$2:$O$366,15,0)="NA","NA",IF(COUNTIF(socprog,"PNLT/SENSIBLE MEDICAMENTS ET INTRANTS")=0,"NA",COUNTIFS(soccode,$A77,socprog,"PNLT/SENSIBLE MEDICAMENTS ET INTRANTS",socprompt,1)))</f>
        <v>NA</v>
      </c>
      <c r="L77" s="60"/>
      <c r="M77" s="85">
        <f t="shared" ref="M77:S77" si="79">IFERROR(SUMIFS(E$2:E$364,$C$2:$C$364,$C77)/COUNTIFS(E$2:E$364,"&lt;&gt;NA",$C$2:$C$364,$C77),"")</f>
        <v>0.6666666667</v>
      </c>
      <c r="N77" s="85">
        <f t="shared" si="79"/>
        <v>0.6818181818</v>
      </c>
      <c r="O77" s="85">
        <f t="shared" si="79"/>
        <v>0.5384615385</v>
      </c>
      <c r="P77" s="85">
        <f t="shared" si="79"/>
        <v>0.7804878049</v>
      </c>
      <c r="Q77" s="85">
        <f t="shared" si="79"/>
        <v>0.8</v>
      </c>
      <c r="R77" s="85">
        <f t="shared" si="79"/>
        <v>0.625</v>
      </c>
      <c r="S77" s="85">
        <f t="shared" si="79"/>
        <v>0.6842105263</v>
      </c>
      <c r="T77" s="127">
        <f t="shared" si="3"/>
        <v>0.6590909091</v>
      </c>
      <c r="U77" s="53">
        <f t="shared" si="4"/>
        <v>0</v>
      </c>
      <c r="V77" s="54">
        <f t="shared" si="5"/>
        <v>0</v>
      </c>
    </row>
    <row r="78" ht="15.75" customHeight="1">
      <c r="A78" s="55" t="str">
        <f>SiteAttendu!$A78</f>
        <v>C1024</v>
      </c>
      <c r="B78" s="56" t="str">
        <f>VLOOKUP($A78,SiteAttendu!$A$2:$C$366,2,0)</f>
        <v>CSU COM GONZAGUEVILLE</v>
      </c>
      <c r="C78" s="57" t="str">
        <f>VLOOKUP($A78,SiteAttendu!$A$2:$C$366,3,0)</f>
        <v>ABIDJAN 2</v>
      </c>
      <c r="D78" s="58" t="str">
        <f>IF(VLOOKUP(A78,SiteAttendu!$A$2:$P$366,4,0)="NA","NA",COUNTIFS(soccode,A78,socprog,"PNLS/ANTIRETROVIRAUX ET IO",socprompt,1))</f>
        <v>NA</v>
      </c>
      <c r="E78" s="58" t="str">
        <f>IF(VLOOKUP($A78,SiteAttendu!$A$2:$O$366,5,0)="NA","NA",COUNTIFS(soccode,A78,socprog,"PNLS/TESTS RAPIDES ET CONSOMMABLES",socprompt,1))</f>
        <v>NA</v>
      </c>
      <c r="F78" s="58" t="str">
        <f>IF(VLOOKUP($A78,SiteAttendu!$A$2:$O$366,6,0)="NA","NA",COUNTIFS(soccode,A78,socprog,"PNLS/PRODUITS DE LABORATOIRE",socprompt,1))</f>
        <v>NA</v>
      </c>
      <c r="G78" s="58" t="str">
        <f>IF(VLOOKUP($A78,SiteAttendu!$A$2:$O$366,7,0)="NA","NA",COUNTIFS(soccode,A78,socprog,"PNLS/CHARGES VIRALES",socprompt,1))</f>
        <v>NA</v>
      </c>
      <c r="H78" s="58">
        <f>IF(VLOOKUP($A78,SiteAttendu!$A$2:$O$366,9,0)="NA","NA",COUNTIFS(soccode,A78,socprog,"PNLP/MEDICAMENTS ET INTRANTS",socprompt,1))</f>
        <v>1</v>
      </c>
      <c r="I78" s="58">
        <f>IF(VLOOKUP($A78,SiteAttendu!$A$2:$O$366,10,0)="NA","NA",COUNTIFS(soccode,$A78,socprog,"PNSME/MEDICAMENTS ET INTRANTS",socprompt,1))</f>
        <v>1</v>
      </c>
      <c r="J78" s="58" t="str">
        <f>IF(VLOOKUP($A78,SiteAttendu!$A$2:$O$366,11,0)="NA","NA",COUNTIFS(soccode,$A78,socprog,"PNN/MEDICAMENTS ET INTRANTS",socprompt,1))</f>
        <v>NA</v>
      </c>
      <c r="K78" s="58">
        <f>IF(VLOOKUP($A78,SiteAttendu!$A$2:$O$366,15,0)="NA","NA",IF(COUNTIF(socprog,"PNLT/SENSIBLE MEDICAMENTS ET INTRANTS")=0,"NA",COUNTIFS(soccode,$A78,socprog,"PNLT/SENSIBLE MEDICAMENTS ET INTRANTS",socprompt,1)))</f>
        <v>1</v>
      </c>
      <c r="L78" s="60"/>
      <c r="M78" s="85">
        <f t="shared" ref="M78:S78" si="80">IFERROR(SUMIFS(E$2:E$364,$C$2:$C$364,$C78)/COUNTIFS(E$2:E$364,"&lt;&gt;NA",$C$2:$C$364,$C78),"")</f>
        <v>0.6666666667</v>
      </c>
      <c r="N78" s="85">
        <f t="shared" si="80"/>
        <v>0.6818181818</v>
      </c>
      <c r="O78" s="85">
        <f t="shared" si="80"/>
        <v>0.5384615385</v>
      </c>
      <c r="P78" s="85">
        <f t="shared" si="80"/>
        <v>0.7804878049</v>
      </c>
      <c r="Q78" s="85">
        <f t="shared" si="80"/>
        <v>0.8</v>
      </c>
      <c r="R78" s="85">
        <f t="shared" si="80"/>
        <v>0.625</v>
      </c>
      <c r="S78" s="85">
        <f t="shared" si="80"/>
        <v>0.6842105263</v>
      </c>
      <c r="T78" s="127">
        <f t="shared" si="3"/>
        <v>0.6590909091</v>
      </c>
      <c r="U78" s="53">
        <f t="shared" si="4"/>
        <v>0</v>
      </c>
      <c r="V78" s="54">
        <f t="shared" si="5"/>
        <v>0</v>
      </c>
    </row>
    <row r="79" ht="15.75" customHeight="1">
      <c r="A79" s="55" t="str">
        <f>SiteAttendu!$A79</f>
        <v>C1030</v>
      </c>
      <c r="B79" s="56" t="str">
        <f>VLOOKUP($A79,SiteAttendu!$A$2:$C$366,2,0)</f>
        <v>CSU COM PANGOLIN</v>
      </c>
      <c r="C79" s="57" t="str">
        <f>VLOOKUP($A79,SiteAttendu!$A$2:$C$366,3,0)</f>
        <v>ABIDJAN 2</v>
      </c>
      <c r="D79" s="58">
        <f>IF(VLOOKUP(A79,SiteAttendu!$A$2:$P$366,4,0)="NA","NA",COUNTIFS(soccode,A79,socprog,"PNLS/ANTIRETROVIRAUX ET IO",socprompt,1))</f>
        <v>1</v>
      </c>
      <c r="E79" s="58">
        <f>IF(VLOOKUP($A79,SiteAttendu!$A$2:$O$366,5,0)="NA","NA",COUNTIFS(soccode,A79,socprog,"PNLS/TESTS RAPIDES ET CONSOMMABLES",socprompt,1))</f>
        <v>1</v>
      </c>
      <c r="F79" s="58">
        <f>IF(VLOOKUP($A79,SiteAttendu!$A$2:$O$366,6,0)="NA","NA",COUNTIFS(soccode,A79,socprog,"PNLS/PRODUITS DE LABORATOIRE",socprompt,1))</f>
        <v>1</v>
      </c>
      <c r="G79" s="58" t="str">
        <f>IF(VLOOKUP($A79,SiteAttendu!$A$2:$O$366,7,0)="NA","NA",COUNTIFS(soccode,A79,socprog,"PNLS/CHARGES VIRALES",socprompt,1))</f>
        <v>NA</v>
      </c>
      <c r="H79" s="58">
        <f>IF(VLOOKUP($A79,SiteAttendu!$A$2:$O$366,9,0)="NA","NA",COUNTIFS(soccode,A79,socprog,"PNLP/MEDICAMENTS ET INTRANTS",socprompt,1))</f>
        <v>1</v>
      </c>
      <c r="I79" s="58">
        <f>IF(VLOOKUP($A79,SiteAttendu!$A$2:$O$366,10,0)="NA","NA",COUNTIFS(soccode,$A79,socprog,"PNSME/MEDICAMENTS ET INTRANTS",socprompt,1))</f>
        <v>1</v>
      </c>
      <c r="J79" s="58" t="str">
        <f>IF(VLOOKUP($A79,SiteAttendu!$A$2:$O$366,11,0)="NA","NA",COUNTIFS(soccode,$A79,socprog,"PNN/MEDICAMENTS ET INTRANTS",socprompt,1))</f>
        <v>NA</v>
      </c>
      <c r="K79" s="58">
        <f>IF(VLOOKUP($A79,SiteAttendu!$A$2:$O$366,15,0)="NA","NA",IF(COUNTIF(socprog,"PNLT/SENSIBLE MEDICAMENTS ET INTRANTS")=0,"NA",COUNTIFS(soccode,$A79,socprog,"PNLT/SENSIBLE MEDICAMENTS ET INTRANTS",socprompt,1)))</f>
        <v>1</v>
      </c>
      <c r="L79" s="60"/>
      <c r="M79" s="85">
        <f t="shared" ref="M79:S79" si="81">IFERROR(SUMIFS(E$2:E$364,$C$2:$C$364,$C79)/COUNTIFS(E$2:E$364,"&lt;&gt;NA",$C$2:$C$364,$C79),"")</f>
        <v>0.6666666667</v>
      </c>
      <c r="N79" s="85">
        <f t="shared" si="81"/>
        <v>0.6818181818</v>
      </c>
      <c r="O79" s="85">
        <f t="shared" si="81"/>
        <v>0.5384615385</v>
      </c>
      <c r="P79" s="85">
        <f t="shared" si="81"/>
        <v>0.7804878049</v>
      </c>
      <c r="Q79" s="85">
        <f t="shared" si="81"/>
        <v>0.8</v>
      </c>
      <c r="R79" s="85">
        <f t="shared" si="81"/>
        <v>0.625</v>
      </c>
      <c r="S79" s="85">
        <f t="shared" si="81"/>
        <v>0.6842105263</v>
      </c>
      <c r="T79" s="127">
        <f t="shared" si="3"/>
        <v>0.6590909091</v>
      </c>
      <c r="U79" s="53">
        <f t="shared" si="4"/>
        <v>3</v>
      </c>
      <c r="V79" s="54">
        <f t="shared" si="5"/>
        <v>3</v>
      </c>
    </row>
    <row r="80" ht="15.75" customHeight="1">
      <c r="A80" s="55" t="str">
        <f>SiteAttendu!$A80</f>
        <v>C1072</v>
      </c>
      <c r="B80" s="56" t="str">
        <f>VLOOKUP($A80,SiteAttendu!$A$2:$C$366,2,0)</f>
        <v>FSU COM VRIDI CANAL</v>
      </c>
      <c r="C80" s="57" t="str">
        <f>VLOOKUP($A80,SiteAttendu!$A$2:$C$366,3,0)</f>
        <v>ABIDJAN 2</v>
      </c>
      <c r="D80" s="58" t="str">
        <f>IF(VLOOKUP(A80,SiteAttendu!$A$2:$P$366,4,0)="NA","NA",COUNTIFS(soccode,A80,socprog,"PNLS/ANTIRETROVIRAUX ET IO",socprompt,1))</f>
        <v>NA</v>
      </c>
      <c r="E80" s="58" t="str">
        <f>IF(VLOOKUP($A80,SiteAttendu!$A$2:$O$366,5,0)="NA","NA",COUNTIFS(soccode,A80,socprog,"PNLS/TESTS RAPIDES ET CONSOMMABLES",socprompt,1))</f>
        <v>NA</v>
      </c>
      <c r="F80" s="58" t="str">
        <f>IF(VLOOKUP($A80,SiteAttendu!$A$2:$O$366,6,0)="NA","NA",COUNTIFS(soccode,A80,socprog,"PNLS/PRODUITS DE LABORATOIRE",socprompt,1))</f>
        <v>NA</v>
      </c>
      <c r="G80" s="58" t="str">
        <f>IF(VLOOKUP($A80,SiteAttendu!$A$2:$O$366,7,0)="NA","NA",COUNTIFS(soccode,A80,socprog,"PNLS/CHARGES VIRALES",socprompt,1))</f>
        <v>NA</v>
      </c>
      <c r="H80" s="58">
        <f>IF(VLOOKUP($A80,SiteAttendu!$A$2:$O$366,9,0)="NA","NA",COUNTIFS(soccode,A80,socprog,"PNLP/MEDICAMENTS ET INTRANTS",socprompt,1))</f>
        <v>0</v>
      </c>
      <c r="I80" s="58">
        <f>IF(VLOOKUP($A80,SiteAttendu!$A$2:$O$366,10,0)="NA","NA",COUNTIFS(soccode,$A80,socprog,"PNSME/MEDICAMENTS ET INTRANTS",socprompt,1))</f>
        <v>1</v>
      </c>
      <c r="J80" s="58" t="str">
        <f>IF(VLOOKUP($A80,SiteAttendu!$A$2:$O$366,11,0)="NA","NA",COUNTIFS(soccode,$A80,socprog,"PNN/MEDICAMENTS ET INTRANTS",socprompt,1))</f>
        <v>NA</v>
      </c>
      <c r="K80" s="58" t="str">
        <f>IF(VLOOKUP($A80,SiteAttendu!$A$2:$O$366,15,0)="NA","NA",IF(COUNTIF(socprog,"PNLT/SENSIBLE MEDICAMENTS ET INTRANTS")=0,"NA",COUNTIFS(soccode,$A80,socprog,"PNLT/SENSIBLE MEDICAMENTS ET INTRANTS",socprompt,1)))</f>
        <v>NA</v>
      </c>
      <c r="L80" s="60"/>
      <c r="M80" s="85">
        <f t="shared" ref="M80:S80" si="82">IFERROR(SUMIFS(E$2:E$364,$C$2:$C$364,$C80)/COUNTIFS(E$2:E$364,"&lt;&gt;NA",$C$2:$C$364,$C80),"")</f>
        <v>0.6666666667</v>
      </c>
      <c r="N80" s="85">
        <f t="shared" si="82"/>
        <v>0.6818181818</v>
      </c>
      <c r="O80" s="85">
        <f t="shared" si="82"/>
        <v>0.5384615385</v>
      </c>
      <c r="P80" s="85">
        <f t="shared" si="82"/>
        <v>0.7804878049</v>
      </c>
      <c r="Q80" s="85">
        <f t="shared" si="82"/>
        <v>0.8</v>
      </c>
      <c r="R80" s="85">
        <f t="shared" si="82"/>
        <v>0.625</v>
      </c>
      <c r="S80" s="85">
        <f t="shared" si="82"/>
        <v>0.6842105263</v>
      </c>
      <c r="T80" s="127">
        <f t="shared" si="3"/>
        <v>0.6590909091</v>
      </c>
      <c r="U80" s="53">
        <f t="shared" si="4"/>
        <v>0</v>
      </c>
      <c r="V80" s="54">
        <f t="shared" si="5"/>
        <v>0</v>
      </c>
    </row>
    <row r="81" ht="15.75" customHeight="1">
      <c r="A81" s="55" t="str">
        <f>SiteAttendu!$A81</f>
        <v>C1094</v>
      </c>
      <c r="B81" s="56" t="str">
        <f>VLOOKUP($A81,SiteAttendu!$A$2:$C$366,2,0)</f>
        <v>HOPITAL GENERAL PORT-BOUET</v>
      </c>
      <c r="C81" s="57" t="str">
        <f>VLOOKUP($A81,SiteAttendu!$A$2:$C$366,3,0)</f>
        <v>ABIDJAN 2</v>
      </c>
      <c r="D81" s="58">
        <f>IF(VLOOKUP(A81,SiteAttendu!$A$2:$P$366,4,0)="NA","NA",COUNTIFS(soccode,A81,socprog,"PNLS/ANTIRETROVIRAUX ET IO",socprompt,1))</f>
        <v>0</v>
      </c>
      <c r="E81" s="58">
        <f>IF(VLOOKUP($A81,SiteAttendu!$A$2:$O$366,5,0)="NA","NA",COUNTIFS(soccode,A81,socprog,"PNLS/TESTS RAPIDES ET CONSOMMABLES",socprompt,1))</f>
        <v>0</v>
      </c>
      <c r="F81" s="58">
        <f>IF(VLOOKUP($A81,SiteAttendu!$A$2:$O$366,6,0)="NA","NA",COUNTIFS(soccode,A81,socprog,"PNLS/PRODUITS DE LABORATOIRE",socprompt,1))</f>
        <v>0</v>
      </c>
      <c r="G81" s="58">
        <f>IF(VLOOKUP($A81,SiteAttendu!$A$2:$O$366,7,0)="NA","NA",COUNTIFS(soccode,A81,socprog,"PNLS/CHARGES VIRALES",socprompt,1))</f>
        <v>0</v>
      </c>
      <c r="H81" s="58">
        <f>IF(VLOOKUP($A81,SiteAttendu!$A$2:$O$366,9,0)="NA","NA",COUNTIFS(soccode,A81,socprog,"PNLP/MEDICAMENTS ET INTRANTS",socprompt,1))</f>
        <v>1</v>
      </c>
      <c r="I81" s="58">
        <f>IF(VLOOKUP($A81,SiteAttendu!$A$2:$O$366,10,0)="NA","NA",COUNTIFS(soccode,$A81,socprog,"PNSME/MEDICAMENTS ET INTRANTS",socprompt,1))</f>
        <v>1</v>
      </c>
      <c r="J81" s="58">
        <f>IF(VLOOKUP($A81,SiteAttendu!$A$2:$O$366,11,0)="NA","NA",COUNTIFS(soccode,$A81,socprog,"PNN/MEDICAMENTS ET INTRANTS",socprompt,1))</f>
        <v>1</v>
      </c>
      <c r="K81" s="58">
        <f>IF(VLOOKUP($A81,SiteAttendu!$A$2:$O$366,15,0)="NA","NA",IF(COUNTIF(socprog,"PNLT/SENSIBLE MEDICAMENTS ET INTRANTS")=0,"NA",COUNTIFS(soccode,$A81,socprog,"PNLT/SENSIBLE MEDICAMENTS ET INTRANTS",socprompt,1)))</f>
        <v>1</v>
      </c>
      <c r="L81" s="60"/>
      <c r="M81" s="85">
        <f t="shared" ref="M81:S81" si="83">IFERROR(SUMIFS(E$2:E$364,$C$2:$C$364,$C81)/COUNTIFS(E$2:E$364,"&lt;&gt;NA",$C$2:$C$364,$C81),"")</f>
        <v>0.6666666667</v>
      </c>
      <c r="N81" s="85">
        <f t="shared" si="83"/>
        <v>0.6818181818</v>
      </c>
      <c r="O81" s="85">
        <f t="shared" si="83"/>
        <v>0.5384615385</v>
      </c>
      <c r="P81" s="85">
        <f t="shared" si="83"/>
        <v>0.7804878049</v>
      </c>
      <c r="Q81" s="85">
        <f t="shared" si="83"/>
        <v>0.8</v>
      </c>
      <c r="R81" s="85">
        <f t="shared" si="83"/>
        <v>0.625</v>
      </c>
      <c r="S81" s="85">
        <f t="shared" si="83"/>
        <v>0.6842105263</v>
      </c>
      <c r="T81" s="127">
        <f t="shared" si="3"/>
        <v>0.6590909091</v>
      </c>
      <c r="U81" s="53">
        <f t="shared" si="4"/>
        <v>0</v>
      </c>
      <c r="V81" s="54">
        <f t="shared" si="5"/>
        <v>4</v>
      </c>
    </row>
    <row r="82" ht="15.75" customHeight="1">
      <c r="A82" s="55" t="str">
        <f>SiteAttendu!$A82</f>
        <v>C1101</v>
      </c>
      <c r="B82" s="56" t="str">
        <f>VLOOKUP($A82,SiteAttendu!$A$2:$C$366,2,0)</f>
        <v>HOPITAL MUNICIPAL VRIDI CITE</v>
      </c>
      <c r="C82" s="57" t="str">
        <f>VLOOKUP($A82,SiteAttendu!$A$2:$C$366,3,0)</f>
        <v>ABIDJAN 2</v>
      </c>
      <c r="D82" s="58" t="str">
        <f>IF(VLOOKUP(A82,SiteAttendu!$A$2:$P$366,4,0)="NA","NA",COUNTIFS(soccode,A82,socprog,"PNLS/ANTIRETROVIRAUX ET IO",socprompt,1))</f>
        <v>NA</v>
      </c>
      <c r="E82" s="58" t="str">
        <f>IF(VLOOKUP($A82,SiteAttendu!$A$2:$O$366,5,0)="NA","NA",COUNTIFS(soccode,A82,socprog,"PNLS/TESTS RAPIDES ET CONSOMMABLES",socprompt,1))</f>
        <v>NA</v>
      </c>
      <c r="F82" s="58" t="str">
        <f>IF(VLOOKUP($A82,SiteAttendu!$A$2:$O$366,6,0)="NA","NA",COUNTIFS(soccode,A82,socprog,"PNLS/PRODUITS DE LABORATOIRE",socprompt,1))</f>
        <v>NA</v>
      </c>
      <c r="G82" s="58" t="str">
        <f>IF(VLOOKUP($A82,SiteAttendu!$A$2:$O$366,7,0)="NA","NA",COUNTIFS(soccode,A82,socprog,"PNLS/CHARGES VIRALES",socprompt,1))</f>
        <v>NA</v>
      </c>
      <c r="H82" s="58">
        <f>IF(VLOOKUP($A82,SiteAttendu!$A$2:$O$366,9,0)="NA","NA",COUNTIFS(soccode,A82,socprog,"PNLP/MEDICAMENTS ET INTRANTS",socprompt,1))</f>
        <v>1</v>
      </c>
      <c r="I82" s="58">
        <f>IF(VLOOKUP($A82,SiteAttendu!$A$2:$O$366,10,0)="NA","NA",COUNTIFS(soccode,$A82,socprog,"PNSME/MEDICAMENTS ET INTRANTS",socprompt,1))</f>
        <v>0</v>
      </c>
      <c r="J82" s="58" t="str">
        <f>IF(VLOOKUP($A82,SiteAttendu!$A$2:$O$366,11,0)="NA","NA",COUNTIFS(soccode,$A82,socprog,"PNN/MEDICAMENTS ET INTRANTS",socprompt,1))</f>
        <v>NA</v>
      </c>
      <c r="K82" s="58" t="str">
        <f>IF(VLOOKUP($A82,SiteAttendu!$A$2:$O$366,15,0)="NA","NA",IF(COUNTIF(socprog,"PNLT/SENSIBLE MEDICAMENTS ET INTRANTS")=0,"NA",COUNTIFS(soccode,$A82,socprog,"PNLT/SENSIBLE MEDICAMENTS ET INTRANTS",socprompt,1)))</f>
        <v>NA</v>
      </c>
      <c r="L82" s="60"/>
      <c r="M82" s="85">
        <f t="shared" ref="M82:S82" si="84">IFERROR(SUMIFS(E$2:E$364,$C$2:$C$364,$C82)/COUNTIFS(E$2:E$364,"&lt;&gt;NA",$C$2:$C$364,$C82),"")</f>
        <v>0.6666666667</v>
      </c>
      <c r="N82" s="85">
        <f t="shared" si="84"/>
        <v>0.6818181818</v>
      </c>
      <c r="O82" s="85">
        <f t="shared" si="84"/>
        <v>0.5384615385</v>
      </c>
      <c r="P82" s="85">
        <f t="shared" si="84"/>
        <v>0.7804878049</v>
      </c>
      <c r="Q82" s="85">
        <f t="shared" si="84"/>
        <v>0.8</v>
      </c>
      <c r="R82" s="85">
        <f t="shared" si="84"/>
        <v>0.625</v>
      </c>
      <c r="S82" s="85">
        <f t="shared" si="84"/>
        <v>0.6842105263</v>
      </c>
      <c r="T82" s="127">
        <f t="shared" si="3"/>
        <v>0.6590909091</v>
      </c>
      <c r="U82" s="53">
        <f t="shared" si="4"/>
        <v>0</v>
      </c>
      <c r="V82" s="54">
        <f t="shared" si="5"/>
        <v>0</v>
      </c>
    </row>
    <row r="83" ht="15.75" customHeight="1">
      <c r="A83" s="55" t="str">
        <f>SiteAttendu!$A83</f>
        <v>C1422</v>
      </c>
      <c r="B83" s="56" t="str">
        <f>VLOOKUP($A83,SiteAttendu!$A$2:$C$366,2,0)</f>
        <v>DISTRICT SANITAIRE PORT BOUET VRIDI</v>
      </c>
      <c r="C83" s="57" t="str">
        <f>VLOOKUP($A83,SiteAttendu!$A$2:$C$366,3,0)</f>
        <v>ABIDJAN 2</v>
      </c>
      <c r="D83" s="58">
        <f>IF(VLOOKUP(A83,SiteAttendu!$A$2:$P$366,4,0)="NA","NA",COUNTIFS(soccode,A83,socprog,"PNLS/ANTIRETROVIRAUX ET IO",socprompt,1))</f>
        <v>1</v>
      </c>
      <c r="E83" s="58">
        <f>IF(VLOOKUP($A83,SiteAttendu!$A$2:$O$366,5,0)="NA","NA",COUNTIFS(soccode,A83,socprog,"PNLS/TESTS RAPIDES ET CONSOMMABLES",socprompt,1))</f>
        <v>1</v>
      </c>
      <c r="F83" s="58">
        <f>IF(VLOOKUP($A83,SiteAttendu!$A$2:$O$366,6,0)="NA","NA",COUNTIFS(soccode,A83,socprog,"PNLS/PRODUITS DE LABORATOIRE",socprompt,1))</f>
        <v>1</v>
      </c>
      <c r="G83" s="58">
        <f>IF(VLOOKUP($A83,SiteAttendu!$A$2:$O$366,7,0)="NA","NA",COUNTIFS(soccode,A83,socprog,"PNLS/CHARGES VIRALES",socprompt,1))</f>
        <v>0</v>
      </c>
      <c r="H83" s="58">
        <f>IF(VLOOKUP($A83,SiteAttendu!$A$2:$O$366,9,0)="NA","NA",COUNTIFS(soccode,A83,socprog,"PNLP/MEDICAMENTS ET INTRANTS",socprompt,1))</f>
        <v>1</v>
      </c>
      <c r="I83" s="58">
        <f>IF(VLOOKUP($A83,SiteAttendu!$A$2:$O$366,10,0)="NA","NA",COUNTIFS(soccode,$A83,socprog,"PNSME/MEDICAMENTS ET INTRANTS",socprompt,1))</f>
        <v>1</v>
      </c>
      <c r="J83" s="58">
        <f>IF(VLOOKUP($A83,SiteAttendu!$A$2:$O$366,11,0)="NA","NA",COUNTIFS(soccode,$A83,socprog,"PNN/MEDICAMENTS ET INTRANTS",socprompt,1))</f>
        <v>0</v>
      </c>
      <c r="K83" s="58" t="str">
        <f>IF(VLOOKUP($A83,SiteAttendu!$A$2:$O$366,15,0)="NA","NA",IF(COUNTIF(socprog,"PNLT/SENSIBLE MEDICAMENTS ET INTRANTS")=0,"NA",COUNTIFS(soccode,$A83,socprog,"PNLT/SENSIBLE MEDICAMENTS ET INTRANTS",socprompt,1)))</f>
        <v>NA</v>
      </c>
      <c r="L83" s="60"/>
      <c r="M83" s="85">
        <f t="shared" ref="M83:S83" si="85">IFERROR(SUMIFS(E$2:E$364,$C$2:$C$364,$C83)/COUNTIFS(E$2:E$364,"&lt;&gt;NA",$C$2:$C$364,$C83),"")</f>
        <v>0.6666666667</v>
      </c>
      <c r="N83" s="85">
        <f t="shared" si="85"/>
        <v>0.6818181818</v>
      </c>
      <c r="O83" s="85">
        <f t="shared" si="85"/>
        <v>0.5384615385</v>
      </c>
      <c r="P83" s="85">
        <f t="shared" si="85"/>
        <v>0.7804878049</v>
      </c>
      <c r="Q83" s="85">
        <f t="shared" si="85"/>
        <v>0.8</v>
      </c>
      <c r="R83" s="85">
        <f t="shared" si="85"/>
        <v>0.625</v>
      </c>
      <c r="S83" s="85">
        <f t="shared" si="85"/>
        <v>0.6842105263</v>
      </c>
      <c r="T83" s="127">
        <f t="shared" si="3"/>
        <v>0.6590909091</v>
      </c>
      <c r="U83" s="53">
        <f t="shared" si="4"/>
        <v>3</v>
      </c>
      <c r="V83" s="54">
        <f t="shared" si="5"/>
        <v>4</v>
      </c>
    </row>
    <row r="84" ht="15.75" customHeight="1">
      <c r="A84" s="55" t="str">
        <f>SiteAttendu!$A84</f>
        <v>C1391</v>
      </c>
      <c r="B84" s="56" t="str">
        <f>VLOOKUP($A84,SiteAttendu!$A$2:$C$366,2,0)</f>
        <v>SOEURS MISSION. STE THERESE ENFANT JESUS</v>
      </c>
      <c r="C84" s="57" t="str">
        <f>VLOOKUP($A84,SiteAttendu!$A$2:$C$366,3,0)</f>
        <v>ABIDJAN 2</v>
      </c>
      <c r="D84" s="58">
        <f>IF(VLOOKUP(A84,SiteAttendu!$A$2:$P$366,4,0)="NA","NA",COUNTIFS(soccode,A84,socprog,"PNLS/ANTIRETROVIRAUX ET IO",socprompt,1))</f>
        <v>1</v>
      </c>
      <c r="E84" s="58">
        <f>IF(VLOOKUP($A84,SiteAttendu!$A$2:$O$366,5,0)="NA","NA",COUNTIFS(soccode,A84,socprog,"PNLS/TESTS RAPIDES ET CONSOMMABLES",socprompt,1))</f>
        <v>1</v>
      </c>
      <c r="F84" s="58">
        <f>IF(VLOOKUP($A84,SiteAttendu!$A$2:$O$366,6,0)="NA","NA",COUNTIFS(soccode,A84,socprog,"PNLS/PRODUITS DE LABORATOIRE",socprompt,1))</f>
        <v>1</v>
      </c>
      <c r="G84" s="58">
        <f>IF(VLOOKUP($A84,SiteAttendu!$A$2:$O$366,7,0)="NA","NA",COUNTIFS(soccode,A84,socprog,"PNLS/CHARGES VIRALES",socprompt,1))</f>
        <v>1</v>
      </c>
      <c r="H84" s="58" t="str">
        <f>IF(VLOOKUP($A84,SiteAttendu!$A$2:$O$366,9,0)="NA","NA",COUNTIFS(soccode,A84,socprog,"PNLP/MEDICAMENTS ET INTRANTS",socprompt,1))</f>
        <v>NA</v>
      </c>
      <c r="I84" s="58" t="str">
        <f>IF(VLOOKUP($A84,SiteAttendu!$A$2:$O$366,10,0)="NA","NA",COUNTIFS(soccode,$A84,socprog,"PNSME/MEDICAMENTS ET INTRANTS",socprompt,1))</f>
        <v>NA</v>
      </c>
      <c r="J84" s="58" t="str">
        <f>IF(VLOOKUP($A84,SiteAttendu!$A$2:$O$366,11,0)="NA","NA",COUNTIFS(soccode,$A84,socprog,"PNN/MEDICAMENTS ET INTRANTS",socprompt,1))</f>
        <v>NA</v>
      </c>
      <c r="K84" s="58" t="str">
        <f>IF(VLOOKUP($A84,SiteAttendu!$A$2:$O$366,15,0)="NA","NA",IF(COUNTIF(socprog,"PNLT/SENSIBLE MEDICAMENTS ET INTRANTS")=0,"NA",COUNTIFS(soccode,$A84,socprog,"PNLT/SENSIBLE MEDICAMENTS ET INTRANTS",socprompt,1)))</f>
        <v>NA</v>
      </c>
      <c r="L84" s="60"/>
      <c r="M84" s="85">
        <f t="shared" ref="M84:S84" si="86">IFERROR(SUMIFS(E$2:E$364,$C$2:$C$364,$C84)/COUNTIFS(E$2:E$364,"&lt;&gt;NA",$C$2:$C$364,$C84),"")</f>
        <v>0.6666666667</v>
      </c>
      <c r="N84" s="85">
        <f t="shared" si="86"/>
        <v>0.6818181818</v>
      </c>
      <c r="O84" s="85">
        <f t="shared" si="86"/>
        <v>0.5384615385</v>
      </c>
      <c r="P84" s="85">
        <f t="shared" si="86"/>
        <v>0.7804878049</v>
      </c>
      <c r="Q84" s="85">
        <f t="shared" si="86"/>
        <v>0.8</v>
      </c>
      <c r="R84" s="85">
        <f t="shared" si="86"/>
        <v>0.625</v>
      </c>
      <c r="S84" s="85">
        <f t="shared" si="86"/>
        <v>0.6842105263</v>
      </c>
      <c r="T84" s="127">
        <f t="shared" si="3"/>
        <v>0.6590909091</v>
      </c>
      <c r="U84" s="53">
        <f t="shared" si="4"/>
        <v>4</v>
      </c>
      <c r="V84" s="54">
        <f t="shared" si="5"/>
        <v>4</v>
      </c>
    </row>
    <row r="85" ht="15.75" customHeight="1">
      <c r="A85" s="55" t="str">
        <f>SiteAttendu!$A85</f>
        <v>C1035</v>
      </c>
      <c r="B85" s="56" t="str">
        <f>VLOOKUP($A85,SiteAttendu!$A$2:$C$366,2,0)</f>
        <v>CSU COM ZOE BRUNO</v>
      </c>
      <c r="C85" s="57" t="str">
        <f>VLOOKUP($A85,SiteAttendu!$A$2:$C$366,3,0)</f>
        <v>ABIDJAN 2</v>
      </c>
      <c r="D85" s="58" t="str">
        <f>IF(VLOOKUP(A85,SiteAttendu!$A$2:$P$366,4,0)="NA","NA",COUNTIFS(soccode,A85,socprog,"PNLS/ANTIRETROVIRAUX ET IO",socprompt,1))</f>
        <v>NA</v>
      </c>
      <c r="E85" s="58" t="str">
        <f>IF(VLOOKUP($A85,SiteAttendu!$A$2:$O$366,5,0)="NA","NA",COUNTIFS(soccode,A85,socprog,"PNLS/TESTS RAPIDES ET CONSOMMABLES",socprompt,1))</f>
        <v>NA</v>
      </c>
      <c r="F85" s="58" t="str">
        <f>IF(VLOOKUP($A85,SiteAttendu!$A$2:$O$366,6,0)="NA","NA",COUNTIFS(soccode,A85,socprog,"PNLS/PRODUITS DE LABORATOIRE",socprompt,1))</f>
        <v>NA</v>
      </c>
      <c r="G85" s="58" t="str">
        <f>IF(VLOOKUP($A85,SiteAttendu!$A$2:$O$366,7,0)="NA","NA",COUNTIFS(soccode,A85,socprog,"PNLS/CHARGES VIRALES",socprompt,1))</f>
        <v>NA</v>
      </c>
      <c r="H85" s="58" t="str">
        <f>IF(VLOOKUP($A85,SiteAttendu!$A$2:$O$366,9,0)="NA","NA",COUNTIFS(soccode,A85,socprog,"PNLP/MEDICAMENTS ET INTRANTS",socprompt,1))</f>
        <v>NA</v>
      </c>
      <c r="I85" s="58">
        <f>IF(VLOOKUP($A85,SiteAttendu!$A$2:$O$366,10,0)="NA","NA",COUNTIFS(soccode,$A85,socprog,"PNSME/MEDICAMENTS ET INTRANTS",socprompt,1))</f>
        <v>0</v>
      </c>
      <c r="J85" s="58" t="str">
        <f>IF(VLOOKUP($A85,SiteAttendu!$A$2:$O$366,11,0)="NA","NA",COUNTIFS(soccode,$A85,socprog,"PNN/MEDICAMENTS ET INTRANTS",socprompt,1))</f>
        <v>NA</v>
      </c>
      <c r="K85" s="58" t="str">
        <f>IF(VLOOKUP($A85,SiteAttendu!$A$2:$O$366,15,0)="NA","NA",IF(COUNTIF(socprog,"PNLT/SENSIBLE MEDICAMENTS ET INTRANTS")=0,"NA",COUNTIFS(soccode,$A85,socprog,"PNLT/SENSIBLE MEDICAMENTS ET INTRANTS",socprompt,1)))</f>
        <v>NA</v>
      </c>
      <c r="L85" s="60"/>
      <c r="M85" s="85">
        <f t="shared" ref="M85:S85" si="87">IFERROR(SUMIFS(E$2:E$364,$C$2:$C$364,$C85)/COUNTIFS(E$2:E$364,"&lt;&gt;NA",$C$2:$C$364,$C85),"")</f>
        <v>0.6666666667</v>
      </c>
      <c r="N85" s="85">
        <f t="shared" si="87"/>
        <v>0.6818181818</v>
      </c>
      <c r="O85" s="85">
        <f t="shared" si="87"/>
        <v>0.5384615385</v>
      </c>
      <c r="P85" s="85">
        <f t="shared" si="87"/>
        <v>0.7804878049</v>
      </c>
      <c r="Q85" s="85">
        <f t="shared" si="87"/>
        <v>0.8</v>
      </c>
      <c r="R85" s="85">
        <f t="shared" si="87"/>
        <v>0.625</v>
      </c>
      <c r="S85" s="85">
        <f t="shared" si="87"/>
        <v>0.6842105263</v>
      </c>
      <c r="T85" s="127">
        <f t="shared" si="3"/>
        <v>0.6590909091</v>
      </c>
      <c r="U85" s="53">
        <f t="shared" si="4"/>
        <v>0</v>
      </c>
      <c r="V85" s="54">
        <f t="shared" si="5"/>
        <v>0</v>
      </c>
    </row>
    <row r="86" ht="15.75" customHeight="1">
      <c r="A86" s="55" t="str">
        <f>SiteAttendu!$A86</f>
        <v>C1006</v>
      </c>
      <c r="B86" s="56" t="str">
        <f>VLOOKUP($A86,SiteAttendu!$A$2:$C$366,2,0)</f>
        <v>CHU TREICHVILLE</v>
      </c>
      <c r="C86" s="57" t="str">
        <f>VLOOKUP($A86,SiteAttendu!$A$2:$C$366,3,0)</f>
        <v>ABIDJAN 2</v>
      </c>
      <c r="D86" s="58">
        <f>IF(VLOOKUP(A86,SiteAttendu!$A$2:$P$366,4,0)="NA","NA",COUNTIFS(soccode,A86,socprog,"PNLS/ANTIRETROVIRAUX ET IO",socprompt,1))</f>
        <v>0</v>
      </c>
      <c r="E86" s="58">
        <f>IF(VLOOKUP($A86,SiteAttendu!$A$2:$O$366,5,0)="NA","NA",COUNTIFS(soccode,A86,socprog,"PNLS/TESTS RAPIDES ET CONSOMMABLES",socprompt,1))</f>
        <v>0</v>
      </c>
      <c r="F86" s="58" t="str">
        <f>IF(VLOOKUP($A86,SiteAttendu!$A$2:$O$366,6,0)="NA","NA",COUNTIFS(soccode,A86,socprog,"PNLS/PRODUITS DE LABORATOIRE",socprompt,1))</f>
        <v>NA</v>
      </c>
      <c r="G86" s="58">
        <f>IF(VLOOKUP($A86,SiteAttendu!$A$2:$O$366,7,0)="NA","NA",COUNTIFS(soccode,A86,socprog,"PNLS/CHARGES VIRALES",socprompt,1))</f>
        <v>0</v>
      </c>
      <c r="H86" s="58">
        <f>IF(VLOOKUP($A86,SiteAttendu!$A$2:$O$366,9,0)="NA","NA",COUNTIFS(soccode,A86,socprog,"PNLP/MEDICAMENTS ET INTRANTS",socprompt,1))</f>
        <v>1</v>
      </c>
      <c r="I86" s="58" t="str">
        <f>IF(VLOOKUP($A86,SiteAttendu!$A$2:$O$366,10,0)="NA","NA",COUNTIFS(soccode,$A86,socprog,"PNSME/MEDICAMENTS ET INTRANTS",socprompt,1))</f>
        <v>NA</v>
      </c>
      <c r="J86" s="58">
        <f>IF(VLOOKUP($A86,SiteAttendu!$A$2:$O$366,11,0)="NA","NA",COUNTIFS(soccode,$A86,socprog,"PNN/MEDICAMENTS ET INTRANTS",socprompt,1))</f>
        <v>0</v>
      </c>
      <c r="K86" s="58">
        <f>IF(VLOOKUP($A86,SiteAttendu!$A$2:$O$366,15,0)="NA","NA",IF(COUNTIF(socprog,"PNLT/SENSIBLE MEDICAMENTS ET INTRANTS")=0,"NA",COUNTIFS(soccode,$A86,socprog,"PNLT/SENSIBLE MEDICAMENTS ET INTRANTS",socprompt,1)))</f>
        <v>0</v>
      </c>
      <c r="L86" s="60"/>
      <c r="M86" s="85">
        <f t="shared" ref="M86:S86" si="88">IFERROR(SUMIFS(E$2:E$364,$C$2:$C$364,$C86)/COUNTIFS(E$2:E$364,"&lt;&gt;NA",$C$2:$C$364,$C86),"")</f>
        <v>0.6666666667</v>
      </c>
      <c r="N86" s="85">
        <f t="shared" si="88"/>
        <v>0.6818181818</v>
      </c>
      <c r="O86" s="85">
        <f t="shared" si="88"/>
        <v>0.5384615385</v>
      </c>
      <c r="P86" s="85">
        <f t="shared" si="88"/>
        <v>0.7804878049</v>
      </c>
      <c r="Q86" s="85">
        <f t="shared" si="88"/>
        <v>0.8</v>
      </c>
      <c r="R86" s="85">
        <f t="shared" si="88"/>
        <v>0.625</v>
      </c>
      <c r="S86" s="85">
        <f t="shared" si="88"/>
        <v>0.6842105263</v>
      </c>
      <c r="T86" s="127">
        <f t="shared" si="3"/>
        <v>0.6590909091</v>
      </c>
      <c r="U86" s="53">
        <f t="shared" si="4"/>
        <v>0</v>
      </c>
      <c r="V86" s="54">
        <f t="shared" si="5"/>
        <v>3</v>
      </c>
    </row>
    <row r="87" ht="15.75" customHeight="1">
      <c r="A87" s="55" t="str">
        <f>SiteAttendu!$A87</f>
        <v>C1057</v>
      </c>
      <c r="B87" s="56" t="str">
        <f>VLOOKUP($A87,SiteAttendu!$A$2:$C$366,2,0)</f>
        <v>HOPITAL GENERAL DE TREICHVILLE (PONT FHB)</v>
      </c>
      <c r="C87" s="57" t="str">
        <f>VLOOKUP($A87,SiteAttendu!$A$2:$C$366,3,0)</f>
        <v>ABIDJAN 2</v>
      </c>
      <c r="D87" s="58" t="str">
        <f>IF(VLOOKUP(A87,SiteAttendu!$A$2:$P$366,4,0)="NA","NA",COUNTIFS(soccode,A87,socprog,"PNLS/ANTIRETROVIRAUX ET IO",socprompt,1))</f>
        <v>NA</v>
      </c>
      <c r="E87" s="58" t="str">
        <f>IF(VLOOKUP($A87,SiteAttendu!$A$2:$O$366,5,0)="NA","NA",COUNTIFS(soccode,A87,socprog,"PNLS/TESTS RAPIDES ET CONSOMMABLES",socprompt,1))</f>
        <v>NA</v>
      </c>
      <c r="F87" s="58" t="str">
        <f>IF(VLOOKUP($A87,SiteAttendu!$A$2:$O$366,6,0)="NA","NA",COUNTIFS(soccode,A87,socprog,"PNLS/PRODUITS DE LABORATOIRE",socprompt,1))</f>
        <v>NA</v>
      </c>
      <c r="G87" s="58" t="str">
        <f>IF(VLOOKUP($A87,SiteAttendu!$A$2:$O$366,7,0)="NA","NA",COUNTIFS(soccode,A87,socprog,"PNLS/CHARGES VIRALES",socprompt,1))</f>
        <v>NA</v>
      </c>
      <c r="H87" s="58">
        <f>IF(VLOOKUP($A87,SiteAttendu!$A$2:$O$366,9,0)="NA","NA",COUNTIFS(soccode,A87,socprog,"PNLP/MEDICAMENTS ET INTRANTS",socprompt,1))</f>
        <v>0</v>
      </c>
      <c r="I87" s="58" t="str">
        <f>IF(VLOOKUP($A87,SiteAttendu!$A$2:$O$366,10,0)="NA","NA",COUNTIFS(soccode,$A87,socprog,"PNSME/MEDICAMENTS ET INTRANTS",socprompt,1))</f>
        <v>NA</v>
      </c>
      <c r="J87" s="58" t="str">
        <f>IF(VLOOKUP($A87,SiteAttendu!$A$2:$O$366,11,0)="NA","NA",COUNTIFS(soccode,$A87,socprog,"PNN/MEDICAMENTS ET INTRANTS",socprompt,1))</f>
        <v>NA</v>
      </c>
      <c r="K87" s="58" t="str">
        <f>IF(VLOOKUP($A87,SiteAttendu!$A$2:$O$366,15,0)="NA","NA",IF(COUNTIF(socprog,"PNLT/SENSIBLE MEDICAMENTS ET INTRANTS")=0,"NA",COUNTIFS(soccode,$A87,socprog,"PNLT/SENSIBLE MEDICAMENTS ET INTRANTS",socprompt,1)))</f>
        <v>NA</v>
      </c>
      <c r="L87" s="60"/>
      <c r="M87" s="85">
        <f t="shared" ref="M87:S87" si="89">IFERROR(SUMIFS(E$2:E$364,$C$2:$C$364,$C87)/COUNTIFS(E$2:E$364,"&lt;&gt;NA",$C$2:$C$364,$C87),"")</f>
        <v>0.6666666667</v>
      </c>
      <c r="N87" s="85">
        <f t="shared" si="89"/>
        <v>0.6818181818</v>
      </c>
      <c r="O87" s="85">
        <f t="shared" si="89"/>
        <v>0.5384615385</v>
      </c>
      <c r="P87" s="85">
        <f t="shared" si="89"/>
        <v>0.7804878049</v>
      </c>
      <c r="Q87" s="85">
        <f t="shared" si="89"/>
        <v>0.8</v>
      </c>
      <c r="R87" s="85">
        <f t="shared" si="89"/>
        <v>0.625</v>
      </c>
      <c r="S87" s="85">
        <f t="shared" si="89"/>
        <v>0.6842105263</v>
      </c>
      <c r="T87" s="127">
        <f t="shared" si="3"/>
        <v>0.6590909091</v>
      </c>
      <c r="U87" s="53">
        <f t="shared" si="4"/>
        <v>0</v>
      </c>
      <c r="V87" s="54">
        <f t="shared" si="5"/>
        <v>0</v>
      </c>
    </row>
    <row r="88" ht="15.75" customHeight="1">
      <c r="A88" s="55" t="str">
        <f>SiteAttendu!$A88</f>
        <v>C1060</v>
      </c>
      <c r="B88" s="56" t="str">
        <f>VLOOKUP($A88,SiteAttendu!$A$2:$C$366,2,0)</f>
        <v>HOPITAL GENERAL MARCORY</v>
      </c>
      <c r="C88" s="57" t="str">
        <f>VLOOKUP($A88,SiteAttendu!$A$2:$C$366,3,0)</f>
        <v>ABIDJAN 2</v>
      </c>
      <c r="D88" s="58">
        <f>IF(VLOOKUP(A88,SiteAttendu!$A$2:$P$366,4,0)="NA","NA",COUNTIFS(soccode,A88,socprog,"PNLS/ANTIRETROVIRAUX ET IO",socprompt,1))</f>
        <v>1</v>
      </c>
      <c r="E88" s="58">
        <f>IF(VLOOKUP($A88,SiteAttendu!$A$2:$O$366,5,0)="NA","NA",COUNTIFS(soccode,A88,socprog,"PNLS/TESTS RAPIDES ET CONSOMMABLES",socprompt,1))</f>
        <v>1</v>
      </c>
      <c r="F88" s="58">
        <f>IF(VLOOKUP($A88,SiteAttendu!$A$2:$O$366,6,0)="NA","NA",COUNTIFS(soccode,A88,socprog,"PNLS/PRODUITS DE LABORATOIRE",socprompt,1))</f>
        <v>0</v>
      </c>
      <c r="G88" s="58">
        <f>IF(VLOOKUP($A88,SiteAttendu!$A$2:$O$366,7,0)="NA","NA",COUNTIFS(soccode,A88,socprog,"PNLS/CHARGES VIRALES",socprompt,1))</f>
        <v>0</v>
      </c>
      <c r="H88" s="58">
        <f>IF(VLOOKUP($A88,SiteAttendu!$A$2:$O$366,9,0)="NA","NA",COUNTIFS(soccode,A88,socprog,"PNLP/MEDICAMENTS ET INTRANTS",socprompt,1))</f>
        <v>1</v>
      </c>
      <c r="I88" s="58" t="str">
        <f>IF(VLOOKUP($A88,SiteAttendu!$A$2:$O$366,10,0)="NA","NA",COUNTIFS(soccode,$A88,socprog,"PNSME/MEDICAMENTS ET INTRANTS",socprompt,1))</f>
        <v>NA</v>
      </c>
      <c r="J88" s="58" t="str">
        <f>IF(VLOOKUP($A88,SiteAttendu!$A$2:$O$366,11,0)="NA","NA",COUNTIFS(soccode,$A88,socprog,"PNN/MEDICAMENTS ET INTRANTS",socprompt,1))</f>
        <v>NA</v>
      </c>
      <c r="K88" s="58">
        <f>IF(VLOOKUP($A88,SiteAttendu!$A$2:$O$366,15,0)="NA","NA",IF(COUNTIF(socprog,"PNLT/SENSIBLE MEDICAMENTS ET INTRANTS")=0,"NA",COUNTIFS(soccode,$A88,socprog,"PNLT/SENSIBLE MEDICAMENTS ET INTRANTS",socprompt,1)))</f>
        <v>1</v>
      </c>
      <c r="L88" s="60"/>
      <c r="M88" s="85">
        <f t="shared" ref="M88:S88" si="90">IFERROR(SUMIFS(E$2:E$364,$C$2:$C$364,$C88)/COUNTIFS(E$2:E$364,"&lt;&gt;NA",$C$2:$C$364,$C88),"")</f>
        <v>0.6666666667</v>
      </c>
      <c r="N88" s="85">
        <f t="shared" si="90"/>
        <v>0.6818181818</v>
      </c>
      <c r="O88" s="85">
        <f t="shared" si="90"/>
        <v>0.5384615385</v>
      </c>
      <c r="P88" s="85">
        <f t="shared" si="90"/>
        <v>0.7804878049</v>
      </c>
      <c r="Q88" s="85">
        <f t="shared" si="90"/>
        <v>0.8</v>
      </c>
      <c r="R88" s="85">
        <f t="shared" si="90"/>
        <v>0.625</v>
      </c>
      <c r="S88" s="85">
        <f t="shared" si="90"/>
        <v>0.6842105263</v>
      </c>
      <c r="T88" s="127">
        <f t="shared" si="3"/>
        <v>0.6590909091</v>
      </c>
      <c r="U88" s="53">
        <f t="shared" si="4"/>
        <v>2</v>
      </c>
      <c r="V88" s="54">
        <f t="shared" si="5"/>
        <v>4</v>
      </c>
    </row>
    <row r="89" ht="15.75" customHeight="1">
      <c r="A89" s="55" t="str">
        <f>SiteAttendu!$A89</f>
        <v>C1061</v>
      </c>
      <c r="B89" s="56" t="str">
        <f>VLOOKUP($A89,SiteAttendu!$A$2:$C$366,2,0)</f>
        <v>HOPITAL GENERAL DE TREICHVILLE (JEAN DELAFOSSE)</v>
      </c>
      <c r="C89" s="57" t="str">
        <f>VLOOKUP($A89,SiteAttendu!$A$2:$C$366,3,0)</f>
        <v>ABIDJAN 2</v>
      </c>
      <c r="D89" s="58">
        <f>IF(VLOOKUP(A89,SiteAttendu!$A$2:$P$366,4,0)="NA","NA",COUNTIFS(soccode,A89,socprog,"PNLS/ANTIRETROVIRAUX ET IO",socprompt,1))</f>
        <v>1</v>
      </c>
      <c r="E89" s="58">
        <f>IF(VLOOKUP($A89,SiteAttendu!$A$2:$O$366,5,0)="NA","NA",COUNTIFS(soccode,A89,socprog,"PNLS/TESTS RAPIDES ET CONSOMMABLES",socprompt,1))</f>
        <v>0</v>
      </c>
      <c r="F89" s="58">
        <f>IF(VLOOKUP($A89,SiteAttendu!$A$2:$O$366,6,0)="NA","NA",COUNTIFS(soccode,A89,socprog,"PNLS/PRODUITS DE LABORATOIRE",socprompt,1))</f>
        <v>0</v>
      </c>
      <c r="G89" s="58" t="str">
        <f>IF(VLOOKUP($A89,SiteAttendu!$A$2:$O$366,7,0)="NA","NA",COUNTIFS(soccode,A89,socprog,"PNLS/CHARGES VIRALES",socprompt,1))</f>
        <v>NA</v>
      </c>
      <c r="H89" s="58">
        <f>IF(VLOOKUP($A89,SiteAttendu!$A$2:$O$366,9,0)="NA","NA",COUNTIFS(soccode,A89,socprog,"PNLP/MEDICAMENTS ET INTRANTS",socprompt,1))</f>
        <v>1</v>
      </c>
      <c r="I89" s="58">
        <f>IF(VLOOKUP($A89,SiteAttendu!$A$2:$O$366,10,0)="NA","NA",COUNTIFS(soccode,$A89,socprog,"PNSME/MEDICAMENTS ET INTRANTS",socprompt,1))</f>
        <v>1</v>
      </c>
      <c r="J89" s="58" t="str">
        <f>IF(VLOOKUP($A89,SiteAttendu!$A$2:$O$366,11,0)="NA","NA",COUNTIFS(soccode,$A89,socprog,"PNN/MEDICAMENTS ET INTRANTS",socprompt,1))</f>
        <v>NA</v>
      </c>
      <c r="K89" s="58" t="str">
        <f>IF(VLOOKUP($A89,SiteAttendu!$A$2:$O$366,15,0)="NA","NA",IF(COUNTIF(socprog,"PNLT/SENSIBLE MEDICAMENTS ET INTRANTS")=0,"NA",COUNTIFS(soccode,$A89,socprog,"PNLT/SENSIBLE MEDICAMENTS ET INTRANTS",socprompt,1)))</f>
        <v>NA</v>
      </c>
      <c r="L89" s="60"/>
      <c r="M89" s="85">
        <f t="shared" ref="M89:S89" si="91">IFERROR(SUMIFS(E$2:E$364,$C$2:$C$364,$C89)/COUNTIFS(E$2:E$364,"&lt;&gt;NA",$C$2:$C$364,$C89),"")</f>
        <v>0.6666666667</v>
      </c>
      <c r="N89" s="85">
        <f t="shared" si="91"/>
        <v>0.6818181818</v>
      </c>
      <c r="O89" s="85">
        <f t="shared" si="91"/>
        <v>0.5384615385</v>
      </c>
      <c r="P89" s="85">
        <f t="shared" si="91"/>
        <v>0.7804878049</v>
      </c>
      <c r="Q89" s="85">
        <f t="shared" si="91"/>
        <v>0.8</v>
      </c>
      <c r="R89" s="85">
        <f t="shared" si="91"/>
        <v>0.625</v>
      </c>
      <c r="S89" s="85">
        <f t="shared" si="91"/>
        <v>0.6842105263</v>
      </c>
      <c r="T89" s="127">
        <f t="shared" si="3"/>
        <v>0.6590909091</v>
      </c>
      <c r="U89" s="53">
        <f t="shared" si="4"/>
        <v>1</v>
      </c>
      <c r="V89" s="54">
        <f t="shared" si="5"/>
        <v>3</v>
      </c>
    </row>
    <row r="90" ht="15.75" customHeight="1">
      <c r="A90" s="55" t="str">
        <f>SiteAttendu!$A90</f>
        <v>C1419</v>
      </c>
      <c r="B90" s="56" t="str">
        <f>VLOOKUP($A90,SiteAttendu!$A$2:$C$366,2,0)</f>
        <v>CENTRE SOCIO-MEDICAL HOPE CI (CSMH)</v>
      </c>
      <c r="C90" s="57" t="str">
        <f>VLOOKUP($A90,SiteAttendu!$A$2:$C$366,3,0)</f>
        <v>ABIDJAN 2</v>
      </c>
      <c r="D90" s="58">
        <f>IF(VLOOKUP(A90,SiteAttendu!$A$2:$P$366,4,0)="NA","NA",COUNTIFS(soccode,A90,socprog,"PNLS/ANTIRETROVIRAUX ET IO",socprompt,1))</f>
        <v>1</v>
      </c>
      <c r="E90" s="58">
        <f>IF(VLOOKUP($A90,SiteAttendu!$A$2:$O$366,5,0)="NA","NA",COUNTIFS(soccode,A90,socprog,"PNLS/TESTS RAPIDES ET CONSOMMABLES",socprompt,1))</f>
        <v>1</v>
      </c>
      <c r="F90" s="58">
        <f>IF(VLOOKUP($A90,SiteAttendu!$A$2:$O$366,6,0)="NA","NA",COUNTIFS(soccode,A90,socprog,"PNLS/PRODUITS DE LABORATOIRE",socprompt,1))</f>
        <v>1</v>
      </c>
      <c r="G90" s="58" t="str">
        <f>IF(VLOOKUP($A90,SiteAttendu!$A$2:$O$366,7,0)="NA","NA",COUNTIFS(soccode,A90,socprog,"PNLS/CHARGES VIRALES",socprompt,1))</f>
        <v>NA</v>
      </c>
      <c r="H90" s="58">
        <f>IF(VLOOKUP($A90,SiteAttendu!$A$2:$O$366,9,0)="NA","NA",COUNTIFS(soccode,A90,socprog,"PNLP/MEDICAMENTS ET INTRANTS",socprompt,1))</f>
        <v>1</v>
      </c>
      <c r="I90" s="58" t="str">
        <f>IF(VLOOKUP($A90,SiteAttendu!$A$2:$O$366,10,0)="NA","NA",COUNTIFS(soccode,$A90,socprog,"PNSME/MEDICAMENTS ET INTRANTS",socprompt,1))</f>
        <v>NA</v>
      </c>
      <c r="J90" s="58" t="str">
        <f>IF(VLOOKUP($A90,SiteAttendu!$A$2:$O$366,11,0)="NA","NA",COUNTIFS(soccode,$A90,socprog,"PNN/MEDICAMENTS ET INTRANTS",socprompt,1))</f>
        <v>NA</v>
      </c>
      <c r="K90" s="58" t="str">
        <f>IF(VLOOKUP($A90,SiteAttendu!$A$2:$O$366,15,0)="NA","NA",IF(COUNTIF(socprog,"PNLT/SENSIBLE MEDICAMENTS ET INTRANTS")=0,"NA",COUNTIFS(soccode,$A90,socprog,"PNLT/SENSIBLE MEDICAMENTS ET INTRANTS",socprompt,1)))</f>
        <v>NA</v>
      </c>
      <c r="L90" s="60"/>
      <c r="M90" s="85">
        <f t="shared" ref="M90:S90" si="92">IFERROR(SUMIFS(E$2:E$364,$C$2:$C$364,$C90)/COUNTIFS(E$2:E$364,"&lt;&gt;NA",$C$2:$C$364,$C90),"")</f>
        <v>0.6666666667</v>
      </c>
      <c r="N90" s="85">
        <f t="shared" si="92"/>
        <v>0.6818181818</v>
      </c>
      <c r="O90" s="85">
        <f t="shared" si="92"/>
        <v>0.5384615385</v>
      </c>
      <c r="P90" s="85">
        <f t="shared" si="92"/>
        <v>0.7804878049</v>
      </c>
      <c r="Q90" s="85">
        <f t="shared" si="92"/>
        <v>0.8</v>
      </c>
      <c r="R90" s="85">
        <f t="shared" si="92"/>
        <v>0.625</v>
      </c>
      <c r="S90" s="85">
        <f t="shared" si="92"/>
        <v>0.6842105263</v>
      </c>
      <c r="T90" s="127">
        <f t="shared" si="3"/>
        <v>0.6590909091</v>
      </c>
      <c r="U90" s="53">
        <f t="shared" si="4"/>
        <v>3</v>
      </c>
      <c r="V90" s="54">
        <f t="shared" si="5"/>
        <v>3</v>
      </c>
    </row>
    <row r="91" ht="15.75" customHeight="1">
      <c r="A91" s="55" t="str">
        <f>SiteAttendu!$A91</f>
        <v>C1482</v>
      </c>
      <c r="B91" s="56" t="str">
        <f>VLOOKUP($A91,SiteAttendu!$A$2:$C$366,2,0)</f>
        <v>CENTRE NATIONAL DE TRANSFUSION SANGUINE</v>
      </c>
      <c r="C91" s="57" t="str">
        <f>VLOOKUP($A91,SiteAttendu!$A$2:$C$366,3,0)</f>
        <v>ABIDJAN 2</v>
      </c>
      <c r="D91" s="58">
        <f>IF(VLOOKUP(A91,SiteAttendu!$A$2:$P$366,4,0)="NA","NA",COUNTIFS(soccode,A91,socprog,"PNLS/ANTIRETROVIRAUX ET IO",socprompt,1))</f>
        <v>1</v>
      </c>
      <c r="E91" s="58">
        <f>IF(VLOOKUP($A91,SiteAttendu!$A$2:$O$366,5,0)="NA","NA",COUNTIFS(soccode,A91,socprog,"PNLS/TESTS RAPIDES ET CONSOMMABLES",socprompt,1))</f>
        <v>1</v>
      </c>
      <c r="F91" s="58">
        <f>IF(VLOOKUP($A91,SiteAttendu!$A$2:$O$366,6,0)="NA","NA",COUNTIFS(soccode,A91,socprog,"PNLS/PRODUITS DE LABORATOIRE",socprompt,1))</f>
        <v>1</v>
      </c>
      <c r="G91" s="58" t="str">
        <f>IF(VLOOKUP($A91,SiteAttendu!$A$2:$O$366,7,0)="NA","NA",COUNTIFS(soccode,A91,socprog,"PNLS/CHARGES VIRALES",socprompt,1))</f>
        <v>NA</v>
      </c>
      <c r="H91" s="58">
        <f>IF(VLOOKUP($A91,SiteAttendu!$A$2:$O$366,9,0)="NA","NA",COUNTIFS(soccode,A91,socprog,"PNLP/MEDICAMENTS ET INTRANTS",socprompt,1))</f>
        <v>1</v>
      </c>
      <c r="I91" s="58" t="str">
        <f>IF(VLOOKUP($A91,SiteAttendu!$A$2:$O$366,10,0)="NA","NA",COUNTIFS(soccode,$A91,socprog,"PNSME/MEDICAMENTS ET INTRANTS",socprompt,1))</f>
        <v>NA</v>
      </c>
      <c r="J91" s="58" t="str">
        <f>IF(VLOOKUP($A91,SiteAttendu!$A$2:$O$366,11,0)="NA","NA",COUNTIFS(soccode,$A91,socprog,"PNN/MEDICAMENTS ET INTRANTS",socprompt,1))</f>
        <v>NA</v>
      </c>
      <c r="K91" s="58" t="str">
        <f>IF(VLOOKUP($A91,SiteAttendu!$A$2:$O$366,15,0)="NA","NA",IF(COUNTIF(socprog,"PNLT/SENSIBLE MEDICAMENTS ET INTRANTS")=0,"NA",COUNTIFS(soccode,$A91,socprog,"PNLT/SENSIBLE MEDICAMENTS ET INTRANTS",socprompt,1)))</f>
        <v>NA</v>
      </c>
      <c r="L91" s="60"/>
      <c r="M91" s="85">
        <f t="shared" ref="M91:S91" si="93">IFERROR(SUMIFS(E$2:E$364,$C$2:$C$364,$C91)/COUNTIFS(E$2:E$364,"&lt;&gt;NA",$C$2:$C$364,$C91),"")</f>
        <v>0.6666666667</v>
      </c>
      <c r="N91" s="85">
        <f t="shared" si="93"/>
        <v>0.6818181818</v>
      </c>
      <c r="O91" s="85">
        <f t="shared" si="93"/>
        <v>0.5384615385</v>
      </c>
      <c r="P91" s="85">
        <f t="shared" si="93"/>
        <v>0.7804878049</v>
      </c>
      <c r="Q91" s="85">
        <f t="shared" si="93"/>
        <v>0.8</v>
      </c>
      <c r="R91" s="85">
        <f t="shared" si="93"/>
        <v>0.625</v>
      </c>
      <c r="S91" s="85">
        <f t="shared" si="93"/>
        <v>0.6842105263</v>
      </c>
      <c r="T91" s="127">
        <f t="shared" si="3"/>
        <v>0.6590909091</v>
      </c>
      <c r="U91" s="53">
        <f t="shared" si="4"/>
        <v>3</v>
      </c>
      <c r="V91" s="54">
        <f t="shared" si="5"/>
        <v>3</v>
      </c>
    </row>
    <row r="92" ht="15.75" customHeight="1">
      <c r="A92" s="55" t="str">
        <f>SiteAttendu!$A92</f>
        <v>C1676</v>
      </c>
      <c r="B92" s="56" t="str">
        <f>VLOOKUP($A92,SiteAttendu!$A$2:$C$366,2,0)</f>
        <v>DISTRICT SANITAIRE TREICHVILLE MARCORY</v>
      </c>
      <c r="C92" s="57" t="str">
        <f>VLOOKUP($A92,SiteAttendu!$A$2:$C$366,3,0)</f>
        <v>ABIDJAN 2</v>
      </c>
      <c r="D92" s="58">
        <f>IF(VLOOKUP(A92,SiteAttendu!$A$2:$P$366,4,0)="NA","NA",COUNTIFS(soccode,A92,socprog,"PNLS/ANTIRETROVIRAUX ET IO",socprompt,1))</f>
        <v>1</v>
      </c>
      <c r="E92" s="58">
        <f>IF(VLOOKUP($A92,SiteAttendu!$A$2:$O$366,5,0)="NA","NA",COUNTIFS(soccode,A92,socprog,"PNLS/TESTS RAPIDES ET CONSOMMABLES",socprompt,1))</f>
        <v>1</v>
      </c>
      <c r="F92" s="58">
        <f>IF(VLOOKUP($A92,SiteAttendu!$A$2:$O$366,6,0)="NA","NA",COUNTIFS(soccode,A92,socprog,"PNLS/PRODUITS DE LABORATOIRE",socprompt,1))</f>
        <v>1</v>
      </c>
      <c r="G92" s="58" t="str">
        <f>IF(VLOOKUP($A92,SiteAttendu!$A$2:$O$366,7,0)="NA","NA",COUNTIFS(soccode,A92,socprog,"PNLS/CHARGES VIRALES",socprompt,1))</f>
        <v>NA</v>
      </c>
      <c r="H92" s="58">
        <f>IF(VLOOKUP($A92,SiteAttendu!$A$2:$O$366,9,0)="NA","NA",COUNTIFS(soccode,A92,socprog,"PNLP/MEDICAMENTS ET INTRANTS",socprompt,1))</f>
        <v>1</v>
      </c>
      <c r="I92" s="58">
        <f>IF(VLOOKUP($A92,SiteAttendu!$A$2:$O$366,10,0)="NA","NA",COUNTIFS(soccode,$A92,socprog,"PNSME/MEDICAMENTS ET INTRANTS",socprompt,1))</f>
        <v>1</v>
      </c>
      <c r="J92" s="58">
        <f>IF(VLOOKUP($A92,SiteAttendu!$A$2:$O$366,11,0)="NA","NA",COUNTIFS(soccode,$A92,socprog,"PNN/MEDICAMENTS ET INTRANTS",socprompt,1))</f>
        <v>1</v>
      </c>
      <c r="K92" s="58">
        <f>IF(VLOOKUP($A92,SiteAttendu!$A$2:$O$366,15,0)="NA","NA",IF(COUNTIF(socprog,"PNLT/SENSIBLE MEDICAMENTS ET INTRANTS")=0,"NA",COUNTIFS(soccode,$A92,socprog,"PNLT/SENSIBLE MEDICAMENTS ET INTRANTS",socprompt,1)))</f>
        <v>1</v>
      </c>
      <c r="L92" s="60"/>
      <c r="M92" s="85">
        <f t="shared" ref="M92:S92" si="94">IFERROR(SUMIFS(E$2:E$364,$C$2:$C$364,$C92)/COUNTIFS(E$2:E$364,"&lt;&gt;NA",$C$2:$C$364,$C92),"")</f>
        <v>0.6666666667</v>
      </c>
      <c r="N92" s="85">
        <f t="shared" si="94"/>
        <v>0.6818181818</v>
      </c>
      <c r="O92" s="85">
        <f t="shared" si="94"/>
        <v>0.5384615385</v>
      </c>
      <c r="P92" s="85">
        <f t="shared" si="94"/>
        <v>0.7804878049</v>
      </c>
      <c r="Q92" s="85">
        <f t="shared" si="94"/>
        <v>0.8</v>
      </c>
      <c r="R92" s="85">
        <f t="shared" si="94"/>
        <v>0.625</v>
      </c>
      <c r="S92" s="85">
        <f t="shared" si="94"/>
        <v>0.6842105263</v>
      </c>
      <c r="T92" s="127">
        <f t="shared" si="3"/>
        <v>0.6590909091</v>
      </c>
      <c r="U92" s="53">
        <f t="shared" si="4"/>
        <v>3</v>
      </c>
      <c r="V92" s="54">
        <f t="shared" si="5"/>
        <v>3</v>
      </c>
    </row>
    <row r="93" ht="15.75" customHeight="1">
      <c r="A93" s="55" t="str">
        <f>SiteAttendu!$A93</f>
        <v>C1141</v>
      </c>
      <c r="B93" s="56" t="str">
        <f>VLOOKUP($A93,SiteAttendu!$A$2:$C$366,2,0)</f>
        <v>UNITE SOINS AMBULATOIRE</v>
      </c>
      <c r="C93" s="57" t="str">
        <f>VLOOKUP($A93,SiteAttendu!$A$2:$C$366,3,0)</f>
        <v>ABIDJAN 2</v>
      </c>
      <c r="D93" s="58">
        <f>IF(VLOOKUP(A93,SiteAttendu!$A$2:$P$366,4,0)="NA","NA",COUNTIFS(soccode,A93,socprog,"PNLS/ANTIRETROVIRAUX ET IO",socprompt,1))</f>
        <v>1</v>
      </c>
      <c r="E93" s="58">
        <f>IF(VLOOKUP($A93,SiteAttendu!$A$2:$O$366,5,0)="NA","NA",COUNTIFS(soccode,A93,socprog,"PNLS/TESTS RAPIDES ET CONSOMMABLES",socprompt,1))</f>
        <v>1</v>
      </c>
      <c r="F93" s="58" t="str">
        <f>IF(VLOOKUP($A93,SiteAttendu!$A$2:$O$366,6,0)="NA","NA",COUNTIFS(soccode,A93,socprog,"PNLS/PRODUITS DE LABORATOIRE",socprompt,1))</f>
        <v>NA</v>
      </c>
      <c r="G93" s="58" t="str">
        <f>IF(VLOOKUP($A93,SiteAttendu!$A$2:$O$366,7,0)="NA","NA",COUNTIFS(soccode,A93,socprog,"PNLS/CHARGES VIRALES",socprompt,1))</f>
        <v>NA</v>
      </c>
      <c r="H93" s="58" t="str">
        <f>IF(VLOOKUP($A93,SiteAttendu!$A$2:$O$366,9,0)="NA","NA",COUNTIFS(soccode,A93,socprog,"PNLP/MEDICAMENTS ET INTRANTS",socprompt,1))</f>
        <v>NA</v>
      </c>
      <c r="I93" s="58" t="str">
        <f>IF(VLOOKUP($A93,SiteAttendu!$A$2:$O$366,10,0)="NA","NA",COUNTIFS(soccode,$A93,socprog,"PNSME/MEDICAMENTS ET INTRANTS",socprompt,1))</f>
        <v>NA</v>
      </c>
      <c r="J93" s="58" t="str">
        <f>IF(VLOOKUP($A93,SiteAttendu!$A$2:$O$366,11,0)="NA","NA",COUNTIFS(soccode,$A93,socprog,"PNN/MEDICAMENTS ET INTRANTS",socprompt,1))</f>
        <v>NA</v>
      </c>
      <c r="K93" s="58">
        <f>IF(VLOOKUP($A93,SiteAttendu!$A$2:$O$366,15,0)="NA","NA",IF(COUNTIF(socprog,"PNLT/SENSIBLE MEDICAMENTS ET INTRANTS")=0,"NA",COUNTIFS(soccode,$A93,socprog,"PNLT/SENSIBLE MEDICAMENTS ET INTRANTS",socprompt,1)))</f>
        <v>1</v>
      </c>
      <c r="L93" s="60"/>
      <c r="M93" s="85">
        <f t="shared" ref="M93:S93" si="95">IFERROR(SUMIFS(E$2:E$364,$C$2:$C$364,$C93)/COUNTIFS(E$2:E$364,"&lt;&gt;NA",$C$2:$C$364,$C93),"")</f>
        <v>0.6666666667</v>
      </c>
      <c r="N93" s="85">
        <f t="shared" si="95"/>
        <v>0.6818181818</v>
      </c>
      <c r="O93" s="85">
        <f t="shared" si="95"/>
        <v>0.5384615385</v>
      </c>
      <c r="P93" s="85">
        <f t="shared" si="95"/>
        <v>0.7804878049</v>
      </c>
      <c r="Q93" s="85">
        <f t="shared" si="95"/>
        <v>0.8</v>
      </c>
      <c r="R93" s="85">
        <f t="shared" si="95"/>
        <v>0.625</v>
      </c>
      <c r="S93" s="85">
        <f t="shared" si="95"/>
        <v>0.6842105263</v>
      </c>
      <c r="T93" s="127">
        <f t="shared" si="3"/>
        <v>0.6590909091</v>
      </c>
      <c r="U93" s="53">
        <f t="shared" si="4"/>
        <v>2</v>
      </c>
      <c r="V93" s="54">
        <f t="shared" si="5"/>
        <v>2</v>
      </c>
    </row>
    <row r="94" ht="15.75" customHeight="1">
      <c r="A94" s="55" t="str">
        <f>SiteAttendu!$A94</f>
        <v>C1407</v>
      </c>
      <c r="B94" s="56" t="str">
        <f>VLOOKUP($A94,SiteAttendu!$A$2:$C$366,2,0)</f>
        <v>CIRBA</v>
      </c>
      <c r="C94" s="57" t="str">
        <f>VLOOKUP($A94,SiteAttendu!$A$2:$C$366,3,0)</f>
        <v>ABIDJAN 2</v>
      </c>
      <c r="D94" s="58">
        <f>IF(VLOOKUP(A94,SiteAttendu!$A$2:$P$366,4,0)="NA","NA",COUNTIFS(soccode,A94,socprog,"PNLS/ANTIRETROVIRAUX ET IO",socprompt,1))</f>
        <v>1</v>
      </c>
      <c r="E94" s="58">
        <f>IF(VLOOKUP($A94,SiteAttendu!$A$2:$O$366,5,0)="NA","NA",COUNTIFS(soccode,A94,socprog,"PNLS/TESTS RAPIDES ET CONSOMMABLES",socprompt,1))</f>
        <v>1</v>
      </c>
      <c r="F94" s="58">
        <f>IF(VLOOKUP($A94,SiteAttendu!$A$2:$O$366,6,0)="NA","NA",COUNTIFS(soccode,A94,socprog,"PNLS/PRODUITS DE LABORATOIRE",socprompt,1))</f>
        <v>1</v>
      </c>
      <c r="G94" s="58">
        <f>IF(VLOOKUP($A94,SiteAttendu!$A$2:$O$366,7,0)="NA","NA",COUNTIFS(soccode,A94,socprog,"PNLS/CHARGES VIRALES",socprompt,1))</f>
        <v>1</v>
      </c>
      <c r="H94" s="58" t="str">
        <f>IF(VLOOKUP($A94,SiteAttendu!$A$2:$O$366,9,0)="NA","NA",COUNTIFS(soccode,A94,socprog,"PNLP/MEDICAMENTS ET INTRANTS",socprompt,1))</f>
        <v>NA</v>
      </c>
      <c r="I94" s="58" t="str">
        <f>IF(VLOOKUP($A94,SiteAttendu!$A$2:$O$366,10,0)="NA","NA",COUNTIFS(soccode,$A94,socprog,"PNSME/MEDICAMENTS ET INTRANTS",socprompt,1))</f>
        <v>NA</v>
      </c>
      <c r="J94" s="58" t="str">
        <f>IF(VLOOKUP($A94,SiteAttendu!$A$2:$O$366,11,0)="NA","NA",COUNTIFS(soccode,$A94,socprog,"PNN/MEDICAMENTS ET INTRANTS",socprompt,1))</f>
        <v>NA</v>
      </c>
      <c r="K94" s="58">
        <f>IF(VLOOKUP($A94,SiteAttendu!$A$2:$O$366,15,0)="NA","NA",IF(COUNTIF(socprog,"PNLT/SENSIBLE MEDICAMENTS ET INTRANTS")=0,"NA",COUNTIFS(soccode,$A94,socprog,"PNLT/SENSIBLE MEDICAMENTS ET INTRANTS",socprompt,1)))</f>
        <v>1</v>
      </c>
      <c r="L94" s="60"/>
      <c r="M94" s="85">
        <f t="shared" ref="M94:S94" si="96">IFERROR(SUMIFS(E$2:E$364,$C$2:$C$364,$C94)/COUNTIFS(E$2:E$364,"&lt;&gt;NA",$C$2:$C$364,$C94),"")</f>
        <v>0.6666666667</v>
      </c>
      <c r="N94" s="85">
        <f t="shared" si="96"/>
        <v>0.6818181818</v>
      </c>
      <c r="O94" s="85">
        <f t="shared" si="96"/>
        <v>0.5384615385</v>
      </c>
      <c r="P94" s="85">
        <f t="shared" si="96"/>
        <v>0.7804878049</v>
      </c>
      <c r="Q94" s="85">
        <f t="shared" si="96"/>
        <v>0.8</v>
      </c>
      <c r="R94" s="85">
        <f t="shared" si="96"/>
        <v>0.625</v>
      </c>
      <c r="S94" s="85">
        <f t="shared" si="96"/>
        <v>0.6842105263</v>
      </c>
      <c r="T94" s="127">
        <f t="shared" si="3"/>
        <v>0.6590909091</v>
      </c>
      <c r="U94" s="53">
        <f t="shared" si="4"/>
        <v>4</v>
      </c>
      <c r="V94" s="54">
        <f t="shared" si="5"/>
        <v>4</v>
      </c>
    </row>
    <row r="95" ht="15.75" customHeight="1">
      <c r="A95" s="55" t="str">
        <f>SiteAttendu!$A95</f>
        <v>C1426</v>
      </c>
      <c r="B95" s="56" t="str">
        <f>VLOOKUP($A95,SiteAttendu!$A$2:$C$366,2,0)</f>
        <v>CEDRES (PROJET FAC-SIDA CHU TREICHVILLE)</v>
      </c>
      <c r="C95" s="57" t="str">
        <f>VLOOKUP($A95,SiteAttendu!$A$2:$C$366,3,0)</f>
        <v>ABIDJAN 2</v>
      </c>
      <c r="D95" s="58" t="str">
        <f>IF(VLOOKUP(A95,SiteAttendu!$A$2:$P$366,4,0)="NA","NA",COUNTIFS(soccode,A95,socprog,"PNLS/ANTIRETROVIRAUX ET IO",socprompt,1))</f>
        <v>NA</v>
      </c>
      <c r="E95" s="58">
        <f>IF(VLOOKUP($A95,SiteAttendu!$A$2:$O$366,5,0)="NA","NA",COUNTIFS(soccode,A95,socprog,"PNLS/TESTS RAPIDES ET CONSOMMABLES",socprompt,1))</f>
        <v>1</v>
      </c>
      <c r="F95" s="58">
        <f>IF(VLOOKUP($A95,SiteAttendu!$A$2:$O$366,6,0)="NA","NA",COUNTIFS(soccode,A95,socprog,"PNLS/PRODUITS DE LABORATOIRE",socprompt,1))</f>
        <v>1</v>
      </c>
      <c r="G95" s="58">
        <f>IF(VLOOKUP($A95,SiteAttendu!$A$2:$O$366,7,0)="NA","NA",COUNTIFS(soccode,A95,socprog,"PNLS/CHARGES VIRALES",socprompt,1))</f>
        <v>1</v>
      </c>
      <c r="H95" s="58" t="str">
        <f>IF(VLOOKUP($A95,SiteAttendu!$A$2:$O$366,9,0)="NA","NA",COUNTIFS(soccode,A95,socprog,"PNLP/MEDICAMENTS ET INTRANTS",socprompt,1))</f>
        <v>NA</v>
      </c>
      <c r="I95" s="58" t="str">
        <f>IF(VLOOKUP($A95,SiteAttendu!$A$2:$O$366,10,0)="NA","NA",COUNTIFS(soccode,$A95,socprog,"PNSME/MEDICAMENTS ET INTRANTS",socprompt,1))</f>
        <v>NA</v>
      </c>
      <c r="J95" s="58" t="str">
        <f>IF(VLOOKUP($A95,SiteAttendu!$A$2:$O$366,11,0)="NA","NA",COUNTIFS(soccode,$A95,socprog,"PNN/MEDICAMENTS ET INTRANTS",socprompt,1))</f>
        <v>NA</v>
      </c>
      <c r="K95" s="58" t="str">
        <f>IF(VLOOKUP($A95,SiteAttendu!$A$2:$O$366,15,0)="NA","NA",IF(COUNTIF(socprog,"PNLT/SENSIBLE MEDICAMENTS ET INTRANTS")=0,"NA",COUNTIFS(soccode,$A95,socprog,"PNLT/SENSIBLE MEDICAMENTS ET INTRANTS",socprompt,1)))</f>
        <v>NA</v>
      </c>
      <c r="L95" s="60"/>
      <c r="M95" s="85">
        <f t="shared" ref="M95:S95" si="97">IFERROR(SUMIFS(E$2:E$364,$C$2:$C$364,$C95)/COUNTIFS(E$2:E$364,"&lt;&gt;NA",$C$2:$C$364,$C95),"")</f>
        <v>0.6666666667</v>
      </c>
      <c r="N95" s="85">
        <f t="shared" si="97"/>
        <v>0.6818181818</v>
      </c>
      <c r="O95" s="85">
        <f t="shared" si="97"/>
        <v>0.5384615385</v>
      </c>
      <c r="P95" s="85">
        <f t="shared" si="97"/>
        <v>0.7804878049</v>
      </c>
      <c r="Q95" s="85">
        <f t="shared" si="97"/>
        <v>0.8</v>
      </c>
      <c r="R95" s="85">
        <f t="shared" si="97"/>
        <v>0.625</v>
      </c>
      <c r="S95" s="85">
        <f t="shared" si="97"/>
        <v>0.6842105263</v>
      </c>
      <c r="T95" s="127">
        <f t="shared" si="3"/>
        <v>0.6590909091</v>
      </c>
      <c r="U95" s="53">
        <f t="shared" si="4"/>
        <v>3</v>
      </c>
      <c r="V95" s="54">
        <f t="shared" si="5"/>
        <v>3</v>
      </c>
    </row>
    <row r="96" ht="15.75" customHeight="1">
      <c r="A96" s="55" t="str">
        <f>SiteAttendu!$A96</f>
        <v>C1581</v>
      </c>
      <c r="B96" s="56" t="str">
        <f>VLOOKUP($A96,SiteAttendu!$A$2:$C$366,2,0)</f>
        <v>PROJET RETRO-CI (AMBASSADE USA)</v>
      </c>
      <c r="C96" s="57" t="str">
        <f>VLOOKUP($A96,SiteAttendu!$A$2:$C$366,3,0)</f>
        <v>ABIDJAN 2</v>
      </c>
      <c r="D96" s="58" t="str">
        <f>IF(VLOOKUP(A96,SiteAttendu!$A$2:$P$366,4,0)="NA","NA",COUNTIFS(soccode,A96,socprog,"PNLS/ANTIRETROVIRAUX ET IO",socprompt,1))</f>
        <v>NA</v>
      </c>
      <c r="E96" s="58">
        <f>IF(VLOOKUP($A96,SiteAttendu!$A$2:$O$366,5,0)="NA","NA",COUNTIFS(soccode,A96,socprog,"PNLS/TESTS RAPIDES ET CONSOMMABLES",socprompt,1))</f>
        <v>1</v>
      </c>
      <c r="F96" s="58">
        <f>IF(VLOOKUP($A96,SiteAttendu!$A$2:$O$366,6,0)="NA","NA",COUNTIFS(soccode,A96,socprog,"PNLS/PRODUITS DE LABORATOIRE",socprompt,1))</f>
        <v>1</v>
      </c>
      <c r="G96" s="58">
        <f>IF(VLOOKUP($A96,SiteAttendu!$A$2:$O$366,7,0)="NA","NA",COUNTIFS(soccode,A96,socprog,"PNLS/CHARGES VIRALES",socprompt,1))</f>
        <v>1</v>
      </c>
      <c r="H96" s="58" t="str">
        <f>IF(VLOOKUP($A96,SiteAttendu!$A$2:$O$366,9,0)="NA","NA",COUNTIFS(soccode,A96,socprog,"PNLP/MEDICAMENTS ET INTRANTS",socprompt,1))</f>
        <v>NA</v>
      </c>
      <c r="I96" s="58" t="str">
        <f>IF(VLOOKUP($A96,SiteAttendu!$A$2:$O$366,10,0)="NA","NA",COUNTIFS(soccode,$A96,socprog,"PNSME/MEDICAMENTS ET INTRANTS",socprompt,1))</f>
        <v>NA</v>
      </c>
      <c r="J96" s="58" t="str">
        <f>IF(VLOOKUP($A96,SiteAttendu!$A$2:$O$366,11,0)="NA","NA",COUNTIFS(soccode,$A96,socprog,"PNN/MEDICAMENTS ET INTRANTS",socprompt,1))</f>
        <v>NA</v>
      </c>
      <c r="K96" s="58" t="str">
        <f>IF(VLOOKUP($A96,SiteAttendu!$A$2:$O$366,15,0)="NA","NA",IF(COUNTIF(socprog,"PNLT/SENSIBLE MEDICAMENTS ET INTRANTS")=0,"NA",COUNTIFS(soccode,$A96,socprog,"PNLT/SENSIBLE MEDICAMENTS ET INTRANTS",socprompt,1)))</f>
        <v>NA</v>
      </c>
      <c r="L96" s="60"/>
      <c r="M96" s="85">
        <f t="shared" ref="M96:S96" si="98">IFERROR(SUMIFS(E$2:E$364,$C$2:$C$364,$C96)/COUNTIFS(E$2:E$364,"&lt;&gt;NA",$C$2:$C$364,$C96),"")</f>
        <v>0.6666666667</v>
      </c>
      <c r="N96" s="85">
        <f t="shared" si="98"/>
        <v>0.6818181818</v>
      </c>
      <c r="O96" s="85">
        <f t="shared" si="98"/>
        <v>0.5384615385</v>
      </c>
      <c r="P96" s="85">
        <f t="shared" si="98"/>
        <v>0.7804878049</v>
      </c>
      <c r="Q96" s="85">
        <f t="shared" si="98"/>
        <v>0.8</v>
      </c>
      <c r="R96" s="85">
        <f t="shared" si="98"/>
        <v>0.625</v>
      </c>
      <c r="S96" s="85">
        <f t="shared" si="98"/>
        <v>0.6842105263</v>
      </c>
      <c r="T96" s="127">
        <f t="shared" si="3"/>
        <v>0.6590909091</v>
      </c>
      <c r="U96" s="53">
        <f t="shared" si="4"/>
        <v>3</v>
      </c>
      <c r="V96" s="54">
        <f t="shared" si="5"/>
        <v>3</v>
      </c>
    </row>
    <row r="97" ht="15.75" customHeight="1">
      <c r="A97" s="62" t="str">
        <f>SiteAttendu!$A97</f>
        <v>C1002</v>
      </c>
      <c r="B97" s="63" t="str">
        <f>VLOOKUP($A97,SiteAttendu!$A$2:$C$366,2,0)</f>
        <v>CENTRE ANTI-TUBERCULEUX TREICHVILLE</v>
      </c>
      <c r="C97" s="64" t="str">
        <f>VLOOKUP($A97,SiteAttendu!$A$2:$C$366,3,0)</f>
        <v>ABIDJAN 2</v>
      </c>
      <c r="D97" s="65" t="str">
        <f>IF(VLOOKUP(A97,SiteAttendu!$A$2:$P$366,4,0)="NA","NA",COUNTIFS(soccode,A97,socprog,"PNLS/ANTIRETROVIRAUX ET IO",socprompt,1))</f>
        <v>NA</v>
      </c>
      <c r="E97" s="65" t="str">
        <f>IF(VLOOKUP($A97,SiteAttendu!$A$2:$O$366,5,0)="NA","NA",COUNTIFS(soccode,A97,socprog,"PNLS/TESTS RAPIDES ET CONSOMMABLES",socprompt,1))</f>
        <v>NA</v>
      </c>
      <c r="F97" s="65" t="str">
        <f>IF(VLOOKUP($A97,SiteAttendu!$A$2:$O$366,6,0)="NA","NA",COUNTIFS(soccode,A97,socprog,"PNLS/PRODUITS DE LABORATOIRE",socprompt,1))</f>
        <v>NA</v>
      </c>
      <c r="G97" s="65" t="str">
        <f>IF(VLOOKUP($A97,SiteAttendu!$A$2:$O$366,7,0)="NA","NA",COUNTIFS(soccode,A97,socprog,"PNLS/CHARGES VIRALES",socprompt,1))</f>
        <v>NA</v>
      </c>
      <c r="H97" s="65" t="str">
        <f>IF(VLOOKUP($A97,SiteAttendu!$A$2:$O$366,9,0)="NA","NA",COUNTIFS(soccode,A97,socprog,"PNLP/MEDICAMENTS ET INTRANTS",socprompt,1))</f>
        <v>NA</v>
      </c>
      <c r="I97" s="65" t="str">
        <f>IF(VLOOKUP($A97,SiteAttendu!$A$2:$O$366,10,0)="NA","NA",COUNTIFS(soccode,$A97,socprog,"PNSME/MEDICAMENTS ET INTRANTS",socprompt,1))</f>
        <v>NA</v>
      </c>
      <c r="J97" s="65" t="str">
        <f>IF(VLOOKUP($A97,SiteAttendu!$A$2:$O$366,11,0)="NA","NA",COUNTIFS(soccode,$A97,socprog,"PNN/MEDICAMENTS ET INTRANTS",socprompt,1))</f>
        <v>NA</v>
      </c>
      <c r="K97" s="65">
        <f>IF(VLOOKUP($A97,SiteAttendu!$A$2:$O$366,15,0)="NA","NA",IF(COUNTIF(socprog,"PNLT/SENSIBLE MEDICAMENTS ET INTRANTS")=0,"NA",COUNTIFS(soccode,$A97,socprog,"PNLT/SENSIBLE MEDICAMENTS ET INTRANTS",socprompt,1)))</f>
        <v>0</v>
      </c>
      <c r="L97" s="67"/>
      <c r="M97" s="86">
        <f t="shared" ref="M97:S97" si="99">IFERROR(SUMIFS(E$2:E$364,$C$2:$C$364,$C97)/COUNTIFS(E$2:E$364,"&lt;&gt;NA",$C$2:$C$364,$C97),"")</f>
        <v>0.6666666667</v>
      </c>
      <c r="N97" s="86">
        <f t="shared" si="99"/>
        <v>0.6818181818</v>
      </c>
      <c r="O97" s="86">
        <f t="shared" si="99"/>
        <v>0.5384615385</v>
      </c>
      <c r="P97" s="86">
        <f t="shared" si="99"/>
        <v>0.7804878049</v>
      </c>
      <c r="Q97" s="86">
        <f t="shared" si="99"/>
        <v>0.8</v>
      </c>
      <c r="R97" s="86">
        <f t="shared" si="99"/>
        <v>0.625</v>
      </c>
      <c r="S97" s="86">
        <f t="shared" si="99"/>
        <v>0.6842105263</v>
      </c>
      <c r="T97" s="128">
        <f t="shared" si="3"/>
        <v>0.6590909091</v>
      </c>
      <c r="U97" s="53">
        <f t="shared" si="4"/>
        <v>0</v>
      </c>
      <c r="V97" s="54">
        <f t="shared" si="5"/>
        <v>0</v>
      </c>
    </row>
    <row r="98" ht="16.5" customHeight="1">
      <c r="A98" s="46" t="str">
        <f>SiteAttendu!$A98</f>
        <v>C1004</v>
      </c>
      <c r="B98" s="47" t="str">
        <f>VLOOKUP($A98,SiteAttendu!$A$2:$C$366,2,0)</f>
        <v>CHR AGBOVILLE</v>
      </c>
      <c r="C98" s="48" t="str">
        <f>VLOOKUP($A98,SiteAttendu!$A$2:$C$366,3,0)</f>
        <v>AGNEBY-TIASSA</v>
      </c>
      <c r="D98" s="49">
        <f>IF(VLOOKUP(A98,SiteAttendu!$A$2:$P$366,4,0)="NA","NA",COUNTIFS(soccode,A98,socprog,"PNLS/ANTIRETROVIRAUX ET IO",socprompt,1))</f>
        <v>1</v>
      </c>
      <c r="E98" s="49">
        <f>IF(VLOOKUP($A98,SiteAttendu!$A$2:$O$366,5,0)="NA","NA",COUNTIFS(soccode,A98,socprog,"PNLS/TESTS RAPIDES ET CONSOMMABLES",socprompt,1))</f>
        <v>1</v>
      </c>
      <c r="F98" s="49">
        <f>IF(VLOOKUP($A98,SiteAttendu!$A$2:$O$366,6,0)="NA","NA",COUNTIFS(soccode,A98,socprog,"PNLS/PRODUITS DE LABORATOIRE",socprompt,1))</f>
        <v>1</v>
      </c>
      <c r="G98" s="49">
        <f>IF(VLOOKUP($A98,SiteAttendu!$A$2:$O$366,7,0)="NA","NA",COUNTIFS(soccode,A98,socprog,"PNLS/CHARGES VIRALES",socprompt,1))</f>
        <v>1</v>
      </c>
      <c r="H98" s="49">
        <f>IF(VLOOKUP($A98,SiteAttendu!$A$2:$O$366,9,0)="NA","NA",COUNTIFS(soccode,A98,socprog,"PNLP/MEDICAMENTS ET INTRANTS",socprompt,1))</f>
        <v>1</v>
      </c>
      <c r="I98" s="49">
        <f>IF(VLOOKUP($A98,SiteAttendu!$A$2:$O$366,10,0)="NA","NA",COUNTIFS(soccode,$A98,socprog,"PNSME/MEDICAMENTS ET INTRANTS",socprompt,1))</f>
        <v>0</v>
      </c>
      <c r="J98" s="49" t="str">
        <f>IF(VLOOKUP($A98,SiteAttendu!$A$2:$O$366,11,0)="NA","NA",COUNTIFS(soccode,$A98,socprog,"PNN/MEDICAMENTS ET INTRANTS",socprompt,1))</f>
        <v>NA</v>
      </c>
      <c r="K98" s="49" t="str">
        <f>IF(VLOOKUP($A98,SiteAttendu!$A$2:$O$366,15,0)="NA","NA",IF(COUNTIF(socprog,"PNLT/SENSIBLE MEDICAMENTS ET INTRANTS")=0,"NA",COUNTIFS(soccode,$A98,socprog,"PNLT/SENSIBLE MEDICAMENTS ET INTRANTS",socprompt,1)))</f>
        <v>NA</v>
      </c>
      <c r="L98" s="51">
        <f t="shared" ref="L98:S98" si="100">IFERROR(SUMIFS(D$2:D$364,$C$2:$C$364,$C98)/COUNTIFS(D$2:D$364,"&lt;&gt;NA",$C$2:$C$364,$C98),"")</f>
        <v>0.8888888889</v>
      </c>
      <c r="M98" s="125">
        <f t="shared" si="100"/>
        <v>0.8888888889</v>
      </c>
      <c r="N98" s="125">
        <f t="shared" si="100"/>
        <v>0.875</v>
      </c>
      <c r="O98" s="125">
        <f t="shared" si="100"/>
        <v>1</v>
      </c>
      <c r="P98" s="125">
        <f t="shared" si="100"/>
        <v>0.8888888889</v>
      </c>
      <c r="Q98" s="125">
        <f t="shared" si="100"/>
        <v>0.3333333333</v>
      </c>
      <c r="R98" s="125" t="str">
        <f t="shared" si="100"/>
        <v/>
      </c>
      <c r="S98" s="125">
        <f t="shared" si="100"/>
        <v>0.75</v>
      </c>
      <c r="T98" s="126">
        <f t="shared" si="3"/>
        <v>0.8888888889</v>
      </c>
      <c r="U98" s="53">
        <f t="shared" si="4"/>
        <v>4</v>
      </c>
      <c r="V98" s="54">
        <f t="shared" si="5"/>
        <v>4</v>
      </c>
    </row>
    <row r="99" ht="15.75" customHeight="1">
      <c r="A99" s="55" t="str">
        <f>SiteAttendu!$A99</f>
        <v>C1045</v>
      </c>
      <c r="B99" s="56" t="str">
        <f>VLOOKUP($A99,SiteAttendu!$A$2:$C$366,2,0)</f>
        <v>DISTRICT SANITAIRE AGBOVILLE</v>
      </c>
      <c r="C99" s="57" t="str">
        <f>VLOOKUP($A99,SiteAttendu!$A$2:$C$366,3,0)</f>
        <v>AGNEBY-TIASSA</v>
      </c>
      <c r="D99" s="58">
        <f>IF(VLOOKUP(A99,SiteAttendu!$A$2:$P$366,4,0)="NA","NA",COUNTIFS(soccode,A99,socprog,"PNLS/ANTIRETROVIRAUX ET IO",socprompt,1))</f>
        <v>1</v>
      </c>
      <c r="E99" s="58">
        <f>IF(VLOOKUP($A99,SiteAttendu!$A$2:$O$366,5,0)="NA","NA",COUNTIFS(soccode,A99,socprog,"PNLS/TESTS RAPIDES ET CONSOMMABLES",socprompt,1))</f>
        <v>1</v>
      </c>
      <c r="F99" s="58">
        <f>IF(VLOOKUP($A99,SiteAttendu!$A$2:$O$366,6,0)="NA","NA",COUNTIFS(soccode,A99,socprog,"PNLS/PRODUITS DE LABORATOIRE",socprompt,1))</f>
        <v>1</v>
      </c>
      <c r="G99" s="58" t="str">
        <f>IF(VLOOKUP($A99,SiteAttendu!$A$2:$O$366,7,0)="NA","NA",COUNTIFS(soccode,A99,socprog,"PNLS/CHARGES VIRALES",socprompt,1))</f>
        <v>NA</v>
      </c>
      <c r="H99" s="58">
        <f>IF(VLOOKUP($A99,SiteAttendu!$A$2:$O$366,9,0)="NA","NA",COUNTIFS(soccode,A99,socprog,"PNLP/MEDICAMENTS ET INTRANTS",socprompt,1))</f>
        <v>1</v>
      </c>
      <c r="I99" s="58">
        <f>IF(VLOOKUP($A99,SiteAttendu!$A$2:$O$366,10,0)="NA","NA",COUNTIFS(soccode,$A99,socprog,"PNSME/MEDICAMENTS ET INTRANTS",socprompt,1))</f>
        <v>1</v>
      </c>
      <c r="J99" s="58" t="str">
        <f>IF(VLOOKUP($A99,SiteAttendu!$A$2:$O$366,11,0)="NA","NA",COUNTIFS(soccode,$A99,socprog,"PNN/MEDICAMENTS ET INTRANTS",socprompt,1))</f>
        <v>NA</v>
      </c>
      <c r="K99" s="58">
        <f>IF(VLOOKUP($A99,SiteAttendu!$A$2:$O$366,15,0)="NA","NA",IF(COUNTIF(socprog,"PNLT/SENSIBLE MEDICAMENTS ET INTRANTS")=0,"NA",COUNTIFS(soccode,$A99,socprog,"PNLT/SENSIBLE MEDICAMENTS ET INTRANTS",socprompt,1)))</f>
        <v>1</v>
      </c>
      <c r="L99" s="60"/>
      <c r="M99" s="85">
        <f t="shared" ref="M99:S99" si="101">IFERROR(SUMIFS(E$2:E$364,$C$2:$C$364,$C99)/COUNTIFS(E$2:E$364,"&lt;&gt;NA",$C$2:$C$364,$C99),"")</f>
        <v>0.8888888889</v>
      </c>
      <c r="N99" s="85">
        <f t="shared" si="101"/>
        <v>0.875</v>
      </c>
      <c r="O99" s="85">
        <f t="shared" si="101"/>
        <v>1</v>
      </c>
      <c r="P99" s="85">
        <f t="shared" si="101"/>
        <v>0.8888888889</v>
      </c>
      <c r="Q99" s="85">
        <f t="shared" si="101"/>
        <v>0.3333333333</v>
      </c>
      <c r="R99" s="85" t="str">
        <f t="shared" si="101"/>
        <v/>
      </c>
      <c r="S99" s="85">
        <f t="shared" si="101"/>
        <v>0.75</v>
      </c>
      <c r="T99" s="127">
        <f t="shared" si="3"/>
        <v>0.8888888889</v>
      </c>
      <c r="U99" s="53">
        <f t="shared" si="4"/>
        <v>3</v>
      </c>
      <c r="V99" s="54">
        <f t="shared" si="5"/>
        <v>3</v>
      </c>
    </row>
    <row r="100" ht="15.75" customHeight="1">
      <c r="A100" s="55" t="str">
        <f>SiteAttendu!$A100</f>
        <v>C1751</v>
      </c>
      <c r="B100" s="56" t="str">
        <f>VLOOKUP($A100,SiteAttendu!$A$2:$C$366,2,0)</f>
        <v>CENTRE ANTITUBERCULEUX AGBOVILLE</v>
      </c>
      <c r="C100" s="57" t="str">
        <f>VLOOKUP($A100,SiteAttendu!$A$2:$C$366,3,0)</f>
        <v>AGNEBY-TIASSA</v>
      </c>
      <c r="D100" s="58" t="str">
        <f>IF(VLOOKUP(A100,SiteAttendu!$A$2:$P$366,4,0)="NA","NA",COUNTIFS(soccode,A100,socprog,"PNLS/ANTIRETROVIRAUX ET IO",socprompt,1))</f>
        <v>NA</v>
      </c>
      <c r="E100" s="58" t="str">
        <f>IF(VLOOKUP($A100,SiteAttendu!$A$2:$O$366,5,0)="NA","NA",COUNTIFS(soccode,A100,socprog,"PNLS/TESTS RAPIDES ET CONSOMMABLES",socprompt,1))</f>
        <v>NA</v>
      </c>
      <c r="F100" s="58" t="str">
        <f>IF(VLOOKUP($A100,SiteAttendu!$A$2:$O$366,6,0)="NA","NA",COUNTIFS(soccode,A100,socprog,"PNLS/PRODUITS DE LABORATOIRE",socprompt,1))</f>
        <v>NA</v>
      </c>
      <c r="G100" s="58" t="str">
        <f>IF(VLOOKUP($A100,SiteAttendu!$A$2:$O$366,7,0)="NA","NA",COUNTIFS(soccode,A100,socprog,"PNLS/CHARGES VIRALES",socprompt,1))</f>
        <v>NA</v>
      </c>
      <c r="H100" s="58" t="str">
        <f>IF(VLOOKUP($A100,SiteAttendu!$A$2:$O$366,9,0)="NA","NA",COUNTIFS(soccode,A100,socprog,"PNLP/MEDICAMENTS ET INTRANTS",socprompt,1))</f>
        <v>NA</v>
      </c>
      <c r="I100" s="58" t="str">
        <f>IF(VLOOKUP($A100,SiteAttendu!$A$2:$O$366,10,0)="NA","NA",COUNTIFS(soccode,$A100,socprog,"PNSME/MEDICAMENTS ET INTRANTS",socprompt,1))</f>
        <v>NA</v>
      </c>
      <c r="J100" s="58" t="str">
        <f>IF(VLOOKUP($A100,SiteAttendu!$A$2:$O$366,11,0)="NA","NA",COUNTIFS(soccode,$A100,socprog,"PNN/MEDICAMENTS ET INTRANTS",socprompt,1))</f>
        <v>NA</v>
      </c>
      <c r="K100" s="58">
        <f>IF(VLOOKUP($A100,SiteAttendu!$A$2:$O$366,15,0)="NA","NA",IF(COUNTIF(socprog,"PNLT/SENSIBLE MEDICAMENTS ET INTRANTS")=0,"NA",COUNTIFS(soccode,$A100,socprog,"PNLT/SENSIBLE MEDICAMENTS ET INTRANTS",socprompt,1)))</f>
        <v>1</v>
      </c>
      <c r="L100" s="60"/>
      <c r="M100" s="85">
        <f t="shared" ref="M100:S100" si="102">IFERROR(SUMIFS(E$2:E$364,$C$2:$C$364,$C100)/COUNTIFS(E$2:E$364,"&lt;&gt;NA",$C$2:$C$364,$C100),"")</f>
        <v>0.8888888889</v>
      </c>
      <c r="N100" s="85">
        <f t="shared" si="102"/>
        <v>0.875</v>
      </c>
      <c r="O100" s="85">
        <f t="shared" si="102"/>
        <v>1</v>
      </c>
      <c r="P100" s="85">
        <f t="shared" si="102"/>
        <v>0.8888888889</v>
      </c>
      <c r="Q100" s="85">
        <f t="shared" si="102"/>
        <v>0.3333333333</v>
      </c>
      <c r="R100" s="85" t="str">
        <f t="shared" si="102"/>
        <v/>
      </c>
      <c r="S100" s="85">
        <f t="shared" si="102"/>
        <v>0.75</v>
      </c>
      <c r="T100" s="127">
        <f t="shared" si="3"/>
        <v>0.8888888889</v>
      </c>
      <c r="U100" s="53">
        <f t="shared" si="4"/>
        <v>0</v>
      </c>
      <c r="V100" s="54">
        <f t="shared" si="5"/>
        <v>0</v>
      </c>
    </row>
    <row r="101" ht="15.75" customHeight="1">
      <c r="A101" s="55" t="str">
        <f>SiteAttendu!$A101</f>
        <v>C1098</v>
      </c>
      <c r="B101" s="56" t="str">
        <f>VLOOKUP($A101,SiteAttendu!$A$2:$C$366,2,0)</f>
        <v>HOPITAL GENERAL SIKENSI</v>
      </c>
      <c r="C101" s="57" t="str">
        <f>VLOOKUP($A101,SiteAttendu!$A$2:$C$366,3,0)</f>
        <v>AGNEBY-TIASSA</v>
      </c>
      <c r="D101" s="58">
        <f>IF(VLOOKUP(A101,SiteAttendu!$A$2:$P$366,4,0)="NA","NA",COUNTIFS(soccode,A101,socprog,"PNLS/ANTIRETROVIRAUX ET IO",socprompt,1))</f>
        <v>1</v>
      </c>
      <c r="E101" s="58">
        <f>IF(VLOOKUP($A101,SiteAttendu!$A$2:$O$366,5,0)="NA","NA",COUNTIFS(soccode,A101,socprog,"PNLS/TESTS RAPIDES ET CONSOMMABLES",socprompt,1))</f>
        <v>1</v>
      </c>
      <c r="F101" s="58">
        <f>IF(VLOOKUP($A101,SiteAttendu!$A$2:$O$366,6,0)="NA","NA",COUNTIFS(soccode,A101,socprog,"PNLS/PRODUITS DE LABORATOIRE",socprompt,1))</f>
        <v>1</v>
      </c>
      <c r="G101" s="58" t="str">
        <f>IF(VLOOKUP($A101,SiteAttendu!$A$2:$O$366,7,0)="NA","NA",COUNTIFS(soccode,A101,socprog,"PNLS/CHARGES VIRALES",socprompt,1))</f>
        <v>NA</v>
      </c>
      <c r="H101" s="58">
        <f>IF(VLOOKUP($A101,SiteAttendu!$A$2:$O$366,9,0)="NA","NA",COUNTIFS(soccode,A101,socprog,"PNLP/MEDICAMENTS ET INTRANTS",socprompt,1))</f>
        <v>1</v>
      </c>
      <c r="I101" s="58">
        <f>IF(VLOOKUP($A101,SiteAttendu!$A$2:$O$366,10,0)="NA","NA",COUNTIFS(soccode,$A101,socprog,"PNSME/MEDICAMENTS ET INTRANTS",socprompt,1))</f>
        <v>0</v>
      </c>
      <c r="J101" s="58" t="str">
        <f>IF(VLOOKUP($A101,SiteAttendu!$A$2:$O$366,11,0)="NA","NA",COUNTIFS(soccode,$A101,socprog,"PNN/MEDICAMENTS ET INTRANTS",socprompt,1))</f>
        <v>NA</v>
      </c>
      <c r="K101" s="58" t="str">
        <f>IF(VLOOKUP($A101,SiteAttendu!$A$2:$O$366,15,0)="NA","NA",IF(COUNTIF(socprog,"PNLT/SENSIBLE MEDICAMENTS ET INTRANTS")=0,"NA",COUNTIFS(soccode,$A101,socprog,"PNLT/SENSIBLE MEDICAMENTS ET INTRANTS",socprompt,1)))</f>
        <v>NA</v>
      </c>
      <c r="L101" s="60"/>
      <c r="M101" s="85">
        <f t="shared" ref="M101:S101" si="103">IFERROR(SUMIFS(E$2:E$364,$C$2:$C$364,$C101)/COUNTIFS(E$2:E$364,"&lt;&gt;NA",$C$2:$C$364,$C101),"")</f>
        <v>0.8888888889</v>
      </c>
      <c r="N101" s="85">
        <f t="shared" si="103"/>
        <v>0.875</v>
      </c>
      <c r="O101" s="85">
        <f t="shared" si="103"/>
        <v>1</v>
      </c>
      <c r="P101" s="85">
        <f t="shared" si="103"/>
        <v>0.8888888889</v>
      </c>
      <c r="Q101" s="85">
        <f t="shared" si="103"/>
        <v>0.3333333333</v>
      </c>
      <c r="R101" s="85" t="str">
        <f t="shared" si="103"/>
        <v/>
      </c>
      <c r="S101" s="85">
        <f t="shared" si="103"/>
        <v>0.75</v>
      </c>
      <c r="T101" s="127">
        <f t="shared" si="3"/>
        <v>0.8888888889</v>
      </c>
      <c r="U101" s="53">
        <f t="shared" si="4"/>
        <v>3</v>
      </c>
      <c r="V101" s="54">
        <f t="shared" si="5"/>
        <v>3</v>
      </c>
    </row>
    <row r="102" ht="15.75" customHeight="1">
      <c r="A102" s="55" t="str">
        <f>SiteAttendu!$A102</f>
        <v>C2141</v>
      </c>
      <c r="B102" s="56" t="str">
        <f>VLOOKUP($A102,SiteAttendu!$A$2:$C$366,2,0)</f>
        <v>DISTRICT SANITAIRE SIKENSI</v>
      </c>
      <c r="C102" s="57" t="str">
        <f>VLOOKUP($A102,SiteAttendu!$A$2:$C$366,3,0)</f>
        <v>AGNEBY-TIASSA</v>
      </c>
      <c r="D102" s="58">
        <f>IF(VLOOKUP(A102,SiteAttendu!$A$2:$P$366,4,0)="NA","NA",COUNTIFS(soccode,A102,socprog,"PNLS/ANTIRETROVIRAUX ET IO",socprompt,1))</f>
        <v>1</v>
      </c>
      <c r="E102" s="58">
        <f>IF(VLOOKUP($A102,SiteAttendu!$A$2:$O$366,5,0)="NA","NA",COUNTIFS(soccode,A102,socprog,"PNLS/TESTS RAPIDES ET CONSOMMABLES",socprompt,1))</f>
        <v>1</v>
      </c>
      <c r="F102" s="58">
        <f>IF(VLOOKUP($A102,SiteAttendu!$A$2:$O$366,6,0)="NA","NA",COUNTIFS(soccode,A102,socprog,"PNLS/PRODUITS DE LABORATOIRE",socprompt,1))</f>
        <v>1</v>
      </c>
      <c r="G102" s="58" t="str">
        <f>IF(VLOOKUP($A102,SiteAttendu!$A$2:$O$366,7,0)="NA","NA",COUNTIFS(soccode,A102,socprog,"PNLS/CHARGES VIRALES",socprompt,1))</f>
        <v>NA</v>
      </c>
      <c r="H102" s="58">
        <f>IF(VLOOKUP($A102,SiteAttendu!$A$2:$O$366,9,0)="NA","NA",COUNTIFS(soccode,A102,socprog,"PNLP/MEDICAMENTS ET INTRANTS",socprompt,1))</f>
        <v>1</v>
      </c>
      <c r="I102" s="58">
        <f>IF(VLOOKUP($A102,SiteAttendu!$A$2:$O$366,10,0)="NA","NA",COUNTIFS(soccode,$A102,socprog,"PNSME/MEDICAMENTS ET INTRANTS",socprompt,1))</f>
        <v>0</v>
      </c>
      <c r="J102" s="58" t="str">
        <f>IF(VLOOKUP($A102,SiteAttendu!$A$2:$O$366,11,0)="NA","NA",COUNTIFS(soccode,$A102,socprog,"PNN/MEDICAMENTS ET INTRANTS",socprompt,1))</f>
        <v>NA</v>
      </c>
      <c r="K102" s="58" t="str">
        <f>IF(VLOOKUP($A102,SiteAttendu!$A$2:$O$366,15,0)="NA","NA",IF(COUNTIF(socprog,"PNLT/SENSIBLE MEDICAMENTS ET INTRANTS")=0,"NA",COUNTIFS(soccode,$A102,socprog,"PNLT/SENSIBLE MEDICAMENTS ET INTRANTS",socprompt,1)))</f>
        <v>NA</v>
      </c>
      <c r="L102" s="60"/>
      <c r="M102" s="85">
        <f t="shared" ref="M102:S102" si="104">IFERROR(SUMIFS(E$2:E$364,$C$2:$C$364,$C102)/COUNTIFS(E$2:E$364,"&lt;&gt;NA",$C$2:$C$364,$C102),"")</f>
        <v>0.8888888889</v>
      </c>
      <c r="N102" s="85">
        <f t="shared" si="104"/>
        <v>0.875</v>
      </c>
      <c r="O102" s="85">
        <f t="shared" si="104"/>
        <v>1</v>
      </c>
      <c r="P102" s="85">
        <f t="shared" si="104"/>
        <v>0.8888888889</v>
      </c>
      <c r="Q102" s="85">
        <f t="shared" si="104"/>
        <v>0.3333333333</v>
      </c>
      <c r="R102" s="85" t="str">
        <f t="shared" si="104"/>
        <v/>
      </c>
      <c r="S102" s="85">
        <f t="shared" si="104"/>
        <v>0.75</v>
      </c>
      <c r="T102" s="127">
        <f t="shared" si="3"/>
        <v>0.8888888889</v>
      </c>
      <c r="U102" s="53">
        <f t="shared" si="4"/>
        <v>3</v>
      </c>
      <c r="V102" s="54">
        <f t="shared" si="5"/>
        <v>3</v>
      </c>
    </row>
    <row r="103" ht="15.75" customHeight="1">
      <c r="A103" s="55" t="str">
        <f>SiteAttendu!$A103</f>
        <v>C1009</v>
      </c>
      <c r="B103" s="56" t="str">
        <f>VLOOKUP($A103,SiteAttendu!$A$2:$C$366,2,0)</f>
        <v>CSU N'DOUCI</v>
      </c>
      <c r="C103" s="57" t="str">
        <f>VLOOKUP($A103,SiteAttendu!$A$2:$C$366,3,0)</f>
        <v>AGNEBY-TIASSA</v>
      </c>
      <c r="D103" s="58">
        <f>IF(VLOOKUP(A103,SiteAttendu!$A$2:$P$366,4,0)="NA","NA",COUNTIFS(soccode,A103,socprog,"PNLS/ANTIRETROVIRAUX ET IO",socprompt,1))</f>
        <v>1</v>
      </c>
      <c r="E103" s="58">
        <f>IF(VLOOKUP($A103,SiteAttendu!$A$2:$O$366,5,0)="NA","NA",COUNTIFS(soccode,A103,socprog,"PNLS/TESTS RAPIDES ET CONSOMMABLES",socprompt,1))</f>
        <v>1</v>
      </c>
      <c r="F103" s="58" t="str">
        <f>IF(VLOOKUP($A103,SiteAttendu!$A$2:$O$366,6,0)="NA","NA",COUNTIFS(soccode,A103,socprog,"PNLS/PRODUITS DE LABORATOIRE",socprompt,1))</f>
        <v>NA</v>
      </c>
      <c r="G103" s="58" t="str">
        <f>IF(VLOOKUP($A103,SiteAttendu!$A$2:$O$366,7,0)="NA","NA",COUNTIFS(soccode,A103,socprog,"PNLS/CHARGES VIRALES",socprompt,1))</f>
        <v>NA</v>
      </c>
      <c r="H103" s="58">
        <f>IF(VLOOKUP($A103,SiteAttendu!$A$2:$O$366,9,0)="NA","NA",COUNTIFS(soccode,A103,socprog,"PNLP/MEDICAMENTS ET INTRANTS",socprompt,1))</f>
        <v>1</v>
      </c>
      <c r="I103" s="58">
        <f>IF(VLOOKUP($A103,SiteAttendu!$A$2:$O$366,10,0)="NA","NA",COUNTIFS(soccode,$A103,socprog,"PNSME/MEDICAMENTS ET INTRANTS",socprompt,1))</f>
        <v>0</v>
      </c>
      <c r="J103" s="58" t="str">
        <f>IF(VLOOKUP($A103,SiteAttendu!$A$2:$O$366,11,0)="NA","NA",COUNTIFS(soccode,$A103,socprog,"PNN/MEDICAMENTS ET INTRANTS",socprompt,1))</f>
        <v>NA</v>
      </c>
      <c r="K103" s="58" t="str">
        <f>IF(VLOOKUP($A103,SiteAttendu!$A$2:$O$366,15,0)="NA","NA",IF(COUNTIF(socprog,"PNLT/SENSIBLE MEDICAMENTS ET INTRANTS")=0,"NA",COUNTIFS(soccode,$A103,socprog,"PNLT/SENSIBLE MEDICAMENTS ET INTRANTS",socprompt,1)))</f>
        <v>NA</v>
      </c>
      <c r="L103" s="60"/>
      <c r="M103" s="85">
        <f t="shared" ref="M103:S103" si="105">IFERROR(SUMIFS(E$2:E$364,$C$2:$C$364,$C103)/COUNTIFS(E$2:E$364,"&lt;&gt;NA",$C$2:$C$364,$C103),"")</f>
        <v>0.8888888889</v>
      </c>
      <c r="N103" s="85">
        <f t="shared" si="105"/>
        <v>0.875</v>
      </c>
      <c r="O103" s="85">
        <f t="shared" si="105"/>
        <v>1</v>
      </c>
      <c r="P103" s="85">
        <f t="shared" si="105"/>
        <v>0.8888888889</v>
      </c>
      <c r="Q103" s="85">
        <f t="shared" si="105"/>
        <v>0.3333333333</v>
      </c>
      <c r="R103" s="85" t="str">
        <f t="shared" si="105"/>
        <v/>
      </c>
      <c r="S103" s="85">
        <f t="shared" si="105"/>
        <v>0.75</v>
      </c>
      <c r="T103" s="127">
        <f t="shared" si="3"/>
        <v>0.8888888889</v>
      </c>
      <c r="U103" s="53">
        <f t="shared" si="4"/>
        <v>2</v>
      </c>
      <c r="V103" s="54">
        <f t="shared" si="5"/>
        <v>2</v>
      </c>
    </row>
    <row r="104" ht="15.75" customHeight="1">
      <c r="A104" s="55" t="str">
        <f>SiteAttendu!$A104</f>
        <v>C1112</v>
      </c>
      <c r="B104" s="56" t="str">
        <f>VLOOKUP($A104,SiteAttendu!$A$2:$C$366,2,0)</f>
        <v>HOPITAL GENERAL TIASSALE</v>
      </c>
      <c r="C104" s="57" t="str">
        <f>VLOOKUP($A104,SiteAttendu!$A$2:$C$366,3,0)</f>
        <v>AGNEBY-TIASSA</v>
      </c>
      <c r="D104" s="58">
        <f>IF(VLOOKUP(A104,SiteAttendu!$A$2:$P$366,4,0)="NA","NA",COUNTIFS(soccode,A104,socprog,"PNLS/ANTIRETROVIRAUX ET IO",socprompt,1))</f>
        <v>1</v>
      </c>
      <c r="E104" s="58">
        <f>IF(VLOOKUP($A104,SiteAttendu!$A$2:$O$366,5,0)="NA","NA",COUNTIFS(soccode,A104,socprog,"PNLS/TESTS RAPIDES ET CONSOMMABLES",socprompt,1))</f>
        <v>1</v>
      </c>
      <c r="F104" s="58">
        <f>IF(VLOOKUP($A104,SiteAttendu!$A$2:$O$366,6,0)="NA","NA",COUNTIFS(soccode,A104,socprog,"PNLS/PRODUITS DE LABORATOIRE",socprompt,1))</f>
        <v>1</v>
      </c>
      <c r="G104" s="58" t="str">
        <f>IF(VLOOKUP($A104,SiteAttendu!$A$2:$O$366,7,0)="NA","NA",COUNTIFS(soccode,A104,socprog,"PNLS/CHARGES VIRALES",socprompt,1))</f>
        <v>NA</v>
      </c>
      <c r="H104" s="58">
        <f>IF(VLOOKUP($A104,SiteAttendu!$A$2:$O$366,9,0)="NA","NA",COUNTIFS(soccode,A104,socprog,"PNLP/MEDICAMENTS ET INTRANTS",socprompt,1))</f>
        <v>1</v>
      </c>
      <c r="I104" s="58">
        <f>IF(VLOOKUP($A104,SiteAttendu!$A$2:$O$366,10,0)="NA","NA",COUNTIFS(soccode,$A104,socprog,"PNSME/MEDICAMENTS ET INTRANTS",socprompt,1))</f>
        <v>1</v>
      </c>
      <c r="J104" s="58" t="str">
        <f>IF(VLOOKUP($A104,SiteAttendu!$A$2:$O$366,11,0)="NA","NA",COUNTIFS(soccode,$A104,socprog,"PNN/MEDICAMENTS ET INTRANTS",socprompt,1))</f>
        <v>NA</v>
      </c>
      <c r="K104" s="58" t="str">
        <f>IF(VLOOKUP($A104,SiteAttendu!$A$2:$O$366,15,0)="NA","NA",IF(COUNTIF(socprog,"PNLT/SENSIBLE MEDICAMENTS ET INTRANTS")=0,"NA",COUNTIFS(soccode,$A104,socprog,"PNLT/SENSIBLE MEDICAMENTS ET INTRANTS",socprompt,1)))</f>
        <v>NA</v>
      </c>
      <c r="L104" s="60"/>
      <c r="M104" s="85">
        <f t="shared" ref="M104:S104" si="106">IFERROR(SUMIFS(E$2:E$364,$C$2:$C$364,$C104)/COUNTIFS(E$2:E$364,"&lt;&gt;NA",$C$2:$C$364,$C104),"")</f>
        <v>0.8888888889</v>
      </c>
      <c r="N104" s="85">
        <f t="shared" si="106"/>
        <v>0.875</v>
      </c>
      <c r="O104" s="85">
        <f t="shared" si="106"/>
        <v>1</v>
      </c>
      <c r="P104" s="85">
        <f t="shared" si="106"/>
        <v>0.8888888889</v>
      </c>
      <c r="Q104" s="85">
        <f t="shared" si="106"/>
        <v>0.3333333333</v>
      </c>
      <c r="R104" s="85" t="str">
        <f t="shared" si="106"/>
        <v/>
      </c>
      <c r="S104" s="85">
        <f t="shared" si="106"/>
        <v>0.75</v>
      </c>
      <c r="T104" s="127">
        <f t="shared" si="3"/>
        <v>0.8888888889</v>
      </c>
      <c r="U104" s="53">
        <f t="shared" si="4"/>
        <v>3</v>
      </c>
      <c r="V104" s="54">
        <f t="shared" si="5"/>
        <v>3</v>
      </c>
    </row>
    <row r="105" ht="15.75" customHeight="1">
      <c r="A105" s="55" t="str">
        <f>SiteAttendu!$A105</f>
        <v>C1125</v>
      </c>
      <c r="B105" s="56" t="str">
        <f>VLOOKUP($A105,SiteAttendu!$A$2:$C$366,2,0)</f>
        <v>DISTRICT SANITAIRE TIASSALE</v>
      </c>
      <c r="C105" s="57" t="str">
        <f>VLOOKUP($A105,SiteAttendu!$A$2:$C$366,3,0)</f>
        <v>AGNEBY-TIASSA</v>
      </c>
      <c r="D105" s="58">
        <f>IF(VLOOKUP(A105,SiteAttendu!$A$2:$P$366,4,0)="NA","NA",COUNTIFS(soccode,A105,socprog,"PNLS/ANTIRETROVIRAUX ET IO",socprompt,1))</f>
        <v>1</v>
      </c>
      <c r="E105" s="58">
        <f>IF(VLOOKUP($A105,SiteAttendu!$A$2:$O$366,5,0)="NA","NA",COUNTIFS(soccode,A105,socprog,"PNLS/TESTS RAPIDES ET CONSOMMABLES",socprompt,1))</f>
        <v>1</v>
      </c>
      <c r="F105" s="58">
        <f>IF(VLOOKUP($A105,SiteAttendu!$A$2:$O$366,6,0)="NA","NA",COUNTIFS(soccode,A105,socprog,"PNLS/PRODUITS DE LABORATOIRE",socprompt,1))</f>
        <v>1</v>
      </c>
      <c r="G105" s="58" t="str">
        <f>IF(VLOOKUP($A105,SiteAttendu!$A$2:$O$366,7,0)="NA","NA",COUNTIFS(soccode,A105,socprog,"PNLS/CHARGES VIRALES",socprompt,1))</f>
        <v>NA</v>
      </c>
      <c r="H105" s="58">
        <f>IF(VLOOKUP($A105,SiteAttendu!$A$2:$O$366,9,0)="NA","NA",COUNTIFS(soccode,A105,socprog,"PNLP/MEDICAMENTS ET INTRANTS",socprompt,1))</f>
        <v>1</v>
      </c>
      <c r="I105" s="58">
        <f>IF(VLOOKUP($A105,SiteAttendu!$A$2:$O$366,10,0)="NA","NA",COUNTIFS(soccode,$A105,socprog,"PNSME/MEDICAMENTS ET INTRANTS",socprompt,1))</f>
        <v>1</v>
      </c>
      <c r="J105" s="58" t="str">
        <f>IF(VLOOKUP($A105,SiteAttendu!$A$2:$O$366,11,0)="NA","NA",COUNTIFS(soccode,$A105,socprog,"PNN/MEDICAMENTS ET INTRANTS",socprompt,1))</f>
        <v>NA</v>
      </c>
      <c r="K105" s="58">
        <f>IF(VLOOKUP($A105,SiteAttendu!$A$2:$O$366,15,0)="NA","NA",IF(COUNTIF(socprog,"PNLT/SENSIBLE MEDICAMENTS ET INTRANTS")=0,"NA",COUNTIFS(soccode,$A105,socprog,"PNLT/SENSIBLE MEDICAMENTS ET INTRANTS",socprompt,1)))</f>
        <v>1</v>
      </c>
      <c r="L105" s="60"/>
      <c r="M105" s="85">
        <f t="shared" ref="M105:S105" si="107">IFERROR(SUMIFS(E$2:E$364,$C$2:$C$364,$C105)/COUNTIFS(E$2:E$364,"&lt;&gt;NA",$C$2:$C$364,$C105),"")</f>
        <v>0.8888888889</v>
      </c>
      <c r="N105" s="85">
        <f t="shared" si="107"/>
        <v>0.875</v>
      </c>
      <c r="O105" s="85">
        <f t="shared" si="107"/>
        <v>1</v>
      </c>
      <c r="P105" s="85">
        <f t="shared" si="107"/>
        <v>0.8888888889</v>
      </c>
      <c r="Q105" s="85">
        <f t="shared" si="107"/>
        <v>0.3333333333</v>
      </c>
      <c r="R105" s="85" t="str">
        <f t="shared" si="107"/>
        <v/>
      </c>
      <c r="S105" s="85">
        <f t="shared" si="107"/>
        <v>0.75</v>
      </c>
      <c r="T105" s="127">
        <f t="shared" si="3"/>
        <v>0.8888888889</v>
      </c>
      <c r="U105" s="53">
        <f t="shared" si="4"/>
        <v>3</v>
      </c>
      <c r="V105" s="54">
        <f t="shared" si="5"/>
        <v>3</v>
      </c>
    </row>
    <row r="106" ht="15.75" customHeight="1">
      <c r="A106" s="55" t="str">
        <f>SiteAttendu!$A106</f>
        <v>C1701</v>
      </c>
      <c r="B106" s="56" t="str">
        <f>VLOOKUP($A106,SiteAttendu!$A$2:$C$366,2,0)</f>
        <v>HOPITAL SAINT JEAN- BAPTISTE</v>
      </c>
      <c r="C106" s="57" t="str">
        <f>VLOOKUP($A106,SiteAttendu!$A$2:$C$366,3,0)</f>
        <v>AGNEBY-TIASSA</v>
      </c>
      <c r="D106" s="58">
        <f>IF(VLOOKUP(A106,SiteAttendu!$A$2:$P$366,4,0)="NA","NA",COUNTIFS(soccode,A106,socprog,"PNLS/ANTIRETROVIRAUX ET IO",socprompt,1))</f>
        <v>1</v>
      </c>
      <c r="E106" s="58">
        <f>IF(VLOOKUP($A106,SiteAttendu!$A$2:$O$366,5,0)="NA","NA",COUNTIFS(soccode,A106,socprog,"PNLS/TESTS RAPIDES ET CONSOMMABLES",socprompt,1))</f>
        <v>1</v>
      </c>
      <c r="F106" s="58">
        <f>IF(VLOOKUP($A106,SiteAttendu!$A$2:$O$366,6,0)="NA","NA",COUNTIFS(soccode,A106,socprog,"PNLS/PRODUITS DE LABORATOIRE",socprompt,1))</f>
        <v>1</v>
      </c>
      <c r="G106" s="58" t="str">
        <f>IF(VLOOKUP($A106,SiteAttendu!$A$2:$O$366,7,0)="NA","NA",COUNTIFS(soccode,A106,socprog,"PNLS/CHARGES VIRALES",socprompt,1))</f>
        <v>NA</v>
      </c>
      <c r="H106" s="58">
        <f>IF(VLOOKUP($A106,SiteAttendu!$A$2:$O$366,9,0)="NA","NA",COUNTIFS(soccode,A106,socprog,"PNLP/MEDICAMENTS ET INTRANTS",socprompt,1))</f>
        <v>1</v>
      </c>
      <c r="I106" s="58">
        <f>IF(VLOOKUP($A106,SiteAttendu!$A$2:$O$366,10,0)="NA","NA",COUNTIFS(soccode,$A106,socprog,"PNSME/MEDICAMENTS ET INTRANTS",socprompt,1))</f>
        <v>0</v>
      </c>
      <c r="J106" s="58" t="str">
        <f>IF(VLOOKUP($A106,SiteAttendu!$A$2:$O$366,11,0)="NA","NA",COUNTIFS(soccode,$A106,socprog,"PNN/MEDICAMENTS ET INTRANTS",socprompt,1))</f>
        <v>NA</v>
      </c>
      <c r="K106" s="58" t="str">
        <f>IF(VLOOKUP($A106,SiteAttendu!$A$2:$O$366,15,0)="NA","NA",IF(COUNTIF(socprog,"PNLT/SENSIBLE MEDICAMENTS ET INTRANTS")=0,"NA",COUNTIFS(soccode,$A106,socprog,"PNLT/SENSIBLE MEDICAMENTS ET INTRANTS",socprompt,1)))</f>
        <v>NA</v>
      </c>
      <c r="L106" s="60"/>
      <c r="M106" s="85">
        <f t="shared" ref="M106:S106" si="108">IFERROR(SUMIFS(E$2:E$364,$C$2:$C$364,$C106)/COUNTIFS(E$2:E$364,"&lt;&gt;NA",$C$2:$C$364,$C106),"")</f>
        <v>0.8888888889</v>
      </c>
      <c r="N106" s="85">
        <f t="shared" si="108"/>
        <v>0.875</v>
      </c>
      <c r="O106" s="85">
        <f t="shared" si="108"/>
        <v>1</v>
      </c>
      <c r="P106" s="85">
        <f t="shared" si="108"/>
        <v>0.8888888889</v>
      </c>
      <c r="Q106" s="85">
        <f t="shared" si="108"/>
        <v>0.3333333333</v>
      </c>
      <c r="R106" s="85" t="str">
        <f t="shared" si="108"/>
        <v/>
      </c>
      <c r="S106" s="85">
        <f t="shared" si="108"/>
        <v>0.75</v>
      </c>
      <c r="T106" s="127">
        <f t="shared" si="3"/>
        <v>0.8888888889</v>
      </c>
      <c r="U106" s="53">
        <f t="shared" si="4"/>
        <v>3</v>
      </c>
      <c r="V106" s="54">
        <f t="shared" si="5"/>
        <v>3</v>
      </c>
    </row>
    <row r="107" ht="15.75" customHeight="1">
      <c r="A107" s="62" t="str">
        <f>SiteAttendu!$A107</f>
        <v>C2065</v>
      </c>
      <c r="B107" s="63" t="str">
        <f>VLOOKUP($A107,SiteAttendu!$A$2:$C$366,2,0)</f>
        <v>HOPITAL GENERAL TAABO</v>
      </c>
      <c r="C107" s="64" t="str">
        <f>VLOOKUP($A107,SiteAttendu!$A$2:$C$366,3,0)</f>
        <v>AGNEBY-TIASSA</v>
      </c>
      <c r="D107" s="65">
        <f>IF(VLOOKUP(A107,SiteAttendu!$A$2:$P$366,4,0)="NA","NA",COUNTIFS(soccode,A107,socprog,"PNLS/ANTIRETROVIRAUX ET IO",socprompt,1))</f>
        <v>0</v>
      </c>
      <c r="E107" s="65">
        <f>IF(VLOOKUP($A107,SiteAttendu!$A$2:$O$366,5,0)="NA","NA",COUNTIFS(soccode,A107,socprog,"PNLS/TESTS RAPIDES ET CONSOMMABLES",socprompt,1))</f>
        <v>0</v>
      </c>
      <c r="F107" s="65">
        <f>IF(VLOOKUP($A107,SiteAttendu!$A$2:$O$366,6,0)="NA","NA",COUNTIFS(soccode,A107,socprog,"PNLS/PRODUITS DE LABORATOIRE",socprompt,1))</f>
        <v>0</v>
      </c>
      <c r="G107" s="65" t="str">
        <f>IF(VLOOKUP($A107,SiteAttendu!$A$2:$O$366,7,0)="NA","NA",COUNTIFS(soccode,A107,socprog,"PNLS/CHARGES VIRALES",socprompt,1))</f>
        <v>NA</v>
      </c>
      <c r="H107" s="65">
        <f>IF(VLOOKUP($A107,SiteAttendu!$A$2:$O$366,9,0)="NA","NA",COUNTIFS(soccode,A107,socprog,"PNLP/MEDICAMENTS ET INTRANTS",socprompt,1))</f>
        <v>0</v>
      </c>
      <c r="I107" s="65">
        <f>IF(VLOOKUP($A107,SiteAttendu!$A$2:$O$366,10,0)="NA","NA",COUNTIFS(soccode,$A107,socprog,"PNSME/MEDICAMENTS ET INTRANTS",socprompt,1))</f>
        <v>0</v>
      </c>
      <c r="J107" s="65" t="str">
        <f>IF(VLOOKUP($A107,SiteAttendu!$A$2:$O$366,11,0)="NA","NA",COUNTIFS(soccode,$A107,socprog,"PNN/MEDICAMENTS ET INTRANTS",socprompt,1))</f>
        <v>NA</v>
      </c>
      <c r="K107" s="65">
        <f>IF(VLOOKUP($A107,SiteAttendu!$A$2:$O$366,15,0)="NA","NA",IF(COUNTIF(socprog,"PNLT/SENSIBLE MEDICAMENTS ET INTRANTS")=0,"NA",COUNTIFS(soccode,$A107,socprog,"PNLT/SENSIBLE MEDICAMENTS ET INTRANTS",socprompt,1)))</f>
        <v>0</v>
      </c>
      <c r="L107" s="67"/>
      <c r="M107" s="86">
        <f t="shared" ref="M107:S107" si="109">IFERROR(SUMIFS(E$2:E$364,$C$2:$C$364,$C107)/COUNTIFS(E$2:E$364,"&lt;&gt;NA",$C$2:$C$364,$C107),"")</f>
        <v>0.8888888889</v>
      </c>
      <c r="N107" s="86">
        <f t="shared" si="109"/>
        <v>0.875</v>
      </c>
      <c r="O107" s="86">
        <f t="shared" si="109"/>
        <v>1</v>
      </c>
      <c r="P107" s="86">
        <f t="shared" si="109"/>
        <v>0.8888888889</v>
      </c>
      <c r="Q107" s="86">
        <f t="shared" si="109"/>
        <v>0.3333333333</v>
      </c>
      <c r="R107" s="86" t="str">
        <f t="shared" si="109"/>
        <v/>
      </c>
      <c r="S107" s="86">
        <f t="shared" si="109"/>
        <v>0.75</v>
      </c>
      <c r="T107" s="128">
        <f t="shared" si="3"/>
        <v>0.8888888889</v>
      </c>
      <c r="U107" s="53">
        <f t="shared" si="4"/>
        <v>0</v>
      </c>
      <c r="V107" s="54">
        <f t="shared" si="5"/>
        <v>3</v>
      </c>
    </row>
    <row r="108" ht="15.75" customHeight="1">
      <c r="A108" s="46" t="str">
        <f>SiteAttendu!$A108</f>
        <v>C5069</v>
      </c>
      <c r="B108" s="47" t="str">
        <f>VLOOKUP($A108,SiteAttendu!$A$2:$C$366,2,0)</f>
        <v>DISTRICT SANITAIRE KORO</v>
      </c>
      <c r="C108" s="48" t="str">
        <f>VLOOKUP($A108,SiteAttendu!$A$2:$C$366,3,0)</f>
        <v>BAFING</v>
      </c>
      <c r="D108" s="49">
        <f>IF(VLOOKUP(A108,SiteAttendu!$A$2:$P$366,4,0)="NA","NA",COUNTIFS(soccode,A108,socprog,"PNLS/ANTIRETROVIRAUX ET IO",socprompt,1))</f>
        <v>1</v>
      </c>
      <c r="E108" s="49">
        <f>IF(VLOOKUP($A108,SiteAttendu!$A$2:$O$366,5,0)="NA","NA",COUNTIFS(soccode,A108,socprog,"PNLS/TESTS RAPIDES ET CONSOMMABLES",socprompt,1))</f>
        <v>1</v>
      </c>
      <c r="F108" s="49" t="str">
        <f>IF(VLOOKUP($A108,SiteAttendu!$A$2:$O$366,6,0)="NA","NA",COUNTIFS(soccode,A108,socprog,"PNLS/PRODUITS DE LABORATOIRE",socprompt,1))</f>
        <v>NA</v>
      </c>
      <c r="G108" s="49" t="str">
        <f>IF(VLOOKUP($A108,SiteAttendu!$A$2:$O$366,7,0)="NA","NA",COUNTIFS(soccode,A108,socprog,"PNLS/CHARGES VIRALES",socprompt,1))</f>
        <v>NA</v>
      </c>
      <c r="H108" s="49">
        <f>IF(VLOOKUP($A108,SiteAttendu!$A$2:$O$366,9,0)="NA","NA",COUNTIFS(soccode,A108,socprog,"PNLP/MEDICAMENTS ET INTRANTS",socprompt,1))</f>
        <v>1</v>
      </c>
      <c r="I108" s="49">
        <f>IF(VLOOKUP($A108,SiteAttendu!$A$2:$O$366,10,0)="NA","NA",COUNTIFS(soccode,$A108,socprog,"PNSME/MEDICAMENTS ET INTRANTS",socprompt,1))</f>
        <v>1</v>
      </c>
      <c r="J108" s="49">
        <f>IF(VLOOKUP($A108,SiteAttendu!$A$2:$O$366,11,0)="NA","NA",COUNTIFS(soccode,$A108,socprog,"PNN/MEDICAMENTS ET INTRANTS",socprompt,1))</f>
        <v>1</v>
      </c>
      <c r="K108" s="49">
        <f>IF(VLOOKUP($A108,SiteAttendu!$A$2:$O$366,15,0)="NA","NA",IF(COUNTIF(socprog,"PNLT/SENSIBLE MEDICAMENTS ET INTRANTS")=0,"NA",COUNTIFS(soccode,$A108,socprog,"PNLT/SENSIBLE MEDICAMENTS ET INTRANTS",socprompt,1)))</f>
        <v>0</v>
      </c>
      <c r="L108" s="51">
        <f t="shared" ref="L108:S108" si="110">IFERROR(SUMIFS(D$2:D$364,$C$2:$C$364,$C108)/COUNTIFS(D$2:D$364,"&lt;&gt;NA",$C$2:$C$364,$C108),"")</f>
        <v>0.6666666667</v>
      </c>
      <c r="M108" s="125">
        <f t="shared" si="110"/>
        <v>0.6666666667</v>
      </c>
      <c r="N108" s="125">
        <f t="shared" si="110"/>
        <v>0</v>
      </c>
      <c r="O108" s="125" t="str">
        <f t="shared" si="110"/>
        <v/>
      </c>
      <c r="P108" s="125">
        <f t="shared" si="110"/>
        <v>0.6666666667</v>
      </c>
      <c r="Q108" s="125">
        <f t="shared" si="110"/>
        <v>0.6666666667</v>
      </c>
      <c r="R108" s="125">
        <f t="shared" si="110"/>
        <v>0.8</v>
      </c>
      <c r="S108" s="125">
        <f t="shared" si="110"/>
        <v>0.4</v>
      </c>
      <c r="T108" s="126">
        <f t="shared" si="3"/>
        <v>0.6153846154</v>
      </c>
      <c r="U108" s="53">
        <f t="shared" si="4"/>
        <v>2</v>
      </c>
      <c r="V108" s="54">
        <f t="shared" si="5"/>
        <v>2</v>
      </c>
    </row>
    <row r="109" ht="15.75" customHeight="1">
      <c r="A109" s="55" t="str">
        <f>SiteAttendu!$A109</f>
        <v>C5076</v>
      </c>
      <c r="B109" s="56" t="str">
        <f>VLOOKUP($A109,SiteAttendu!$A$2:$C$366,2,0)</f>
        <v>HOPITAL GENERAL KORO</v>
      </c>
      <c r="C109" s="57" t="str">
        <f>VLOOKUP($A109,SiteAttendu!$A$2:$C$366,3,0)</f>
        <v>BAFING</v>
      </c>
      <c r="D109" s="58">
        <f>IF(VLOOKUP(A109,SiteAttendu!$A$2:$P$366,4,0)="NA","NA",COUNTIFS(soccode,A109,socprog,"PNLS/ANTIRETROVIRAUX ET IO",socprompt,1))</f>
        <v>1</v>
      </c>
      <c r="E109" s="58">
        <f>IF(VLOOKUP($A109,SiteAttendu!$A$2:$O$366,5,0)="NA","NA",COUNTIFS(soccode,A109,socprog,"PNLS/TESTS RAPIDES ET CONSOMMABLES",socprompt,1))</f>
        <v>1</v>
      </c>
      <c r="F109" s="58" t="str">
        <f>IF(VLOOKUP($A109,SiteAttendu!$A$2:$O$366,6,0)="NA","NA",COUNTIFS(soccode,A109,socprog,"PNLS/PRODUITS DE LABORATOIRE",socprompt,1))</f>
        <v>NA</v>
      </c>
      <c r="G109" s="58" t="str">
        <f>IF(VLOOKUP($A109,SiteAttendu!$A$2:$O$366,7,0)="NA","NA",COUNTIFS(soccode,A109,socprog,"PNLS/CHARGES VIRALES",socprompt,1))</f>
        <v>NA</v>
      </c>
      <c r="H109" s="58">
        <f>IF(VLOOKUP($A109,SiteAttendu!$A$2:$O$366,9,0)="NA","NA",COUNTIFS(soccode,A109,socprog,"PNLP/MEDICAMENTS ET INTRANTS",socprompt,1))</f>
        <v>1</v>
      </c>
      <c r="I109" s="58">
        <f>IF(VLOOKUP($A109,SiteAttendu!$A$2:$O$366,10,0)="NA","NA",COUNTIFS(soccode,$A109,socprog,"PNSME/MEDICAMENTS ET INTRANTS",socprompt,1))</f>
        <v>1</v>
      </c>
      <c r="J109" s="58">
        <f>IF(VLOOKUP($A109,SiteAttendu!$A$2:$O$366,11,0)="NA","NA",COUNTIFS(soccode,$A109,socprog,"PNN/MEDICAMENTS ET INTRANTS",socprompt,1))</f>
        <v>1</v>
      </c>
      <c r="K109" s="58">
        <f>IF(VLOOKUP($A109,SiteAttendu!$A$2:$O$366,15,0)="NA","NA",IF(COUNTIF(socprog,"PNLT/SENSIBLE MEDICAMENTS ET INTRANTS")=0,"NA",COUNTIFS(soccode,$A109,socprog,"PNLT/SENSIBLE MEDICAMENTS ET INTRANTS",socprompt,1)))</f>
        <v>1</v>
      </c>
      <c r="L109" s="60"/>
      <c r="M109" s="85">
        <f t="shared" ref="M109:S109" si="111">IFERROR(SUMIFS(E$2:E$364,$C$2:$C$364,$C109)/COUNTIFS(E$2:E$364,"&lt;&gt;NA",$C$2:$C$364,$C109),"")</f>
        <v>0.6666666667</v>
      </c>
      <c r="N109" s="85">
        <f t="shared" si="111"/>
        <v>0</v>
      </c>
      <c r="O109" s="85" t="str">
        <f t="shared" si="111"/>
        <v/>
      </c>
      <c r="P109" s="85">
        <f t="shared" si="111"/>
        <v>0.6666666667</v>
      </c>
      <c r="Q109" s="85">
        <f t="shared" si="111"/>
        <v>0.6666666667</v>
      </c>
      <c r="R109" s="85">
        <f t="shared" si="111"/>
        <v>0.8</v>
      </c>
      <c r="S109" s="85">
        <f t="shared" si="111"/>
        <v>0.4</v>
      </c>
      <c r="T109" s="127">
        <f t="shared" si="3"/>
        <v>0.6153846154</v>
      </c>
      <c r="U109" s="53">
        <f t="shared" si="4"/>
        <v>2</v>
      </c>
      <c r="V109" s="54">
        <f t="shared" si="5"/>
        <v>2</v>
      </c>
    </row>
    <row r="110" ht="15.75" customHeight="1">
      <c r="A110" s="55" t="str">
        <f>SiteAttendu!$A110</f>
        <v>C5078</v>
      </c>
      <c r="B110" s="56" t="str">
        <f>VLOOKUP($A110,SiteAttendu!$A$2:$C$366,2,0)</f>
        <v>HOPITAL GENERAL OUANINOU</v>
      </c>
      <c r="C110" s="57" t="str">
        <f>VLOOKUP($A110,SiteAttendu!$A$2:$C$366,3,0)</f>
        <v>BAFING</v>
      </c>
      <c r="D110" s="58">
        <f>IF(VLOOKUP(A110,SiteAttendu!$A$2:$P$366,4,0)="NA","NA",COUNTIFS(soccode,A110,socprog,"PNLS/ANTIRETROVIRAUX ET IO",socprompt,1))</f>
        <v>1</v>
      </c>
      <c r="E110" s="58">
        <f>IF(VLOOKUP($A110,SiteAttendu!$A$2:$O$366,5,0)="NA","NA",COUNTIFS(soccode,A110,socprog,"PNLS/TESTS RAPIDES ET CONSOMMABLES",socprompt,1))</f>
        <v>1</v>
      </c>
      <c r="F110" s="58" t="str">
        <f>IF(VLOOKUP($A110,SiteAttendu!$A$2:$O$366,6,0)="NA","NA",COUNTIFS(soccode,A110,socprog,"PNLS/PRODUITS DE LABORATOIRE",socprompt,1))</f>
        <v>NA</v>
      </c>
      <c r="G110" s="58" t="str">
        <f>IF(VLOOKUP($A110,SiteAttendu!$A$2:$O$366,7,0)="NA","NA",COUNTIFS(soccode,A110,socprog,"PNLS/CHARGES VIRALES",socprompt,1))</f>
        <v>NA</v>
      </c>
      <c r="H110" s="58">
        <f>IF(VLOOKUP($A110,SiteAttendu!$A$2:$O$366,9,0)="NA","NA",COUNTIFS(soccode,A110,socprog,"PNLP/MEDICAMENTS ET INTRANTS",socprompt,1))</f>
        <v>1</v>
      </c>
      <c r="I110" s="58">
        <f>IF(VLOOKUP($A110,SiteAttendu!$A$2:$O$366,10,0)="NA","NA",COUNTIFS(soccode,$A110,socprog,"PNSME/MEDICAMENTS ET INTRANTS",socprompt,1))</f>
        <v>1</v>
      </c>
      <c r="J110" s="58">
        <f>IF(VLOOKUP($A110,SiteAttendu!$A$2:$O$366,11,0)="NA","NA",COUNTIFS(soccode,$A110,socprog,"PNN/MEDICAMENTS ET INTRANTS",socprompt,1))</f>
        <v>1</v>
      </c>
      <c r="K110" s="58">
        <f>IF(VLOOKUP($A110,SiteAttendu!$A$2:$O$366,15,0)="NA","NA",IF(COUNTIF(socprog,"PNLT/SENSIBLE MEDICAMENTS ET INTRANTS")=0,"NA",COUNTIFS(soccode,$A110,socprog,"PNLT/SENSIBLE MEDICAMENTS ET INTRANTS",socprompt,1)))</f>
        <v>1</v>
      </c>
      <c r="L110" s="60"/>
      <c r="M110" s="85">
        <f t="shared" ref="M110:S110" si="112">IFERROR(SUMIFS(E$2:E$364,$C$2:$C$364,$C110)/COUNTIFS(E$2:E$364,"&lt;&gt;NA",$C$2:$C$364,$C110),"")</f>
        <v>0.6666666667</v>
      </c>
      <c r="N110" s="85">
        <f t="shared" si="112"/>
        <v>0</v>
      </c>
      <c r="O110" s="85" t="str">
        <f t="shared" si="112"/>
        <v/>
      </c>
      <c r="P110" s="85">
        <f t="shared" si="112"/>
        <v>0.6666666667</v>
      </c>
      <c r="Q110" s="85">
        <f t="shared" si="112"/>
        <v>0.6666666667</v>
      </c>
      <c r="R110" s="85">
        <f t="shared" si="112"/>
        <v>0.8</v>
      </c>
      <c r="S110" s="85">
        <f t="shared" si="112"/>
        <v>0.4</v>
      </c>
      <c r="T110" s="127">
        <f t="shared" si="3"/>
        <v>0.6153846154</v>
      </c>
      <c r="U110" s="53">
        <f t="shared" si="4"/>
        <v>2</v>
      </c>
      <c r="V110" s="54">
        <f t="shared" si="5"/>
        <v>2</v>
      </c>
    </row>
    <row r="111" ht="15.75" customHeight="1">
      <c r="A111" s="55" t="str">
        <f>SiteAttendu!$A111</f>
        <v>C5081</v>
      </c>
      <c r="B111" s="56" t="str">
        <f>VLOOKUP($A111,SiteAttendu!$A$2:$C$366,2,0)</f>
        <v> DISTRICT SANITAIRE OUANINOU</v>
      </c>
      <c r="C111" s="57" t="str">
        <f>VLOOKUP($A111,SiteAttendu!$A$2:$C$366,3,0)</f>
        <v>BAFING</v>
      </c>
      <c r="D111" s="58">
        <f>IF(VLOOKUP(A111,SiteAttendu!$A$2:$P$366,4,0)="NA","NA",COUNTIFS(soccode,A111,socprog,"PNLS/ANTIRETROVIRAUX ET IO",socprompt,1))</f>
        <v>1</v>
      </c>
      <c r="E111" s="58">
        <f>IF(VLOOKUP($A111,SiteAttendu!$A$2:$O$366,5,0)="NA","NA",COUNTIFS(soccode,A111,socprog,"PNLS/TESTS RAPIDES ET CONSOMMABLES",socprompt,1))</f>
        <v>1</v>
      </c>
      <c r="F111" s="58" t="str">
        <f>IF(VLOOKUP($A111,SiteAttendu!$A$2:$O$366,6,0)="NA","NA",COUNTIFS(soccode,A111,socprog,"PNLS/PRODUITS DE LABORATOIRE",socprompt,1))</f>
        <v>NA</v>
      </c>
      <c r="G111" s="58" t="str">
        <f>IF(VLOOKUP($A111,SiteAttendu!$A$2:$O$366,7,0)="NA","NA",COUNTIFS(soccode,A111,socprog,"PNLS/CHARGES VIRALES",socprompt,1))</f>
        <v>NA</v>
      </c>
      <c r="H111" s="58">
        <f>IF(VLOOKUP($A111,SiteAttendu!$A$2:$O$366,9,0)="NA","NA",COUNTIFS(soccode,A111,socprog,"PNLP/MEDICAMENTS ET INTRANTS",socprompt,1))</f>
        <v>1</v>
      </c>
      <c r="I111" s="58">
        <f>IF(VLOOKUP($A111,SiteAttendu!$A$2:$O$366,10,0)="NA","NA",COUNTIFS(soccode,$A111,socprog,"PNSME/MEDICAMENTS ET INTRANTS",socprompt,1))</f>
        <v>1</v>
      </c>
      <c r="J111" s="58">
        <f>IF(VLOOKUP($A111,SiteAttendu!$A$2:$O$366,11,0)="NA","NA",COUNTIFS(soccode,$A111,socprog,"PNN/MEDICAMENTS ET INTRANTS",socprompt,1))</f>
        <v>1</v>
      </c>
      <c r="K111" s="58" t="str">
        <f>IF(VLOOKUP($A111,SiteAttendu!$A$2:$O$366,15,0)="NA","NA",IF(COUNTIF(socprog,"PNLT/SENSIBLE MEDICAMENTS ET INTRANTS")=0,"NA",COUNTIFS(soccode,$A111,socprog,"PNLT/SENSIBLE MEDICAMENTS ET INTRANTS",socprompt,1)))</f>
        <v>NA</v>
      </c>
      <c r="L111" s="60"/>
      <c r="M111" s="85">
        <f t="shared" ref="M111:S111" si="113">IFERROR(SUMIFS(E$2:E$364,$C$2:$C$364,$C111)/COUNTIFS(E$2:E$364,"&lt;&gt;NA",$C$2:$C$364,$C111),"")</f>
        <v>0.6666666667</v>
      </c>
      <c r="N111" s="85">
        <f t="shared" si="113"/>
        <v>0</v>
      </c>
      <c r="O111" s="85" t="str">
        <f t="shared" si="113"/>
        <v/>
      </c>
      <c r="P111" s="85">
        <f t="shared" si="113"/>
        <v>0.6666666667</v>
      </c>
      <c r="Q111" s="85">
        <f t="shared" si="113"/>
        <v>0.6666666667</v>
      </c>
      <c r="R111" s="85">
        <f t="shared" si="113"/>
        <v>0.8</v>
      </c>
      <c r="S111" s="85">
        <f t="shared" si="113"/>
        <v>0.4</v>
      </c>
      <c r="T111" s="127">
        <f t="shared" si="3"/>
        <v>0.6153846154</v>
      </c>
      <c r="U111" s="53">
        <f t="shared" si="4"/>
        <v>2</v>
      </c>
      <c r="V111" s="54">
        <f t="shared" si="5"/>
        <v>2</v>
      </c>
    </row>
    <row r="112" ht="15.75" customHeight="1">
      <c r="A112" s="55" t="str">
        <f>SiteAttendu!$A112</f>
        <v>C5004</v>
      </c>
      <c r="B112" s="56" t="str">
        <f>VLOOKUP($A112,SiteAttendu!$A$2:$C$366,2,0)</f>
        <v>CHR TOUBA</v>
      </c>
      <c r="C112" s="57" t="str">
        <f>VLOOKUP($A112,SiteAttendu!$A$2:$C$366,3,0)</f>
        <v>BAFING</v>
      </c>
      <c r="D112" s="58">
        <f>IF(VLOOKUP(A112,SiteAttendu!$A$2:$P$366,4,0)="NA","NA",COUNTIFS(soccode,A112,socprog,"PNLS/ANTIRETROVIRAUX ET IO",socprompt,1))</f>
        <v>0</v>
      </c>
      <c r="E112" s="58">
        <f>IF(VLOOKUP($A112,SiteAttendu!$A$2:$O$366,5,0)="NA","NA",COUNTIFS(soccode,A112,socprog,"PNLS/TESTS RAPIDES ET CONSOMMABLES",socprompt,1))</f>
        <v>0</v>
      </c>
      <c r="F112" s="58">
        <f>IF(VLOOKUP($A112,SiteAttendu!$A$2:$O$366,6,0)="NA","NA",COUNTIFS(soccode,A112,socprog,"PNLS/PRODUITS DE LABORATOIRE",socprompt,1))</f>
        <v>0</v>
      </c>
      <c r="G112" s="58" t="str">
        <f>IF(VLOOKUP($A112,SiteAttendu!$A$2:$O$366,7,0)="NA","NA",COUNTIFS(soccode,A112,socprog,"PNLS/CHARGES VIRALES",socprompt,1))</f>
        <v>NA</v>
      </c>
      <c r="H112" s="58">
        <f>IF(VLOOKUP($A112,SiteAttendu!$A$2:$O$366,9,0)="NA","NA",COUNTIFS(soccode,A112,socprog,"PNLP/MEDICAMENTS ET INTRANTS",socprompt,1))</f>
        <v>0</v>
      </c>
      <c r="I112" s="58">
        <f>IF(VLOOKUP($A112,SiteAttendu!$A$2:$O$366,10,0)="NA","NA",COUNTIFS(soccode,$A112,socprog,"PNSME/MEDICAMENTS ET INTRANTS",socprompt,1))</f>
        <v>0</v>
      </c>
      <c r="J112" s="58">
        <f>IF(VLOOKUP($A112,SiteAttendu!$A$2:$O$366,11,0)="NA","NA",COUNTIFS(soccode,$A112,socprog,"PNN/MEDICAMENTS ET INTRANTS",socprompt,1))</f>
        <v>0</v>
      </c>
      <c r="K112" s="58">
        <f>IF(VLOOKUP($A112,SiteAttendu!$A$2:$O$366,15,0)="NA","NA",IF(COUNTIF(socprog,"PNLT/SENSIBLE MEDICAMENTS ET INTRANTS")=0,"NA",COUNTIFS(soccode,$A112,socprog,"PNLT/SENSIBLE MEDICAMENTS ET INTRANTS",socprompt,1)))</f>
        <v>0</v>
      </c>
      <c r="L112" s="60"/>
      <c r="M112" s="85">
        <f t="shared" ref="M112:S112" si="114">IFERROR(SUMIFS(E$2:E$364,$C$2:$C$364,$C112)/COUNTIFS(E$2:E$364,"&lt;&gt;NA",$C$2:$C$364,$C112),"")</f>
        <v>0.6666666667</v>
      </c>
      <c r="N112" s="85">
        <f t="shared" si="114"/>
        <v>0</v>
      </c>
      <c r="O112" s="85" t="str">
        <f t="shared" si="114"/>
        <v/>
      </c>
      <c r="P112" s="85">
        <f t="shared" si="114"/>
        <v>0.6666666667</v>
      </c>
      <c r="Q112" s="85">
        <f t="shared" si="114"/>
        <v>0.6666666667</v>
      </c>
      <c r="R112" s="85">
        <f t="shared" si="114"/>
        <v>0.8</v>
      </c>
      <c r="S112" s="85">
        <f t="shared" si="114"/>
        <v>0.4</v>
      </c>
      <c r="T112" s="127">
        <f t="shared" si="3"/>
        <v>0.6153846154</v>
      </c>
      <c r="U112" s="53">
        <f t="shared" si="4"/>
        <v>0</v>
      </c>
      <c r="V112" s="54">
        <f t="shared" si="5"/>
        <v>3</v>
      </c>
    </row>
    <row r="113" ht="15.75" customHeight="1">
      <c r="A113" s="55" t="str">
        <f>SiteAttendu!$A113</f>
        <v>C5036</v>
      </c>
      <c r="B113" s="56" t="str">
        <f>VLOOKUP($A113,SiteAttendu!$A$2:$C$366,2,0)</f>
        <v>DISTRICT SANITAIRE TOUBA</v>
      </c>
      <c r="C113" s="57" t="str">
        <f>VLOOKUP($A113,SiteAttendu!$A$2:$C$366,3,0)</f>
        <v>BAFING</v>
      </c>
      <c r="D113" s="58">
        <f>IF(VLOOKUP(A113,SiteAttendu!$A$2:$P$366,4,0)="NA","NA",COUNTIFS(soccode,A113,socprog,"PNLS/ANTIRETROVIRAUX ET IO",socprompt,1))</f>
        <v>0</v>
      </c>
      <c r="E113" s="58">
        <f>IF(VLOOKUP($A113,SiteAttendu!$A$2:$O$366,5,0)="NA","NA",COUNTIFS(soccode,A113,socprog,"PNLS/TESTS RAPIDES ET CONSOMMABLES",socprompt,1))</f>
        <v>0</v>
      </c>
      <c r="F113" s="58" t="str">
        <f>IF(VLOOKUP($A113,SiteAttendu!$A$2:$O$366,6,0)="NA","NA",COUNTIFS(soccode,A113,socprog,"PNLS/PRODUITS DE LABORATOIRE",socprompt,1))</f>
        <v>NA</v>
      </c>
      <c r="G113" s="58" t="str">
        <f>IF(VLOOKUP($A113,SiteAttendu!$A$2:$O$366,7,0)="NA","NA",COUNTIFS(soccode,A113,socprog,"PNLS/CHARGES VIRALES",socprompt,1))</f>
        <v>NA</v>
      </c>
      <c r="H113" s="58">
        <f>IF(VLOOKUP($A113,SiteAttendu!$A$2:$O$366,9,0)="NA","NA",COUNTIFS(soccode,A113,socprog,"PNLP/MEDICAMENTS ET INTRANTS",socprompt,1))</f>
        <v>0</v>
      </c>
      <c r="I113" s="58">
        <f>IF(VLOOKUP($A113,SiteAttendu!$A$2:$O$366,10,0)="NA","NA",COUNTIFS(soccode,$A113,socprog,"PNSME/MEDICAMENTS ET INTRANTS",socprompt,1))</f>
        <v>0</v>
      </c>
      <c r="J113" s="58" t="str">
        <f>IF(VLOOKUP($A113,SiteAttendu!$A$2:$O$366,11,0)="NA","NA",COUNTIFS(soccode,$A113,socprog,"PNN/MEDICAMENTS ET INTRANTS",socprompt,1))</f>
        <v>NA</v>
      </c>
      <c r="K113" s="58">
        <f>IF(VLOOKUP($A113,SiteAttendu!$A$2:$O$366,15,0)="NA","NA",IF(COUNTIF(socprog,"PNLT/SENSIBLE MEDICAMENTS ET INTRANTS")=0,"NA",COUNTIFS(soccode,$A113,socprog,"PNLT/SENSIBLE MEDICAMENTS ET INTRANTS",socprompt,1)))</f>
        <v>0</v>
      </c>
      <c r="L113" s="60"/>
      <c r="M113" s="85">
        <f t="shared" ref="M113:S113" si="115">IFERROR(SUMIFS(E$2:E$364,$C$2:$C$364,$C113)/COUNTIFS(E$2:E$364,"&lt;&gt;NA",$C$2:$C$364,$C113),"")</f>
        <v>0.6666666667</v>
      </c>
      <c r="N113" s="85">
        <f t="shared" si="115"/>
        <v>0</v>
      </c>
      <c r="O113" s="85" t="str">
        <f t="shared" si="115"/>
        <v/>
      </c>
      <c r="P113" s="85">
        <f t="shared" si="115"/>
        <v>0.6666666667</v>
      </c>
      <c r="Q113" s="85">
        <f t="shared" si="115"/>
        <v>0.6666666667</v>
      </c>
      <c r="R113" s="85">
        <f t="shared" si="115"/>
        <v>0.8</v>
      </c>
      <c r="S113" s="85">
        <f t="shared" si="115"/>
        <v>0.4</v>
      </c>
      <c r="T113" s="127">
        <f t="shared" si="3"/>
        <v>0.6153846154</v>
      </c>
      <c r="U113" s="53">
        <f t="shared" si="4"/>
        <v>0</v>
      </c>
      <c r="V113" s="54">
        <f t="shared" si="5"/>
        <v>2</v>
      </c>
    </row>
    <row r="114" ht="16.5" customHeight="1">
      <c r="A114" s="62" t="str">
        <f>SiteAttendu!$A114</f>
        <v>C5094</v>
      </c>
      <c r="B114" s="63" t="str">
        <f>VLOOKUP($A114,SiteAttendu!$A$2:$C$366,2,0)</f>
        <v>CENTRE ANTITUBERCULEUX TOUBA</v>
      </c>
      <c r="C114" s="64" t="str">
        <f>VLOOKUP($A114,SiteAttendu!$A$2:$C$366,3,0)</f>
        <v>BAFING</v>
      </c>
      <c r="D114" s="65" t="str">
        <f>IF(VLOOKUP(A114,SiteAttendu!$A$2:$P$366,4,0)="NA","NA",COUNTIFS(soccode,A114,socprog,"PNLS/ANTIRETROVIRAUX ET IO",socprompt,1))</f>
        <v>NA</v>
      </c>
      <c r="E114" s="65" t="str">
        <f>IF(VLOOKUP($A114,SiteAttendu!$A$2:$O$366,5,0)="NA","NA",COUNTIFS(soccode,A114,socprog,"PNLS/TESTS RAPIDES ET CONSOMMABLES",socprompt,1))</f>
        <v>NA</v>
      </c>
      <c r="F114" s="65" t="str">
        <f>IF(VLOOKUP($A114,SiteAttendu!$A$2:$O$366,6,0)="NA","NA",COUNTIFS(soccode,A114,socprog,"PNLS/PRODUITS DE LABORATOIRE",socprompt,1))</f>
        <v>NA</v>
      </c>
      <c r="G114" s="65" t="str">
        <f>IF(VLOOKUP($A114,SiteAttendu!$A$2:$O$366,7,0)="NA","NA",COUNTIFS(soccode,A114,socprog,"PNLS/CHARGES VIRALES",socprompt,1))</f>
        <v>NA</v>
      </c>
      <c r="H114" s="65" t="str">
        <f>IF(VLOOKUP($A114,SiteAttendu!$A$2:$O$366,9,0)="NA","NA",COUNTIFS(soccode,A114,socprog,"PNLP/MEDICAMENTS ET INTRANTS",socprompt,1))</f>
        <v>NA</v>
      </c>
      <c r="I114" s="65" t="str">
        <f>IF(VLOOKUP($A114,SiteAttendu!$A$2:$O$366,10,0)="NA","NA",COUNTIFS(soccode,$A114,socprog,"PNSME/MEDICAMENTS ET INTRANTS",socprompt,1))</f>
        <v>NA</v>
      </c>
      <c r="J114" s="65" t="str">
        <f>IF(VLOOKUP($A114,SiteAttendu!$A$2:$O$366,11,0)="NA","NA",COUNTIFS(soccode,$A114,socprog,"PNN/MEDICAMENTS ET INTRANTS",socprompt,1))</f>
        <v>NA</v>
      </c>
      <c r="K114" s="65" t="str">
        <f>IF(VLOOKUP($A114,SiteAttendu!$A$2:$O$366,15,0)="NA","NA",IF(COUNTIF(socprog,"PNLT/SENSIBLE MEDICAMENTS ET INTRANTS")=0,"NA",COUNTIFS(soccode,$A114,socprog,"PNLT/SENSIBLE MEDICAMENTS ET INTRANTS",socprompt,1)))</f>
        <v>NA</v>
      </c>
      <c r="L114" s="67"/>
      <c r="M114" s="86">
        <f t="shared" ref="M114:S114" si="116">IFERROR(SUMIFS(E$2:E$364,$C$2:$C$364,$C114)/COUNTIFS(E$2:E$364,"&lt;&gt;NA",$C$2:$C$364,$C114),"")</f>
        <v>0.6666666667</v>
      </c>
      <c r="N114" s="86">
        <f t="shared" si="116"/>
        <v>0</v>
      </c>
      <c r="O114" s="86" t="str">
        <f t="shared" si="116"/>
        <v/>
      </c>
      <c r="P114" s="86">
        <f t="shared" si="116"/>
        <v>0.6666666667</v>
      </c>
      <c r="Q114" s="86">
        <f t="shared" si="116"/>
        <v>0.6666666667</v>
      </c>
      <c r="R114" s="86">
        <f t="shared" si="116"/>
        <v>0.8</v>
      </c>
      <c r="S114" s="86">
        <f t="shared" si="116"/>
        <v>0.4</v>
      </c>
      <c r="T114" s="128">
        <f t="shared" si="3"/>
        <v>0.6153846154</v>
      </c>
      <c r="U114" s="53">
        <f t="shared" si="4"/>
        <v>0</v>
      </c>
      <c r="V114" s="54">
        <f t="shared" si="5"/>
        <v>0</v>
      </c>
    </row>
    <row r="115" ht="15.75" customHeight="1">
      <c r="A115" s="46" t="str">
        <f>SiteAttendu!$A115</f>
        <v>C3002</v>
      </c>
      <c r="B115" s="47" t="str">
        <f>VLOOKUP($A115,SiteAttendu!$A$2:$C$366,2,0)</f>
        <v>DISTRICT SANITAIRE BOUNDIALI</v>
      </c>
      <c r="C115" s="48" t="str">
        <f>VLOOKUP($A115,SiteAttendu!$A$2:$C$366,3,0)</f>
        <v>BAGOUE</v>
      </c>
      <c r="D115" s="49">
        <f>IF(VLOOKUP(A115,SiteAttendu!$A$2:$P$366,4,0)="NA","NA",COUNTIFS(soccode,A115,socprog,"PNLS/ANTIRETROVIRAUX ET IO",socprompt,1))</f>
        <v>1</v>
      </c>
      <c r="E115" s="49">
        <f>IF(VLOOKUP($A115,SiteAttendu!$A$2:$O$366,5,0)="NA","NA",COUNTIFS(soccode,A115,socprog,"PNLS/TESTS RAPIDES ET CONSOMMABLES",socprompt,1))</f>
        <v>1</v>
      </c>
      <c r="F115" s="49" t="str">
        <f>IF(VLOOKUP($A115,SiteAttendu!$A$2:$O$366,6,0)="NA","NA",COUNTIFS(soccode,A115,socprog,"PNLS/PRODUITS DE LABORATOIRE",socprompt,1))</f>
        <v>NA</v>
      </c>
      <c r="G115" s="49" t="str">
        <f>IF(VLOOKUP($A115,SiteAttendu!$A$2:$O$366,7,0)="NA","NA",COUNTIFS(soccode,A115,socprog,"PNLS/CHARGES VIRALES",socprompt,1))</f>
        <v>NA</v>
      </c>
      <c r="H115" s="49">
        <f>IF(VLOOKUP($A115,SiteAttendu!$A$2:$O$366,9,0)="NA","NA",COUNTIFS(soccode,A115,socprog,"PNLP/MEDICAMENTS ET INTRANTS",socprompt,1))</f>
        <v>1</v>
      </c>
      <c r="I115" s="49">
        <f>IF(VLOOKUP($A115,SiteAttendu!$A$2:$O$366,10,0)="NA","NA",COUNTIFS(soccode,$A115,socprog,"PNSME/MEDICAMENTS ET INTRANTS",socprompt,1))</f>
        <v>1</v>
      </c>
      <c r="J115" s="49">
        <f>IF(VLOOKUP($A115,SiteAttendu!$A$2:$O$366,11,0)="NA","NA",COUNTIFS(soccode,$A115,socprog,"PNN/MEDICAMENTS ET INTRANTS",socprompt,1))</f>
        <v>1</v>
      </c>
      <c r="K115" s="49">
        <f>IF(VLOOKUP($A115,SiteAttendu!$A$2:$O$366,15,0)="NA","NA",IF(COUNTIF(socprog,"PNLT/SENSIBLE MEDICAMENTS ET INTRANTS")=0,"NA",COUNTIFS(soccode,$A115,socprog,"PNLT/SENSIBLE MEDICAMENTS ET INTRANTS",socprompt,1)))</f>
        <v>0</v>
      </c>
      <c r="L115" s="51">
        <f t="shared" ref="L115:S115" si="117">IFERROR(SUMIFS(D$2:D$364,$C$2:$C$364,$C115)/COUNTIFS(D$2:D$364,"&lt;&gt;NA",$C$2:$C$364,$C115),"")</f>
        <v>0.8333333333</v>
      </c>
      <c r="M115" s="125">
        <f t="shared" si="117"/>
        <v>0.8333333333</v>
      </c>
      <c r="N115" s="125">
        <f t="shared" si="117"/>
        <v>0.6</v>
      </c>
      <c r="O115" s="125" t="str">
        <f t="shared" si="117"/>
        <v/>
      </c>
      <c r="P115" s="125">
        <f t="shared" si="117"/>
        <v>0.8571428571</v>
      </c>
      <c r="Q115" s="125">
        <f t="shared" si="117"/>
        <v>0.8571428571</v>
      </c>
      <c r="R115" s="125">
        <f t="shared" si="117"/>
        <v>0.8</v>
      </c>
      <c r="S115" s="125">
        <f t="shared" si="117"/>
        <v>0.2</v>
      </c>
      <c r="T115" s="126">
        <f t="shared" si="3"/>
        <v>0.7647058824</v>
      </c>
      <c r="U115" s="53">
        <f t="shared" si="4"/>
        <v>2</v>
      </c>
      <c r="V115" s="54">
        <f t="shared" si="5"/>
        <v>2</v>
      </c>
    </row>
    <row r="116" ht="15.75" customHeight="1">
      <c r="A116" s="55" t="str">
        <f>SiteAttendu!$A116</f>
        <v>C3010</v>
      </c>
      <c r="B116" s="56" t="str">
        <f>VLOOKUP($A116,SiteAttendu!$A$2:$C$366,2,0)</f>
        <v>HOPITAL GENERAL BOUNDIALI</v>
      </c>
      <c r="C116" s="57" t="str">
        <f>VLOOKUP($A116,SiteAttendu!$A$2:$C$366,3,0)</f>
        <v>BAGOUE</v>
      </c>
      <c r="D116" s="58">
        <f>IF(VLOOKUP(A116,SiteAttendu!$A$2:$P$366,4,0)="NA","NA",COUNTIFS(soccode,A116,socprog,"PNLS/ANTIRETROVIRAUX ET IO",socprompt,1))</f>
        <v>1</v>
      </c>
      <c r="E116" s="58">
        <f>IF(VLOOKUP($A116,SiteAttendu!$A$2:$O$366,5,0)="NA","NA",COUNTIFS(soccode,A116,socprog,"PNLS/TESTS RAPIDES ET CONSOMMABLES",socprompt,1))</f>
        <v>1</v>
      </c>
      <c r="F116" s="58">
        <f>IF(VLOOKUP($A116,SiteAttendu!$A$2:$O$366,6,0)="NA","NA",COUNTIFS(soccode,A116,socprog,"PNLS/PRODUITS DE LABORATOIRE",socprompt,1))</f>
        <v>1</v>
      </c>
      <c r="G116" s="58" t="str">
        <f>IF(VLOOKUP($A116,SiteAttendu!$A$2:$O$366,7,0)="NA","NA",COUNTIFS(soccode,A116,socprog,"PNLS/CHARGES VIRALES",socprompt,1))</f>
        <v>NA</v>
      </c>
      <c r="H116" s="58">
        <f>IF(VLOOKUP($A116,SiteAttendu!$A$2:$O$366,9,0)="NA","NA",COUNTIFS(soccode,A116,socprog,"PNLP/MEDICAMENTS ET INTRANTS",socprompt,1))</f>
        <v>1</v>
      </c>
      <c r="I116" s="58">
        <f>IF(VLOOKUP($A116,SiteAttendu!$A$2:$O$366,10,0)="NA","NA",COUNTIFS(soccode,$A116,socprog,"PNSME/MEDICAMENTS ET INTRANTS",socprompt,1))</f>
        <v>1</v>
      </c>
      <c r="J116" s="58">
        <f>IF(VLOOKUP($A116,SiteAttendu!$A$2:$O$366,11,0)="NA","NA",COUNTIFS(soccode,$A116,socprog,"PNN/MEDICAMENTS ET INTRANTS",socprompt,1))</f>
        <v>1</v>
      </c>
      <c r="K116" s="58" t="str">
        <f>IF(VLOOKUP($A116,SiteAttendu!$A$2:$O$366,15,0)="NA","NA",IF(COUNTIF(socprog,"PNLT/SENSIBLE MEDICAMENTS ET INTRANTS")=0,"NA",COUNTIFS(soccode,$A116,socprog,"PNLT/SENSIBLE MEDICAMENTS ET INTRANTS",socprompt,1)))</f>
        <v>NA</v>
      </c>
      <c r="L116" s="60"/>
      <c r="M116" s="85">
        <f t="shared" ref="M116:S116" si="118">IFERROR(SUMIFS(E$2:E$364,$C$2:$C$364,$C116)/COUNTIFS(E$2:E$364,"&lt;&gt;NA",$C$2:$C$364,$C116),"")</f>
        <v>0.8333333333</v>
      </c>
      <c r="N116" s="85">
        <f t="shared" si="118"/>
        <v>0.6</v>
      </c>
      <c r="O116" s="85" t="str">
        <f t="shared" si="118"/>
        <v/>
      </c>
      <c r="P116" s="85">
        <f t="shared" si="118"/>
        <v>0.8571428571</v>
      </c>
      <c r="Q116" s="85">
        <f t="shared" si="118"/>
        <v>0.8571428571</v>
      </c>
      <c r="R116" s="85">
        <f t="shared" si="118"/>
        <v>0.8</v>
      </c>
      <c r="S116" s="85">
        <f t="shared" si="118"/>
        <v>0.2</v>
      </c>
      <c r="T116" s="127">
        <f t="shared" si="3"/>
        <v>0.7647058824</v>
      </c>
      <c r="U116" s="53">
        <f t="shared" si="4"/>
        <v>3</v>
      </c>
      <c r="V116" s="54">
        <f t="shared" si="5"/>
        <v>3</v>
      </c>
    </row>
    <row r="117" ht="15.75" customHeight="1">
      <c r="A117" s="55" t="str">
        <f>SiteAttendu!$A117</f>
        <v>C3015</v>
      </c>
      <c r="B117" s="56" t="str">
        <f>VLOOKUP($A117,SiteAttendu!$A$2:$C$366,2,0)</f>
        <v>HOPITAL GENERAL KOUTO</v>
      </c>
      <c r="C117" s="57" t="str">
        <f>VLOOKUP($A117,SiteAttendu!$A$2:$C$366,3,0)</f>
        <v>BAGOUE</v>
      </c>
      <c r="D117" s="58">
        <f>IF(VLOOKUP(A117,SiteAttendu!$A$2:$P$366,4,0)="NA","NA",COUNTIFS(soccode,A117,socprog,"PNLS/ANTIRETROVIRAUX ET IO",socprompt,1))</f>
        <v>1</v>
      </c>
      <c r="E117" s="58">
        <f>IF(VLOOKUP($A117,SiteAttendu!$A$2:$O$366,5,0)="NA","NA",COUNTIFS(soccode,A117,socprog,"PNLS/TESTS RAPIDES ET CONSOMMABLES",socprompt,1))</f>
        <v>1</v>
      </c>
      <c r="F117" s="58">
        <f>IF(VLOOKUP($A117,SiteAttendu!$A$2:$O$366,6,0)="NA","NA",COUNTIFS(soccode,A117,socprog,"PNLS/PRODUITS DE LABORATOIRE",socprompt,1))</f>
        <v>1</v>
      </c>
      <c r="G117" s="58" t="str">
        <f>IF(VLOOKUP($A117,SiteAttendu!$A$2:$O$366,7,0)="NA","NA",COUNTIFS(soccode,A117,socprog,"PNLS/CHARGES VIRALES",socprompt,1))</f>
        <v>NA</v>
      </c>
      <c r="H117" s="58">
        <f>IF(VLOOKUP($A117,SiteAttendu!$A$2:$O$366,9,0)="NA","NA",COUNTIFS(soccode,A117,socprog,"PNLP/MEDICAMENTS ET INTRANTS",socprompt,1))</f>
        <v>1</v>
      </c>
      <c r="I117" s="58">
        <f>IF(VLOOKUP($A117,SiteAttendu!$A$2:$O$366,10,0)="NA","NA",COUNTIFS(soccode,$A117,socprog,"PNSME/MEDICAMENTS ET INTRANTS",socprompt,1))</f>
        <v>1</v>
      </c>
      <c r="J117" s="58" t="str">
        <f>IF(VLOOKUP($A117,SiteAttendu!$A$2:$O$366,11,0)="NA","NA",COUNTIFS(soccode,$A117,socprog,"PNN/MEDICAMENTS ET INTRANTS",socprompt,1))</f>
        <v>NA</v>
      </c>
      <c r="K117" s="58">
        <f>IF(VLOOKUP($A117,SiteAttendu!$A$2:$O$366,15,0)="NA","NA",IF(COUNTIF(socprog,"PNLT/SENSIBLE MEDICAMENTS ET INTRANTS")=0,"NA",COUNTIFS(soccode,$A117,socprog,"PNLT/SENSIBLE MEDICAMENTS ET INTRANTS",socprompt,1)))</f>
        <v>0</v>
      </c>
      <c r="L117" s="60"/>
      <c r="M117" s="85">
        <f t="shared" ref="M117:S117" si="119">IFERROR(SUMIFS(E$2:E$364,$C$2:$C$364,$C117)/COUNTIFS(E$2:E$364,"&lt;&gt;NA",$C$2:$C$364,$C117),"")</f>
        <v>0.8333333333</v>
      </c>
      <c r="N117" s="85">
        <f t="shared" si="119"/>
        <v>0.6</v>
      </c>
      <c r="O117" s="85" t="str">
        <f t="shared" si="119"/>
        <v/>
      </c>
      <c r="P117" s="85">
        <f t="shared" si="119"/>
        <v>0.8571428571</v>
      </c>
      <c r="Q117" s="85">
        <f t="shared" si="119"/>
        <v>0.8571428571</v>
      </c>
      <c r="R117" s="85">
        <f t="shared" si="119"/>
        <v>0.8</v>
      </c>
      <c r="S117" s="85">
        <f t="shared" si="119"/>
        <v>0.2</v>
      </c>
      <c r="T117" s="127">
        <f t="shared" si="3"/>
        <v>0.7647058824</v>
      </c>
      <c r="U117" s="53">
        <f t="shared" si="4"/>
        <v>3</v>
      </c>
      <c r="V117" s="54">
        <f t="shared" si="5"/>
        <v>3</v>
      </c>
    </row>
    <row r="118" ht="15.75" customHeight="1">
      <c r="A118" s="55" t="str">
        <f>SiteAttendu!$A118</f>
        <v>C3050</v>
      </c>
      <c r="B118" s="56" t="str">
        <f>VLOOKUP($A118,SiteAttendu!$A$2:$C$366,2,0)</f>
        <v>CENTRE ANTITUBERCULEUX BOUNDIALI</v>
      </c>
      <c r="C118" s="57" t="str">
        <f>VLOOKUP($A118,SiteAttendu!$A$2:$C$366,3,0)</f>
        <v>BAGOUE</v>
      </c>
      <c r="D118" s="58" t="str">
        <f>IF(VLOOKUP(A118,SiteAttendu!$A$2:$P$366,4,0)="NA","NA",COUNTIFS(soccode,A118,socprog,"PNLS/ANTIRETROVIRAUX ET IO",socprompt,1))</f>
        <v>NA</v>
      </c>
      <c r="E118" s="58" t="str">
        <f>IF(VLOOKUP($A118,SiteAttendu!$A$2:$O$366,5,0)="NA","NA",COUNTIFS(soccode,A118,socprog,"PNLS/TESTS RAPIDES ET CONSOMMABLES",socprompt,1))</f>
        <v>NA</v>
      </c>
      <c r="F118" s="58" t="str">
        <f>IF(VLOOKUP($A118,SiteAttendu!$A$2:$O$366,6,0)="NA","NA",COUNTIFS(soccode,A118,socprog,"PNLS/PRODUITS DE LABORATOIRE",socprompt,1))</f>
        <v>NA</v>
      </c>
      <c r="G118" s="58" t="str">
        <f>IF(VLOOKUP($A118,SiteAttendu!$A$2:$O$366,7,0)="NA","NA",COUNTIFS(soccode,A118,socprog,"PNLS/CHARGES VIRALES",socprompt,1))</f>
        <v>NA</v>
      </c>
      <c r="H118" s="58" t="str">
        <f>IF(VLOOKUP($A118,SiteAttendu!$A$2:$O$366,9,0)="NA","NA",COUNTIFS(soccode,A118,socprog,"PNLP/MEDICAMENTS ET INTRANTS",socprompt,1))</f>
        <v>NA</v>
      </c>
      <c r="I118" s="58" t="str">
        <f>IF(VLOOKUP($A118,SiteAttendu!$A$2:$O$366,10,0)="NA","NA",COUNTIFS(soccode,$A118,socprog,"PNSME/MEDICAMENTS ET INTRANTS",socprompt,1))</f>
        <v>NA</v>
      </c>
      <c r="J118" s="58" t="str">
        <f>IF(VLOOKUP($A118,SiteAttendu!$A$2:$O$366,11,0)="NA","NA",COUNTIFS(soccode,$A118,socprog,"PNN/MEDICAMENTS ET INTRANTS",socprompt,1))</f>
        <v>NA</v>
      </c>
      <c r="K118" s="58">
        <f>IF(VLOOKUP($A118,SiteAttendu!$A$2:$O$366,15,0)="NA","NA",IF(COUNTIF(socprog,"PNLT/SENSIBLE MEDICAMENTS ET INTRANTS")=0,"NA",COUNTIFS(soccode,$A118,socprog,"PNLT/SENSIBLE MEDICAMENTS ET INTRANTS",socprompt,1)))</f>
        <v>0</v>
      </c>
      <c r="L118" s="60"/>
      <c r="M118" s="85">
        <f t="shared" ref="M118:S118" si="120">IFERROR(SUMIFS(E$2:E$364,$C$2:$C$364,$C118)/COUNTIFS(E$2:E$364,"&lt;&gt;NA",$C$2:$C$364,$C118),"")</f>
        <v>0.8333333333</v>
      </c>
      <c r="N118" s="85">
        <f t="shared" si="120"/>
        <v>0.6</v>
      </c>
      <c r="O118" s="85" t="str">
        <f t="shared" si="120"/>
        <v/>
      </c>
      <c r="P118" s="85">
        <f t="shared" si="120"/>
        <v>0.8571428571</v>
      </c>
      <c r="Q118" s="85">
        <f t="shared" si="120"/>
        <v>0.8571428571</v>
      </c>
      <c r="R118" s="85">
        <f t="shared" si="120"/>
        <v>0.8</v>
      </c>
      <c r="S118" s="85">
        <f t="shared" si="120"/>
        <v>0.2</v>
      </c>
      <c r="T118" s="127">
        <f t="shared" si="3"/>
        <v>0.7647058824</v>
      </c>
      <c r="U118" s="53">
        <f t="shared" si="4"/>
        <v>0</v>
      </c>
      <c r="V118" s="54">
        <f t="shared" si="5"/>
        <v>0</v>
      </c>
    </row>
    <row r="119" ht="15.75" customHeight="1">
      <c r="A119" s="55" t="str">
        <f>SiteAttendu!$A119</f>
        <v>C2217</v>
      </c>
      <c r="B119" s="56" t="str">
        <f>VLOOKUP($A119,SiteAttendu!$A$2:$C$366,2,0)</f>
        <v>DISTRICT SANITAIRE KOUTO</v>
      </c>
      <c r="C119" s="57" t="str">
        <f>VLOOKUP($A119,SiteAttendu!$A$2:$C$366,3,0)</f>
        <v>BAGOUE</v>
      </c>
      <c r="D119" s="58">
        <f>IF(VLOOKUP(A119,SiteAttendu!$A$2:$P$366,4,0)="NA","NA",COUNTIFS(soccode,A119,socprog,"PNLS/ANTIRETROVIRAUX ET IO",socprompt,1))</f>
        <v>0</v>
      </c>
      <c r="E119" s="58">
        <f>IF(VLOOKUP($A119,SiteAttendu!$A$2:$O$366,5,0)="NA","NA",COUNTIFS(soccode,A119,socprog,"PNLS/TESTS RAPIDES ET CONSOMMABLES",socprompt,1))</f>
        <v>0</v>
      </c>
      <c r="F119" s="58">
        <f>IF(VLOOKUP($A119,SiteAttendu!$A$2:$O$366,6,0)="NA","NA",COUNTIFS(soccode,A119,socprog,"PNLS/PRODUITS DE LABORATOIRE",socprompt,1))</f>
        <v>0</v>
      </c>
      <c r="G119" s="58" t="str">
        <f>IF(VLOOKUP($A119,SiteAttendu!$A$2:$O$366,7,0)="NA","NA",COUNTIFS(soccode,A119,socprog,"PNLS/CHARGES VIRALES",socprompt,1))</f>
        <v>NA</v>
      </c>
      <c r="H119" s="58">
        <f>IF(VLOOKUP($A119,SiteAttendu!$A$2:$O$366,9,0)="NA","NA",COUNTIFS(soccode,A119,socprog,"PNLP/MEDICAMENTS ET INTRANTS",socprompt,1))</f>
        <v>0</v>
      </c>
      <c r="I119" s="58">
        <f>IF(VLOOKUP($A119,SiteAttendu!$A$2:$O$366,10,0)="NA","NA",COUNTIFS(soccode,$A119,socprog,"PNSME/MEDICAMENTS ET INTRANTS",socprompt,1))</f>
        <v>0</v>
      </c>
      <c r="J119" s="58">
        <f>IF(VLOOKUP($A119,SiteAttendu!$A$2:$O$366,11,0)="NA","NA",COUNTIFS(soccode,$A119,socprog,"PNN/MEDICAMENTS ET INTRANTS",socprompt,1))</f>
        <v>0</v>
      </c>
      <c r="K119" s="58">
        <f>IF(VLOOKUP($A119,SiteAttendu!$A$2:$O$366,15,0)="NA","NA",IF(COUNTIF(socprog,"PNLT/SENSIBLE MEDICAMENTS ET INTRANTS")=0,"NA",COUNTIFS(soccode,$A119,socprog,"PNLT/SENSIBLE MEDICAMENTS ET INTRANTS",socprompt,1)))</f>
        <v>0</v>
      </c>
      <c r="L119" s="60"/>
      <c r="M119" s="85">
        <f t="shared" ref="M119:S119" si="121">IFERROR(SUMIFS(E$2:E$364,$C$2:$C$364,$C119)/COUNTIFS(E$2:E$364,"&lt;&gt;NA",$C$2:$C$364,$C119),"")</f>
        <v>0.8333333333</v>
      </c>
      <c r="N119" s="85">
        <f t="shared" si="121"/>
        <v>0.6</v>
      </c>
      <c r="O119" s="85" t="str">
        <f t="shared" si="121"/>
        <v/>
      </c>
      <c r="P119" s="85">
        <f t="shared" si="121"/>
        <v>0.8571428571</v>
      </c>
      <c r="Q119" s="85">
        <f t="shared" si="121"/>
        <v>0.8571428571</v>
      </c>
      <c r="R119" s="85">
        <f t="shared" si="121"/>
        <v>0.8</v>
      </c>
      <c r="S119" s="85">
        <f t="shared" si="121"/>
        <v>0.2</v>
      </c>
      <c r="T119" s="127">
        <f t="shared" si="3"/>
        <v>0.7647058824</v>
      </c>
      <c r="U119" s="53">
        <f t="shared" si="4"/>
        <v>0</v>
      </c>
      <c r="V119" s="54">
        <f t="shared" si="5"/>
        <v>3</v>
      </c>
    </row>
    <row r="120" ht="15.75" customHeight="1">
      <c r="A120" s="55" t="str">
        <f>SiteAttendu!$A120</f>
        <v>C3014</v>
      </c>
      <c r="B120" s="56" t="str">
        <f>VLOOKUP($A120,SiteAttendu!$A$2:$C$366,2,0)</f>
        <v>CSU KOLIA</v>
      </c>
      <c r="C120" s="57" t="str">
        <f>VLOOKUP($A120,SiteAttendu!$A$2:$C$366,3,0)</f>
        <v>BAGOUE</v>
      </c>
      <c r="D120" s="58" t="str">
        <f>IF(VLOOKUP(A120,SiteAttendu!$A$2:$P$366,4,0)="NA","NA",COUNTIFS(soccode,A120,socprog,"PNLS/ANTIRETROVIRAUX ET IO",socprompt,1))</f>
        <v>NA</v>
      </c>
      <c r="E120" s="58" t="str">
        <f>IF(VLOOKUP($A120,SiteAttendu!$A$2:$O$366,5,0)="NA","NA",COUNTIFS(soccode,A120,socprog,"PNLS/TESTS RAPIDES ET CONSOMMABLES",socprompt,1))</f>
        <v>NA</v>
      </c>
      <c r="F120" s="58" t="str">
        <f>IF(VLOOKUP($A120,SiteAttendu!$A$2:$O$366,6,0)="NA","NA",COUNTIFS(soccode,A120,socprog,"PNLS/PRODUITS DE LABORATOIRE",socprompt,1))</f>
        <v>NA</v>
      </c>
      <c r="G120" s="58" t="str">
        <f>IF(VLOOKUP($A120,SiteAttendu!$A$2:$O$366,7,0)="NA","NA",COUNTIFS(soccode,A120,socprog,"PNLS/CHARGES VIRALES",socprompt,1))</f>
        <v>NA</v>
      </c>
      <c r="H120" s="58">
        <f>IF(VLOOKUP($A120,SiteAttendu!$A$2:$O$366,9,0)="NA","NA",COUNTIFS(soccode,A120,socprog,"PNLP/MEDICAMENTS ET INTRANTS",socprompt,1))</f>
        <v>1</v>
      </c>
      <c r="I120" s="58">
        <f>IF(VLOOKUP($A120,SiteAttendu!$A$2:$O$366,10,0)="NA","NA",COUNTIFS(soccode,$A120,socprog,"PNSME/MEDICAMENTS ET INTRANTS",socprompt,1))</f>
        <v>1</v>
      </c>
      <c r="J120" s="58" t="str">
        <f>IF(VLOOKUP($A120,SiteAttendu!$A$2:$O$366,11,0)="NA","NA",COUNTIFS(soccode,$A120,socprog,"PNN/MEDICAMENTS ET INTRANTS",socprompt,1))</f>
        <v>NA</v>
      </c>
      <c r="K120" s="58" t="str">
        <f>IF(VLOOKUP($A120,SiteAttendu!$A$2:$O$366,15,0)="NA","NA",IF(COUNTIF(socprog,"PNLT/SENSIBLE MEDICAMENTS ET INTRANTS")=0,"NA",COUNTIFS(soccode,$A120,socprog,"PNLT/SENSIBLE MEDICAMENTS ET INTRANTS",socprompt,1)))</f>
        <v>NA</v>
      </c>
      <c r="L120" s="60"/>
      <c r="M120" s="85">
        <f t="shared" ref="M120:S120" si="122">IFERROR(SUMIFS(E$2:E$364,$C$2:$C$364,$C120)/COUNTIFS(E$2:E$364,"&lt;&gt;NA",$C$2:$C$364,$C120),"")</f>
        <v>0.8333333333</v>
      </c>
      <c r="N120" s="85">
        <f t="shared" si="122"/>
        <v>0.6</v>
      </c>
      <c r="O120" s="85" t="str">
        <f t="shared" si="122"/>
        <v/>
      </c>
      <c r="P120" s="85">
        <f t="shared" si="122"/>
        <v>0.8571428571</v>
      </c>
      <c r="Q120" s="85">
        <f t="shared" si="122"/>
        <v>0.8571428571</v>
      </c>
      <c r="R120" s="85">
        <f t="shared" si="122"/>
        <v>0.8</v>
      </c>
      <c r="S120" s="85">
        <f t="shared" si="122"/>
        <v>0.2</v>
      </c>
      <c r="T120" s="127">
        <f t="shared" si="3"/>
        <v>0.7647058824</v>
      </c>
      <c r="U120" s="53">
        <f t="shared" si="4"/>
        <v>0</v>
      </c>
      <c r="V120" s="54">
        <f t="shared" si="5"/>
        <v>0</v>
      </c>
    </row>
    <row r="121" ht="15.75" customHeight="1">
      <c r="A121" s="55" t="str">
        <f>SiteAttendu!$A121</f>
        <v>C3008</v>
      </c>
      <c r="B121" s="56" t="str">
        <f>VLOOKUP($A121,SiteAttendu!$A$2:$C$366,2,0)</f>
        <v>DISTRICT SANITAIRE TENGRELA</v>
      </c>
      <c r="C121" s="57" t="str">
        <f>VLOOKUP($A121,SiteAttendu!$A$2:$C$366,3,0)</f>
        <v>BAGOUE</v>
      </c>
      <c r="D121" s="58">
        <f>IF(VLOOKUP(A121,SiteAttendu!$A$2:$P$366,4,0)="NA","NA",COUNTIFS(soccode,A121,socprog,"PNLS/ANTIRETROVIRAUX ET IO",socprompt,1))</f>
        <v>1</v>
      </c>
      <c r="E121" s="58">
        <f>IF(VLOOKUP($A121,SiteAttendu!$A$2:$O$366,5,0)="NA","NA",COUNTIFS(soccode,A121,socprog,"PNLS/TESTS RAPIDES ET CONSOMMABLES",socprompt,1))</f>
        <v>1</v>
      </c>
      <c r="F121" s="58">
        <f>IF(VLOOKUP($A121,SiteAttendu!$A$2:$O$366,6,0)="NA","NA",COUNTIFS(soccode,A121,socprog,"PNLS/PRODUITS DE LABORATOIRE",socprompt,1))</f>
        <v>0</v>
      </c>
      <c r="G121" s="58" t="str">
        <f>IF(VLOOKUP($A121,SiteAttendu!$A$2:$O$366,7,0)="NA","NA",COUNTIFS(soccode,A121,socprog,"PNLS/CHARGES VIRALES",socprompt,1))</f>
        <v>NA</v>
      </c>
      <c r="H121" s="58">
        <f>IF(VLOOKUP($A121,SiteAttendu!$A$2:$O$366,9,0)="NA","NA",COUNTIFS(soccode,A121,socprog,"PNLP/MEDICAMENTS ET INTRANTS",socprompt,1))</f>
        <v>1</v>
      </c>
      <c r="I121" s="58">
        <f>IF(VLOOKUP($A121,SiteAttendu!$A$2:$O$366,10,0)="NA","NA",COUNTIFS(soccode,$A121,socprog,"PNSME/MEDICAMENTS ET INTRANTS",socprompt,1))</f>
        <v>1</v>
      </c>
      <c r="J121" s="58">
        <f>IF(VLOOKUP($A121,SiteAttendu!$A$2:$O$366,11,0)="NA","NA",COUNTIFS(soccode,$A121,socprog,"PNN/MEDICAMENTS ET INTRANTS",socprompt,1))</f>
        <v>1</v>
      </c>
      <c r="K121" s="58" t="str">
        <f>IF(VLOOKUP($A121,SiteAttendu!$A$2:$O$366,15,0)="NA","NA",IF(COUNTIF(socprog,"PNLT/SENSIBLE MEDICAMENTS ET INTRANTS")=0,"NA",COUNTIFS(soccode,$A121,socprog,"PNLT/SENSIBLE MEDICAMENTS ET INTRANTS",socprompt,1)))</f>
        <v>NA</v>
      </c>
      <c r="L121" s="60"/>
      <c r="M121" s="85">
        <f t="shared" ref="M121:S121" si="123">IFERROR(SUMIFS(E$2:E$364,$C$2:$C$364,$C121)/COUNTIFS(E$2:E$364,"&lt;&gt;NA",$C$2:$C$364,$C121),"")</f>
        <v>0.8333333333</v>
      </c>
      <c r="N121" s="85">
        <f t="shared" si="123"/>
        <v>0.6</v>
      </c>
      <c r="O121" s="85" t="str">
        <f t="shared" si="123"/>
        <v/>
      </c>
      <c r="P121" s="85">
        <f t="shared" si="123"/>
        <v>0.8571428571</v>
      </c>
      <c r="Q121" s="85">
        <f t="shared" si="123"/>
        <v>0.8571428571</v>
      </c>
      <c r="R121" s="85">
        <f t="shared" si="123"/>
        <v>0.8</v>
      </c>
      <c r="S121" s="85">
        <f t="shared" si="123"/>
        <v>0.2</v>
      </c>
      <c r="T121" s="127">
        <f t="shared" si="3"/>
        <v>0.7647058824</v>
      </c>
      <c r="U121" s="53">
        <f t="shared" si="4"/>
        <v>2</v>
      </c>
      <c r="V121" s="54">
        <f t="shared" si="5"/>
        <v>3</v>
      </c>
    </row>
    <row r="122" ht="15.75" customHeight="1">
      <c r="A122" s="62" t="str">
        <f>SiteAttendu!$A122</f>
        <v>C3023</v>
      </c>
      <c r="B122" s="63" t="str">
        <f>VLOOKUP($A122,SiteAttendu!$A$2:$C$366,2,0)</f>
        <v>HOPITAL GENERAL TENGRELA</v>
      </c>
      <c r="C122" s="64" t="str">
        <f>VLOOKUP($A122,SiteAttendu!$A$2:$C$366,3,0)</f>
        <v>BAGOUE</v>
      </c>
      <c r="D122" s="65">
        <f>IF(VLOOKUP(A122,SiteAttendu!$A$2:$P$366,4,0)="NA","NA",COUNTIFS(soccode,A122,socprog,"PNLS/ANTIRETROVIRAUX ET IO",socprompt,1))</f>
        <v>1</v>
      </c>
      <c r="E122" s="65">
        <f>IF(VLOOKUP($A122,SiteAttendu!$A$2:$O$366,5,0)="NA","NA",COUNTIFS(soccode,A122,socprog,"PNLS/TESTS RAPIDES ET CONSOMMABLES",socprompt,1))</f>
        <v>1</v>
      </c>
      <c r="F122" s="65">
        <f>IF(VLOOKUP($A122,SiteAttendu!$A$2:$O$366,6,0)="NA","NA",COUNTIFS(soccode,A122,socprog,"PNLS/PRODUITS DE LABORATOIRE",socprompt,1))</f>
        <v>1</v>
      </c>
      <c r="G122" s="65" t="str">
        <f>IF(VLOOKUP($A122,SiteAttendu!$A$2:$O$366,7,0)="NA","NA",COUNTIFS(soccode,A122,socprog,"PNLS/CHARGES VIRALES",socprompt,1))</f>
        <v>NA</v>
      </c>
      <c r="H122" s="65">
        <f>IF(VLOOKUP($A122,SiteAttendu!$A$2:$O$366,9,0)="NA","NA",COUNTIFS(soccode,A122,socprog,"PNLP/MEDICAMENTS ET INTRANTS",socprompt,1))</f>
        <v>1</v>
      </c>
      <c r="I122" s="65">
        <f>IF(VLOOKUP($A122,SiteAttendu!$A$2:$O$366,10,0)="NA","NA",COUNTIFS(soccode,$A122,socprog,"PNSME/MEDICAMENTS ET INTRANTS",socprompt,1))</f>
        <v>1</v>
      </c>
      <c r="J122" s="65">
        <f>IF(VLOOKUP($A122,SiteAttendu!$A$2:$O$366,11,0)="NA","NA",COUNTIFS(soccode,$A122,socprog,"PNN/MEDICAMENTS ET INTRANTS",socprompt,1))</f>
        <v>1</v>
      </c>
      <c r="K122" s="65">
        <f>IF(VLOOKUP($A122,SiteAttendu!$A$2:$O$366,15,0)="NA","NA",IF(COUNTIF(socprog,"PNLT/SENSIBLE MEDICAMENTS ET INTRANTS")=0,"NA",COUNTIFS(soccode,$A122,socprog,"PNLT/SENSIBLE MEDICAMENTS ET INTRANTS",socprompt,1)))</f>
        <v>1</v>
      </c>
      <c r="L122" s="67"/>
      <c r="M122" s="86">
        <f t="shared" ref="M122:S122" si="124">IFERROR(SUMIFS(E$2:E$364,$C$2:$C$364,$C122)/COUNTIFS(E$2:E$364,"&lt;&gt;NA",$C$2:$C$364,$C122),"")</f>
        <v>0.8333333333</v>
      </c>
      <c r="N122" s="86">
        <f t="shared" si="124"/>
        <v>0.6</v>
      </c>
      <c r="O122" s="86" t="str">
        <f t="shared" si="124"/>
        <v/>
      </c>
      <c r="P122" s="86">
        <f t="shared" si="124"/>
        <v>0.8571428571</v>
      </c>
      <c r="Q122" s="86">
        <f t="shared" si="124"/>
        <v>0.8571428571</v>
      </c>
      <c r="R122" s="86">
        <f t="shared" si="124"/>
        <v>0.8</v>
      </c>
      <c r="S122" s="86">
        <f t="shared" si="124"/>
        <v>0.2</v>
      </c>
      <c r="T122" s="128">
        <f t="shared" si="3"/>
        <v>0.7647058824</v>
      </c>
      <c r="U122" s="53">
        <f t="shared" si="4"/>
        <v>3</v>
      </c>
      <c r="V122" s="54">
        <f t="shared" si="5"/>
        <v>3</v>
      </c>
    </row>
    <row r="123" ht="15.75" customHeight="1">
      <c r="A123" s="46" t="str">
        <f>SiteAttendu!$A123</f>
        <v>C2026</v>
      </c>
      <c r="B123" s="47" t="str">
        <f>VLOOKUP($A123,SiteAttendu!$A$2:$C$366,2,0)</f>
        <v>DISTRICT SANITAIRE DIDIEVI</v>
      </c>
      <c r="C123" s="48" t="str">
        <f>VLOOKUP($A123,SiteAttendu!$A$2:$C$366,3,0)</f>
        <v>BELIER</v>
      </c>
      <c r="D123" s="49">
        <f>IF(VLOOKUP(A123,SiteAttendu!$A$2:$P$366,4,0)="NA","NA",COUNTIFS(soccode,A123,socprog,"PNLS/ANTIRETROVIRAUX ET IO",socprompt,1))</f>
        <v>1</v>
      </c>
      <c r="E123" s="49">
        <f>IF(VLOOKUP($A123,SiteAttendu!$A$2:$O$366,5,0)="NA","NA",COUNTIFS(soccode,A123,socprog,"PNLS/TESTS RAPIDES ET CONSOMMABLES",socprompt,1))</f>
        <v>1</v>
      </c>
      <c r="F123" s="49" t="str">
        <f>IF(VLOOKUP($A123,SiteAttendu!$A$2:$O$366,6,0)="NA","NA",COUNTIFS(soccode,A123,socprog,"PNLS/PRODUITS DE LABORATOIRE",socprompt,1))</f>
        <v>NA</v>
      </c>
      <c r="G123" s="49" t="str">
        <f>IF(VLOOKUP($A123,SiteAttendu!$A$2:$O$366,7,0)="NA","NA",COUNTIFS(soccode,A123,socprog,"PNLS/CHARGES VIRALES",socprompt,1))</f>
        <v>NA</v>
      </c>
      <c r="H123" s="49">
        <f>IF(VLOOKUP($A123,SiteAttendu!$A$2:$O$366,9,0)="NA","NA",COUNTIFS(soccode,A123,socprog,"PNLP/MEDICAMENTS ET INTRANTS",socprompt,1))</f>
        <v>1</v>
      </c>
      <c r="I123" s="49">
        <f>IF(VLOOKUP($A123,SiteAttendu!$A$2:$O$366,10,0)="NA","NA",COUNTIFS(soccode,$A123,socprog,"PNSME/MEDICAMENTS ET INTRANTS",socprompt,1))</f>
        <v>1</v>
      </c>
      <c r="J123" s="49" t="str">
        <f>IF(VLOOKUP($A123,SiteAttendu!$A$2:$O$366,11,0)="NA","NA",COUNTIFS(soccode,$A123,socprog,"PNN/MEDICAMENTS ET INTRANTS",socprompt,1))</f>
        <v>NA</v>
      </c>
      <c r="K123" s="49">
        <f>IF(VLOOKUP($A123,SiteAttendu!$A$2:$O$366,15,0)="NA","NA",IF(COUNTIF(socprog,"PNLT/SENSIBLE MEDICAMENTS ET INTRANTS")=0,"NA",COUNTIFS(soccode,$A123,socprog,"PNLT/SENSIBLE MEDICAMENTS ET INTRANTS",socprompt,1)))</f>
        <v>1</v>
      </c>
      <c r="L123" s="51">
        <f t="shared" ref="L123:S123" si="125">IFERROR(SUMIFS(D$2:D$364,$C$2:$C$364,$C123)/COUNTIFS(D$2:D$364,"&lt;&gt;NA",$C$2:$C$364,$C123),"")</f>
        <v>1</v>
      </c>
      <c r="M123" s="125">
        <f t="shared" si="125"/>
        <v>1</v>
      </c>
      <c r="N123" s="125">
        <f t="shared" si="125"/>
        <v>1</v>
      </c>
      <c r="O123" s="125">
        <f t="shared" si="125"/>
        <v>1</v>
      </c>
      <c r="P123" s="125">
        <f t="shared" si="125"/>
        <v>1</v>
      </c>
      <c r="Q123" s="125">
        <f t="shared" si="125"/>
        <v>0.6</v>
      </c>
      <c r="R123" s="125">
        <f t="shared" si="125"/>
        <v>1</v>
      </c>
      <c r="S123" s="125">
        <f t="shared" si="125"/>
        <v>0.8333333333</v>
      </c>
      <c r="T123" s="126">
        <f t="shared" si="3"/>
        <v>1</v>
      </c>
      <c r="U123" s="53">
        <f t="shared" si="4"/>
        <v>2</v>
      </c>
      <c r="V123" s="54">
        <f t="shared" si="5"/>
        <v>2</v>
      </c>
    </row>
    <row r="124" ht="15.75" customHeight="1">
      <c r="A124" s="55" t="str">
        <f>SiteAttendu!$A124</f>
        <v>C2051</v>
      </c>
      <c r="B124" s="56" t="str">
        <f>VLOOKUP($A124,SiteAttendu!$A$2:$C$366,2,0)</f>
        <v>HOPITAL GENERAL DIDIEVI</v>
      </c>
      <c r="C124" s="57" t="str">
        <f>VLOOKUP($A124,SiteAttendu!$A$2:$C$366,3,0)</f>
        <v>BELIER</v>
      </c>
      <c r="D124" s="58">
        <f>IF(VLOOKUP(A124,SiteAttendu!$A$2:$P$366,4,0)="NA","NA",COUNTIFS(soccode,A124,socprog,"PNLS/ANTIRETROVIRAUX ET IO",socprompt,1))</f>
        <v>1</v>
      </c>
      <c r="E124" s="58">
        <f>IF(VLOOKUP($A124,SiteAttendu!$A$2:$O$366,5,0)="NA","NA",COUNTIFS(soccode,A124,socprog,"PNLS/TESTS RAPIDES ET CONSOMMABLES",socprompt,1))</f>
        <v>1</v>
      </c>
      <c r="F124" s="58">
        <f>IF(VLOOKUP($A124,SiteAttendu!$A$2:$O$366,6,0)="NA","NA",COUNTIFS(soccode,A124,socprog,"PNLS/PRODUITS DE LABORATOIRE",socprompt,1))</f>
        <v>1</v>
      </c>
      <c r="G124" s="58" t="str">
        <f>IF(VLOOKUP($A124,SiteAttendu!$A$2:$O$366,7,0)="NA","NA",COUNTIFS(soccode,A124,socprog,"PNLS/CHARGES VIRALES",socprompt,1))</f>
        <v>NA</v>
      </c>
      <c r="H124" s="58">
        <f>IF(VLOOKUP($A124,SiteAttendu!$A$2:$O$366,9,0)="NA","NA",COUNTIFS(soccode,A124,socprog,"PNLP/MEDICAMENTS ET INTRANTS",socprompt,1))</f>
        <v>1</v>
      </c>
      <c r="I124" s="58">
        <f>IF(VLOOKUP($A124,SiteAttendu!$A$2:$O$366,10,0)="NA","NA",COUNTIFS(soccode,$A124,socprog,"PNSME/MEDICAMENTS ET INTRANTS",socprompt,1))</f>
        <v>1</v>
      </c>
      <c r="J124" s="58" t="str">
        <f>IF(VLOOKUP($A124,SiteAttendu!$A$2:$O$366,11,0)="NA","NA",COUNTIFS(soccode,$A124,socprog,"PNN/MEDICAMENTS ET INTRANTS",socprompt,1))</f>
        <v>NA</v>
      </c>
      <c r="K124" s="58">
        <f>IF(VLOOKUP($A124,SiteAttendu!$A$2:$O$366,15,0)="NA","NA",IF(COUNTIF(socprog,"PNLT/SENSIBLE MEDICAMENTS ET INTRANTS")=0,"NA",COUNTIFS(soccode,$A124,socprog,"PNLT/SENSIBLE MEDICAMENTS ET INTRANTS",socprompt,1)))</f>
        <v>0</v>
      </c>
      <c r="L124" s="60"/>
      <c r="M124" s="85">
        <f t="shared" ref="M124:S124" si="126">IFERROR(SUMIFS(E$2:E$364,$C$2:$C$364,$C124)/COUNTIFS(E$2:E$364,"&lt;&gt;NA",$C$2:$C$364,$C124),"")</f>
        <v>1</v>
      </c>
      <c r="N124" s="85">
        <f t="shared" si="126"/>
        <v>1</v>
      </c>
      <c r="O124" s="85">
        <f t="shared" si="126"/>
        <v>1</v>
      </c>
      <c r="P124" s="85">
        <f t="shared" si="126"/>
        <v>1</v>
      </c>
      <c r="Q124" s="85">
        <f t="shared" si="126"/>
        <v>0.6</v>
      </c>
      <c r="R124" s="85">
        <f t="shared" si="126"/>
        <v>1</v>
      </c>
      <c r="S124" s="85">
        <f t="shared" si="126"/>
        <v>0.8333333333</v>
      </c>
      <c r="T124" s="127">
        <f t="shared" si="3"/>
        <v>1</v>
      </c>
      <c r="U124" s="53">
        <f t="shared" si="4"/>
        <v>3</v>
      </c>
      <c r="V124" s="54">
        <f t="shared" si="5"/>
        <v>3</v>
      </c>
    </row>
    <row r="125" ht="16.5" customHeight="1">
      <c r="A125" s="55" t="str">
        <f>SiteAttendu!$A125</f>
        <v>C2042</v>
      </c>
      <c r="B125" s="56" t="str">
        <f>VLOOKUP($A125,SiteAttendu!$A$2:$C$366,2,0)</f>
        <v>DISTRICT SANITAIRE TIEBISSOU</v>
      </c>
      <c r="C125" s="57" t="str">
        <f>VLOOKUP($A125,SiteAttendu!$A$2:$C$366,3,0)</f>
        <v>BELIER</v>
      </c>
      <c r="D125" s="58">
        <f>IF(VLOOKUP(A125,SiteAttendu!$A$2:$P$366,4,0)="NA","NA",COUNTIFS(soccode,A125,socprog,"PNLS/ANTIRETROVIRAUX ET IO",socprompt,1))</f>
        <v>1</v>
      </c>
      <c r="E125" s="58">
        <f>IF(VLOOKUP($A125,SiteAttendu!$A$2:$O$366,5,0)="NA","NA",COUNTIFS(soccode,A125,socprog,"PNLS/TESTS RAPIDES ET CONSOMMABLES",socprompt,1))</f>
        <v>1</v>
      </c>
      <c r="F125" s="58" t="str">
        <f>IF(VLOOKUP($A125,SiteAttendu!$A$2:$O$366,6,0)="NA","NA",COUNTIFS(soccode,A125,socprog,"PNLS/PRODUITS DE LABORATOIRE",socprompt,1))</f>
        <v>NA</v>
      </c>
      <c r="G125" s="58" t="str">
        <f>IF(VLOOKUP($A125,SiteAttendu!$A$2:$O$366,7,0)="NA","NA",COUNTIFS(soccode,A125,socprog,"PNLS/CHARGES VIRALES",socprompt,1))</f>
        <v>NA</v>
      </c>
      <c r="H125" s="58">
        <f>IF(VLOOKUP($A125,SiteAttendu!$A$2:$O$366,9,0)="NA","NA",COUNTIFS(soccode,A125,socprog,"PNLP/MEDICAMENTS ET INTRANTS",socprompt,1))</f>
        <v>1</v>
      </c>
      <c r="I125" s="58">
        <f>IF(VLOOKUP($A125,SiteAttendu!$A$2:$O$366,10,0)="NA","NA",COUNTIFS(soccode,$A125,socprog,"PNSME/MEDICAMENTS ET INTRANTS",socprompt,1))</f>
        <v>1</v>
      </c>
      <c r="J125" s="58">
        <f>IF(VLOOKUP($A125,SiteAttendu!$A$2:$O$366,11,0)="NA","NA",COUNTIFS(soccode,$A125,socprog,"PNN/MEDICAMENTS ET INTRANTS",socprompt,1))</f>
        <v>1</v>
      </c>
      <c r="K125" s="58">
        <f>IF(VLOOKUP($A125,SiteAttendu!$A$2:$O$366,15,0)="NA","NA",IF(COUNTIF(socprog,"PNLT/SENSIBLE MEDICAMENTS ET INTRANTS")=0,"NA",COUNTIFS(soccode,$A125,socprog,"PNLT/SENSIBLE MEDICAMENTS ET INTRANTS",socprompt,1)))</f>
        <v>1</v>
      </c>
      <c r="L125" s="60"/>
      <c r="M125" s="85">
        <f t="shared" ref="M125:S125" si="127">IFERROR(SUMIFS(E$2:E$364,$C$2:$C$364,$C125)/COUNTIFS(E$2:E$364,"&lt;&gt;NA",$C$2:$C$364,$C125),"")</f>
        <v>1</v>
      </c>
      <c r="N125" s="85">
        <f t="shared" si="127"/>
        <v>1</v>
      </c>
      <c r="O125" s="85">
        <f t="shared" si="127"/>
        <v>1</v>
      </c>
      <c r="P125" s="85">
        <f t="shared" si="127"/>
        <v>1</v>
      </c>
      <c r="Q125" s="85">
        <f t="shared" si="127"/>
        <v>0.6</v>
      </c>
      <c r="R125" s="85">
        <f t="shared" si="127"/>
        <v>1</v>
      </c>
      <c r="S125" s="85">
        <f t="shared" si="127"/>
        <v>0.8333333333</v>
      </c>
      <c r="T125" s="127">
        <f t="shared" si="3"/>
        <v>1</v>
      </c>
      <c r="U125" s="53">
        <f t="shared" si="4"/>
        <v>2</v>
      </c>
      <c r="V125" s="54">
        <f t="shared" si="5"/>
        <v>2</v>
      </c>
    </row>
    <row r="126" ht="15.75" customHeight="1">
      <c r="A126" s="55" t="str">
        <f>SiteAttendu!$A126</f>
        <v>C2068</v>
      </c>
      <c r="B126" s="56" t="str">
        <f>VLOOKUP($A126,SiteAttendu!$A$2:$C$366,2,0)</f>
        <v>HOPITAL GENERAL TIEBISSOU</v>
      </c>
      <c r="C126" s="57" t="str">
        <f>VLOOKUP($A126,SiteAttendu!$A$2:$C$366,3,0)</f>
        <v>BELIER</v>
      </c>
      <c r="D126" s="58">
        <f>IF(VLOOKUP(A126,SiteAttendu!$A$2:$P$366,4,0)="NA","NA",COUNTIFS(soccode,A126,socprog,"PNLS/ANTIRETROVIRAUX ET IO",socprompt,1))</f>
        <v>1</v>
      </c>
      <c r="E126" s="58">
        <f>IF(VLOOKUP($A126,SiteAttendu!$A$2:$O$366,5,0)="NA","NA",COUNTIFS(soccode,A126,socprog,"PNLS/TESTS RAPIDES ET CONSOMMABLES",socprompt,1))</f>
        <v>1</v>
      </c>
      <c r="F126" s="58">
        <f>IF(VLOOKUP($A126,SiteAttendu!$A$2:$O$366,6,0)="NA","NA",COUNTIFS(soccode,A126,socprog,"PNLS/PRODUITS DE LABORATOIRE",socprompt,1))</f>
        <v>1</v>
      </c>
      <c r="G126" s="58" t="str">
        <f>IF(VLOOKUP($A126,SiteAttendu!$A$2:$O$366,7,0)="NA","NA",COUNTIFS(soccode,A126,socprog,"PNLS/CHARGES VIRALES",socprompt,1))</f>
        <v>NA</v>
      </c>
      <c r="H126" s="58">
        <f>IF(VLOOKUP($A126,SiteAttendu!$A$2:$O$366,9,0)="NA","NA",COUNTIFS(soccode,A126,socprog,"PNLP/MEDICAMENTS ET INTRANTS",socprompt,1))</f>
        <v>1</v>
      </c>
      <c r="I126" s="58">
        <f>IF(VLOOKUP($A126,SiteAttendu!$A$2:$O$366,10,0)="NA","NA",COUNTIFS(soccode,$A126,socprog,"PNSME/MEDICAMENTS ET INTRANTS",socprompt,1))</f>
        <v>1</v>
      </c>
      <c r="J126" s="58">
        <f>IF(VLOOKUP($A126,SiteAttendu!$A$2:$O$366,11,0)="NA","NA",COUNTIFS(soccode,$A126,socprog,"PNN/MEDICAMENTS ET INTRANTS",socprompt,1))</f>
        <v>1</v>
      </c>
      <c r="K126" s="58" t="str">
        <f>IF(VLOOKUP($A126,SiteAttendu!$A$2:$O$366,15,0)="NA","NA",IF(COUNTIF(socprog,"PNLT/SENSIBLE MEDICAMENTS ET INTRANTS")=0,"NA",COUNTIFS(soccode,$A126,socprog,"PNLT/SENSIBLE MEDICAMENTS ET INTRANTS",socprompt,1)))</f>
        <v>NA</v>
      </c>
      <c r="L126" s="60"/>
      <c r="M126" s="85">
        <f t="shared" ref="M126:S126" si="128">IFERROR(SUMIFS(E$2:E$364,$C$2:$C$364,$C126)/COUNTIFS(E$2:E$364,"&lt;&gt;NA",$C$2:$C$364,$C126),"")</f>
        <v>1</v>
      </c>
      <c r="N126" s="85">
        <f t="shared" si="128"/>
        <v>1</v>
      </c>
      <c r="O126" s="85">
        <f t="shared" si="128"/>
        <v>1</v>
      </c>
      <c r="P126" s="85">
        <f t="shared" si="128"/>
        <v>1</v>
      </c>
      <c r="Q126" s="85">
        <f t="shared" si="128"/>
        <v>0.6</v>
      </c>
      <c r="R126" s="85">
        <f t="shared" si="128"/>
        <v>1</v>
      </c>
      <c r="S126" s="85">
        <f t="shared" si="128"/>
        <v>0.8333333333</v>
      </c>
      <c r="T126" s="127">
        <f t="shared" si="3"/>
        <v>1</v>
      </c>
      <c r="U126" s="53">
        <f t="shared" si="4"/>
        <v>3</v>
      </c>
      <c r="V126" s="54">
        <f t="shared" si="5"/>
        <v>3</v>
      </c>
    </row>
    <row r="127" ht="15.75" customHeight="1">
      <c r="A127" s="55" t="str">
        <f>SiteAttendu!$A127</f>
        <v>C2038</v>
      </c>
      <c r="B127" s="56" t="str">
        <f>VLOOKUP($A127,SiteAttendu!$A$2:$C$366,2,0)</f>
        <v>DISTRICT SANITAIRE TOUMODI</v>
      </c>
      <c r="C127" s="57" t="str">
        <f>VLOOKUP($A127,SiteAttendu!$A$2:$C$366,3,0)</f>
        <v>BELIER</v>
      </c>
      <c r="D127" s="58">
        <f>IF(VLOOKUP(A127,SiteAttendu!$A$2:$P$366,4,0)="NA","NA",COUNTIFS(soccode,A127,socprog,"PNLS/ANTIRETROVIRAUX ET IO",socprompt,1))</f>
        <v>1</v>
      </c>
      <c r="E127" s="58">
        <f>IF(VLOOKUP($A127,SiteAttendu!$A$2:$O$366,5,0)="NA","NA",COUNTIFS(soccode,A127,socprog,"PNLS/TESTS RAPIDES ET CONSOMMABLES",socprompt,1))</f>
        <v>1</v>
      </c>
      <c r="F127" s="58">
        <f>IF(VLOOKUP($A127,SiteAttendu!$A$2:$O$366,6,0)="NA","NA",COUNTIFS(soccode,A127,socprog,"PNLS/PRODUITS DE LABORATOIRE",socprompt,1))</f>
        <v>1</v>
      </c>
      <c r="G127" s="58" t="str">
        <f>IF(VLOOKUP($A127,SiteAttendu!$A$2:$O$366,7,0)="NA","NA",COUNTIFS(soccode,A127,socprog,"PNLS/CHARGES VIRALES",socprompt,1))</f>
        <v>NA</v>
      </c>
      <c r="H127" s="58">
        <f>IF(VLOOKUP($A127,SiteAttendu!$A$2:$O$366,9,0)="NA","NA",COUNTIFS(soccode,A127,socprog,"PNLP/MEDICAMENTS ET INTRANTS",socprompt,1))</f>
        <v>1</v>
      </c>
      <c r="I127" s="58">
        <f>IF(VLOOKUP($A127,SiteAttendu!$A$2:$O$366,10,0)="NA","NA",COUNTIFS(soccode,$A127,socprog,"PNSME/MEDICAMENTS ET INTRANTS",socprompt,1))</f>
        <v>0</v>
      </c>
      <c r="J127" s="58" t="str">
        <f>IF(VLOOKUP($A127,SiteAttendu!$A$2:$O$366,11,0)="NA","NA",COUNTIFS(soccode,$A127,socprog,"PNN/MEDICAMENTS ET INTRANTS",socprompt,1))</f>
        <v>NA</v>
      </c>
      <c r="K127" s="58">
        <f>IF(VLOOKUP($A127,SiteAttendu!$A$2:$O$366,15,0)="NA","NA",IF(COUNTIF(socprog,"PNLT/SENSIBLE MEDICAMENTS ET INTRANTS")=0,"NA",COUNTIFS(soccode,$A127,socprog,"PNLT/SENSIBLE MEDICAMENTS ET INTRANTS",socprompt,1)))</f>
        <v>1</v>
      </c>
      <c r="L127" s="60"/>
      <c r="M127" s="85">
        <f t="shared" ref="M127:S127" si="129">IFERROR(SUMIFS(E$2:E$364,$C$2:$C$364,$C127)/COUNTIFS(E$2:E$364,"&lt;&gt;NA",$C$2:$C$364,$C127),"")</f>
        <v>1</v>
      </c>
      <c r="N127" s="85">
        <f t="shared" si="129"/>
        <v>1</v>
      </c>
      <c r="O127" s="85">
        <f t="shared" si="129"/>
        <v>1</v>
      </c>
      <c r="P127" s="85">
        <f t="shared" si="129"/>
        <v>1</v>
      </c>
      <c r="Q127" s="85">
        <f t="shared" si="129"/>
        <v>0.6</v>
      </c>
      <c r="R127" s="85">
        <f t="shared" si="129"/>
        <v>1</v>
      </c>
      <c r="S127" s="85">
        <f t="shared" si="129"/>
        <v>0.8333333333</v>
      </c>
      <c r="T127" s="127">
        <f t="shared" si="3"/>
        <v>1</v>
      </c>
      <c r="U127" s="53">
        <f t="shared" si="4"/>
        <v>3</v>
      </c>
      <c r="V127" s="54">
        <f t="shared" si="5"/>
        <v>3</v>
      </c>
    </row>
    <row r="128" ht="15.75" customHeight="1">
      <c r="A128" s="55" t="str">
        <f>SiteAttendu!$A128</f>
        <v>C2052</v>
      </c>
      <c r="B128" s="56" t="str">
        <f>VLOOKUP($A128,SiteAttendu!$A$2:$C$366,2,0)</f>
        <v>HOPITAL GENERAL DJEKANOU</v>
      </c>
      <c r="C128" s="57" t="str">
        <f>VLOOKUP($A128,SiteAttendu!$A$2:$C$366,3,0)</f>
        <v>BELIER</v>
      </c>
      <c r="D128" s="58">
        <f>IF(VLOOKUP(A128,SiteAttendu!$A$2:$P$366,4,0)="NA","NA",COUNTIFS(soccode,A128,socprog,"PNLS/ANTIRETROVIRAUX ET IO",socprompt,1))</f>
        <v>1</v>
      </c>
      <c r="E128" s="58">
        <f>IF(VLOOKUP($A128,SiteAttendu!$A$2:$O$366,5,0)="NA","NA",COUNTIFS(soccode,A128,socprog,"PNLS/TESTS RAPIDES ET CONSOMMABLES",socprompt,1))</f>
        <v>1</v>
      </c>
      <c r="F128" s="58">
        <f>IF(VLOOKUP($A128,SiteAttendu!$A$2:$O$366,6,0)="NA","NA",COUNTIFS(soccode,A128,socprog,"PNLS/PRODUITS DE LABORATOIRE",socprompt,1))</f>
        <v>1</v>
      </c>
      <c r="G128" s="58" t="str">
        <f>IF(VLOOKUP($A128,SiteAttendu!$A$2:$O$366,7,0)="NA","NA",COUNTIFS(soccode,A128,socprog,"PNLS/CHARGES VIRALES",socprompt,1))</f>
        <v>NA</v>
      </c>
      <c r="H128" s="58">
        <f>IF(VLOOKUP($A128,SiteAttendu!$A$2:$O$366,9,0)="NA","NA",COUNTIFS(soccode,A128,socprog,"PNLP/MEDICAMENTS ET INTRANTS",socprompt,1))</f>
        <v>1</v>
      </c>
      <c r="I128" s="58">
        <f>IF(VLOOKUP($A128,SiteAttendu!$A$2:$O$366,10,0)="NA","NA",COUNTIFS(soccode,$A128,socprog,"PNSME/MEDICAMENTS ET INTRANTS",socprompt,1))</f>
        <v>1</v>
      </c>
      <c r="J128" s="58" t="str">
        <f>IF(VLOOKUP($A128,SiteAttendu!$A$2:$O$366,11,0)="NA","NA",COUNTIFS(soccode,$A128,socprog,"PNN/MEDICAMENTS ET INTRANTS",socprompt,1))</f>
        <v>NA</v>
      </c>
      <c r="K128" s="58">
        <f>IF(VLOOKUP($A128,SiteAttendu!$A$2:$O$366,15,0)="NA","NA",IF(COUNTIF(socprog,"PNLT/SENSIBLE MEDICAMENTS ET INTRANTS")=0,"NA",COUNTIFS(soccode,$A128,socprog,"PNLT/SENSIBLE MEDICAMENTS ET INTRANTS",socprompt,1)))</f>
        <v>1</v>
      </c>
      <c r="L128" s="60"/>
      <c r="M128" s="85">
        <f t="shared" ref="M128:S128" si="130">IFERROR(SUMIFS(E$2:E$364,$C$2:$C$364,$C128)/COUNTIFS(E$2:E$364,"&lt;&gt;NA",$C$2:$C$364,$C128),"")</f>
        <v>1</v>
      </c>
      <c r="N128" s="85">
        <f t="shared" si="130"/>
        <v>1</v>
      </c>
      <c r="O128" s="85">
        <f t="shared" si="130"/>
        <v>1</v>
      </c>
      <c r="P128" s="85">
        <f t="shared" si="130"/>
        <v>1</v>
      </c>
      <c r="Q128" s="85">
        <f t="shared" si="130"/>
        <v>0.6</v>
      </c>
      <c r="R128" s="85">
        <f t="shared" si="130"/>
        <v>1</v>
      </c>
      <c r="S128" s="85">
        <f t="shared" si="130"/>
        <v>0.8333333333</v>
      </c>
      <c r="T128" s="127">
        <f t="shared" si="3"/>
        <v>1</v>
      </c>
      <c r="U128" s="53">
        <f t="shared" si="4"/>
        <v>3</v>
      </c>
      <c r="V128" s="54">
        <f t="shared" si="5"/>
        <v>3</v>
      </c>
    </row>
    <row r="129" ht="15.75" customHeight="1">
      <c r="A129" s="55" t="str">
        <f>SiteAttendu!$A129</f>
        <v>C2057</v>
      </c>
      <c r="B129" s="56" t="str">
        <f>VLOOKUP($A129,SiteAttendu!$A$2:$C$366,2,0)</f>
        <v>HOPITAL GENERAL KOCOUMBO</v>
      </c>
      <c r="C129" s="57" t="str">
        <f>VLOOKUP($A129,SiteAttendu!$A$2:$C$366,3,0)</f>
        <v>BELIER</v>
      </c>
      <c r="D129" s="58" t="str">
        <f>IF(VLOOKUP(A129,SiteAttendu!$A$2:$P$366,4,0)="NA","NA",COUNTIFS(soccode,A129,socprog,"PNLS/ANTIRETROVIRAUX ET IO",socprompt,1))</f>
        <v>NA</v>
      </c>
      <c r="E129" s="58" t="str">
        <f>IF(VLOOKUP($A129,SiteAttendu!$A$2:$O$366,5,0)="NA","NA",COUNTIFS(soccode,A129,socprog,"PNLS/TESTS RAPIDES ET CONSOMMABLES",socprompt,1))</f>
        <v>NA</v>
      </c>
      <c r="F129" s="58" t="str">
        <f>IF(VLOOKUP($A129,SiteAttendu!$A$2:$O$366,6,0)="NA","NA",COUNTIFS(soccode,A129,socprog,"PNLS/PRODUITS DE LABORATOIRE",socprompt,1))</f>
        <v>NA</v>
      </c>
      <c r="G129" s="58" t="str">
        <f>IF(VLOOKUP($A129,SiteAttendu!$A$2:$O$366,7,0)="NA","NA",COUNTIFS(soccode,A129,socprog,"PNLS/CHARGES VIRALES",socprompt,1))</f>
        <v>NA</v>
      </c>
      <c r="H129" s="58">
        <f>IF(VLOOKUP($A129,SiteAttendu!$A$2:$O$366,9,0)="NA","NA",COUNTIFS(soccode,A129,socprog,"PNLP/MEDICAMENTS ET INTRANTS",socprompt,1))</f>
        <v>1</v>
      </c>
      <c r="I129" s="58">
        <f>IF(VLOOKUP($A129,SiteAttendu!$A$2:$O$366,10,0)="NA","NA",COUNTIFS(soccode,$A129,socprog,"PNSME/MEDICAMENTS ET INTRANTS",socprompt,1))</f>
        <v>0</v>
      </c>
      <c r="J129" s="58" t="str">
        <f>IF(VLOOKUP($A129,SiteAttendu!$A$2:$O$366,11,0)="NA","NA",COUNTIFS(soccode,$A129,socprog,"PNN/MEDICAMENTS ET INTRANTS",socprompt,1))</f>
        <v>NA</v>
      </c>
      <c r="K129" s="58" t="str">
        <f>IF(VLOOKUP($A129,SiteAttendu!$A$2:$O$366,15,0)="NA","NA",IF(COUNTIF(socprog,"PNLT/SENSIBLE MEDICAMENTS ET INTRANTS")=0,"NA",COUNTIFS(soccode,$A129,socprog,"PNLT/SENSIBLE MEDICAMENTS ET INTRANTS",socprompt,1)))</f>
        <v>NA</v>
      </c>
      <c r="L129" s="60"/>
      <c r="M129" s="85">
        <f t="shared" ref="M129:S129" si="131">IFERROR(SUMIFS(E$2:E$364,$C$2:$C$364,$C129)/COUNTIFS(E$2:E$364,"&lt;&gt;NA",$C$2:$C$364,$C129),"")</f>
        <v>1</v>
      </c>
      <c r="N129" s="85">
        <f t="shared" si="131"/>
        <v>1</v>
      </c>
      <c r="O129" s="85">
        <f t="shared" si="131"/>
        <v>1</v>
      </c>
      <c r="P129" s="85">
        <f t="shared" si="131"/>
        <v>1</v>
      </c>
      <c r="Q129" s="85">
        <f t="shared" si="131"/>
        <v>0.6</v>
      </c>
      <c r="R129" s="85">
        <f t="shared" si="131"/>
        <v>1</v>
      </c>
      <c r="S129" s="85">
        <f t="shared" si="131"/>
        <v>0.8333333333</v>
      </c>
      <c r="T129" s="127">
        <f t="shared" si="3"/>
        <v>1</v>
      </c>
      <c r="U129" s="53">
        <f t="shared" si="4"/>
        <v>0</v>
      </c>
      <c r="V129" s="54">
        <f t="shared" si="5"/>
        <v>0</v>
      </c>
    </row>
    <row r="130" ht="15.75" customHeight="1">
      <c r="A130" s="55" t="str">
        <f>SiteAttendu!$A130</f>
        <v>C2069</v>
      </c>
      <c r="B130" s="56" t="str">
        <f>VLOOKUP($A130,SiteAttendu!$A$2:$C$366,2,0)</f>
        <v>HOPITAL GENERAL TOUMODI</v>
      </c>
      <c r="C130" s="57" t="str">
        <f>VLOOKUP($A130,SiteAttendu!$A$2:$C$366,3,0)</f>
        <v>BELIER</v>
      </c>
      <c r="D130" s="58">
        <f>IF(VLOOKUP(A130,SiteAttendu!$A$2:$P$366,4,0)="NA","NA",COUNTIFS(soccode,A130,socprog,"PNLS/ANTIRETROVIRAUX ET IO",socprompt,1))</f>
        <v>1</v>
      </c>
      <c r="E130" s="58">
        <f>IF(VLOOKUP($A130,SiteAttendu!$A$2:$O$366,5,0)="NA","NA",COUNTIFS(soccode,A130,socprog,"PNLS/TESTS RAPIDES ET CONSOMMABLES",socprompt,1))</f>
        <v>1</v>
      </c>
      <c r="F130" s="58">
        <f>IF(VLOOKUP($A130,SiteAttendu!$A$2:$O$366,6,0)="NA","NA",COUNTIFS(soccode,A130,socprog,"PNLS/PRODUITS DE LABORATOIRE",socprompt,1))</f>
        <v>1</v>
      </c>
      <c r="G130" s="58">
        <f>IF(VLOOKUP($A130,SiteAttendu!$A$2:$O$366,7,0)="NA","NA",COUNTIFS(soccode,A130,socprog,"PNLS/CHARGES VIRALES",socprompt,1))</f>
        <v>1</v>
      </c>
      <c r="H130" s="58">
        <f>IF(VLOOKUP($A130,SiteAttendu!$A$2:$O$366,9,0)="NA","NA",COUNTIFS(soccode,A130,socprog,"PNLP/MEDICAMENTS ET INTRANTS",socprompt,1))</f>
        <v>1</v>
      </c>
      <c r="I130" s="58">
        <f>IF(VLOOKUP($A130,SiteAttendu!$A$2:$O$366,10,0)="NA","NA",COUNTIFS(soccode,$A130,socprog,"PNSME/MEDICAMENTS ET INTRANTS",socprompt,1))</f>
        <v>0</v>
      </c>
      <c r="J130" s="58" t="str">
        <f>IF(VLOOKUP($A130,SiteAttendu!$A$2:$O$366,11,0)="NA","NA",COUNTIFS(soccode,$A130,socprog,"PNN/MEDICAMENTS ET INTRANTS",socprompt,1))</f>
        <v>NA</v>
      </c>
      <c r="K130" s="58" t="str">
        <f>IF(VLOOKUP($A130,SiteAttendu!$A$2:$O$366,15,0)="NA","NA",IF(COUNTIF(socprog,"PNLT/SENSIBLE MEDICAMENTS ET INTRANTS")=0,"NA",COUNTIFS(soccode,$A130,socprog,"PNLT/SENSIBLE MEDICAMENTS ET INTRANTS",socprompt,1)))</f>
        <v>NA</v>
      </c>
      <c r="L130" s="60"/>
      <c r="M130" s="85">
        <f t="shared" ref="M130:S130" si="132">IFERROR(SUMIFS(E$2:E$364,$C$2:$C$364,$C130)/COUNTIFS(E$2:E$364,"&lt;&gt;NA",$C$2:$C$364,$C130),"")</f>
        <v>1</v>
      </c>
      <c r="N130" s="85">
        <f t="shared" si="132"/>
        <v>1</v>
      </c>
      <c r="O130" s="85">
        <f t="shared" si="132"/>
        <v>1</v>
      </c>
      <c r="P130" s="85">
        <f t="shared" si="132"/>
        <v>1</v>
      </c>
      <c r="Q130" s="85">
        <f t="shared" si="132"/>
        <v>0.6</v>
      </c>
      <c r="R130" s="85">
        <f t="shared" si="132"/>
        <v>1</v>
      </c>
      <c r="S130" s="85">
        <f t="shared" si="132"/>
        <v>0.8333333333</v>
      </c>
      <c r="T130" s="127">
        <f t="shared" si="3"/>
        <v>1</v>
      </c>
      <c r="U130" s="53">
        <f t="shared" si="4"/>
        <v>4</v>
      </c>
      <c r="V130" s="54">
        <f t="shared" si="5"/>
        <v>4</v>
      </c>
    </row>
    <row r="131" ht="15.75" customHeight="1">
      <c r="A131" s="55" t="str">
        <f>SiteAttendu!$A131</f>
        <v>C2009</v>
      </c>
      <c r="B131" s="56" t="str">
        <f>VLOOKUP($A131,SiteAttendu!$A$2:$C$366,2,0)</f>
        <v>CHR YAMOUSSOUKRO</v>
      </c>
      <c r="C131" s="57" t="str">
        <f>VLOOKUP($A131,SiteAttendu!$A$2:$C$366,3,0)</f>
        <v>BELIER</v>
      </c>
      <c r="D131" s="58">
        <f>IF(VLOOKUP(A131,SiteAttendu!$A$2:$P$366,4,0)="NA","NA",COUNTIFS(soccode,A131,socprog,"PNLS/ANTIRETROVIRAUX ET IO",socprompt,1))</f>
        <v>1</v>
      </c>
      <c r="E131" s="58">
        <f>IF(VLOOKUP($A131,SiteAttendu!$A$2:$O$366,5,0)="NA","NA",COUNTIFS(soccode,A131,socprog,"PNLS/TESTS RAPIDES ET CONSOMMABLES",socprompt,1))</f>
        <v>1</v>
      </c>
      <c r="F131" s="58">
        <f>IF(VLOOKUP($A131,SiteAttendu!$A$2:$O$366,6,0)="NA","NA",COUNTIFS(soccode,A131,socprog,"PNLS/PRODUITS DE LABORATOIRE",socprompt,1))</f>
        <v>1</v>
      </c>
      <c r="G131" s="58">
        <f>IF(VLOOKUP($A131,SiteAttendu!$A$2:$O$366,7,0)="NA","NA",COUNTIFS(soccode,A131,socprog,"PNLS/CHARGES VIRALES",socprompt,1))</f>
        <v>1</v>
      </c>
      <c r="H131" s="58">
        <f>IF(VLOOKUP($A131,SiteAttendu!$A$2:$O$366,9,0)="NA","NA",COUNTIFS(soccode,A131,socprog,"PNLP/MEDICAMENTS ET INTRANTS",socprompt,1))</f>
        <v>1</v>
      </c>
      <c r="I131" s="58">
        <f>IF(VLOOKUP($A131,SiteAttendu!$A$2:$O$366,10,0)="NA","NA",COUNTIFS(soccode,$A131,socprog,"PNSME/MEDICAMENTS ET INTRANTS",socprompt,1))</f>
        <v>1</v>
      </c>
      <c r="J131" s="58">
        <f>IF(VLOOKUP($A131,SiteAttendu!$A$2:$O$366,11,0)="NA","NA",COUNTIFS(soccode,$A131,socprog,"PNN/MEDICAMENTS ET INTRANTS",socprompt,1))</f>
        <v>1</v>
      </c>
      <c r="K131" s="58" t="str">
        <f>IF(VLOOKUP($A131,SiteAttendu!$A$2:$O$366,15,0)="NA","NA",IF(COUNTIF(socprog,"PNLT/SENSIBLE MEDICAMENTS ET INTRANTS")=0,"NA",COUNTIFS(soccode,$A131,socprog,"PNLT/SENSIBLE MEDICAMENTS ET INTRANTS",socprompt,1)))</f>
        <v>NA</v>
      </c>
      <c r="L131" s="60"/>
      <c r="M131" s="85">
        <f t="shared" ref="M131:S131" si="133">IFERROR(SUMIFS(E$2:E$364,$C$2:$C$364,$C131)/COUNTIFS(E$2:E$364,"&lt;&gt;NA",$C$2:$C$364,$C131),"")</f>
        <v>1</v>
      </c>
      <c r="N131" s="85">
        <f t="shared" si="133"/>
        <v>1</v>
      </c>
      <c r="O131" s="85">
        <f t="shared" si="133"/>
        <v>1</v>
      </c>
      <c r="P131" s="85">
        <f t="shared" si="133"/>
        <v>1</v>
      </c>
      <c r="Q131" s="85">
        <f t="shared" si="133"/>
        <v>0.6</v>
      </c>
      <c r="R131" s="85">
        <f t="shared" si="133"/>
        <v>1</v>
      </c>
      <c r="S131" s="85">
        <f t="shared" si="133"/>
        <v>0.8333333333</v>
      </c>
      <c r="T131" s="127">
        <f t="shared" si="3"/>
        <v>1</v>
      </c>
      <c r="U131" s="53">
        <f t="shared" si="4"/>
        <v>4</v>
      </c>
      <c r="V131" s="54">
        <f t="shared" si="5"/>
        <v>4</v>
      </c>
    </row>
    <row r="132" ht="15.75" customHeight="1">
      <c r="A132" s="55" t="str">
        <f>SiteAttendu!$A132</f>
        <v>C2045</v>
      </c>
      <c r="B132" s="56" t="str">
        <f>VLOOKUP($A132,SiteAttendu!$A$2:$C$366,2,0)</f>
        <v>DISTRICT SANITAIRE YAMOUSSOUKRO</v>
      </c>
      <c r="C132" s="57" t="str">
        <f>VLOOKUP($A132,SiteAttendu!$A$2:$C$366,3,0)</f>
        <v>BELIER</v>
      </c>
      <c r="D132" s="58">
        <f>IF(VLOOKUP(A132,SiteAttendu!$A$2:$P$366,4,0)="NA","NA",COUNTIFS(soccode,A132,socprog,"PNLS/ANTIRETROVIRAUX ET IO",socprompt,1))</f>
        <v>1</v>
      </c>
      <c r="E132" s="58">
        <f>IF(VLOOKUP($A132,SiteAttendu!$A$2:$O$366,5,0)="NA","NA",COUNTIFS(soccode,A132,socprog,"PNLS/TESTS RAPIDES ET CONSOMMABLES",socprompt,1))</f>
        <v>1</v>
      </c>
      <c r="F132" s="58">
        <f>IF(VLOOKUP($A132,SiteAttendu!$A$2:$O$366,6,0)="NA","NA",COUNTIFS(soccode,A132,socprog,"PNLS/PRODUITS DE LABORATOIRE",socprompt,1))</f>
        <v>1</v>
      </c>
      <c r="G132" s="58" t="str">
        <f>IF(VLOOKUP($A132,SiteAttendu!$A$2:$O$366,7,0)="NA","NA",COUNTIFS(soccode,A132,socprog,"PNLS/CHARGES VIRALES",socprompt,1))</f>
        <v>NA</v>
      </c>
      <c r="H132" s="58">
        <f>IF(VLOOKUP($A132,SiteAttendu!$A$2:$O$366,9,0)="NA","NA",COUNTIFS(soccode,A132,socprog,"PNLP/MEDICAMENTS ET INTRANTS",socprompt,1))</f>
        <v>1</v>
      </c>
      <c r="I132" s="58">
        <f>IF(VLOOKUP($A132,SiteAttendu!$A$2:$O$366,10,0)="NA","NA",COUNTIFS(soccode,$A132,socprog,"PNSME/MEDICAMENTS ET INTRANTS",socprompt,1))</f>
        <v>0</v>
      </c>
      <c r="J132" s="58">
        <f>IF(VLOOKUP($A132,SiteAttendu!$A$2:$O$366,11,0)="NA","NA",COUNTIFS(soccode,$A132,socprog,"PNN/MEDICAMENTS ET INTRANTS",socprompt,1))</f>
        <v>1</v>
      </c>
      <c r="K132" s="58" t="str">
        <f>IF(VLOOKUP($A132,SiteAttendu!$A$2:$O$366,15,0)="NA","NA",IF(COUNTIF(socprog,"PNLT/SENSIBLE MEDICAMENTS ET INTRANTS")=0,"NA",COUNTIFS(soccode,$A132,socprog,"PNLT/SENSIBLE MEDICAMENTS ET INTRANTS",socprompt,1)))</f>
        <v>NA</v>
      </c>
      <c r="L132" s="60"/>
      <c r="M132" s="85">
        <f t="shared" ref="M132:S132" si="134">IFERROR(SUMIFS(E$2:E$364,$C$2:$C$364,$C132)/COUNTIFS(E$2:E$364,"&lt;&gt;NA",$C$2:$C$364,$C132),"")</f>
        <v>1</v>
      </c>
      <c r="N132" s="85">
        <f t="shared" si="134"/>
        <v>1</v>
      </c>
      <c r="O132" s="85">
        <f t="shared" si="134"/>
        <v>1</v>
      </c>
      <c r="P132" s="85">
        <f t="shared" si="134"/>
        <v>1</v>
      </c>
      <c r="Q132" s="85">
        <f t="shared" si="134"/>
        <v>0.6</v>
      </c>
      <c r="R132" s="85">
        <f t="shared" si="134"/>
        <v>1</v>
      </c>
      <c r="S132" s="85">
        <f t="shared" si="134"/>
        <v>0.8333333333</v>
      </c>
      <c r="T132" s="127">
        <f t="shared" si="3"/>
        <v>1</v>
      </c>
      <c r="U132" s="53">
        <f t="shared" si="4"/>
        <v>3</v>
      </c>
      <c r="V132" s="54">
        <f t="shared" si="5"/>
        <v>3</v>
      </c>
    </row>
    <row r="133" ht="15.75" customHeight="1">
      <c r="A133" s="70" t="str">
        <f>SiteAttendu!$A133</f>
        <v>C2173</v>
      </c>
      <c r="B133" s="71" t="str">
        <f>VLOOKUP($A133,SiteAttendu!$A$2:$C$366,2,0)</f>
        <v>CENTRE ANTITUBERCULEUX YAMOUSSOUKRO</v>
      </c>
      <c r="C133" s="72" t="str">
        <f>VLOOKUP($A133,SiteAttendu!$A$2:$C$366,3,0)</f>
        <v>BELIER</v>
      </c>
      <c r="D133" s="73" t="str">
        <f>IF(VLOOKUP(A133,SiteAttendu!$A$2:$P$366,4,0)="NA","NA",COUNTIFS(soccode,A133,socprog,"PNLS/ANTIRETROVIRAUX ET IO",socprompt,1))</f>
        <v>NA</v>
      </c>
      <c r="E133" s="73" t="str">
        <f>IF(VLOOKUP($A133,SiteAttendu!$A$2:$O$366,5,0)="NA","NA",COUNTIFS(soccode,A133,socprog,"PNLS/TESTS RAPIDES ET CONSOMMABLES",socprompt,1))</f>
        <v>NA</v>
      </c>
      <c r="F133" s="73" t="str">
        <f>IF(VLOOKUP($A133,SiteAttendu!$A$2:$O$366,6,0)="NA","NA",COUNTIFS(soccode,A133,socprog,"PNLS/PRODUITS DE LABORATOIRE",socprompt,1))</f>
        <v>NA</v>
      </c>
      <c r="G133" s="73" t="str">
        <f>IF(VLOOKUP($A133,SiteAttendu!$A$2:$O$366,7,0)="NA","NA",COUNTIFS(soccode,A133,socprog,"PNLS/CHARGES VIRALES",socprompt,1))</f>
        <v>NA</v>
      </c>
      <c r="H133" s="73" t="str">
        <f>IF(VLOOKUP($A133,SiteAttendu!$A$2:$O$366,9,0)="NA","NA",COUNTIFS(soccode,A133,socprog,"PNLP/MEDICAMENTS ET INTRANTS",socprompt,1))</f>
        <v>NA</v>
      </c>
      <c r="I133" s="73" t="str">
        <f>IF(VLOOKUP($A133,SiteAttendu!$A$2:$O$366,10,0)="NA","NA",COUNTIFS(soccode,$A133,socprog,"PNSME/MEDICAMENTS ET INTRANTS",socprompt,1))</f>
        <v>NA</v>
      </c>
      <c r="J133" s="73" t="str">
        <f>IF(VLOOKUP($A133,SiteAttendu!$A$2:$O$366,11,0)="NA","NA",COUNTIFS(soccode,$A133,socprog,"PNN/MEDICAMENTS ET INTRANTS",socprompt,1))</f>
        <v>NA</v>
      </c>
      <c r="K133" s="73">
        <f>IF(VLOOKUP($A133,SiteAttendu!$A$2:$O$366,15,0)="NA","NA",IF(COUNTIF(socprog,"PNLT/SENSIBLE MEDICAMENTS ET INTRANTS")=0,"NA",COUNTIFS(soccode,$A133,socprog,"PNLT/SENSIBLE MEDICAMENTS ET INTRANTS",socprompt,1)))</f>
        <v>1</v>
      </c>
      <c r="L133" s="60"/>
      <c r="M133" s="85">
        <f t="shared" ref="M133:S133" si="135">IFERROR(SUMIFS(E$2:E$364,$C$2:$C$364,$C133)/COUNTIFS(E$2:E$364,"&lt;&gt;NA",$C$2:$C$364,$C133),"")</f>
        <v>1</v>
      </c>
      <c r="N133" s="85">
        <f t="shared" si="135"/>
        <v>1</v>
      </c>
      <c r="O133" s="85">
        <f t="shared" si="135"/>
        <v>1</v>
      </c>
      <c r="P133" s="85">
        <f t="shared" si="135"/>
        <v>1</v>
      </c>
      <c r="Q133" s="85">
        <f t="shared" si="135"/>
        <v>0.6</v>
      </c>
      <c r="R133" s="85">
        <f t="shared" si="135"/>
        <v>1</v>
      </c>
      <c r="S133" s="85">
        <f t="shared" si="135"/>
        <v>0.8333333333</v>
      </c>
      <c r="T133" s="127">
        <f t="shared" si="3"/>
        <v>1</v>
      </c>
      <c r="U133" s="53">
        <f t="shared" si="4"/>
        <v>0</v>
      </c>
      <c r="V133" s="54">
        <f t="shared" si="5"/>
        <v>0</v>
      </c>
    </row>
    <row r="134" ht="15.75" customHeight="1">
      <c r="A134" s="46" t="str">
        <f>SiteAttendu!$A358</f>
        <v>C5083</v>
      </c>
      <c r="B134" s="47" t="str">
        <f>VLOOKUP($A134,SiteAttendu!$A$2:$C$366,2,0)</f>
        <v> DISTRICT SANITAIRE DIANRA</v>
      </c>
      <c r="C134" s="48" t="str">
        <f>VLOOKUP($A134,SiteAttendu!$A$2:$C$366,3,0)</f>
        <v>BERE</v>
      </c>
      <c r="D134" s="49">
        <f>IF(VLOOKUP(A134,SiteAttendu!$A$2:$P$366,4,0)="NA","NA",COUNTIFS(soccode,A134,socprog,"PNLS/ANTIRETROVIRAUX ET IO",socprompt,1))</f>
        <v>1</v>
      </c>
      <c r="E134" s="49">
        <f>IF(VLOOKUP($A134,SiteAttendu!$A$2:$O$366,5,0)="NA","NA",COUNTIFS(soccode,A134,socprog,"PNLS/TESTS RAPIDES ET CONSOMMABLES",socprompt,1))</f>
        <v>1</v>
      </c>
      <c r="F134" s="49" t="str">
        <f>IF(VLOOKUP($A134,SiteAttendu!$A$2:$O$366,6,0)="NA","NA",COUNTIFS(soccode,A134,socprog,"PNLS/PRODUITS DE LABORATOIRE",socprompt,1))</f>
        <v>NA</v>
      </c>
      <c r="G134" s="49" t="str">
        <f>IF(VLOOKUP($A134,SiteAttendu!$A$2:$O$366,7,0)="NA","NA",COUNTIFS(soccode,A134,socprog,"PNLS/CHARGES VIRALES",socprompt,1))</f>
        <v>NA</v>
      </c>
      <c r="H134" s="49">
        <f>IF(VLOOKUP($A134,SiteAttendu!$A$2:$O$366,9,0)="NA","NA",COUNTIFS(soccode,A134,socprog,"PNLP/MEDICAMENTS ET INTRANTS",socprompt,1))</f>
        <v>1</v>
      </c>
      <c r="I134" s="49">
        <f>IF(VLOOKUP($A134,SiteAttendu!$A$2:$O$366,10,0)="NA","NA",COUNTIFS(soccode,$A134,socprog,"PNSME/MEDICAMENTS ET INTRANTS",socprompt,1))</f>
        <v>1</v>
      </c>
      <c r="J134" s="49">
        <f>IF(VLOOKUP($A134,SiteAttendu!$A$2:$O$366,11,0)="NA","NA",COUNTIFS(soccode,$A134,socprog,"PNN/MEDICAMENTS ET INTRANTS",socprompt,1))</f>
        <v>1</v>
      </c>
      <c r="K134" s="49" t="str">
        <f>IF(VLOOKUP($A134,SiteAttendu!$A$2:$O$366,15,0)="NA","NA",IF(COUNTIF(socprog,"PNLT/SENSIBLE MEDICAMENTS ET INTRANTS")=0,"NA",COUNTIFS(soccode,$A134,socprog,"PNLT/SENSIBLE MEDICAMENTS ET INTRANTS",socprompt,1)))</f>
        <v>NA</v>
      </c>
      <c r="L134" s="51">
        <f t="shared" ref="L134:S134" si="136">IFERROR(SUMIFS(D$2:D$364,$C$2:$C$364,$C134)/COUNTIFS(D$2:D$364,"&lt;&gt;NA",$C$2:$C$364,$C134),"")</f>
        <v>0.8333333333</v>
      </c>
      <c r="M134" s="51">
        <f t="shared" si="136"/>
        <v>0.8333333333</v>
      </c>
      <c r="N134" s="51">
        <f t="shared" si="136"/>
        <v>0.75</v>
      </c>
      <c r="O134" s="51">
        <f t="shared" si="136"/>
        <v>1</v>
      </c>
      <c r="P134" s="51">
        <f t="shared" si="136"/>
        <v>1</v>
      </c>
      <c r="Q134" s="51">
        <f t="shared" si="136"/>
        <v>1</v>
      </c>
      <c r="R134" s="51">
        <f t="shared" si="136"/>
        <v>1</v>
      </c>
      <c r="S134" s="51">
        <f t="shared" si="136"/>
        <v>0.6666666667</v>
      </c>
      <c r="T134" s="51">
        <f t="shared" si="3"/>
        <v>0.8235294118</v>
      </c>
      <c r="U134" s="53">
        <f t="shared" si="4"/>
        <v>2</v>
      </c>
      <c r="V134" s="54">
        <f t="shared" si="5"/>
        <v>2</v>
      </c>
    </row>
    <row r="135" ht="15.0" customHeight="1">
      <c r="A135" s="55" t="str">
        <f>SiteAttendu!$A359</f>
        <v>C5091</v>
      </c>
      <c r="B135" s="56" t="str">
        <f>VLOOKUP($A135,SiteAttendu!$A$2:$C$366,2,0)</f>
        <v>HOPITAL GENERAL DIANRA</v>
      </c>
      <c r="C135" s="57" t="str">
        <f>VLOOKUP($A135,SiteAttendu!$A$2:$C$366,3,0)</f>
        <v>BERE</v>
      </c>
      <c r="D135" s="58">
        <f>IF(VLOOKUP(A135,SiteAttendu!$A$2:$P$366,4,0)="NA","NA",COUNTIFS(soccode,A135,socprog,"PNLS/ANTIRETROVIRAUX ET IO",socprompt,1))</f>
        <v>1</v>
      </c>
      <c r="E135" s="58">
        <f>IF(VLOOKUP($A135,SiteAttendu!$A$2:$O$366,5,0)="NA","NA",COUNTIFS(soccode,A135,socprog,"PNLS/TESTS RAPIDES ET CONSOMMABLES",socprompt,1))</f>
        <v>1</v>
      </c>
      <c r="F135" s="58">
        <f>IF(VLOOKUP($A135,SiteAttendu!$A$2:$O$366,6,0)="NA","NA",COUNTIFS(soccode,A135,socprog,"PNLS/PRODUITS DE LABORATOIRE",socprompt,1))</f>
        <v>1</v>
      </c>
      <c r="G135" s="58" t="str">
        <f>IF(VLOOKUP($A135,SiteAttendu!$A$2:$O$366,7,0)="NA","NA",COUNTIFS(soccode,A135,socprog,"PNLS/CHARGES VIRALES",socprompt,1))</f>
        <v>NA</v>
      </c>
      <c r="H135" s="58">
        <f>IF(VLOOKUP($A135,SiteAttendu!$A$2:$O$366,9,0)="NA","NA",COUNTIFS(soccode,A135,socprog,"PNLP/MEDICAMENTS ET INTRANTS",socprompt,1))</f>
        <v>1</v>
      </c>
      <c r="I135" s="58">
        <f>IF(VLOOKUP($A135,SiteAttendu!$A$2:$O$366,10,0)="NA","NA",COUNTIFS(soccode,$A135,socprog,"PNSME/MEDICAMENTS ET INTRANTS",socprompt,1))</f>
        <v>1</v>
      </c>
      <c r="J135" s="58">
        <f>IF(VLOOKUP($A135,SiteAttendu!$A$2:$O$366,11,0)="NA","NA",COUNTIFS(soccode,$A135,socprog,"PNN/MEDICAMENTS ET INTRANTS",socprompt,1))</f>
        <v>1</v>
      </c>
      <c r="K135" s="58">
        <f>IF(VLOOKUP($A135,SiteAttendu!$A$2:$O$366,15,0)="NA","NA",IF(COUNTIF(socprog,"PNLT/SENSIBLE MEDICAMENTS ET INTRANTS")=0,"NA",COUNTIFS(soccode,$A135,socprog,"PNLT/SENSIBLE MEDICAMENTS ET INTRANTS",socprompt,1)))</f>
        <v>1</v>
      </c>
      <c r="L135" s="60"/>
      <c r="M135" s="60">
        <f t="shared" ref="M135:S135" si="137">IFERROR(SUMIFS(E$2:E$364,$C$2:$C$364,$C135)/COUNTIFS(E$2:E$364,"&lt;&gt;NA",$C$2:$C$364,$C135),"")</f>
        <v>0.8333333333</v>
      </c>
      <c r="N135" s="60">
        <f t="shared" si="137"/>
        <v>0.75</v>
      </c>
      <c r="O135" s="60">
        <f t="shared" si="137"/>
        <v>1</v>
      </c>
      <c r="P135" s="60">
        <f t="shared" si="137"/>
        <v>1</v>
      </c>
      <c r="Q135" s="60">
        <f t="shared" si="137"/>
        <v>1</v>
      </c>
      <c r="R135" s="60">
        <f t="shared" si="137"/>
        <v>1</v>
      </c>
      <c r="S135" s="60">
        <f t="shared" si="137"/>
        <v>0.6666666667</v>
      </c>
      <c r="T135" s="60">
        <f t="shared" si="3"/>
        <v>0.8235294118</v>
      </c>
      <c r="U135" s="53">
        <f t="shared" si="4"/>
        <v>3</v>
      </c>
      <c r="V135" s="54">
        <f t="shared" si="5"/>
        <v>3</v>
      </c>
    </row>
    <row r="136" ht="15.75" customHeight="1">
      <c r="A136" s="55" t="str">
        <f>SiteAttendu!$A134</f>
        <v>C5080</v>
      </c>
      <c r="B136" s="56" t="str">
        <f>VLOOKUP($A136,SiteAttendu!$A$2:$C$366,2,0)</f>
        <v>DISTRICT SANITAIRE KOUNAHIRI</v>
      </c>
      <c r="C136" s="57" t="str">
        <f>VLOOKUP($A136,SiteAttendu!$A$2:$C$366,3,0)</f>
        <v>BERE</v>
      </c>
      <c r="D136" s="58">
        <f>IF(VLOOKUP(A136,SiteAttendu!$A$2:$P$366,4,0)="NA","NA",COUNTIFS(soccode,A136,socprog,"PNLS/ANTIRETROVIRAUX ET IO",socprompt,1))</f>
        <v>1</v>
      </c>
      <c r="E136" s="58">
        <f>IF(VLOOKUP($A136,SiteAttendu!$A$2:$O$366,5,0)="NA","NA",COUNTIFS(soccode,A136,socprog,"PNLS/TESTS RAPIDES ET CONSOMMABLES",socprompt,1))</f>
        <v>1</v>
      </c>
      <c r="F136" s="58" t="str">
        <f>IF(VLOOKUP($A136,SiteAttendu!$A$2:$O$366,6,0)="NA","NA",COUNTIFS(soccode,A136,socprog,"PNLS/PRODUITS DE LABORATOIRE",socprompt,1))</f>
        <v>NA</v>
      </c>
      <c r="G136" s="58" t="str">
        <f>IF(VLOOKUP($A136,SiteAttendu!$A$2:$O$366,7,0)="NA","NA",COUNTIFS(soccode,A136,socprog,"PNLS/CHARGES VIRALES",socprompt,1))</f>
        <v>NA</v>
      </c>
      <c r="H136" s="58">
        <f>IF(VLOOKUP($A136,SiteAttendu!$A$2:$O$366,9,0)="NA","NA",COUNTIFS(soccode,A136,socprog,"PNLP/MEDICAMENTS ET INTRANTS",socprompt,1))</f>
        <v>1</v>
      </c>
      <c r="I136" s="58">
        <f>IF(VLOOKUP($A136,SiteAttendu!$A$2:$O$366,10,0)="NA","NA",COUNTIFS(soccode,$A136,socprog,"PNSME/MEDICAMENTS ET INTRANTS",socprompt,1))</f>
        <v>1</v>
      </c>
      <c r="J136" s="58">
        <f>IF(VLOOKUP($A136,SiteAttendu!$A$2:$O$366,11,0)="NA","NA",COUNTIFS(soccode,$A136,socprog,"PNN/MEDICAMENTS ET INTRANTS",socprompt,1))</f>
        <v>1</v>
      </c>
      <c r="K136" s="58" t="str">
        <f>IF(VLOOKUP($A136,SiteAttendu!$A$2:$O$366,15,0)="NA","NA",IF(COUNTIF(socprog,"PNLT/SENSIBLE MEDICAMENTS ET INTRANTS")=0,"NA",COUNTIFS(soccode,$A136,socprog,"PNLT/SENSIBLE MEDICAMENTS ET INTRANTS",socprompt,1)))</f>
        <v>NA</v>
      </c>
      <c r="L136" s="60"/>
      <c r="M136" s="60">
        <f t="shared" ref="M136:S136" si="138">IFERROR(SUMIFS(E$2:E$364,$C$2:$C$364,$C136)/COUNTIFS(E$2:E$364,"&lt;&gt;NA",$C$2:$C$364,$C136),"")</f>
        <v>0.8333333333</v>
      </c>
      <c r="N136" s="60">
        <f t="shared" si="138"/>
        <v>0.75</v>
      </c>
      <c r="O136" s="60">
        <f t="shared" si="138"/>
        <v>1</v>
      </c>
      <c r="P136" s="60">
        <f t="shared" si="138"/>
        <v>1</v>
      </c>
      <c r="Q136" s="60">
        <f t="shared" si="138"/>
        <v>1</v>
      </c>
      <c r="R136" s="60">
        <f t="shared" si="138"/>
        <v>1</v>
      </c>
      <c r="S136" s="60">
        <f t="shared" si="138"/>
        <v>0.6666666667</v>
      </c>
      <c r="T136" s="60">
        <f t="shared" si="3"/>
        <v>0.8235294118</v>
      </c>
      <c r="U136" s="53">
        <f t="shared" si="4"/>
        <v>2</v>
      </c>
      <c r="V136" s="54">
        <f t="shared" si="5"/>
        <v>2</v>
      </c>
    </row>
    <row r="137" ht="15.75" customHeight="1">
      <c r="A137" s="55" t="str">
        <f>SiteAttendu!$A135</f>
        <v>C5084</v>
      </c>
      <c r="B137" s="56" t="str">
        <f>VLOOKUP($A137,SiteAttendu!$A$2:$C$366,2,0)</f>
        <v>HOPITAL GENERAL KOUNAHIRI</v>
      </c>
      <c r="C137" s="57" t="str">
        <f>VLOOKUP($A137,SiteAttendu!$A$2:$C$366,3,0)</f>
        <v>BERE</v>
      </c>
      <c r="D137" s="58">
        <f>IF(VLOOKUP(A137,SiteAttendu!$A$2:$P$366,4,0)="NA","NA",COUNTIFS(soccode,A137,socprog,"PNLS/ANTIRETROVIRAUX ET IO",socprompt,1))</f>
        <v>1</v>
      </c>
      <c r="E137" s="58">
        <f>IF(VLOOKUP($A137,SiteAttendu!$A$2:$O$366,5,0)="NA","NA",COUNTIFS(soccode,A137,socprog,"PNLS/TESTS RAPIDES ET CONSOMMABLES",socprompt,1))</f>
        <v>1</v>
      </c>
      <c r="F137" s="58">
        <f>IF(VLOOKUP($A137,SiteAttendu!$A$2:$O$366,6,0)="NA","NA",COUNTIFS(soccode,A137,socprog,"PNLS/PRODUITS DE LABORATOIRE",socprompt,1))</f>
        <v>1</v>
      </c>
      <c r="G137" s="58" t="str">
        <f>IF(VLOOKUP($A137,SiteAttendu!$A$2:$O$366,7,0)="NA","NA",COUNTIFS(soccode,A137,socprog,"PNLS/CHARGES VIRALES",socprompt,1))</f>
        <v>NA</v>
      </c>
      <c r="H137" s="58">
        <f>IF(VLOOKUP($A137,SiteAttendu!$A$2:$O$366,9,0)="NA","NA",COUNTIFS(soccode,A137,socprog,"PNLP/MEDICAMENTS ET INTRANTS",socprompt,1))</f>
        <v>1</v>
      </c>
      <c r="I137" s="58">
        <f>IF(VLOOKUP($A137,SiteAttendu!$A$2:$O$366,10,0)="NA","NA",COUNTIFS(soccode,$A137,socprog,"PNSME/MEDICAMENTS ET INTRANTS",socprompt,1))</f>
        <v>1</v>
      </c>
      <c r="J137" s="58">
        <f>IF(VLOOKUP($A137,SiteAttendu!$A$2:$O$366,11,0)="NA","NA",COUNTIFS(soccode,$A137,socprog,"PNN/MEDICAMENTS ET INTRANTS",socprompt,1))</f>
        <v>1</v>
      </c>
      <c r="K137" s="58">
        <f>IF(VLOOKUP($A137,SiteAttendu!$A$2:$O$366,15,0)="NA","NA",IF(COUNTIF(socprog,"PNLT/SENSIBLE MEDICAMENTS ET INTRANTS")=0,"NA",COUNTIFS(soccode,$A137,socprog,"PNLT/SENSIBLE MEDICAMENTS ET INTRANTS",socprompt,1)))</f>
        <v>1</v>
      </c>
      <c r="L137" s="60"/>
      <c r="M137" s="60">
        <f t="shared" ref="M137:S137" si="139">IFERROR(SUMIFS(E$2:E$364,$C$2:$C$364,$C137)/COUNTIFS(E$2:E$364,"&lt;&gt;NA",$C$2:$C$364,$C137),"")</f>
        <v>0.8333333333</v>
      </c>
      <c r="N137" s="60">
        <f t="shared" si="139"/>
        <v>0.75</v>
      </c>
      <c r="O137" s="60">
        <f t="shared" si="139"/>
        <v>1</v>
      </c>
      <c r="P137" s="60">
        <f t="shared" si="139"/>
        <v>1</v>
      </c>
      <c r="Q137" s="60">
        <f t="shared" si="139"/>
        <v>1</v>
      </c>
      <c r="R137" s="60">
        <f t="shared" si="139"/>
        <v>1</v>
      </c>
      <c r="S137" s="60">
        <f t="shared" si="139"/>
        <v>0.6666666667</v>
      </c>
      <c r="T137" s="60">
        <f t="shared" si="3"/>
        <v>0.8235294118</v>
      </c>
      <c r="U137" s="53">
        <f t="shared" si="4"/>
        <v>3</v>
      </c>
      <c r="V137" s="54">
        <f t="shared" si="5"/>
        <v>3</v>
      </c>
    </row>
    <row r="138" ht="15.75" customHeight="1">
      <c r="A138" s="55" t="str">
        <f>SiteAttendu!$A136</f>
        <v>C3007</v>
      </c>
      <c r="B138" s="56" t="str">
        <f>VLOOKUP($A138,SiteAttendu!$A$2:$C$366,2,0)</f>
        <v>DISTRICT SANITAIRE MANKONO</v>
      </c>
      <c r="C138" s="57" t="str">
        <f>VLOOKUP($A138,SiteAttendu!$A$2:$C$366,3,0)</f>
        <v>BERE</v>
      </c>
      <c r="D138" s="58">
        <f>IF(VLOOKUP(A138,SiteAttendu!$A$2:$P$366,4,0)="NA","NA",COUNTIFS(soccode,A138,socprog,"PNLS/ANTIRETROVIRAUX ET IO",socprompt,1))</f>
        <v>0</v>
      </c>
      <c r="E138" s="58">
        <f>IF(VLOOKUP($A138,SiteAttendu!$A$2:$O$366,5,0)="NA","NA",COUNTIFS(soccode,A138,socprog,"PNLS/TESTS RAPIDES ET CONSOMMABLES",socprompt,1))</f>
        <v>0</v>
      </c>
      <c r="F138" s="58">
        <f>IF(VLOOKUP($A138,SiteAttendu!$A$2:$O$366,6,0)="NA","NA",COUNTIFS(soccode,A138,socprog,"PNLS/PRODUITS DE LABORATOIRE",socprompt,1))</f>
        <v>0</v>
      </c>
      <c r="G138" s="58" t="str">
        <f>IF(VLOOKUP($A138,SiteAttendu!$A$2:$O$366,7,0)="NA","NA",COUNTIFS(soccode,A138,socprog,"PNLS/CHARGES VIRALES",socprompt,1))</f>
        <v>NA</v>
      </c>
      <c r="H138" s="58">
        <f>IF(VLOOKUP($A138,SiteAttendu!$A$2:$O$366,9,0)="NA","NA",COUNTIFS(soccode,A138,socprog,"PNLP/MEDICAMENTS ET INTRANTS",socprompt,1))</f>
        <v>1</v>
      </c>
      <c r="I138" s="58">
        <f>IF(VLOOKUP($A138,SiteAttendu!$A$2:$O$366,10,0)="NA","NA",COUNTIFS(soccode,$A138,socprog,"PNSME/MEDICAMENTS ET INTRANTS",socprompt,1))</f>
        <v>1</v>
      </c>
      <c r="J138" s="58">
        <f>IF(VLOOKUP($A138,SiteAttendu!$A$2:$O$366,11,0)="NA","NA",COUNTIFS(soccode,$A138,socprog,"PNN/MEDICAMENTS ET INTRANTS",socprompt,1))</f>
        <v>1</v>
      </c>
      <c r="K138" s="58" t="str">
        <f>IF(VLOOKUP($A138,SiteAttendu!$A$2:$O$366,15,0)="NA","NA",IF(COUNTIF(socprog,"PNLT/SENSIBLE MEDICAMENTS ET INTRANTS")=0,"NA",COUNTIFS(soccode,$A138,socprog,"PNLT/SENSIBLE MEDICAMENTS ET INTRANTS",socprompt,1)))</f>
        <v>NA</v>
      </c>
      <c r="L138" s="60"/>
      <c r="M138" s="60">
        <f t="shared" ref="M138:S138" si="140">IFERROR(SUMIFS(E$2:E$364,$C$2:$C$364,$C138)/COUNTIFS(E$2:E$364,"&lt;&gt;NA",$C$2:$C$364,$C138),"")</f>
        <v>0.8333333333</v>
      </c>
      <c r="N138" s="60">
        <f t="shared" si="140"/>
        <v>0.75</v>
      </c>
      <c r="O138" s="60">
        <f t="shared" si="140"/>
        <v>1</v>
      </c>
      <c r="P138" s="60">
        <f t="shared" si="140"/>
        <v>1</v>
      </c>
      <c r="Q138" s="60">
        <f t="shared" si="140"/>
        <v>1</v>
      </c>
      <c r="R138" s="60">
        <f t="shared" si="140"/>
        <v>1</v>
      </c>
      <c r="S138" s="60">
        <f t="shared" si="140"/>
        <v>0.6666666667</v>
      </c>
      <c r="T138" s="60">
        <f t="shared" si="3"/>
        <v>0.8235294118</v>
      </c>
      <c r="U138" s="53">
        <f t="shared" si="4"/>
        <v>0</v>
      </c>
      <c r="V138" s="54">
        <f t="shared" si="5"/>
        <v>3</v>
      </c>
    </row>
    <row r="139" ht="16.5" customHeight="1">
      <c r="A139" s="62" t="str">
        <f>SiteAttendu!$A137</f>
        <v>C3017</v>
      </c>
      <c r="B139" s="63" t="str">
        <f>VLOOKUP($A139,SiteAttendu!$A$2:$C$366,2,0)</f>
        <v>HOPITAL GENERAL MANKONO</v>
      </c>
      <c r="C139" s="64" t="str">
        <f>VLOOKUP($A139,SiteAttendu!$A$2:$C$366,3,0)</f>
        <v>BERE</v>
      </c>
      <c r="D139" s="65">
        <f>IF(VLOOKUP(A139,SiteAttendu!$A$2:$P$366,4,0)="NA","NA",COUNTIFS(soccode,A139,socprog,"PNLS/ANTIRETROVIRAUX ET IO",socprompt,1))</f>
        <v>1</v>
      </c>
      <c r="E139" s="65">
        <f>IF(VLOOKUP($A139,SiteAttendu!$A$2:$O$366,5,0)="NA","NA",COUNTIFS(soccode,A139,socprog,"PNLS/TESTS RAPIDES ET CONSOMMABLES",socprompt,1))</f>
        <v>1</v>
      </c>
      <c r="F139" s="65">
        <f>IF(VLOOKUP($A139,SiteAttendu!$A$2:$O$366,6,0)="NA","NA",COUNTIFS(soccode,A139,socprog,"PNLS/PRODUITS DE LABORATOIRE",socprompt,1))</f>
        <v>1</v>
      </c>
      <c r="G139" s="65">
        <f>IF(VLOOKUP($A139,SiteAttendu!$A$2:$O$366,7,0)="NA","NA",COUNTIFS(soccode,A139,socprog,"PNLS/CHARGES VIRALES",socprompt,1))</f>
        <v>1</v>
      </c>
      <c r="H139" s="65">
        <f>IF(VLOOKUP($A139,SiteAttendu!$A$2:$O$366,9,0)="NA","NA",COUNTIFS(soccode,A139,socprog,"PNLP/MEDICAMENTS ET INTRANTS",socprompt,1))</f>
        <v>1</v>
      </c>
      <c r="I139" s="65">
        <f>IF(VLOOKUP($A139,SiteAttendu!$A$2:$O$366,10,0)="NA","NA",COUNTIFS(soccode,$A139,socprog,"PNSME/MEDICAMENTS ET INTRANTS",socprompt,1))</f>
        <v>1</v>
      </c>
      <c r="J139" s="65">
        <f>IF(VLOOKUP($A139,SiteAttendu!$A$2:$O$366,11,0)="NA","NA",COUNTIFS(soccode,$A139,socprog,"PNN/MEDICAMENTS ET INTRANTS",socprompt,1))</f>
        <v>1</v>
      </c>
      <c r="K139" s="65">
        <f>IF(VLOOKUP($A139,SiteAttendu!$A$2:$O$366,15,0)="NA","NA",IF(COUNTIF(socprog,"PNLT/SENSIBLE MEDICAMENTS ET INTRANTS")=0,"NA",COUNTIFS(soccode,$A139,socprog,"PNLT/SENSIBLE MEDICAMENTS ET INTRANTS",socprompt,1)))</f>
        <v>0</v>
      </c>
      <c r="L139" s="67"/>
      <c r="M139" s="67">
        <f t="shared" ref="M139:S139" si="141">IFERROR(SUMIFS(E$2:E$364,$C$2:$C$364,$C139)/COUNTIFS(E$2:E$364,"&lt;&gt;NA",$C$2:$C$364,$C139),"")</f>
        <v>0.8333333333</v>
      </c>
      <c r="N139" s="67">
        <f t="shared" si="141"/>
        <v>0.75</v>
      </c>
      <c r="O139" s="67">
        <f t="shared" si="141"/>
        <v>1</v>
      </c>
      <c r="P139" s="67">
        <f t="shared" si="141"/>
        <v>1</v>
      </c>
      <c r="Q139" s="67">
        <f t="shared" si="141"/>
        <v>1</v>
      </c>
      <c r="R139" s="67">
        <f t="shared" si="141"/>
        <v>1</v>
      </c>
      <c r="S139" s="67">
        <f t="shared" si="141"/>
        <v>0.6666666667</v>
      </c>
      <c r="T139" s="67">
        <f t="shared" si="3"/>
        <v>0.8235294118</v>
      </c>
      <c r="U139" s="53">
        <f t="shared" si="4"/>
        <v>4</v>
      </c>
      <c r="V139" s="54">
        <f t="shared" si="5"/>
        <v>4</v>
      </c>
    </row>
    <row r="140" ht="15.75" customHeight="1">
      <c r="A140" s="81" t="str">
        <f>SiteAttendu!$A138</f>
        <v>C4010</v>
      </c>
      <c r="B140" s="82" t="str">
        <f>VLOOKUP($A140,SiteAttendu!$A$2:$C$366,2,0)</f>
        <v>DISTRICT SANITAIRE BOUNA</v>
      </c>
      <c r="C140" s="88" t="str">
        <f>VLOOKUP($A140,SiteAttendu!$A$2:$C$366,3,0)</f>
        <v>BOUNKANI</v>
      </c>
      <c r="D140" s="84">
        <f>IF(VLOOKUP(A140,SiteAttendu!$A$2:$P$366,4,0)="NA","NA",COUNTIFS(soccode,A140,socprog,"PNLS/ANTIRETROVIRAUX ET IO",socprompt,1))</f>
        <v>1</v>
      </c>
      <c r="E140" s="84">
        <f>IF(VLOOKUP($A140,SiteAttendu!$A$2:$O$366,5,0)="NA","NA",COUNTIFS(soccode,A140,socprog,"PNLS/TESTS RAPIDES ET CONSOMMABLES",socprompt,1))</f>
        <v>1</v>
      </c>
      <c r="F140" s="84">
        <f>IF(VLOOKUP($A140,SiteAttendu!$A$2:$O$366,6,0)="NA","NA",COUNTIFS(soccode,A140,socprog,"PNLS/PRODUITS DE LABORATOIRE",socprompt,1))</f>
        <v>1</v>
      </c>
      <c r="G140" s="84" t="str">
        <f>IF(VLOOKUP($A140,SiteAttendu!$A$2:$O$366,7,0)="NA","NA",COUNTIFS(soccode,A140,socprog,"PNLS/CHARGES VIRALES",socprompt,1))</f>
        <v>NA</v>
      </c>
      <c r="H140" s="84">
        <f>IF(VLOOKUP($A140,SiteAttendu!$A$2:$O$366,9,0)="NA","NA",COUNTIFS(soccode,A140,socprog,"PNLP/MEDICAMENTS ET INTRANTS",socprompt,1))</f>
        <v>1</v>
      </c>
      <c r="I140" s="84">
        <f>IF(VLOOKUP($A140,SiteAttendu!$A$2:$O$366,10,0)="NA","NA",COUNTIFS(soccode,$A140,socprog,"PNSME/MEDICAMENTS ET INTRANTS",socprompt,1))</f>
        <v>0</v>
      </c>
      <c r="J140" s="84">
        <f>IF(VLOOKUP($A140,SiteAttendu!$A$2:$O$366,11,0)="NA","NA",COUNTIFS(soccode,$A140,socprog,"PNN/MEDICAMENTS ET INTRANTS",socprompt,1))</f>
        <v>0</v>
      </c>
      <c r="K140" s="84">
        <f>IF(VLOOKUP($A140,SiteAttendu!$A$2:$O$366,15,0)="NA","NA",IF(COUNTIF(socprog,"PNLT/SENSIBLE MEDICAMENTS ET INTRANTS")=0,"NA",COUNTIFS(soccode,$A140,socprog,"PNLT/SENSIBLE MEDICAMENTS ET INTRANTS",socprompt,1)))</f>
        <v>0</v>
      </c>
      <c r="L140" s="60">
        <f t="shared" ref="L140:S140" si="142">IFERROR(SUMIFS(D$2:D$364,$C$2:$C$364,$C140)/COUNTIFS(D$2:D$364,"&lt;&gt;NA",$C$2:$C$364,$C140),"")</f>
        <v>0.8571428571</v>
      </c>
      <c r="M140" s="60">
        <f t="shared" si="142"/>
        <v>0.8571428571</v>
      </c>
      <c r="N140" s="60">
        <f t="shared" si="142"/>
        <v>0.6666666667</v>
      </c>
      <c r="O140" s="60" t="str">
        <f t="shared" si="142"/>
        <v/>
      </c>
      <c r="P140" s="60">
        <f t="shared" si="142"/>
        <v>1</v>
      </c>
      <c r="Q140" s="60">
        <f t="shared" si="142"/>
        <v>0.875</v>
      </c>
      <c r="R140" s="60">
        <f t="shared" si="142"/>
        <v>0.8571428571</v>
      </c>
      <c r="S140" s="60">
        <f t="shared" si="142"/>
        <v>0</v>
      </c>
      <c r="T140" s="60">
        <f t="shared" si="3"/>
        <v>0.8235294118</v>
      </c>
      <c r="U140" s="53">
        <f t="shared" si="4"/>
        <v>3</v>
      </c>
      <c r="V140" s="54">
        <f t="shared" si="5"/>
        <v>3</v>
      </c>
    </row>
    <row r="141" ht="15.75" customHeight="1">
      <c r="A141" s="55" t="str">
        <f>SiteAttendu!$A139</f>
        <v>C4018</v>
      </c>
      <c r="B141" s="56" t="str">
        <f>VLOOKUP($A141,SiteAttendu!$A$2:$C$366,2,0)</f>
        <v>HOPITAL GENERAL BOUNA</v>
      </c>
      <c r="C141" s="57" t="str">
        <f>VLOOKUP($A141,SiteAttendu!$A$2:$C$366,3,0)</f>
        <v>BOUNKANI</v>
      </c>
      <c r="D141" s="58">
        <f>IF(VLOOKUP(A141,SiteAttendu!$A$2:$P$366,4,0)="NA","NA",COUNTIFS(soccode,A141,socprog,"PNLS/ANTIRETROVIRAUX ET IO",socprompt,1))</f>
        <v>0</v>
      </c>
      <c r="E141" s="58">
        <f>IF(VLOOKUP($A141,SiteAttendu!$A$2:$O$366,5,0)="NA","NA",COUNTIFS(soccode,A141,socprog,"PNLS/TESTS RAPIDES ET CONSOMMABLES",socprompt,1))</f>
        <v>0</v>
      </c>
      <c r="F141" s="58">
        <f>IF(VLOOKUP($A141,SiteAttendu!$A$2:$O$366,6,0)="NA","NA",COUNTIFS(soccode,A141,socprog,"PNLS/PRODUITS DE LABORATOIRE",socprompt,1))</f>
        <v>0</v>
      </c>
      <c r="G141" s="58" t="str">
        <f>IF(VLOOKUP($A141,SiteAttendu!$A$2:$O$366,7,0)="NA","NA",COUNTIFS(soccode,A141,socprog,"PNLS/CHARGES VIRALES",socprompt,1))</f>
        <v>NA</v>
      </c>
      <c r="H141" s="58">
        <f>IF(VLOOKUP($A141,SiteAttendu!$A$2:$O$366,9,0)="NA","NA",COUNTIFS(soccode,A141,socprog,"PNLP/MEDICAMENTS ET INTRANTS",socprompt,1))</f>
        <v>1</v>
      </c>
      <c r="I141" s="58">
        <f>IF(VLOOKUP($A141,SiteAttendu!$A$2:$O$366,10,0)="NA","NA",COUNTIFS(soccode,$A141,socprog,"PNSME/MEDICAMENTS ET INTRANTS",socprompt,1))</f>
        <v>1</v>
      </c>
      <c r="J141" s="58">
        <f>IF(VLOOKUP($A141,SiteAttendu!$A$2:$O$366,11,0)="NA","NA",COUNTIFS(soccode,$A141,socprog,"PNN/MEDICAMENTS ET INTRANTS",socprompt,1))</f>
        <v>1</v>
      </c>
      <c r="K141" s="58">
        <f>IF(VLOOKUP($A141,SiteAttendu!$A$2:$O$366,15,0)="NA","NA",IF(COUNTIF(socprog,"PNLT/SENSIBLE MEDICAMENTS ET INTRANTS")=0,"NA",COUNTIFS(soccode,$A141,socprog,"PNLT/SENSIBLE MEDICAMENTS ET INTRANTS",socprompt,1)))</f>
        <v>0</v>
      </c>
      <c r="L141" s="60"/>
      <c r="M141" s="60">
        <f t="shared" ref="M141:S141" si="143">IFERROR(SUMIFS(E$2:E$364,$C$2:$C$364,$C141)/COUNTIFS(E$2:E$364,"&lt;&gt;NA",$C$2:$C$364,$C141),"")</f>
        <v>0.8571428571</v>
      </c>
      <c r="N141" s="60">
        <f t="shared" si="143"/>
        <v>0.6666666667</v>
      </c>
      <c r="O141" s="60" t="str">
        <f t="shared" si="143"/>
        <v/>
      </c>
      <c r="P141" s="60">
        <f t="shared" si="143"/>
        <v>1</v>
      </c>
      <c r="Q141" s="60">
        <f t="shared" si="143"/>
        <v>0.875</v>
      </c>
      <c r="R141" s="60">
        <f t="shared" si="143"/>
        <v>0.8571428571</v>
      </c>
      <c r="S141" s="60">
        <f t="shared" si="143"/>
        <v>0</v>
      </c>
      <c r="T141" s="60">
        <f t="shared" si="3"/>
        <v>0.8235294118</v>
      </c>
      <c r="U141" s="53">
        <f t="shared" si="4"/>
        <v>0</v>
      </c>
      <c r="V141" s="54">
        <f t="shared" si="5"/>
        <v>3</v>
      </c>
    </row>
    <row r="142" ht="15.75" customHeight="1">
      <c r="A142" s="55" t="str">
        <f>SiteAttendu!$A140</f>
        <v>C4094</v>
      </c>
      <c r="B142" s="56" t="str">
        <f>VLOOKUP($A142,SiteAttendu!$A$2:$C$366,2,0)</f>
        <v>CENTRE ANTITUBERCULEUX BOUNA</v>
      </c>
      <c r="C142" s="57" t="str">
        <f>VLOOKUP($A142,SiteAttendu!$A$2:$C$366,3,0)</f>
        <v>BOUNKANI</v>
      </c>
      <c r="D142" s="58" t="str">
        <f>IF(VLOOKUP(A142,SiteAttendu!$A$2:$P$366,4,0)="NA","NA",COUNTIFS(soccode,A142,socprog,"PNLS/ANTIRETROVIRAUX ET IO",socprompt,1))</f>
        <v>NA</v>
      </c>
      <c r="E142" s="58" t="str">
        <f>IF(VLOOKUP($A142,SiteAttendu!$A$2:$O$366,5,0)="NA","NA",COUNTIFS(soccode,A142,socprog,"PNLS/TESTS RAPIDES ET CONSOMMABLES",socprompt,1))</f>
        <v>NA</v>
      </c>
      <c r="F142" s="58" t="str">
        <f>IF(VLOOKUP($A142,SiteAttendu!$A$2:$O$366,6,0)="NA","NA",COUNTIFS(soccode,A142,socprog,"PNLS/PRODUITS DE LABORATOIRE",socprompt,1))</f>
        <v>NA</v>
      </c>
      <c r="G142" s="58" t="str">
        <f>IF(VLOOKUP($A142,SiteAttendu!$A$2:$O$366,7,0)="NA","NA",COUNTIFS(soccode,A142,socprog,"PNLS/CHARGES VIRALES",socprompt,1))</f>
        <v>NA</v>
      </c>
      <c r="H142" s="58" t="str">
        <f>IF(VLOOKUP($A142,SiteAttendu!$A$2:$O$366,9,0)="NA","NA",COUNTIFS(soccode,A142,socprog,"PNLP/MEDICAMENTS ET INTRANTS",socprompt,1))</f>
        <v>NA</v>
      </c>
      <c r="I142" s="58" t="str">
        <f>IF(VLOOKUP($A142,SiteAttendu!$A$2:$O$366,10,0)="NA","NA",COUNTIFS(soccode,$A142,socprog,"PNSME/MEDICAMENTS ET INTRANTS",socprompt,1))</f>
        <v>NA</v>
      </c>
      <c r="J142" s="58" t="str">
        <f>IF(VLOOKUP($A142,SiteAttendu!$A$2:$O$366,11,0)="NA","NA",COUNTIFS(soccode,$A142,socprog,"PNN/MEDICAMENTS ET INTRANTS",socprompt,1))</f>
        <v>NA</v>
      </c>
      <c r="K142" s="58" t="str">
        <f>IF(VLOOKUP($A142,SiteAttendu!$A$2:$O$366,15,0)="NA","NA",IF(COUNTIF(socprog,"PNLT/SENSIBLE MEDICAMENTS ET INTRANTS")=0,"NA",COUNTIFS(soccode,$A142,socprog,"PNLT/SENSIBLE MEDICAMENTS ET INTRANTS",socprompt,1)))</f>
        <v>NA</v>
      </c>
      <c r="L142" s="60"/>
      <c r="M142" s="60">
        <f t="shared" ref="M142:S142" si="144">IFERROR(SUMIFS(E$2:E$364,$C$2:$C$364,$C142)/COUNTIFS(E$2:E$364,"&lt;&gt;NA",$C$2:$C$364,$C142),"")</f>
        <v>0.8571428571</v>
      </c>
      <c r="N142" s="60">
        <f t="shared" si="144"/>
        <v>0.6666666667</v>
      </c>
      <c r="O142" s="60" t="str">
        <f t="shared" si="144"/>
        <v/>
      </c>
      <c r="P142" s="60">
        <f t="shared" si="144"/>
        <v>1</v>
      </c>
      <c r="Q142" s="60">
        <f t="shared" si="144"/>
        <v>0.875</v>
      </c>
      <c r="R142" s="60">
        <f t="shared" si="144"/>
        <v>0.8571428571</v>
      </c>
      <c r="S142" s="60">
        <f t="shared" si="144"/>
        <v>0</v>
      </c>
      <c r="T142" s="60">
        <f t="shared" si="3"/>
        <v>0.8235294118</v>
      </c>
      <c r="U142" s="53">
        <f t="shared" si="4"/>
        <v>0</v>
      </c>
      <c r="V142" s="54">
        <f t="shared" si="5"/>
        <v>0</v>
      </c>
    </row>
    <row r="143" ht="15.75" customHeight="1">
      <c r="A143" s="55" t="str">
        <f>SiteAttendu!$A141</f>
        <v>C4082</v>
      </c>
      <c r="B143" s="56" t="str">
        <f>VLOOKUP($A143,SiteAttendu!$A$2:$C$366,2,0)</f>
        <v>DISTRICT SANITAIRE DOROPO</v>
      </c>
      <c r="C143" s="57" t="str">
        <f>VLOOKUP($A143,SiteAttendu!$A$2:$C$366,3,0)</f>
        <v>BOUNKANI</v>
      </c>
      <c r="D143" s="58">
        <f>IF(VLOOKUP(A143,SiteAttendu!$A$2:$P$366,4,0)="NA","NA",COUNTIFS(soccode,A143,socprog,"PNLS/ANTIRETROVIRAUX ET IO",socprompt,1))</f>
        <v>1</v>
      </c>
      <c r="E143" s="58">
        <f>IF(VLOOKUP($A143,SiteAttendu!$A$2:$O$366,5,0)="NA","NA",COUNTIFS(soccode,A143,socprog,"PNLS/TESTS RAPIDES ET CONSOMMABLES",socprompt,1))</f>
        <v>1</v>
      </c>
      <c r="F143" s="58" t="str">
        <f>IF(VLOOKUP($A143,SiteAttendu!$A$2:$O$366,6,0)="NA","NA",COUNTIFS(soccode,A143,socprog,"PNLS/PRODUITS DE LABORATOIRE",socprompt,1))</f>
        <v>NA</v>
      </c>
      <c r="G143" s="58" t="str">
        <f>IF(VLOOKUP($A143,SiteAttendu!$A$2:$O$366,7,0)="NA","NA",COUNTIFS(soccode,A143,socprog,"PNLS/CHARGES VIRALES",socprompt,1))</f>
        <v>NA</v>
      </c>
      <c r="H143" s="58">
        <f>IF(VLOOKUP($A143,SiteAttendu!$A$2:$O$366,9,0)="NA","NA",COUNTIFS(soccode,A143,socprog,"PNLP/MEDICAMENTS ET INTRANTS",socprompt,1))</f>
        <v>1</v>
      </c>
      <c r="I143" s="58">
        <f>IF(VLOOKUP($A143,SiteAttendu!$A$2:$O$366,10,0)="NA","NA",COUNTIFS(soccode,$A143,socprog,"PNSME/MEDICAMENTS ET INTRANTS",socprompt,1))</f>
        <v>1</v>
      </c>
      <c r="J143" s="58">
        <f>IF(VLOOKUP($A143,SiteAttendu!$A$2:$O$366,11,0)="NA","NA",COUNTIFS(soccode,$A143,socprog,"PNN/MEDICAMENTS ET INTRANTS",socprompt,1))</f>
        <v>1</v>
      </c>
      <c r="K143" s="58">
        <f>IF(VLOOKUP($A143,SiteAttendu!$A$2:$O$366,15,0)="NA","NA",IF(COUNTIF(socprog,"PNLT/SENSIBLE MEDICAMENTS ET INTRANTS")=0,"NA",COUNTIFS(soccode,$A143,socprog,"PNLT/SENSIBLE MEDICAMENTS ET INTRANTS",socprompt,1)))</f>
        <v>0</v>
      </c>
      <c r="L143" s="60"/>
      <c r="M143" s="60">
        <f t="shared" ref="M143:S143" si="145">IFERROR(SUMIFS(E$2:E$364,$C$2:$C$364,$C143)/COUNTIFS(E$2:E$364,"&lt;&gt;NA",$C$2:$C$364,$C143),"")</f>
        <v>0.8571428571</v>
      </c>
      <c r="N143" s="60">
        <f t="shared" si="145"/>
        <v>0.6666666667</v>
      </c>
      <c r="O143" s="60" t="str">
        <f t="shared" si="145"/>
        <v/>
      </c>
      <c r="P143" s="60">
        <f t="shared" si="145"/>
        <v>1</v>
      </c>
      <c r="Q143" s="60">
        <f t="shared" si="145"/>
        <v>0.875</v>
      </c>
      <c r="R143" s="60">
        <f t="shared" si="145"/>
        <v>0.8571428571</v>
      </c>
      <c r="S143" s="60">
        <f t="shared" si="145"/>
        <v>0</v>
      </c>
      <c r="T143" s="60">
        <f t="shared" si="3"/>
        <v>0.8235294118</v>
      </c>
      <c r="U143" s="53">
        <f t="shared" si="4"/>
        <v>2</v>
      </c>
      <c r="V143" s="54">
        <f t="shared" si="5"/>
        <v>2</v>
      </c>
    </row>
    <row r="144" ht="15.75" customHeight="1">
      <c r="A144" s="55" t="str">
        <f>SiteAttendu!$A142</f>
        <v>C4086</v>
      </c>
      <c r="B144" s="56" t="str">
        <f>VLOOKUP($A144,SiteAttendu!$A$2:$C$366,2,0)</f>
        <v>HOPITAL GENERAL DOROPO</v>
      </c>
      <c r="C144" s="57" t="str">
        <f>VLOOKUP($A144,SiteAttendu!$A$2:$C$366,3,0)</f>
        <v>BOUNKANI</v>
      </c>
      <c r="D144" s="58">
        <f>IF(VLOOKUP(A144,SiteAttendu!$A$2:$P$366,4,0)="NA","NA",COUNTIFS(soccode,A144,socprog,"PNLS/ANTIRETROVIRAUX ET IO",socprompt,1))</f>
        <v>1</v>
      </c>
      <c r="E144" s="58">
        <f>IF(VLOOKUP($A144,SiteAttendu!$A$2:$O$366,5,0)="NA","NA",COUNTIFS(soccode,A144,socprog,"PNLS/TESTS RAPIDES ET CONSOMMABLES",socprompt,1))</f>
        <v>1</v>
      </c>
      <c r="F144" s="58" t="str">
        <f>IF(VLOOKUP($A144,SiteAttendu!$A$2:$O$366,6,0)="NA","NA",COUNTIFS(soccode,A144,socprog,"PNLS/PRODUITS DE LABORATOIRE",socprompt,1))</f>
        <v>NA</v>
      </c>
      <c r="G144" s="58" t="str">
        <f>IF(VLOOKUP($A144,SiteAttendu!$A$2:$O$366,7,0)="NA","NA",COUNTIFS(soccode,A144,socprog,"PNLS/CHARGES VIRALES",socprompt,1))</f>
        <v>NA</v>
      </c>
      <c r="H144" s="58">
        <f>IF(VLOOKUP($A144,SiteAttendu!$A$2:$O$366,9,0)="NA","NA",COUNTIFS(soccode,A144,socprog,"PNLP/MEDICAMENTS ET INTRANTS",socprompt,1))</f>
        <v>1</v>
      </c>
      <c r="I144" s="58">
        <f>IF(VLOOKUP($A144,SiteAttendu!$A$2:$O$366,10,0)="NA","NA",COUNTIFS(soccode,$A144,socprog,"PNSME/MEDICAMENTS ET INTRANTS",socprompt,1))</f>
        <v>1</v>
      </c>
      <c r="J144" s="58">
        <f>IF(VLOOKUP($A144,SiteAttendu!$A$2:$O$366,11,0)="NA","NA",COUNTIFS(soccode,$A144,socprog,"PNN/MEDICAMENTS ET INTRANTS",socprompt,1))</f>
        <v>1</v>
      </c>
      <c r="K144" s="58" t="str">
        <f>IF(VLOOKUP($A144,SiteAttendu!$A$2:$O$366,15,0)="NA","NA",IF(COUNTIF(socprog,"PNLT/SENSIBLE MEDICAMENTS ET INTRANTS")=0,"NA",COUNTIFS(soccode,$A144,socprog,"PNLT/SENSIBLE MEDICAMENTS ET INTRANTS",socprompt,1)))</f>
        <v>NA</v>
      </c>
      <c r="L144" s="60"/>
      <c r="M144" s="60">
        <f t="shared" ref="M144:S144" si="146">IFERROR(SUMIFS(E$2:E$364,$C$2:$C$364,$C144)/COUNTIFS(E$2:E$364,"&lt;&gt;NA",$C$2:$C$364,$C144),"")</f>
        <v>0.8571428571</v>
      </c>
      <c r="N144" s="60">
        <f t="shared" si="146"/>
        <v>0.6666666667</v>
      </c>
      <c r="O144" s="60" t="str">
        <f t="shared" si="146"/>
        <v/>
      </c>
      <c r="P144" s="60">
        <f t="shared" si="146"/>
        <v>1</v>
      </c>
      <c r="Q144" s="60">
        <f t="shared" si="146"/>
        <v>0.875</v>
      </c>
      <c r="R144" s="60">
        <f t="shared" si="146"/>
        <v>0.8571428571</v>
      </c>
      <c r="S144" s="60">
        <f t="shared" si="146"/>
        <v>0</v>
      </c>
      <c r="T144" s="60">
        <f t="shared" si="3"/>
        <v>0.8235294118</v>
      </c>
      <c r="U144" s="53">
        <f t="shared" si="4"/>
        <v>2</v>
      </c>
      <c r="V144" s="54">
        <f t="shared" si="5"/>
        <v>2</v>
      </c>
    </row>
    <row r="145" ht="15.75" customHeight="1">
      <c r="A145" s="55" t="str">
        <f>SiteAttendu!$A143</f>
        <v>C4003</v>
      </c>
      <c r="B145" s="56" t="str">
        <f>VLOOKUP($A145,SiteAttendu!$A$2:$C$366,2,0)</f>
        <v>HOPITAL GENERAL NASSIAN</v>
      </c>
      <c r="C145" s="57" t="str">
        <f>VLOOKUP($A145,SiteAttendu!$A$2:$C$366,3,0)</f>
        <v>BOUNKANI</v>
      </c>
      <c r="D145" s="58">
        <f>IF(VLOOKUP(A145,SiteAttendu!$A$2:$P$366,4,0)="NA","NA",COUNTIFS(soccode,A145,socprog,"PNLS/ANTIRETROVIRAUX ET IO",socprompt,1))</f>
        <v>1</v>
      </c>
      <c r="E145" s="58">
        <f>IF(VLOOKUP($A145,SiteAttendu!$A$2:$O$366,5,0)="NA","NA",COUNTIFS(soccode,A145,socprog,"PNLS/TESTS RAPIDES ET CONSOMMABLES",socprompt,1))</f>
        <v>1</v>
      </c>
      <c r="F145" s="58">
        <f>IF(VLOOKUP($A145,SiteAttendu!$A$2:$O$366,6,0)="NA","NA",COUNTIFS(soccode,A145,socprog,"PNLS/PRODUITS DE LABORATOIRE",socprompt,1))</f>
        <v>1</v>
      </c>
      <c r="G145" s="58" t="str">
        <f>IF(VLOOKUP($A145,SiteAttendu!$A$2:$O$366,7,0)="NA","NA",COUNTIFS(soccode,A145,socprog,"PNLS/CHARGES VIRALES",socprompt,1))</f>
        <v>NA</v>
      </c>
      <c r="H145" s="58">
        <f>IF(VLOOKUP($A145,SiteAttendu!$A$2:$O$366,9,0)="NA","NA",COUNTIFS(soccode,A145,socprog,"PNLP/MEDICAMENTS ET INTRANTS",socprompt,1))</f>
        <v>1</v>
      </c>
      <c r="I145" s="58">
        <f>IF(VLOOKUP($A145,SiteAttendu!$A$2:$O$366,10,0)="NA","NA",COUNTIFS(soccode,$A145,socprog,"PNSME/MEDICAMENTS ET INTRANTS",socprompt,1))</f>
        <v>1</v>
      </c>
      <c r="J145" s="58">
        <f>IF(VLOOKUP($A145,SiteAttendu!$A$2:$O$366,11,0)="NA","NA",COUNTIFS(soccode,$A145,socprog,"PNN/MEDICAMENTS ET INTRANTS",socprompt,1))</f>
        <v>1</v>
      </c>
      <c r="K145" s="58" t="str">
        <f>IF(VLOOKUP($A145,SiteAttendu!$A$2:$O$366,15,0)="NA","NA",IF(COUNTIF(socprog,"PNLT/SENSIBLE MEDICAMENTS ET INTRANTS")=0,"NA",COUNTIFS(soccode,$A145,socprog,"PNLT/SENSIBLE MEDICAMENTS ET INTRANTS",socprompt,1)))</f>
        <v>NA</v>
      </c>
      <c r="L145" s="60"/>
      <c r="M145" s="60">
        <f t="shared" ref="M145:S145" si="147">IFERROR(SUMIFS(E$2:E$364,$C$2:$C$364,$C145)/COUNTIFS(E$2:E$364,"&lt;&gt;NA",$C$2:$C$364,$C145),"")</f>
        <v>0.8571428571</v>
      </c>
      <c r="N145" s="60">
        <f t="shared" si="147"/>
        <v>0.6666666667</v>
      </c>
      <c r="O145" s="60" t="str">
        <f t="shared" si="147"/>
        <v/>
      </c>
      <c r="P145" s="60">
        <f t="shared" si="147"/>
        <v>1</v>
      </c>
      <c r="Q145" s="60">
        <f t="shared" si="147"/>
        <v>0.875</v>
      </c>
      <c r="R145" s="60">
        <f t="shared" si="147"/>
        <v>0.8571428571</v>
      </c>
      <c r="S145" s="60">
        <f t="shared" si="147"/>
        <v>0</v>
      </c>
      <c r="T145" s="60">
        <f t="shared" si="3"/>
        <v>0.8235294118</v>
      </c>
      <c r="U145" s="53">
        <f t="shared" si="4"/>
        <v>3</v>
      </c>
      <c r="V145" s="54">
        <f t="shared" si="5"/>
        <v>3</v>
      </c>
      <c r="W145" s="129"/>
    </row>
    <row r="146" ht="15.75" customHeight="1">
      <c r="A146" s="55" t="str">
        <f>SiteAttendu!$A144</f>
        <v>C4050</v>
      </c>
      <c r="B146" s="56" t="str">
        <f>VLOOKUP($A146,SiteAttendu!$A$2:$C$366,2,0)</f>
        <v>DISTRICT SANITAIRE NASSIAN</v>
      </c>
      <c r="C146" s="57" t="str">
        <f>VLOOKUP($A146,SiteAttendu!$A$2:$C$366,3,0)</f>
        <v>BOUNKANI</v>
      </c>
      <c r="D146" s="58">
        <f>IF(VLOOKUP(A146,SiteAttendu!$A$2:$P$366,4,0)="NA","NA",COUNTIFS(soccode,A146,socprog,"PNLS/ANTIRETROVIRAUX ET IO",socprompt,1))</f>
        <v>1</v>
      </c>
      <c r="E146" s="58">
        <f>IF(VLOOKUP($A146,SiteAttendu!$A$2:$O$366,5,0)="NA","NA",COUNTIFS(soccode,A146,socprog,"PNLS/TESTS RAPIDES ET CONSOMMABLES",socprompt,1))</f>
        <v>1</v>
      </c>
      <c r="F146" s="58" t="str">
        <f>IF(VLOOKUP($A146,SiteAttendu!$A$2:$O$366,6,0)="NA","NA",COUNTIFS(soccode,A146,socprog,"PNLS/PRODUITS DE LABORATOIRE",socprompt,1))</f>
        <v>NA</v>
      </c>
      <c r="G146" s="58" t="str">
        <f>IF(VLOOKUP($A146,SiteAttendu!$A$2:$O$366,7,0)="NA","NA",COUNTIFS(soccode,A146,socprog,"PNLS/CHARGES VIRALES",socprompt,1))</f>
        <v>NA</v>
      </c>
      <c r="H146" s="58">
        <f>IF(VLOOKUP($A146,SiteAttendu!$A$2:$O$366,9,0)="NA","NA",COUNTIFS(soccode,A146,socprog,"PNLP/MEDICAMENTS ET INTRANTS",socprompt,1))</f>
        <v>1</v>
      </c>
      <c r="I146" s="58">
        <f>IF(VLOOKUP($A146,SiteAttendu!$A$2:$O$366,10,0)="NA","NA",COUNTIFS(soccode,$A146,socprog,"PNSME/MEDICAMENTS ET INTRANTS",socprompt,1))</f>
        <v>1</v>
      </c>
      <c r="J146" s="58">
        <f>IF(VLOOKUP($A146,SiteAttendu!$A$2:$O$366,11,0)="NA","NA",COUNTIFS(soccode,$A146,socprog,"PNN/MEDICAMENTS ET INTRANTS",socprompt,1))</f>
        <v>1</v>
      </c>
      <c r="K146" s="58">
        <f>IF(VLOOKUP($A146,SiteAttendu!$A$2:$O$366,15,0)="NA","NA",IF(COUNTIF(socprog,"PNLT/SENSIBLE MEDICAMENTS ET INTRANTS")=0,"NA",COUNTIFS(soccode,$A146,socprog,"PNLT/SENSIBLE MEDICAMENTS ET INTRANTS",socprompt,1)))</f>
        <v>0</v>
      </c>
      <c r="L146" s="60"/>
      <c r="M146" s="60">
        <f t="shared" ref="M146:S146" si="148">IFERROR(SUMIFS(E$2:E$364,$C$2:$C$364,$C146)/COUNTIFS(E$2:E$364,"&lt;&gt;NA",$C$2:$C$364,$C146),"")</f>
        <v>0.8571428571</v>
      </c>
      <c r="N146" s="60">
        <f t="shared" si="148"/>
        <v>0.6666666667</v>
      </c>
      <c r="O146" s="60" t="str">
        <f t="shared" si="148"/>
        <v/>
      </c>
      <c r="P146" s="60">
        <f t="shared" si="148"/>
        <v>1</v>
      </c>
      <c r="Q146" s="60">
        <f t="shared" si="148"/>
        <v>0.875</v>
      </c>
      <c r="R146" s="60">
        <f t="shared" si="148"/>
        <v>0.8571428571</v>
      </c>
      <c r="S146" s="60">
        <f t="shared" si="148"/>
        <v>0</v>
      </c>
      <c r="T146" s="60">
        <f t="shared" si="3"/>
        <v>0.8235294118</v>
      </c>
      <c r="U146" s="53">
        <f t="shared" si="4"/>
        <v>2</v>
      </c>
      <c r="V146" s="54">
        <f t="shared" si="5"/>
        <v>2</v>
      </c>
    </row>
    <row r="147" ht="15.75" customHeight="1">
      <c r="A147" s="55" t="str">
        <f>SiteAttendu!$A145</f>
        <v>C4084</v>
      </c>
      <c r="B147" s="56" t="str">
        <f>VLOOKUP($A147,SiteAttendu!$A$2:$C$366,2,0)</f>
        <v>DISTRICT SANITAIRE TEHINI</v>
      </c>
      <c r="C147" s="57" t="str">
        <f>VLOOKUP($A147,SiteAttendu!$A$2:$C$366,3,0)</f>
        <v>BOUNKANI</v>
      </c>
      <c r="D147" s="58">
        <f>IF(VLOOKUP(A147,SiteAttendu!$A$2:$P$366,4,0)="NA","NA",COUNTIFS(soccode,A147,socprog,"PNLS/ANTIRETROVIRAUX ET IO",socprompt,1))</f>
        <v>1</v>
      </c>
      <c r="E147" s="58">
        <f>IF(VLOOKUP($A147,SiteAttendu!$A$2:$O$366,5,0)="NA","NA",COUNTIFS(soccode,A147,socprog,"PNLS/TESTS RAPIDES ET CONSOMMABLES",socprompt,1))</f>
        <v>1</v>
      </c>
      <c r="F147" s="58" t="str">
        <f>IF(VLOOKUP($A147,SiteAttendu!$A$2:$O$366,6,0)="NA","NA",COUNTIFS(soccode,A147,socprog,"PNLS/PRODUITS DE LABORATOIRE",socprompt,1))</f>
        <v>NA</v>
      </c>
      <c r="G147" s="58" t="str">
        <f>IF(VLOOKUP($A147,SiteAttendu!$A$2:$O$366,7,0)="NA","NA",COUNTIFS(soccode,A147,socprog,"PNLS/CHARGES VIRALES",socprompt,1))</f>
        <v>NA</v>
      </c>
      <c r="H147" s="58">
        <f>IF(VLOOKUP($A147,SiteAttendu!$A$2:$O$366,9,0)="NA","NA",COUNTIFS(soccode,A147,socprog,"PNLP/MEDICAMENTS ET INTRANTS",socprompt,1))</f>
        <v>1</v>
      </c>
      <c r="I147" s="58">
        <f>IF(VLOOKUP($A147,SiteAttendu!$A$2:$O$366,10,0)="NA","NA",COUNTIFS(soccode,$A147,socprog,"PNSME/MEDICAMENTS ET INTRANTS",socprompt,1))</f>
        <v>1</v>
      </c>
      <c r="J147" s="58">
        <f>IF(VLOOKUP($A147,SiteAttendu!$A$2:$O$366,11,0)="NA","NA",COUNTIFS(soccode,$A147,socprog,"PNN/MEDICAMENTS ET INTRANTS",socprompt,1))</f>
        <v>1</v>
      </c>
      <c r="K147" s="58" t="str">
        <f>IF(VLOOKUP($A147,SiteAttendu!$A$2:$O$366,15,0)="NA","NA",IF(COUNTIF(socprog,"PNLT/SENSIBLE MEDICAMENTS ET INTRANTS")=0,"NA",COUNTIFS(soccode,$A147,socprog,"PNLT/SENSIBLE MEDICAMENTS ET INTRANTS",socprompt,1)))</f>
        <v>NA</v>
      </c>
      <c r="L147" s="60"/>
      <c r="M147" s="60">
        <f t="shared" ref="M147:S147" si="149">IFERROR(SUMIFS(E$2:E$364,$C$2:$C$364,$C147)/COUNTIFS(E$2:E$364,"&lt;&gt;NA",$C$2:$C$364,$C147),"")</f>
        <v>0.8571428571</v>
      </c>
      <c r="N147" s="60">
        <f t="shared" si="149"/>
        <v>0.6666666667</v>
      </c>
      <c r="O147" s="60" t="str">
        <f t="shared" si="149"/>
        <v/>
      </c>
      <c r="P147" s="60">
        <f t="shared" si="149"/>
        <v>1</v>
      </c>
      <c r="Q147" s="60">
        <f t="shared" si="149"/>
        <v>0.875</v>
      </c>
      <c r="R147" s="60">
        <f t="shared" si="149"/>
        <v>0.8571428571</v>
      </c>
      <c r="S147" s="60">
        <f t="shared" si="149"/>
        <v>0</v>
      </c>
      <c r="T147" s="60">
        <f t="shared" si="3"/>
        <v>0.8235294118</v>
      </c>
      <c r="U147" s="53">
        <f t="shared" si="4"/>
        <v>2</v>
      </c>
      <c r="V147" s="54">
        <f t="shared" si="5"/>
        <v>2</v>
      </c>
    </row>
    <row r="148" ht="15.75" customHeight="1">
      <c r="A148" s="55" t="str">
        <f>SiteAttendu!$A146</f>
        <v>C4088</v>
      </c>
      <c r="B148" s="56" t="str">
        <f>VLOOKUP($A148,SiteAttendu!$A$2:$C$366,2,0)</f>
        <v>HOPITAL GENERAL TEHINI</v>
      </c>
      <c r="C148" s="57" t="str">
        <f>VLOOKUP($A148,SiteAttendu!$A$2:$C$366,3,0)</f>
        <v>BOUNKANI</v>
      </c>
      <c r="D148" s="58" t="str">
        <f>IF(VLOOKUP(A148,SiteAttendu!$A$2:$P$366,4,0)="NA","NA",COUNTIFS(soccode,A148,socprog,"PNLS/ANTIRETROVIRAUX ET IO",socprompt,1))</f>
        <v>NA</v>
      </c>
      <c r="E148" s="58" t="str">
        <f>IF(VLOOKUP($A148,SiteAttendu!$A$2:$O$366,5,0)="NA","NA",COUNTIFS(soccode,A148,socprog,"PNLS/TESTS RAPIDES ET CONSOMMABLES",socprompt,1))</f>
        <v>NA</v>
      </c>
      <c r="F148" s="58" t="str">
        <f>IF(VLOOKUP($A148,SiteAttendu!$A$2:$O$366,6,0)="NA","NA",COUNTIFS(soccode,A148,socprog,"PNLS/PRODUITS DE LABORATOIRE",socprompt,1))</f>
        <v>NA</v>
      </c>
      <c r="G148" s="58" t="str">
        <f>IF(VLOOKUP($A148,SiteAttendu!$A$2:$O$366,7,0)="NA","NA",COUNTIFS(soccode,A148,socprog,"PNLS/CHARGES VIRALES",socprompt,1))</f>
        <v>NA</v>
      </c>
      <c r="H148" s="58">
        <f>IF(VLOOKUP($A148,SiteAttendu!$A$2:$O$366,9,0)="NA","NA",COUNTIFS(soccode,A148,socprog,"PNLP/MEDICAMENTS ET INTRANTS",socprompt,1))</f>
        <v>1</v>
      </c>
      <c r="I148" s="58">
        <f>IF(VLOOKUP($A148,SiteAttendu!$A$2:$O$366,10,0)="NA","NA",COUNTIFS(soccode,$A148,socprog,"PNSME/MEDICAMENTS ET INTRANTS",socprompt,1))</f>
        <v>1</v>
      </c>
      <c r="J148" s="58" t="str">
        <f>IF(VLOOKUP($A148,SiteAttendu!$A$2:$O$366,11,0)="NA","NA",COUNTIFS(soccode,$A148,socprog,"PNN/MEDICAMENTS ET INTRANTS",socprompt,1))</f>
        <v>NA</v>
      </c>
      <c r="K148" s="58" t="str">
        <f>IF(VLOOKUP($A148,SiteAttendu!$A$2:$O$366,15,0)="NA","NA",IF(COUNTIF(socprog,"PNLT/SENSIBLE MEDICAMENTS ET INTRANTS")=0,"NA",COUNTIFS(soccode,$A148,socprog,"PNLT/SENSIBLE MEDICAMENTS ET INTRANTS",socprompt,1)))</f>
        <v>NA</v>
      </c>
      <c r="L148" s="67"/>
      <c r="M148" s="67">
        <f t="shared" ref="M148:S148" si="150">IFERROR(SUMIFS(E$2:E$364,$C$2:$C$364,$C148)/COUNTIFS(E$2:E$364,"&lt;&gt;NA",$C$2:$C$364,$C148),"")</f>
        <v>0.8571428571</v>
      </c>
      <c r="N148" s="67">
        <f t="shared" si="150"/>
        <v>0.6666666667</v>
      </c>
      <c r="O148" s="67" t="str">
        <f t="shared" si="150"/>
        <v/>
      </c>
      <c r="P148" s="67">
        <f t="shared" si="150"/>
        <v>1</v>
      </c>
      <c r="Q148" s="67">
        <f t="shared" si="150"/>
        <v>0.875</v>
      </c>
      <c r="R148" s="67">
        <f t="shared" si="150"/>
        <v>0.8571428571</v>
      </c>
      <c r="S148" s="67">
        <f t="shared" si="150"/>
        <v>0</v>
      </c>
      <c r="T148" s="67">
        <f t="shared" si="3"/>
        <v>0.8235294118</v>
      </c>
      <c r="U148" s="53">
        <f t="shared" si="4"/>
        <v>0</v>
      </c>
      <c r="V148" s="54">
        <f t="shared" si="5"/>
        <v>0</v>
      </c>
    </row>
    <row r="149" ht="15.75" customHeight="1">
      <c r="A149" s="46" t="str">
        <f>SiteAttendu!$A149</f>
        <v>C5017</v>
      </c>
      <c r="B149" s="47" t="str">
        <f>VLOOKUP($A149,SiteAttendu!$A$2:$C$366,2,0)</f>
        <v>HOPITAL GENERAL BLOLEQUIN</v>
      </c>
      <c r="C149" s="48" t="str">
        <f>VLOOKUP($A149,SiteAttendu!$A$2:$C$366,3,0)</f>
        <v>CAVALLY</v>
      </c>
      <c r="D149" s="49">
        <f>IF(VLOOKUP(A149,SiteAttendu!$A$2:$P$366,4,0)="NA","NA",COUNTIFS(soccode,A149,socprog,"PNLS/ANTIRETROVIRAUX ET IO",socprompt,1))</f>
        <v>1</v>
      </c>
      <c r="E149" s="49">
        <f>IF(VLOOKUP($A149,SiteAttendu!$A$2:$O$366,5,0)="NA","NA",COUNTIFS(soccode,A149,socprog,"PNLS/TESTS RAPIDES ET CONSOMMABLES",socprompt,1))</f>
        <v>1</v>
      </c>
      <c r="F149" s="49">
        <f>IF(VLOOKUP($A149,SiteAttendu!$A$2:$O$366,6,0)="NA","NA",COUNTIFS(soccode,A149,socprog,"PNLS/PRODUITS DE LABORATOIRE",socprompt,1))</f>
        <v>1</v>
      </c>
      <c r="G149" s="49" t="str">
        <f>IF(VLOOKUP($A149,SiteAttendu!$A$2:$O$366,7,0)="NA","NA",COUNTIFS(soccode,A149,socprog,"PNLS/CHARGES VIRALES",socprompt,1))</f>
        <v>NA</v>
      </c>
      <c r="H149" s="49">
        <f>IF(VLOOKUP($A149,SiteAttendu!$A$2:$O$366,9,0)="NA","NA",COUNTIFS(soccode,A149,socprog,"PNLP/MEDICAMENTS ET INTRANTS",socprompt,1))</f>
        <v>0</v>
      </c>
      <c r="I149" s="49">
        <f>IF(VLOOKUP($A149,SiteAttendu!$A$2:$O$366,10,0)="NA","NA",COUNTIFS(soccode,$A149,socprog,"PNSME/MEDICAMENTS ET INTRANTS",socprompt,1))</f>
        <v>1</v>
      </c>
      <c r="J149" s="49">
        <f>IF(VLOOKUP($A149,SiteAttendu!$A$2:$O$366,11,0)="NA","NA",COUNTIFS(soccode,$A149,socprog,"PNN/MEDICAMENTS ET INTRANTS",socprompt,1))</f>
        <v>1</v>
      </c>
      <c r="K149" s="49">
        <f>IF(VLOOKUP($A149,SiteAttendu!$A$2:$O$366,15,0)="NA","NA",IF(COUNTIF(socprog,"PNLT/SENSIBLE MEDICAMENTS ET INTRANTS")=0,"NA",COUNTIFS(soccode,$A149,socprog,"PNLT/SENSIBLE MEDICAMENTS ET INTRANTS",socprompt,1)))</f>
        <v>1</v>
      </c>
      <c r="L149" s="51">
        <f t="shared" ref="L149:S149" si="151">IFERROR(SUMIFS(D$2:D$364,$C$2:$C$364,$C149)/COUNTIFS(D$2:D$364,"&lt;&gt;NA",$C$2:$C$364,$C149),"")</f>
        <v>0.75</v>
      </c>
      <c r="M149" s="125">
        <f t="shared" si="151"/>
        <v>0.75</v>
      </c>
      <c r="N149" s="125">
        <f t="shared" si="151"/>
        <v>0.6</v>
      </c>
      <c r="O149" s="125">
        <f t="shared" si="151"/>
        <v>0</v>
      </c>
      <c r="P149" s="125">
        <f t="shared" si="151"/>
        <v>0.625</v>
      </c>
      <c r="Q149" s="125">
        <f t="shared" si="151"/>
        <v>0.75</v>
      </c>
      <c r="R149" s="125">
        <f t="shared" si="151"/>
        <v>0.75</v>
      </c>
      <c r="S149" s="125">
        <f t="shared" si="151"/>
        <v>0.8333333333</v>
      </c>
      <c r="T149" s="126">
        <f t="shared" si="3"/>
        <v>0.6818181818</v>
      </c>
      <c r="U149" s="53">
        <f t="shared" si="4"/>
        <v>3</v>
      </c>
      <c r="V149" s="54">
        <f t="shared" si="5"/>
        <v>3</v>
      </c>
    </row>
    <row r="150" ht="15.75" customHeight="1">
      <c r="A150" s="55" t="str">
        <f>SiteAttendu!$A150</f>
        <v>C5045</v>
      </c>
      <c r="B150" s="56" t="str">
        <f>VLOOKUP($A150,SiteAttendu!$A$2:$C$366,2,0)</f>
        <v>DISTRICT SANITAIRE  BLOLEQUIN</v>
      </c>
      <c r="C150" s="57" t="str">
        <f>VLOOKUP($A150,SiteAttendu!$A$2:$C$366,3,0)</f>
        <v>CAVALLY</v>
      </c>
      <c r="D150" s="58">
        <f>IF(VLOOKUP(A150,SiteAttendu!$A$2:$P$366,4,0)="NA","NA",COUNTIFS(soccode,A150,socprog,"PNLS/ANTIRETROVIRAUX ET IO",socprompt,1))</f>
        <v>1</v>
      </c>
      <c r="E150" s="58">
        <f>IF(VLOOKUP($A150,SiteAttendu!$A$2:$O$366,5,0)="NA","NA",COUNTIFS(soccode,A150,socprog,"PNLS/TESTS RAPIDES ET CONSOMMABLES",socprompt,1))</f>
        <v>1</v>
      </c>
      <c r="F150" s="58" t="str">
        <f>IF(VLOOKUP($A150,SiteAttendu!$A$2:$O$366,6,0)="NA","NA",COUNTIFS(soccode,A150,socprog,"PNLS/PRODUITS DE LABORATOIRE",socprompt,1))</f>
        <v>NA</v>
      </c>
      <c r="G150" s="58" t="str">
        <f>IF(VLOOKUP($A150,SiteAttendu!$A$2:$O$366,7,0)="NA","NA",COUNTIFS(soccode,A150,socprog,"PNLS/CHARGES VIRALES",socprompt,1))</f>
        <v>NA</v>
      </c>
      <c r="H150" s="58">
        <f>IF(VLOOKUP($A150,SiteAttendu!$A$2:$O$366,9,0)="NA","NA",COUNTIFS(soccode,A150,socprog,"PNLP/MEDICAMENTS ET INTRANTS",socprompt,1))</f>
        <v>1</v>
      </c>
      <c r="I150" s="58">
        <f>IF(VLOOKUP($A150,SiteAttendu!$A$2:$O$366,10,0)="NA","NA",COUNTIFS(soccode,$A150,socprog,"PNSME/MEDICAMENTS ET INTRANTS",socprompt,1))</f>
        <v>1</v>
      </c>
      <c r="J150" s="58">
        <f>IF(VLOOKUP($A150,SiteAttendu!$A$2:$O$366,11,0)="NA","NA",COUNTIFS(soccode,$A150,socprog,"PNN/MEDICAMENTS ET INTRANTS",socprompt,1))</f>
        <v>1</v>
      </c>
      <c r="K150" s="58" t="str">
        <f>IF(VLOOKUP($A150,SiteAttendu!$A$2:$O$366,15,0)="NA","NA",IF(COUNTIF(socprog,"PNLT/SENSIBLE MEDICAMENTS ET INTRANTS")=0,"NA",COUNTIFS(soccode,$A150,socprog,"PNLT/SENSIBLE MEDICAMENTS ET INTRANTS",socprompt,1)))</f>
        <v>NA</v>
      </c>
      <c r="L150" s="60"/>
      <c r="M150" s="85">
        <f t="shared" ref="M150:S150" si="152">IFERROR(SUMIFS(E$2:E$364,$C$2:$C$364,$C150)/COUNTIFS(E$2:E$364,"&lt;&gt;NA",$C$2:$C$364,$C150),"")</f>
        <v>0.75</v>
      </c>
      <c r="N150" s="85">
        <f t="shared" si="152"/>
        <v>0.6</v>
      </c>
      <c r="O150" s="85">
        <f t="shared" si="152"/>
        <v>0</v>
      </c>
      <c r="P150" s="85">
        <f t="shared" si="152"/>
        <v>0.625</v>
      </c>
      <c r="Q150" s="85">
        <f t="shared" si="152"/>
        <v>0.75</v>
      </c>
      <c r="R150" s="85">
        <f t="shared" si="152"/>
        <v>0.75</v>
      </c>
      <c r="S150" s="85">
        <f t="shared" si="152"/>
        <v>0.8333333333</v>
      </c>
      <c r="T150" s="127">
        <f t="shared" si="3"/>
        <v>0.6818181818</v>
      </c>
      <c r="U150" s="53">
        <f t="shared" si="4"/>
        <v>2</v>
      </c>
      <c r="V150" s="54">
        <f t="shared" si="5"/>
        <v>2</v>
      </c>
    </row>
    <row r="151" ht="15.75" customHeight="1">
      <c r="A151" s="55" t="str">
        <f>SiteAttendu!$A151</f>
        <v>C5002</v>
      </c>
      <c r="B151" s="56" t="str">
        <f>VLOOKUP($A151,SiteAttendu!$A$2:$C$366,2,0)</f>
        <v>CHR GUIGLO</v>
      </c>
      <c r="C151" s="57" t="str">
        <f>VLOOKUP($A151,SiteAttendu!$A$2:$C$366,3,0)</f>
        <v>CAVALLY</v>
      </c>
      <c r="D151" s="58">
        <f>IF(VLOOKUP(A151,SiteAttendu!$A$2:$P$366,4,0)="NA","NA",COUNTIFS(soccode,A151,socprog,"PNLS/ANTIRETROVIRAUX ET IO",socprompt,1))</f>
        <v>0</v>
      </c>
      <c r="E151" s="58">
        <f>IF(VLOOKUP($A151,SiteAttendu!$A$2:$O$366,5,0)="NA","NA",COUNTIFS(soccode,A151,socprog,"PNLS/TESTS RAPIDES ET CONSOMMABLES",socprompt,1))</f>
        <v>0</v>
      </c>
      <c r="F151" s="58">
        <f>IF(VLOOKUP($A151,SiteAttendu!$A$2:$O$366,6,0)="NA","NA",COUNTIFS(soccode,A151,socprog,"PNLS/PRODUITS DE LABORATOIRE",socprompt,1))</f>
        <v>0</v>
      </c>
      <c r="G151" s="58">
        <f>IF(VLOOKUP($A151,SiteAttendu!$A$2:$O$366,7,0)="NA","NA",COUNTIFS(soccode,A151,socprog,"PNLS/CHARGES VIRALES",socprompt,1))</f>
        <v>0</v>
      </c>
      <c r="H151" s="58">
        <f>IF(VLOOKUP($A151,SiteAttendu!$A$2:$O$366,9,0)="NA","NA",COUNTIFS(soccode,A151,socprog,"PNLP/MEDICAMENTS ET INTRANTS",socprompt,1))</f>
        <v>0</v>
      </c>
      <c r="I151" s="58">
        <f>IF(VLOOKUP($A151,SiteAttendu!$A$2:$O$366,10,0)="NA","NA",COUNTIFS(soccode,$A151,socprog,"PNSME/MEDICAMENTS ET INTRANTS",socprompt,1))</f>
        <v>0</v>
      </c>
      <c r="J151" s="58">
        <f>IF(VLOOKUP($A151,SiteAttendu!$A$2:$O$366,11,0)="NA","NA",COUNTIFS(soccode,$A151,socprog,"PNN/MEDICAMENTS ET INTRANTS",socprompt,1))</f>
        <v>0</v>
      </c>
      <c r="K151" s="58" t="str">
        <f>IF(VLOOKUP($A151,SiteAttendu!$A$2:$O$366,15,0)="NA","NA",IF(COUNTIF(socprog,"PNLT/SENSIBLE MEDICAMENTS ET INTRANTS")=0,"NA",COUNTIFS(soccode,$A151,socprog,"PNLT/SENSIBLE MEDICAMENTS ET INTRANTS",socprompt,1)))</f>
        <v>NA</v>
      </c>
      <c r="L151" s="60"/>
      <c r="M151" s="85">
        <f t="shared" ref="M151:S151" si="153">IFERROR(SUMIFS(E$2:E$364,$C$2:$C$364,$C151)/COUNTIFS(E$2:E$364,"&lt;&gt;NA",$C$2:$C$364,$C151),"")</f>
        <v>0.75</v>
      </c>
      <c r="N151" s="85">
        <f t="shared" si="153"/>
        <v>0.6</v>
      </c>
      <c r="O151" s="85">
        <f t="shared" si="153"/>
        <v>0</v>
      </c>
      <c r="P151" s="85">
        <f t="shared" si="153"/>
        <v>0.625</v>
      </c>
      <c r="Q151" s="85">
        <f t="shared" si="153"/>
        <v>0.75</v>
      </c>
      <c r="R151" s="85">
        <f t="shared" si="153"/>
        <v>0.75</v>
      </c>
      <c r="S151" s="85">
        <f t="shared" si="153"/>
        <v>0.8333333333</v>
      </c>
      <c r="T151" s="127">
        <f t="shared" si="3"/>
        <v>0.6818181818</v>
      </c>
      <c r="U151" s="53">
        <f t="shared" si="4"/>
        <v>0</v>
      </c>
      <c r="V151" s="54">
        <f t="shared" si="5"/>
        <v>4</v>
      </c>
    </row>
    <row r="152" ht="15.75" customHeight="1">
      <c r="A152" s="55" t="str">
        <f>SiteAttendu!$A152</f>
        <v>C5011</v>
      </c>
      <c r="B152" s="56" t="str">
        <f>VLOOKUP($A152,SiteAttendu!$A$2:$C$366,2,0)</f>
        <v>DISTRICT SANITAIRE  GUIGLO</v>
      </c>
      <c r="C152" s="57" t="str">
        <f>VLOOKUP($A152,SiteAttendu!$A$2:$C$366,3,0)</f>
        <v>CAVALLY</v>
      </c>
      <c r="D152" s="58">
        <f>IF(VLOOKUP(A152,SiteAttendu!$A$2:$P$366,4,0)="NA","NA",COUNTIFS(soccode,A152,socprog,"PNLS/ANTIRETROVIRAUX ET IO",socprompt,1))</f>
        <v>1</v>
      </c>
      <c r="E152" s="58">
        <f>IF(VLOOKUP($A152,SiteAttendu!$A$2:$O$366,5,0)="NA","NA",COUNTIFS(soccode,A152,socprog,"PNLS/TESTS RAPIDES ET CONSOMMABLES",socprompt,1))</f>
        <v>1</v>
      </c>
      <c r="F152" s="58">
        <f>IF(VLOOKUP($A152,SiteAttendu!$A$2:$O$366,6,0)="NA","NA",COUNTIFS(soccode,A152,socprog,"PNLS/PRODUITS DE LABORATOIRE",socprompt,1))</f>
        <v>1</v>
      </c>
      <c r="G152" s="58" t="str">
        <f>IF(VLOOKUP($A152,SiteAttendu!$A$2:$O$366,7,0)="NA","NA",COUNTIFS(soccode,A152,socprog,"PNLS/CHARGES VIRALES",socprompt,1))</f>
        <v>NA</v>
      </c>
      <c r="H152" s="58">
        <f>IF(VLOOKUP($A152,SiteAttendu!$A$2:$O$366,9,0)="NA","NA",COUNTIFS(soccode,A152,socprog,"PNLP/MEDICAMENTS ET INTRANTS",socprompt,1))</f>
        <v>1</v>
      </c>
      <c r="I152" s="58">
        <f>IF(VLOOKUP($A152,SiteAttendu!$A$2:$O$366,10,0)="NA","NA",COUNTIFS(soccode,$A152,socprog,"PNSME/MEDICAMENTS ET INTRANTS",socprompt,1))</f>
        <v>1</v>
      </c>
      <c r="J152" s="58">
        <f>IF(VLOOKUP($A152,SiteAttendu!$A$2:$O$366,11,0)="NA","NA",COUNTIFS(soccode,$A152,socprog,"PNN/MEDICAMENTS ET INTRANTS",socprompt,1))</f>
        <v>1</v>
      </c>
      <c r="K152" s="58">
        <f>IF(VLOOKUP($A152,SiteAttendu!$A$2:$O$366,15,0)="NA","NA",IF(COUNTIF(socprog,"PNLT/SENSIBLE MEDICAMENTS ET INTRANTS")=0,"NA",COUNTIFS(soccode,$A152,socprog,"PNLT/SENSIBLE MEDICAMENTS ET INTRANTS",socprompt,1)))</f>
        <v>1</v>
      </c>
      <c r="L152" s="60"/>
      <c r="M152" s="85">
        <f t="shared" ref="M152:S152" si="154">IFERROR(SUMIFS(E$2:E$364,$C$2:$C$364,$C152)/COUNTIFS(E$2:E$364,"&lt;&gt;NA",$C$2:$C$364,$C152),"")</f>
        <v>0.75</v>
      </c>
      <c r="N152" s="85">
        <f t="shared" si="154"/>
        <v>0.6</v>
      </c>
      <c r="O152" s="85">
        <f t="shared" si="154"/>
        <v>0</v>
      </c>
      <c r="P152" s="85">
        <f t="shared" si="154"/>
        <v>0.625</v>
      </c>
      <c r="Q152" s="85">
        <f t="shared" si="154"/>
        <v>0.75</v>
      </c>
      <c r="R152" s="85">
        <f t="shared" si="154"/>
        <v>0.75</v>
      </c>
      <c r="S152" s="85">
        <f t="shared" si="154"/>
        <v>0.8333333333</v>
      </c>
      <c r="T152" s="127">
        <f t="shared" si="3"/>
        <v>0.6818181818</v>
      </c>
      <c r="U152" s="53">
        <f t="shared" si="4"/>
        <v>3</v>
      </c>
      <c r="V152" s="54">
        <f t="shared" si="5"/>
        <v>3</v>
      </c>
    </row>
    <row r="153" ht="15.75" customHeight="1">
      <c r="A153" s="55" t="str">
        <f>SiteAttendu!$A153</f>
        <v>C5068</v>
      </c>
      <c r="B153" s="56" t="str">
        <f>VLOOKUP($A153,SiteAttendu!$A$2:$C$366,2,0)</f>
        <v>CENTRE ANTITUBERCULEUX GUIGLO</v>
      </c>
      <c r="C153" s="57" t="str">
        <f>VLOOKUP($A153,SiteAttendu!$A$2:$C$366,3,0)</f>
        <v>CAVALLY</v>
      </c>
      <c r="D153" s="58" t="str">
        <f>IF(VLOOKUP(A153,SiteAttendu!$A$2:$P$366,4,0)="NA","NA",COUNTIFS(soccode,A153,socprog,"PNLS/ANTIRETROVIRAUX ET IO",socprompt,1))</f>
        <v>NA</v>
      </c>
      <c r="E153" s="58" t="str">
        <f>IF(VLOOKUP($A153,SiteAttendu!$A$2:$O$366,5,0)="NA","NA",COUNTIFS(soccode,A153,socprog,"PNLS/TESTS RAPIDES ET CONSOMMABLES",socprompt,1))</f>
        <v>NA</v>
      </c>
      <c r="F153" s="58" t="str">
        <f>IF(VLOOKUP($A153,SiteAttendu!$A$2:$O$366,6,0)="NA","NA",COUNTIFS(soccode,A153,socprog,"PNLS/PRODUITS DE LABORATOIRE",socprompt,1))</f>
        <v>NA</v>
      </c>
      <c r="G153" s="58" t="str">
        <f>IF(VLOOKUP($A153,SiteAttendu!$A$2:$O$366,7,0)="NA","NA",COUNTIFS(soccode,A153,socprog,"PNLS/CHARGES VIRALES",socprompt,1))</f>
        <v>NA</v>
      </c>
      <c r="H153" s="58" t="str">
        <f>IF(VLOOKUP($A153,SiteAttendu!$A$2:$O$366,9,0)="NA","NA",COUNTIFS(soccode,A153,socprog,"PNLP/MEDICAMENTS ET INTRANTS",socprompt,1))</f>
        <v>NA</v>
      </c>
      <c r="I153" s="58" t="str">
        <f>IF(VLOOKUP($A153,SiteAttendu!$A$2:$O$366,10,0)="NA","NA",COUNTIFS(soccode,$A153,socprog,"PNSME/MEDICAMENTS ET INTRANTS",socprompt,1))</f>
        <v>NA</v>
      </c>
      <c r="J153" s="58" t="str">
        <f>IF(VLOOKUP($A153,SiteAttendu!$A$2:$O$366,11,0)="NA","NA",COUNTIFS(soccode,$A153,socprog,"PNN/MEDICAMENTS ET INTRANTS",socprompt,1))</f>
        <v>NA</v>
      </c>
      <c r="K153" s="58">
        <f>IF(VLOOKUP($A153,SiteAttendu!$A$2:$O$366,15,0)="NA","NA",IF(COUNTIF(socprog,"PNLT/SENSIBLE MEDICAMENTS ET INTRANTS")=0,"NA",COUNTIFS(soccode,$A153,socprog,"PNLT/SENSIBLE MEDICAMENTS ET INTRANTS",socprompt,1)))</f>
        <v>0</v>
      </c>
      <c r="L153" s="60"/>
      <c r="M153" s="85">
        <f t="shared" ref="M153:S153" si="155">IFERROR(SUMIFS(E$2:E$364,$C$2:$C$364,$C153)/COUNTIFS(E$2:E$364,"&lt;&gt;NA",$C$2:$C$364,$C153),"")</f>
        <v>0.75</v>
      </c>
      <c r="N153" s="85">
        <f t="shared" si="155"/>
        <v>0.6</v>
      </c>
      <c r="O153" s="85">
        <f t="shared" si="155"/>
        <v>0</v>
      </c>
      <c r="P153" s="85">
        <f t="shared" si="155"/>
        <v>0.625</v>
      </c>
      <c r="Q153" s="85">
        <f t="shared" si="155"/>
        <v>0.75</v>
      </c>
      <c r="R153" s="85">
        <f t="shared" si="155"/>
        <v>0.75</v>
      </c>
      <c r="S153" s="85">
        <f t="shared" si="155"/>
        <v>0.8333333333</v>
      </c>
      <c r="T153" s="127">
        <f t="shared" si="3"/>
        <v>0.6818181818</v>
      </c>
      <c r="U153" s="53">
        <f t="shared" si="4"/>
        <v>0</v>
      </c>
      <c r="V153" s="54">
        <f t="shared" si="5"/>
        <v>0</v>
      </c>
    </row>
    <row r="154" ht="15.75" customHeight="1">
      <c r="A154" s="55" t="str">
        <f>SiteAttendu!$A154</f>
        <v>C5070</v>
      </c>
      <c r="B154" s="56" t="str">
        <f>VLOOKUP($A154,SiteAttendu!$A$2:$C$366,2,0)</f>
        <v>DISTRICT SANITAIRE TAI</v>
      </c>
      <c r="C154" s="57" t="str">
        <f>VLOOKUP($A154,SiteAttendu!$A$2:$C$366,3,0)</f>
        <v>CAVALLY</v>
      </c>
      <c r="D154" s="58">
        <f>IF(VLOOKUP(A154,SiteAttendu!$A$2:$P$366,4,0)="NA","NA",COUNTIFS(soccode,A154,socprog,"PNLS/ANTIRETROVIRAUX ET IO",socprompt,1))</f>
        <v>1</v>
      </c>
      <c r="E154" s="58">
        <f>IF(VLOOKUP($A154,SiteAttendu!$A$2:$O$366,5,0)="NA","NA",COUNTIFS(soccode,A154,socprog,"PNLS/TESTS RAPIDES ET CONSOMMABLES",socprompt,1))</f>
        <v>1</v>
      </c>
      <c r="F154" s="58" t="str">
        <f>IF(VLOOKUP($A154,SiteAttendu!$A$2:$O$366,6,0)="NA","NA",COUNTIFS(soccode,A154,socprog,"PNLS/PRODUITS DE LABORATOIRE",socprompt,1))</f>
        <v>NA</v>
      </c>
      <c r="G154" s="58" t="str">
        <f>IF(VLOOKUP($A154,SiteAttendu!$A$2:$O$366,7,0)="NA","NA",COUNTIFS(soccode,A154,socprog,"PNLS/CHARGES VIRALES",socprompt,1))</f>
        <v>NA</v>
      </c>
      <c r="H154" s="58">
        <f>IF(VLOOKUP($A154,SiteAttendu!$A$2:$O$366,9,0)="NA","NA",COUNTIFS(soccode,A154,socprog,"PNLP/MEDICAMENTS ET INTRANTS",socprompt,1))</f>
        <v>1</v>
      </c>
      <c r="I154" s="58">
        <f>IF(VLOOKUP($A154,SiteAttendu!$A$2:$O$366,10,0)="NA","NA",COUNTIFS(soccode,$A154,socprog,"PNSME/MEDICAMENTS ET INTRANTS",socprompt,1))</f>
        <v>1</v>
      </c>
      <c r="J154" s="58">
        <f>IF(VLOOKUP($A154,SiteAttendu!$A$2:$O$366,11,0)="NA","NA",COUNTIFS(soccode,$A154,socprog,"PNN/MEDICAMENTS ET INTRANTS",socprompt,1))</f>
        <v>1</v>
      </c>
      <c r="K154" s="58">
        <f>IF(VLOOKUP($A154,SiteAttendu!$A$2:$O$366,15,0)="NA","NA",IF(COUNTIF(socprog,"PNLT/SENSIBLE MEDICAMENTS ET INTRANTS")=0,"NA",COUNTIFS(soccode,$A154,socprog,"PNLT/SENSIBLE MEDICAMENTS ET INTRANTS",socprompt,1)))</f>
        <v>1</v>
      </c>
      <c r="L154" s="60"/>
      <c r="M154" s="85">
        <f t="shared" ref="M154:S154" si="156">IFERROR(SUMIFS(E$2:E$364,$C$2:$C$364,$C154)/COUNTIFS(E$2:E$364,"&lt;&gt;NA",$C$2:$C$364,$C154),"")</f>
        <v>0.75</v>
      </c>
      <c r="N154" s="85">
        <f t="shared" si="156"/>
        <v>0.6</v>
      </c>
      <c r="O154" s="85">
        <f t="shared" si="156"/>
        <v>0</v>
      </c>
      <c r="P154" s="85">
        <f t="shared" si="156"/>
        <v>0.625</v>
      </c>
      <c r="Q154" s="85">
        <f t="shared" si="156"/>
        <v>0.75</v>
      </c>
      <c r="R154" s="85">
        <f t="shared" si="156"/>
        <v>0.75</v>
      </c>
      <c r="S154" s="85">
        <f t="shared" si="156"/>
        <v>0.8333333333</v>
      </c>
      <c r="T154" s="127">
        <f t="shared" si="3"/>
        <v>0.6818181818</v>
      </c>
      <c r="U154" s="53">
        <f t="shared" si="4"/>
        <v>2</v>
      </c>
      <c r="V154" s="54">
        <f t="shared" si="5"/>
        <v>2</v>
      </c>
    </row>
    <row r="155" ht="15.75" customHeight="1">
      <c r="A155" s="55" t="str">
        <f>SiteAttendu!$A155</f>
        <v>C5085</v>
      </c>
      <c r="B155" s="56" t="str">
        <f>VLOOKUP($A155,SiteAttendu!$A$2:$C$366,2,0)</f>
        <v>HOPITAL GENERAL TAI</v>
      </c>
      <c r="C155" s="57" t="str">
        <f>VLOOKUP($A155,SiteAttendu!$A$2:$C$366,3,0)</f>
        <v>CAVALLY</v>
      </c>
      <c r="D155" s="58">
        <f>IF(VLOOKUP(A155,SiteAttendu!$A$2:$P$366,4,0)="NA","NA",COUNTIFS(soccode,A155,socprog,"PNLS/ANTIRETROVIRAUX ET IO",socprompt,1))</f>
        <v>1</v>
      </c>
      <c r="E155" s="58">
        <f>IF(VLOOKUP($A155,SiteAttendu!$A$2:$O$366,5,0)="NA","NA",COUNTIFS(soccode,A155,socprog,"PNLS/TESTS RAPIDES ET CONSOMMABLES",socprompt,1))</f>
        <v>1</v>
      </c>
      <c r="F155" s="58">
        <f>IF(VLOOKUP($A155,SiteAttendu!$A$2:$O$366,6,0)="NA","NA",COUNTIFS(soccode,A155,socprog,"PNLS/PRODUITS DE LABORATOIRE",socprompt,1))</f>
        <v>1</v>
      </c>
      <c r="G155" s="58" t="str">
        <f>IF(VLOOKUP($A155,SiteAttendu!$A$2:$O$366,7,0)="NA","NA",COUNTIFS(soccode,A155,socprog,"PNLS/CHARGES VIRALES",socprompt,1))</f>
        <v>NA</v>
      </c>
      <c r="H155" s="58">
        <f>IF(VLOOKUP($A155,SiteAttendu!$A$2:$O$366,9,0)="NA","NA",COUNTIFS(soccode,A155,socprog,"PNLP/MEDICAMENTS ET INTRANTS",socprompt,1))</f>
        <v>1</v>
      </c>
      <c r="I155" s="58">
        <f>IF(VLOOKUP($A155,SiteAttendu!$A$2:$O$366,10,0)="NA","NA",COUNTIFS(soccode,$A155,socprog,"PNSME/MEDICAMENTS ET INTRANTS",socprompt,1))</f>
        <v>1</v>
      </c>
      <c r="J155" s="58">
        <f>IF(VLOOKUP($A155,SiteAttendu!$A$2:$O$366,11,0)="NA","NA",COUNTIFS(soccode,$A155,socprog,"PNN/MEDICAMENTS ET INTRANTS",socprompt,1))</f>
        <v>1</v>
      </c>
      <c r="K155" s="58">
        <f>IF(VLOOKUP($A155,SiteAttendu!$A$2:$O$366,15,0)="NA","NA",IF(COUNTIF(socprog,"PNLT/SENSIBLE MEDICAMENTS ET INTRANTS")=0,"NA",COUNTIFS(soccode,$A155,socprog,"PNLT/SENSIBLE MEDICAMENTS ET INTRANTS",socprompt,1)))</f>
        <v>1</v>
      </c>
      <c r="L155" s="60"/>
      <c r="M155" s="85">
        <f t="shared" ref="M155:S155" si="157">IFERROR(SUMIFS(E$2:E$364,$C$2:$C$364,$C155)/COUNTIFS(E$2:E$364,"&lt;&gt;NA",$C$2:$C$364,$C155),"")</f>
        <v>0.75</v>
      </c>
      <c r="N155" s="85">
        <f t="shared" si="157"/>
        <v>0.6</v>
      </c>
      <c r="O155" s="85">
        <f t="shared" si="157"/>
        <v>0</v>
      </c>
      <c r="P155" s="85">
        <f t="shared" si="157"/>
        <v>0.625</v>
      </c>
      <c r="Q155" s="85">
        <f t="shared" si="157"/>
        <v>0.75</v>
      </c>
      <c r="R155" s="85">
        <f t="shared" si="157"/>
        <v>0.75</v>
      </c>
      <c r="S155" s="85">
        <f t="shared" si="157"/>
        <v>0.8333333333</v>
      </c>
      <c r="T155" s="127">
        <f t="shared" si="3"/>
        <v>0.6818181818</v>
      </c>
      <c r="U155" s="53">
        <f t="shared" si="4"/>
        <v>3</v>
      </c>
      <c r="V155" s="54">
        <f t="shared" si="5"/>
        <v>3</v>
      </c>
    </row>
    <row r="156" ht="15.75" customHeight="1">
      <c r="A156" s="55" t="str">
        <f>SiteAttendu!$A156</f>
        <v>C5014</v>
      </c>
      <c r="B156" s="56" t="str">
        <f>VLOOKUP($A156,SiteAttendu!$A$2:$C$366,2,0)</f>
        <v>DISTRICT SANITAIRE TOULEPLEU</v>
      </c>
      <c r="C156" s="57" t="str">
        <f>VLOOKUP($A156,SiteAttendu!$A$2:$C$366,3,0)</f>
        <v>CAVALLY</v>
      </c>
      <c r="D156" s="58">
        <f>IF(VLOOKUP(A156,SiteAttendu!$A$2:$P$366,4,0)="NA","NA",COUNTIFS(soccode,A156,socprog,"PNLS/ANTIRETROVIRAUX ET IO",socprompt,1))</f>
        <v>1</v>
      </c>
      <c r="E156" s="58">
        <f>IF(VLOOKUP($A156,SiteAttendu!$A$2:$O$366,5,0)="NA","NA",COUNTIFS(soccode,A156,socprog,"PNLS/TESTS RAPIDES ET CONSOMMABLES",socprompt,1))</f>
        <v>1</v>
      </c>
      <c r="F156" s="58" t="str">
        <f>IF(VLOOKUP($A156,SiteAttendu!$A$2:$O$366,6,0)="NA","NA",COUNTIFS(soccode,A156,socprog,"PNLS/PRODUITS DE LABORATOIRE",socprompt,1))</f>
        <v>NA</v>
      </c>
      <c r="G156" s="58" t="str">
        <f>IF(VLOOKUP($A156,SiteAttendu!$A$2:$O$366,7,0)="NA","NA",COUNTIFS(soccode,A156,socprog,"PNLS/CHARGES VIRALES",socprompt,1))</f>
        <v>NA</v>
      </c>
      <c r="H156" s="58">
        <f>IF(VLOOKUP($A156,SiteAttendu!$A$2:$O$366,9,0)="NA","NA",COUNTIFS(soccode,A156,socprog,"PNLP/MEDICAMENTS ET INTRANTS",socprompt,1))</f>
        <v>1</v>
      </c>
      <c r="I156" s="58">
        <f>IF(VLOOKUP($A156,SiteAttendu!$A$2:$O$366,10,0)="NA","NA",COUNTIFS(soccode,$A156,socprog,"PNSME/MEDICAMENTS ET INTRANTS",socprompt,1))</f>
        <v>1</v>
      </c>
      <c r="J156" s="58">
        <f>IF(VLOOKUP($A156,SiteAttendu!$A$2:$O$366,11,0)="NA","NA",COUNTIFS(soccode,$A156,socprog,"PNN/MEDICAMENTS ET INTRANTS",socprompt,1))</f>
        <v>1</v>
      </c>
      <c r="K156" s="58">
        <f>IF(VLOOKUP($A156,SiteAttendu!$A$2:$O$366,15,0)="NA","NA",IF(COUNTIF(socprog,"PNLT/SENSIBLE MEDICAMENTS ET INTRANTS")=0,"NA",COUNTIFS(soccode,$A156,socprog,"PNLT/SENSIBLE MEDICAMENTS ET INTRANTS",socprompt,1)))</f>
        <v>1</v>
      </c>
      <c r="L156" s="60"/>
      <c r="M156" s="85">
        <f t="shared" ref="M156:S156" si="158">IFERROR(SUMIFS(E$2:E$364,$C$2:$C$364,$C156)/COUNTIFS(E$2:E$364,"&lt;&gt;NA",$C$2:$C$364,$C156),"")</f>
        <v>0.75</v>
      </c>
      <c r="N156" s="85">
        <f t="shared" si="158"/>
        <v>0.6</v>
      </c>
      <c r="O156" s="85">
        <f t="shared" si="158"/>
        <v>0</v>
      </c>
      <c r="P156" s="85">
        <f t="shared" si="158"/>
        <v>0.625</v>
      </c>
      <c r="Q156" s="85">
        <f t="shared" si="158"/>
        <v>0.75</v>
      </c>
      <c r="R156" s="85">
        <f t="shared" si="158"/>
        <v>0.75</v>
      </c>
      <c r="S156" s="85">
        <f t="shared" si="158"/>
        <v>0.8333333333</v>
      </c>
      <c r="T156" s="127">
        <f t="shared" si="3"/>
        <v>0.6818181818</v>
      </c>
      <c r="U156" s="53">
        <f t="shared" si="4"/>
        <v>2</v>
      </c>
      <c r="V156" s="54">
        <f t="shared" si="5"/>
        <v>2</v>
      </c>
    </row>
    <row r="157" ht="16.5" customHeight="1">
      <c r="A157" s="62" t="str">
        <f>SiteAttendu!$A157</f>
        <v>C5021</v>
      </c>
      <c r="B157" s="63" t="str">
        <f>VLOOKUP($A157,SiteAttendu!$A$2:$C$366,2,0)</f>
        <v>HOPITAL GENERAL TOULEPLEU</v>
      </c>
      <c r="C157" s="64" t="str">
        <f>VLOOKUP($A157,SiteAttendu!$A$2:$C$366,3,0)</f>
        <v>CAVALLY</v>
      </c>
      <c r="D157" s="65">
        <f>IF(VLOOKUP(A157,SiteAttendu!$A$2:$P$366,4,0)="NA","NA",COUNTIFS(soccode,A157,socprog,"PNLS/ANTIRETROVIRAUX ET IO",socprompt,1))</f>
        <v>0</v>
      </c>
      <c r="E157" s="65">
        <f>IF(VLOOKUP($A157,SiteAttendu!$A$2:$O$366,5,0)="NA","NA",COUNTIFS(soccode,A157,socprog,"PNLS/TESTS RAPIDES ET CONSOMMABLES",socprompt,1))</f>
        <v>0</v>
      </c>
      <c r="F157" s="65">
        <f>IF(VLOOKUP($A157,SiteAttendu!$A$2:$O$366,6,0)="NA","NA",COUNTIFS(soccode,A157,socprog,"PNLS/PRODUITS DE LABORATOIRE",socprompt,1))</f>
        <v>0</v>
      </c>
      <c r="G157" s="65" t="str">
        <f>IF(VLOOKUP($A157,SiteAttendu!$A$2:$O$366,7,0)="NA","NA",COUNTIFS(soccode,A157,socprog,"PNLS/CHARGES VIRALES",socprompt,1))</f>
        <v>NA</v>
      </c>
      <c r="H157" s="65">
        <f>IF(VLOOKUP($A157,SiteAttendu!$A$2:$O$366,9,0)="NA","NA",COUNTIFS(soccode,A157,socprog,"PNLP/MEDICAMENTS ET INTRANTS",socprompt,1))</f>
        <v>0</v>
      </c>
      <c r="I157" s="65">
        <f>IF(VLOOKUP($A157,SiteAttendu!$A$2:$O$366,10,0)="NA","NA",COUNTIFS(soccode,$A157,socprog,"PNSME/MEDICAMENTS ET INTRANTS",socprompt,1))</f>
        <v>0</v>
      </c>
      <c r="J157" s="65">
        <f>IF(VLOOKUP($A157,SiteAttendu!$A$2:$O$366,11,0)="NA","NA",COUNTIFS(soccode,$A157,socprog,"PNN/MEDICAMENTS ET INTRANTS",socprompt,1))</f>
        <v>0</v>
      </c>
      <c r="K157" s="65" t="str">
        <f>IF(VLOOKUP($A157,SiteAttendu!$A$2:$O$366,15,0)="NA","NA",IF(COUNTIF(socprog,"PNLT/SENSIBLE MEDICAMENTS ET INTRANTS")=0,"NA",COUNTIFS(soccode,$A157,socprog,"PNLT/SENSIBLE MEDICAMENTS ET INTRANTS",socprompt,1)))</f>
        <v>NA</v>
      </c>
      <c r="L157" s="67"/>
      <c r="M157" s="86">
        <f t="shared" ref="M157:S157" si="159">IFERROR(SUMIFS(E$2:E$364,$C$2:$C$364,$C157)/COUNTIFS(E$2:E$364,"&lt;&gt;NA",$C$2:$C$364,$C157),"")</f>
        <v>0.75</v>
      </c>
      <c r="N157" s="86">
        <f t="shared" si="159"/>
        <v>0.6</v>
      </c>
      <c r="O157" s="86">
        <f t="shared" si="159"/>
        <v>0</v>
      </c>
      <c r="P157" s="86">
        <f t="shared" si="159"/>
        <v>0.625</v>
      </c>
      <c r="Q157" s="86">
        <f t="shared" si="159"/>
        <v>0.75</v>
      </c>
      <c r="R157" s="86">
        <f t="shared" si="159"/>
        <v>0.75</v>
      </c>
      <c r="S157" s="86">
        <f t="shared" si="159"/>
        <v>0.8333333333</v>
      </c>
      <c r="T157" s="128">
        <f t="shared" si="3"/>
        <v>0.6818181818</v>
      </c>
      <c r="U157" s="53">
        <f t="shared" si="4"/>
        <v>0</v>
      </c>
      <c r="V157" s="54">
        <f t="shared" si="5"/>
        <v>3</v>
      </c>
    </row>
    <row r="158" ht="15.75" customHeight="1">
      <c r="A158" s="46" t="str">
        <f>SiteAttendu!$A158</f>
        <v>C5074</v>
      </c>
      <c r="B158" s="47" t="str">
        <f>VLOOKUP($A158,SiteAttendu!$A$2:$C$366,2,0)</f>
        <v>HOPITAL GENERAL KANIASSO</v>
      </c>
      <c r="C158" s="48" t="str">
        <f>VLOOKUP($A158,SiteAttendu!$A$2:$C$366,3,0)</f>
        <v>FOLON</v>
      </c>
      <c r="D158" s="49">
        <f>IF(VLOOKUP(A158,SiteAttendu!$A$2:$P$366,4,0)="NA","NA",COUNTIFS(soccode,A158,socprog,"PNLS/ANTIRETROVIRAUX ET IO",socprompt,1))</f>
        <v>1</v>
      </c>
      <c r="E158" s="49">
        <f>IF(VLOOKUP($A158,SiteAttendu!$A$2:$O$366,5,0)="NA","NA",COUNTIFS(soccode,A158,socprog,"PNLS/TESTS RAPIDES ET CONSOMMABLES",socprompt,1))</f>
        <v>1</v>
      </c>
      <c r="F158" s="49" t="str">
        <f>IF(VLOOKUP($A158,SiteAttendu!$A$2:$O$366,6,0)="NA","NA",COUNTIFS(soccode,A158,socprog,"PNLS/PRODUITS DE LABORATOIRE",socprompt,1))</f>
        <v>NA</v>
      </c>
      <c r="G158" s="49" t="str">
        <f>IF(VLOOKUP($A158,SiteAttendu!$A$2:$O$366,7,0)="NA","NA",COUNTIFS(soccode,A158,socprog,"PNLS/CHARGES VIRALES",socprompt,1))</f>
        <v>NA</v>
      </c>
      <c r="H158" s="49">
        <f>IF(VLOOKUP($A158,SiteAttendu!$A$2:$O$366,9,0)="NA","NA",COUNTIFS(soccode,A158,socprog,"PNLP/MEDICAMENTS ET INTRANTS",socprompt,1))</f>
        <v>1</v>
      </c>
      <c r="I158" s="49">
        <f>IF(VLOOKUP($A158,SiteAttendu!$A$2:$O$366,10,0)="NA","NA",COUNTIFS(soccode,$A158,socprog,"PNSME/MEDICAMENTS ET INTRANTS",socprompt,1))</f>
        <v>1</v>
      </c>
      <c r="J158" s="49">
        <f>IF(VLOOKUP($A158,SiteAttendu!$A$2:$O$366,11,0)="NA","NA",COUNTIFS(soccode,$A158,socprog,"PNN/MEDICAMENTS ET INTRANTS",socprompt,1))</f>
        <v>1</v>
      </c>
      <c r="K158" s="49" t="str">
        <f>IF(VLOOKUP($A158,SiteAttendu!$A$2:$O$366,15,0)="NA","NA",IF(COUNTIF(socprog,"PNLT/SENSIBLE MEDICAMENTS ET INTRANTS")=0,"NA",COUNTIFS(soccode,$A158,socprog,"PNLT/SENSIBLE MEDICAMENTS ET INTRANTS",socprompt,1)))</f>
        <v>NA</v>
      </c>
      <c r="L158" s="51">
        <f t="shared" ref="L158:S158" si="160">IFERROR(SUMIFS(D$2:D$364,$C$2:$C$364,$C158)/COUNTIFS(D$2:D$364,"&lt;&gt;NA",$C$2:$C$364,$C158),"")</f>
        <v>0.75</v>
      </c>
      <c r="M158" s="125">
        <f t="shared" si="160"/>
        <v>0.75</v>
      </c>
      <c r="N158" s="125" t="str">
        <f t="shared" si="160"/>
        <v/>
      </c>
      <c r="O158" s="125" t="str">
        <f t="shared" si="160"/>
        <v/>
      </c>
      <c r="P158" s="125">
        <f t="shared" si="160"/>
        <v>0.75</v>
      </c>
      <c r="Q158" s="125">
        <f t="shared" si="160"/>
        <v>1</v>
      </c>
      <c r="R158" s="125">
        <f t="shared" si="160"/>
        <v>0.75</v>
      </c>
      <c r="S158" s="125">
        <f t="shared" si="160"/>
        <v>0.3333333333</v>
      </c>
      <c r="T158" s="126">
        <f t="shared" si="3"/>
        <v>0.75</v>
      </c>
      <c r="U158" s="53">
        <f t="shared" si="4"/>
        <v>2</v>
      </c>
      <c r="V158" s="54">
        <f t="shared" si="5"/>
        <v>2</v>
      </c>
    </row>
    <row r="159" ht="15.75" customHeight="1">
      <c r="A159" s="55" t="str">
        <f>SiteAttendu!$A159</f>
        <v>C5082</v>
      </c>
      <c r="B159" s="56" t="str">
        <f>VLOOKUP($A159,SiteAttendu!$A$2:$C$366,2,0)</f>
        <v>DISTRICT SANITAIRE KANIASSO</v>
      </c>
      <c r="C159" s="57" t="str">
        <f>VLOOKUP($A159,SiteAttendu!$A$2:$C$366,3,0)</f>
        <v>FOLON</v>
      </c>
      <c r="D159" s="58">
        <f>IF(VLOOKUP(A159,SiteAttendu!$A$2:$P$366,4,0)="NA","NA",COUNTIFS(soccode,A159,socprog,"PNLS/ANTIRETROVIRAUX ET IO",socprompt,1))</f>
        <v>0</v>
      </c>
      <c r="E159" s="58">
        <f>IF(VLOOKUP($A159,SiteAttendu!$A$2:$O$366,5,0)="NA","NA",COUNTIFS(soccode,A159,socprog,"PNLS/TESTS RAPIDES ET CONSOMMABLES",socprompt,1))</f>
        <v>0</v>
      </c>
      <c r="F159" s="58" t="str">
        <f>IF(VLOOKUP($A159,SiteAttendu!$A$2:$O$366,6,0)="NA","NA",COUNTIFS(soccode,A159,socprog,"PNLS/PRODUITS DE LABORATOIRE",socprompt,1))</f>
        <v>NA</v>
      </c>
      <c r="G159" s="58" t="str">
        <f>IF(VLOOKUP($A159,SiteAttendu!$A$2:$O$366,7,0)="NA","NA",COUNTIFS(soccode,A159,socprog,"PNLS/CHARGES VIRALES",socprompt,1))</f>
        <v>NA</v>
      </c>
      <c r="H159" s="58">
        <f>IF(VLOOKUP($A159,SiteAttendu!$A$2:$O$366,9,0)="NA","NA",COUNTIFS(soccode,A159,socprog,"PNLP/MEDICAMENTS ET INTRANTS",socprompt,1))</f>
        <v>0</v>
      </c>
      <c r="I159" s="58">
        <f>IF(VLOOKUP($A159,SiteAttendu!$A$2:$O$366,10,0)="NA","NA",COUNTIFS(soccode,$A159,socprog,"PNSME/MEDICAMENTS ET INTRANTS",socprompt,1))</f>
        <v>1</v>
      </c>
      <c r="J159" s="58">
        <f>IF(VLOOKUP($A159,SiteAttendu!$A$2:$O$366,11,0)="NA","NA",COUNTIFS(soccode,$A159,socprog,"PNN/MEDICAMENTS ET INTRANTS",socprompt,1))</f>
        <v>0</v>
      </c>
      <c r="K159" s="58">
        <f>IF(VLOOKUP($A159,SiteAttendu!$A$2:$O$366,15,0)="NA","NA",IF(COUNTIF(socprog,"PNLT/SENSIBLE MEDICAMENTS ET INTRANTS")=0,"NA",COUNTIFS(soccode,$A159,socprog,"PNLT/SENSIBLE MEDICAMENTS ET INTRANTS",socprompt,1)))</f>
        <v>0</v>
      </c>
      <c r="L159" s="60"/>
      <c r="M159" s="85">
        <f t="shared" ref="M159:S159" si="161">IFERROR(SUMIFS(E$2:E$364,$C$2:$C$364,$C159)/COUNTIFS(E$2:E$364,"&lt;&gt;NA",$C$2:$C$364,$C159),"")</f>
        <v>0.75</v>
      </c>
      <c r="N159" s="85" t="str">
        <f t="shared" si="161"/>
        <v/>
      </c>
      <c r="O159" s="85" t="str">
        <f t="shared" si="161"/>
        <v/>
      </c>
      <c r="P159" s="85">
        <f t="shared" si="161"/>
        <v>0.75</v>
      </c>
      <c r="Q159" s="85">
        <f t="shared" si="161"/>
        <v>1</v>
      </c>
      <c r="R159" s="85">
        <f t="shared" si="161"/>
        <v>0.75</v>
      </c>
      <c r="S159" s="85">
        <f t="shared" si="161"/>
        <v>0.3333333333</v>
      </c>
      <c r="T159" s="127">
        <f t="shared" si="3"/>
        <v>0.75</v>
      </c>
      <c r="U159" s="53">
        <f t="shared" si="4"/>
        <v>0</v>
      </c>
      <c r="V159" s="54">
        <f t="shared" si="5"/>
        <v>2</v>
      </c>
    </row>
    <row r="160" ht="15.75" customHeight="1">
      <c r="A160" s="55" t="str">
        <f>SiteAttendu!$A160</f>
        <v>C5038</v>
      </c>
      <c r="B160" s="56" t="str">
        <f>VLOOKUP($A160,SiteAttendu!$A$2:$C$366,2,0)</f>
        <v>DISTRICT SANITAIRE MINIGNAN</v>
      </c>
      <c r="C160" s="57" t="str">
        <f>VLOOKUP($A160,SiteAttendu!$A$2:$C$366,3,0)</f>
        <v>FOLON</v>
      </c>
      <c r="D160" s="58">
        <f>IF(VLOOKUP(A160,SiteAttendu!$A$2:$P$366,4,0)="NA","NA",COUNTIFS(soccode,A160,socprog,"PNLS/ANTIRETROVIRAUX ET IO",socprompt,1))</f>
        <v>1</v>
      </c>
      <c r="E160" s="58">
        <f>IF(VLOOKUP($A160,SiteAttendu!$A$2:$O$366,5,0)="NA","NA",COUNTIFS(soccode,A160,socprog,"PNLS/TESTS RAPIDES ET CONSOMMABLES",socprompt,1))</f>
        <v>1</v>
      </c>
      <c r="F160" s="58" t="str">
        <f>IF(VLOOKUP($A160,SiteAttendu!$A$2:$O$366,6,0)="NA","NA",COUNTIFS(soccode,A160,socprog,"PNLS/PRODUITS DE LABORATOIRE",socprompt,1))</f>
        <v>NA</v>
      </c>
      <c r="G160" s="58" t="str">
        <f>IF(VLOOKUP($A160,SiteAttendu!$A$2:$O$366,7,0)="NA","NA",COUNTIFS(soccode,A160,socprog,"PNLS/CHARGES VIRALES",socprompt,1))</f>
        <v>NA</v>
      </c>
      <c r="H160" s="58">
        <f>IF(VLOOKUP($A160,SiteAttendu!$A$2:$O$366,9,0)="NA","NA",COUNTIFS(soccode,A160,socprog,"PNLP/MEDICAMENTS ET INTRANTS",socprompt,1))</f>
        <v>1</v>
      </c>
      <c r="I160" s="58">
        <f>IF(VLOOKUP($A160,SiteAttendu!$A$2:$O$366,10,0)="NA","NA",COUNTIFS(soccode,$A160,socprog,"PNSME/MEDICAMENTS ET INTRANTS",socprompt,1))</f>
        <v>1</v>
      </c>
      <c r="J160" s="58">
        <f>IF(VLOOKUP($A160,SiteAttendu!$A$2:$O$366,11,0)="NA","NA",COUNTIFS(soccode,$A160,socprog,"PNN/MEDICAMENTS ET INTRANTS",socprompt,1))</f>
        <v>1</v>
      </c>
      <c r="K160" s="58">
        <f>IF(VLOOKUP($A160,SiteAttendu!$A$2:$O$366,15,0)="NA","NA",IF(COUNTIF(socprog,"PNLT/SENSIBLE MEDICAMENTS ET INTRANTS")=0,"NA",COUNTIFS(soccode,$A160,socprog,"PNLT/SENSIBLE MEDICAMENTS ET INTRANTS",socprompt,1)))</f>
        <v>1</v>
      </c>
      <c r="L160" s="60"/>
      <c r="M160" s="85">
        <f t="shared" ref="M160:S160" si="162">IFERROR(SUMIFS(E$2:E$364,$C$2:$C$364,$C160)/COUNTIFS(E$2:E$364,"&lt;&gt;NA",$C$2:$C$364,$C160),"")</f>
        <v>0.75</v>
      </c>
      <c r="N160" s="85" t="str">
        <f t="shared" si="162"/>
        <v/>
      </c>
      <c r="O160" s="85" t="str">
        <f t="shared" si="162"/>
        <v/>
      </c>
      <c r="P160" s="85">
        <f t="shared" si="162"/>
        <v>0.75</v>
      </c>
      <c r="Q160" s="85">
        <f t="shared" si="162"/>
        <v>1</v>
      </c>
      <c r="R160" s="85">
        <f t="shared" si="162"/>
        <v>0.75</v>
      </c>
      <c r="S160" s="85">
        <f t="shared" si="162"/>
        <v>0.3333333333</v>
      </c>
      <c r="T160" s="127">
        <f t="shared" si="3"/>
        <v>0.75</v>
      </c>
      <c r="U160" s="53">
        <f t="shared" si="4"/>
        <v>2</v>
      </c>
      <c r="V160" s="54">
        <f t="shared" si="5"/>
        <v>2</v>
      </c>
    </row>
    <row r="161" ht="15.75" customHeight="1">
      <c r="A161" s="62" t="str">
        <f>SiteAttendu!$A161</f>
        <v>C5066</v>
      </c>
      <c r="B161" s="63" t="str">
        <f>VLOOKUP($A161,SiteAttendu!$A$2:$C$366,2,0)</f>
        <v>HOPITAL GENERAL MINIGNAN</v>
      </c>
      <c r="C161" s="64" t="str">
        <f>VLOOKUP($A161,SiteAttendu!$A$2:$C$366,3,0)</f>
        <v>FOLON</v>
      </c>
      <c r="D161" s="65">
        <f>IF(VLOOKUP(A161,SiteAttendu!$A$2:$P$366,4,0)="NA","NA",COUNTIFS(soccode,A161,socprog,"PNLS/ANTIRETROVIRAUX ET IO",socprompt,1))</f>
        <v>1</v>
      </c>
      <c r="E161" s="65">
        <f>IF(VLOOKUP($A161,SiteAttendu!$A$2:$O$366,5,0)="NA","NA",COUNTIFS(soccode,A161,socprog,"PNLS/TESTS RAPIDES ET CONSOMMABLES",socprompt,1))</f>
        <v>1</v>
      </c>
      <c r="F161" s="65" t="str">
        <f>IF(VLOOKUP($A161,SiteAttendu!$A$2:$O$366,6,0)="NA","NA",COUNTIFS(soccode,A161,socprog,"PNLS/PRODUITS DE LABORATOIRE",socprompt,1))</f>
        <v>NA</v>
      </c>
      <c r="G161" s="65" t="str">
        <f>IF(VLOOKUP($A161,SiteAttendu!$A$2:$O$366,7,0)="NA","NA",COUNTIFS(soccode,A161,socprog,"PNLS/CHARGES VIRALES",socprompt,1))</f>
        <v>NA</v>
      </c>
      <c r="H161" s="65">
        <f>IF(VLOOKUP($A161,SiteAttendu!$A$2:$O$366,9,0)="NA","NA",COUNTIFS(soccode,A161,socprog,"PNLP/MEDICAMENTS ET INTRANTS",socprompt,1))</f>
        <v>1</v>
      </c>
      <c r="I161" s="65">
        <f>IF(VLOOKUP($A161,SiteAttendu!$A$2:$O$366,10,0)="NA","NA",COUNTIFS(soccode,$A161,socprog,"PNSME/MEDICAMENTS ET INTRANTS",socprompt,1))</f>
        <v>1</v>
      </c>
      <c r="J161" s="65">
        <f>IF(VLOOKUP($A161,SiteAttendu!$A$2:$O$366,11,0)="NA","NA",COUNTIFS(soccode,$A161,socprog,"PNN/MEDICAMENTS ET INTRANTS",socprompt,1))</f>
        <v>1</v>
      </c>
      <c r="K161" s="65">
        <f>IF(VLOOKUP($A161,SiteAttendu!$A$2:$O$366,15,0)="NA","NA",IF(COUNTIF(socprog,"PNLT/SENSIBLE MEDICAMENTS ET INTRANTS")=0,"NA",COUNTIFS(soccode,$A161,socprog,"PNLT/SENSIBLE MEDICAMENTS ET INTRANTS",socprompt,1)))</f>
        <v>0</v>
      </c>
      <c r="L161" s="67"/>
      <c r="M161" s="86">
        <f t="shared" ref="M161:S161" si="163">IFERROR(SUMIFS(E$2:E$364,$C$2:$C$364,$C161)/COUNTIFS(E$2:E$364,"&lt;&gt;NA",$C$2:$C$364,$C161),"")</f>
        <v>0.75</v>
      </c>
      <c r="N161" s="86" t="str">
        <f t="shared" si="163"/>
        <v/>
      </c>
      <c r="O161" s="86" t="str">
        <f t="shared" si="163"/>
        <v/>
      </c>
      <c r="P161" s="86">
        <f t="shared" si="163"/>
        <v>0.75</v>
      </c>
      <c r="Q161" s="86">
        <f t="shared" si="163"/>
        <v>1</v>
      </c>
      <c r="R161" s="86">
        <f t="shared" si="163"/>
        <v>0.75</v>
      </c>
      <c r="S161" s="86">
        <f t="shared" si="163"/>
        <v>0.3333333333</v>
      </c>
      <c r="T161" s="128">
        <f t="shared" si="3"/>
        <v>0.75</v>
      </c>
      <c r="U161" s="53">
        <f t="shared" si="4"/>
        <v>2</v>
      </c>
      <c r="V161" s="54">
        <f t="shared" si="5"/>
        <v>2</v>
      </c>
    </row>
    <row r="162" ht="15.75" customHeight="1">
      <c r="A162" s="46" t="str">
        <f>SiteAttendu!$A162</f>
        <v>C2047</v>
      </c>
      <c r="B162" s="47" t="str">
        <f>VLOOKUP($A162,SiteAttendu!$A$2:$C$366,2,0)</f>
        <v>HOPITAL GENERAL BEOUMI</v>
      </c>
      <c r="C162" s="48" t="str">
        <f>VLOOKUP($A162,SiteAttendu!$A$2:$C$366,3,0)</f>
        <v>GBEKE</v>
      </c>
      <c r="D162" s="49">
        <f>IF(VLOOKUP(A162,SiteAttendu!$A$2:$P$366,4,0)="NA","NA",COUNTIFS(soccode,A162,socprog,"PNLS/ANTIRETROVIRAUX ET IO",socprompt,1))</f>
        <v>1</v>
      </c>
      <c r="E162" s="49">
        <f>IF(VLOOKUP($A162,SiteAttendu!$A$2:$O$366,5,0)="NA","NA",COUNTIFS(soccode,A162,socprog,"PNLS/TESTS RAPIDES ET CONSOMMABLES",socprompt,1))</f>
        <v>1</v>
      </c>
      <c r="F162" s="49">
        <f>IF(VLOOKUP($A162,SiteAttendu!$A$2:$O$366,6,0)="NA","NA",COUNTIFS(soccode,A162,socprog,"PNLS/PRODUITS DE LABORATOIRE",socprompt,1))</f>
        <v>1</v>
      </c>
      <c r="G162" s="49" t="str">
        <f>IF(VLOOKUP($A162,SiteAttendu!$A$2:$O$366,7,0)="NA","NA",COUNTIFS(soccode,A162,socprog,"PNLS/CHARGES VIRALES",socprompt,1))</f>
        <v>NA</v>
      </c>
      <c r="H162" s="49">
        <f>IF(VLOOKUP($A162,SiteAttendu!$A$2:$O$366,9,0)="NA","NA",COUNTIFS(soccode,A162,socprog,"PNLP/MEDICAMENTS ET INTRANTS",socprompt,1))</f>
        <v>1</v>
      </c>
      <c r="I162" s="49">
        <f>IF(VLOOKUP($A162,SiteAttendu!$A$2:$O$366,10,0)="NA","NA",COUNTIFS(soccode,$A162,socprog,"PNSME/MEDICAMENTS ET INTRANTS",socprompt,1))</f>
        <v>1</v>
      </c>
      <c r="J162" s="49" t="str">
        <f>IF(VLOOKUP($A162,SiteAttendu!$A$2:$O$366,11,0)="NA","NA",COUNTIFS(soccode,$A162,socprog,"PNN/MEDICAMENTS ET INTRANTS",socprompt,1))</f>
        <v>NA</v>
      </c>
      <c r="K162" s="49">
        <f>IF(VLOOKUP($A162,SiteAttendu!$A$2:$O$366,15,0)="NA","NA",IF(COUNTIF(socprog,"PNLT/SENSIBLE MEDICAMENTS ET INTRANTS")=0,"NA",COUNTIFS(soccode,$A162,socprog,"PNLT/SENSIBLE MEDICAMENTS ET INTRANTS",socprompt,1)))</f>
        <v>1</v>
      </c>
      <c r="L162" s="51">
        <f t="shared" ref="L162:S162" si="164">IFERROR(SUMIFS(D$2:D$364,$C$2:$C$364,$C162)/COUNTIFS(D$2:D$364,"&lt;&gt;NA",$C$2:$C$364,$C162),"")</f>
        <v>0.7</v>
      </c>
      <c r="M162" s="125">
        <f t="shared" si="164"/>
        <v>0.7</v>
      </c>
      <c r="N162" s="125">
        <f t="shared" si="164"/>
        <v>0.625</v>
      </c>
      <c r="O162" s="125">
        <f t="shared" si="164"/>
        <v>0</v>
      </c>
      <c r="P162" s="125">
        <f t="shared" si="164"/>
        <v>0.7</v>
      </c>
      <c r="Q162" s="125">
        <f t="shared" si="164"/>
        <v>0.7</v>
      </c>
      <c r="R162" s="125" t="str">
        <f t="shared" si="164"/>
        <v/>
      </c>
      <c r="S162" s="125">
        <f t="shared" si="164"/>
        <v>0.6</v>
      </c>
      <c r="T162" s="126">
        <f t="shared" si="3"/>
        <v>0.6551724138</v>
      </c>
      <c r="U162" s="53">
        <f t="shared" si="4"/>
        <v>3</v>
      </c>
      <c r="V162" s="54">
        <f t="shared" si="5"/>
        <v>3</v>
      </c>
    </row>
    <row r="163" ht="15.75" customHeight="1">
      <c r="A163" s="55" t="str">
        <f>SiteAttendu!$A163</f>
        <v>C2048</v>
      </c>
      <c r="B163" s="56" t="str">
        <f>VLOOKUP($A163,SiteAttendu!$A$2:$C$366,2,0)</f>
        <v>DISTRICT SANITAIRE BEOUMI</v>
      </c>
      <c r="C163" s="57" t="str">
        <f>VLOOKUP($A163,SiteAttendu!$A$2:$C$366,3,0)</f>
        <v>GBEKE</v>
      </c>
      <c r="D163" s="58">
        <f>IF(VLOOKUP(A163,SiteAttendu!$A$2:$P$366,4,0)="NA","NA",COUNTIFS(soccode,A163,socprog,"PNLS/ANTIRETROVIRAUX ET IO",socprompt,1))</f>
        <v>1</v>
      </c>
      <c r="E163" s="58">
        <f>IF(VLOOKUP($A163,SiteAttendu!$A$2:$O$366,5,0)="NA","NA",COUNTIFS(soccode,A163,socprog,"PNLS/TESTS RAPIDES ET CONSOMMABLES",socprompt,1))</f>
        <v>1</v>
      </c>
      <c r="F163" s="58">
        <f>IF(VLOOKUP($A163,SiteAttendu!$A$2:$O$366,6,0)="NA","NA",COUNTIFS(soccode,A163,socprog,"PNLS/PRODUITS DE LABORATOIRE",socprompt,1))</f>
        <v>1</v>
      </c>
      <c r="G163" s="58" t="str">
        <f>IF(VLOOKUP($A163,SiteAttendu!$A$2:$O$366,7,0)="NA","NA",COUNTIFS(soccode,A163,socprog,"PNLS/CHARGES VIRALES",socprompt,1))</f>
        <v>NA</v>
      </c>
      <c r="H163" s="58">
        <f>IF(VLOOKUP($A163,SiteAttendu!$A$2:$O$366,9,0)="NA","NA",COUNTIFS(soccode,A163,socprog,"PNLP/MEDICAMENTS ET INTRANTS",socprompt,1))</f>
        <v>1</v>
      </c>
      <c r="I163" s="58">
        <f>IF(VLOOKUP($A163,SiteAttendu!$A$2:$O$366,10,0)="NA","NA",COUNTIFS(soccode,$A163,socprog,"PNSME/MEDICAMENTS ET INTRANTS",socprompt,1))</f>
        <v>1</v>
      </c>
      <c r="J163" s="58" t="str">
        <f>IF(VLOOKUP($A163,SiteAttendu!$A$2:$O$366,11,0)="NA","NA",COUNTIFS(soccode,$A163,socprog,"PNN/MEDICAMENTS ET INTRANTS",socprompt,1))</f>
        <v>NA</v>
      </c>
      <c r="K163" s="58">
        <f>IF(VLOOKUP($A163,SiteAttendu!$A$2:$O$366,15,0)="NA","NA",IF(COUNTIF(socprog,"PNLT/SENSIBLE MEDICAMENTS ET INTRANTS")=0,"NA",COUNTIFS(soccode,$A163,socprog,"PNLT/SENSIBLE MEDICAMENTS ET INTRANTS",socprompt,1)))</f>
        <v>1</v>
      </c>
      <c r="L163" s="60"/>
      <c r="M163" s="85">
        <f t="shared" ref="M163:S163" si="165">IFERROR(SUMIFS(E$2:E$364,$C$2:$C$364,$C163)/COUNTIFS(E$2:E$364,"&lt;&gt;NA",$C$2:$C$364,$C163),"")</f>
        <v>0.7</v>
      </c>
      <c r="N163" s="85">
        <f t="shared" si="165"/>
        <v>0.625</v>
      </c>
      <c r="O163" s="85">
        <f t="shared" si="165"/>
        <v>0</v>
      </c>
      <c r="P163" s="85">
        <f t="shared" si="165"/>
        <v>0.7</v>
      </c>
      <c r="Q163" s="85">
        <f t="shared" si="165"/>
        <v>0.7</v>
      </c>
      <c r="R163" s="85" t="str">
        <f t="shared" si="165"/>
        <v/>
      </c>
      <c r="S163" s="85">
        <f t="shared" si="165"/>
        <v>0.6</v>
      </c>
      <c r="T163" s="127">
        <f t="shared" si="3"/>
        <v>0.6551724138</v>
      </c>
      <c r="U163" s="53">
        <f t="shared" si="4"/>
        <v>3</v>
      </c>
      <c r="V163" s="54">
        <f t="shared" si="5"/>
        <v>3</v>
      </c>
    </row>
    <row r="164" ht="15.75" customHeight="1">
      <c r="A164" s="55" t="str">
        <f>SiteAttendu!$A164</f>
        <v>C2222</v>
      </c>
      <c r="B164" s="56" t="str">
        <f>VLOOKUP($A164,SiteAttendu!$A$2:$C$366,2,0)</f>
        <v>DISTRICT SANITAIRE BOTRO</v>
      </c>
      <c r="C164" s="57" t="str">
        <f>VLOOKUP($A164,SiteAttendu!$A$2:$C$366,3,0)</f>
        <v>GBEKE</v>
      </c>
      <c r="D164" s="58">
        <f>IF(VLOOKUP(A164,SiteAttendu!$A$2:$P$366,4,0)="NA","NA",COUNTIFS(soccode,A164,socprog,"PNLS/ANTIRETROVIRAUX ET IO",socprompt,1))</f>
        <v>1</v>
      </c>
      <c r="E164" s="58">
        <f>IF(VLOOKUP($A164,SiteAttendu!$A$2:$O$366,5,0)="NA","NA",COUNTIFS(soccode,A164,socprog,"PNLS/TESTS RAPIDES ET CONSOMMABLES",socprompt,1))</f>
        <v>1</v>
      </c>
      <c r="F164" s="58" t="str">
        <f>IF(VLOOKUP($A164,SiteAttendu!$A$2:$O$366,6,0)="NA","NA",COUNTIFS(soccode,A164,socprog,"PNLS/PRODUITS DE LABORATOIRE",socprompt,1))</f>
        <v>NA</v>
      </c>
      <c r="G164" s="58" t="str">
        <f>IF(VLOOKUP($A164,SiteAttendu!$A$2:$O$366,7,0)="NA","NA",COUNTIFS(soccode,A164,socprog,"PNLS/CHARGES VIRALES",socprompt,1))</f>
        <v>NA</v>
      </c>
      <c r="H164" s="58">
        <f>IF(VLOOKUP($A164,SiteAttendu!$A$2:$O$366,9,0)="NA","NA",COUNTIFS(soccode,A164,socprog,"PNLP/MEDICAMENTS ET INTRANTS",socprompt,1))</f>
        <v>1</v>
      </c>
      <c r="I164" s="58">
        <f>IF(VLOOKUP($A164,SiteAttendu!$A$2:$O$366,10,0)="NA","NA",COUNTIFS(soccode,$A164,socprog,"PNSME/MEDICAMENTS ET INTRANTS",socprompt,1))</f>
        <v>1</v>
      </c>
      <c r="J164" s="58" t="str">
        <f>IF(VLOOKUP($A164,SiteAttendu!$A$2:$O$366,11,0)="NA","NA",COUNTIFS(soccode,$A164,socprog,"PNN/MEDICAMENTS ET INTRANTS",socprompt,1))</f>
        <v>NA</v>
      </c>
      <c r="K164" s="58">
        <f>IF(VLOOKUP($A164,SiteAttendu!$A$2:$O$366,15,0)="NA","NA",IF(COUNTIF(socprog,"PNLT/SENSIBLE MEDICAMENTS ET INTRANTS")=0,"NA",COUNTIFS(soccode,$A164,socprog,"PNLT/SENSIBLE MEDICAMENTS ET INTRANTS",socprompt,1)))</f>
        <v>1</v>
      </c>
      <c r="L164" s="60"/>
      <c r="M164" s="85">
        <f t="shared" ref="M164:S164" si="166">IFERROR(SUMIFS(E$2:E$364,$C$2:$C$364,$C164)/COUNTIFS(E$2:E$364,"&lt;&gt;NA",$C$2:$C$364,$C164),"")</f>
        <v>0.7</v>
      </c>
      <c r="N164" s="85">
        <f t="shared" si="166"/>
        <v>0.625</v>
      </c>
      <c r="O164" s="85">
        <f t="shared" si="166"/>
        <v>0</v>
      </c>
      <c r="P164" s="85">
        <f t="shared" si="166"/>
        <v>0.7</v>
      </c>
      <c r="Q164" s="85">
        <f t="shared" si="166"/>
        <v>0.7</v>
      </c>
      <c r="R164" s="85" t="str">
        <f t="shared" si="166"/>
        <v/>
      </c>
      <c r="S164" s="85">
        <f t="shared" si="166"/>
        <v>0.6</v>
      </c>
      <c r="T164" s="127">
        <f t="shared" si="3"/>
        <v>0.6551724138</v>
      </c>
      <c r="U164" s="53">
        <f t="shared" si="4"/>
        <v>2</v>
      </c>
      <c r="V164" s="54">
        <f t="shared" si="5"/>
        <v>2</v>
      </c>
    </row>
    <row r="165" ht="15.75" customHeight="1">
      <c r="A165" s="55" t="str">
        <f>SiteAttendu!$A165</f>
        <v>C2224</v>
      </c>
      <c r="B165" s="56" t="str">
        <f>VLOOKUP($A165,SiteAttendu!$A$2:$C$366,2,0)</f>
        <v>HOPITAL GENERAL BOTRO</v>
      </c>
      <c r="C165" s="57" t="str">
        <f>VLOOKUP($A165,SiteAttendu!$A$2:$C$366,3,0)</f>
        <v>GBEKE</v>
      </c>
      <c r="D165" s="58">
        <f>IF(VLOOKUP(A165,SiteAttendu!$A$2:$P$366,4,0)="NA","NA",COUNTIFS(soccode,A165,socprog,"PNLS/ANTIRETROVIRAUX ET IO",socprompt,1))</f>
        <v>0</v>
      </c>
      <c r="E165" s="58">
        <f>IF(VLOOKUP($A165,SiteAttendu!$A$2:$O$366,5,0)="NA","NA",COUNTIFS(soccode,A165,socprog,"PNLS/TESTS RAPIDES ET CONSOMMABLES",socprompt,1))</f>
        <v>0</v>
      </c>
      <c r="F165" s="58">
        <f>IF(VLOOKUP($A165,SiteAttendu!$A$2:$O$366,6,0)="NA","NA",COUNTIFS(soccode,A165,socprog,"PNLS/PRODUITS DE LABORATOIRE",socprompt,1))</f>
        <v>0</v>
      </c>
      <c r="G165" s="58" t="str">
        <f>IF(VLOOKUP($A165,SiteAttendu!$A$2:$O$366,7,0)="NA","NA",COUNTIFS(soccode,A165,socprog,"PNLS/CHARGES VIRALES",socprompt,1))</f>
        <v>NA</v>
      </c>
      <c r="H165" s="58">
        <f>IF(VLOOKUP($A165,SiteAttendu!$A$2:$O$366,9,0)="NA","NA",COUNTIFS(soccode,A165,socprog,"PNLP/MEDICAMENTS ET INTRANTS",socprompt,1))</f>
        <v>0</v>
      </c>
      <c r="I165" s="58">
        <f>IF(VLOOKUP($A165,SiteAttendu!$A$2:$O$366,10,0)="NA","NA",COUNTIFS(soccode,$A165,socprog,"PNSME/MEDICAMENTS ET INTRANTS",socprompt,1))</f>
        <v>0</v>
      </c>
      <c r="J165" s="58" t="str">
        <f>IF(VLOOKUP($A165,SiteAttendu!$A$2:$O$366,11,0)="NA","NA",COUNTIFS(soccode,$A165,socprog,"PNN/MEDICAMENTS ET INTRANTS",socprompt,1))</f>
        <v>NA</v>
      </c>
      <c r="K165" s="58" t="str">
        <f>IF(VLOOKUP($A165,SiteAttendu!$A$2:$O$366,15,0)="NA","NA",IF(COUNTIF(socprog,"PNLT/SENSIBLE MEDICAMENTS ET INTRANTS")=0,"NA",COUNTIFS(soccode,$A165,socprog,"PNLT/SENSIBLE MEDICAMENTS ET INTRANTS",socprompt,1)))</f>
        <v>NA</v>
      </c>
      <c r="L165" s="60"/>
      <c r="M165" s="85">
        <f t="shared" ref="M165:S165" si="167">IFERROR(SUMIFS(E$2:E$364,$C$2:$C$364,$C165)/COUNTIFS(E$2:E$364,"&lt;&gt;NA",$C$2:$C$364,$C165),"")</f>
        <v>0.7</v>
      </c>
      <c r="N165" s="85">
        <f t="shared" si="167"/>
        <v>0.625</v>
      </c>
      <c r="O165" s="85">
        <f t="shared" si="167"/>
        <v>0</v>
      </c>
      <c r="P165" s="85">
        <f t="shared" si="167"/>
        <v>0.7</v>
      </c>
      <c r="Q165" s="85">
        <f t="shared" si="167"/>
        <v>0.7</v>
      </c>
      <c r="R165" s="85" t="str">
        <f t="shared" si="167"/>
        <v/>
      </c>
      <c r="S165" s="85">
        <f t="shared" si="167"/>
        <v>0.6</v>
      </c>
      <c r="T165" s="127">
        <f t="shared" si="3"/>
        <v>0.6551724138</v>
      </c>
      <c r="U165" s="53">
        <f t="shared" si="4"/>
        <v>0</v>
      </c>
      <c r="V165" s="54">
        <f t="shared" si="5"/>
        <v>3</v>
      </c>
    </row>
    <row r="166" ht="15.75" customHeight="1">
      <c r="A166" s="55" t="str">
        <f>SiteAttendu!$A166</f>
        <v>C2022</v>
      </c>
      <c r="B166" s="56" t="str">
        <f>VLOOKUP($A166,SiteAttendu!$A$2:$C$366,2,0)</f>
        <v>DISTRICT SANITAIRE BOUAKE EST</v>
      </c>
      <c r="C166" s="57" t="str">
        <f>VLOOKUP($A166,SiteAttendu!$A$2:$C$366,3,0)</f>
        <v>GBEKE</v>
      </c>
      <c r="D166" s="58">
        <f>IF(VLOOKUP(A166,SiteAttendu!$A$2:$P$366,4,0)="NA","NA",COUNTIFS(soccode,A166,socprog,"PNLS/ANTIRETROVIRAUX ET IO",socprompt,1))</f>
        <v>1</v>
      </c>
      <c r="E166" s="58">
        <f>IF(VLOOKUP($A166,SiteAttendu!$A$2:$O$366,5,0)="NA","NA",COUNTIFS(soccode,A166,socprog,"PNLS/TESTS RAPIDES ET CONSOMMABLES",socprompt,1))</f>
        <v>1</v>
      </c>
      <c r="F166" s="58">
        <f>IF(VLOOKUP($A166,SiteAttendu!$A$2:$O$366,6,0)="NA","NA",COUNTIFS(soccode,A166,socprog,"PNLS/PRODUITS DE LABORATOIRE",socprompt,1))</f>
        <v>1</v>
      </c>
      <c r="G166" s="58" t="str">
        <f>IF(VLOOKUP($A166,SiteAttendu!$A$2:$O$366,7,0)="NA","NA",COUNTIFS(soccode,A166,socprog,"PNLS/CHARGES VIRALES",socprompt,1))</f>
        <v>NA</v>
      </c>
      <c r="H166" s="58">
        <f>IF(VLOOKUP($A166,SiteAttendu!$A$2:$O$366,9,0)="NA","NA",COUNTIFS(soccode,A166,socprog,"PNLP/MEDICAMENTS ET INTRANTS",socprompt,1))</f>
        <v>1</v>
      </c>
      <c r="I166" s="58">
        <f>IF(VLOOKUP($A166,SiteAttendu!$A$2:$O$366,10,0)="NA","NA",COUNTIFS(soccode,$A166,socprog,"PNSME/MEDICAMENTS ET INTRANTS",socprompt,1))</f>
        <v>1</v>
      </c>
      <c r="J166" s="58" t="str">
        <f>IF(VLOOKUP($A166,SiteAttendu!$A$2:$O$366,11,0)="NA","NA",COUNTIFS(soccode,$A166,socprog,"PNN/MEDICAMENTS ET INTRANTS",socprompt,1))</f>
        <v>NA</v>
      </c>
      <c r="K166" s="58">
        <f>IF(VLOOKUP($A166,SiteAttendu!$A$2:$O$366,15,0)="NA","NA",IF(COUNTIF(socprog,"PNLT/SENSIBLE MEDICAMENTS ET INTRANTS")=0,"NA",COUNTIFS(soccode,$A166,socprog,"PNLT/SENSIBLE MEDICAMENTS ET INTRANTS",socprompt,1)))</f>
        <v>1</v>
      </c>
      <c r="L166" s="60"/>
      <c r="M166" s="85">
        <f t="shared" ref="M166:S166" si="168">IFERROR(SUMIFS(E$2:E$364,$C$2:$C$364,$C166)/COUNTIFS(E$2:E$364,"&lt;&gt;NA",$C$2:$C$364,$C166),"")</f>
        <v>0.7</v>
      </c>
      <c r="N166" s="85">
        <f t="shared" si="168"/>
        <v>0.625</v>
      </c>
      <c r="O166" s="85">
        <f t="shared" si="168"/>
        <v>0</v>
      </c>
      <c r="P166" s="85">
        <f t="shared" si="168"/>
        <v>0.7</v>
      </c>
      <c r="Q166" s="85">
        <f t="shared" si="168"/>
        <v>0.7</v>
      </c>
      <c r="R166" s="85" t="str">
        <f t="shared" si="168"/>
        <v/>
      </c>
      <c r="S166" s="85">
        <f t="shared" si="168"/>
        <v>0.6</v>
      </c>
      <c r="T166" s="127">
        <f t="shared" si="3"/>
        <v>0.6551724138</v>
      </c>
      <c r="U166" s="53">
        <f t="shared" si="4"/>
        <v>3</v>
      </c>
      <c r="V166" s="54">
        <f t="shared" si="5"/>
        <v>3</v>
      </c>
    </row>
    <row r="167" ht="15.75" customHeight="1">
      <c r="A167" s="55" t="str">
        <f>SiteAttendu!$A167</f>
        <v>C2010</v>
      </c>
      <c r="B167" s="56" t="str">
        <f>VLOOKUP($A167,SiteAttendu!$A$2:$C$366,2,0)</f>
        <v>CHU BOUAKE</v>
      </c>
      <c r="C167" s="57" t="str">
        <f>VLOOKUP($A167,SiteAttendu!$A$2:$C$366,3,0)</f>
        <v>GBEKE</v>
      </c>
      <c r="D167" s="58">
        <f>IF(VLOOKUP(A167,SiteAttendu!$A$2:$P$366,4,0)="NA","NA",COUNTIFS(soccode,A167,socprog,"PNLS/ANTIRETROVIRAUX ET IO",socprompt,1))</f>
        <v>0</v>
      </c>
      <c r="E167" s="58">
        <f>IF(VLOOKUP($A167,SiteAttendu!$A$2:$O$366,5,0)="NA","NA",COUNTIFS(soccode,A167,socprog,"PNLS/TESTS RAPIDES ET CONSOMMABLES",socprompt,1))</f>
        <v>0</v>
      </c>
      <c r="F167" s="58">
        <f>IF(VLOOKUP($A167,SiteAttendu!$A$2:$O$366,6,0)="NA","NA",COUNTIFS(soccode,A167,socprog,"PNLS/PRODUITS DE LABORATOIRE",socprompt,1))</f>
        <v>0</v>
      </c>
      <c r="G167" s="58">
        <f>IF(VLOOKUP($A167,SiteAttendu!$A$2:$O$366,7,0)="NA","NA",COUNTIFS(soccode,A167,socprog,"PNLS/CHARGES VIRALES",socprompt,1))</f>
        <v>0</v>
      </c>
      <c r="H167" s="58">
        <f>IF(VLOOKUP($A167,SiteAttendu!$A$2:$O$366,9,0)="NA","NA",COUNTIFS(soccode,A167,socprog,"PNLP/MEDICAMENTS ET INTRANTS",socprompt,1))</f>
        <v>0</v>
      </c>
      <c r="I167" s="58">
        <f>IF(VLOOKUP($A167,SiteAttendu!$A$2:$O$366,10,0)="NA","NA",COUNTIFS(soccode,$A167,socprog,"PNSME/MEDICAMENTS ET INTRANTS",socprompt,1))</f>
        <v>0</v>
      </c>
      <c r="J167" s="58" t="str">
        <f>IF(VLOOKUP($A167,SiteAttendu!$A$2:$O$366,11,0)="NA","NA",COUNTIFS(soccode,$A167,socprog,"PNN/MEDICAMENTS ET INTRANTS",socprompt,1))</f>
        <v>NA</v>
      </c>
      <c r="K167" s="58">
        <f>IF(VLOOKUP($A167,SiteAttendu!$A$2:$O$366,15,0)="NA","NA",IF(COUNTIF(socprog,"PNLT/SENSIBLE MEDICAMENTS ET INTRANTS")=0,"NA",COUNTIFS(soccode,$A167,socprog,"PNLT/SENSIBLE MEDICAMENTS ET INTRANTS",socprompt,1)))</f>
        <v>0</v>
      </c>
      <c r="L167" s="60"/>
      <c r="M167" s="85">
        <f t="shared" ref="M167:S167" si="169">IFERROR(SUMIFS(E$2:E$364,$C$2:$C$364,$C167)/COUNTIFS(E$2:E$364,"&lt;&gt;NA",$C$2:$C$364,$C167),"")</f>
        <v>0.7</v>
      </c>
      <c r="N167" s="85">
        <f t="shared" si="169"/>
        <v>0.625</v>
      </c>
      <c r="O167" s="85">
        <f t="shared" si="169"/>
        <v>0</v>
      </c>
      <c r="P167" s="85">
        <f t="shared" si="169"/>
        <v>0.7</v>
      </c>
      <c r="Q167" s="85">
        <f t="shared" si="169"/>
        <v>0.7</v>
      </c>
      <c r="R167" s="85" t="str">
        <f t="shared" si="169"/>
        <v/>
      </c>
      <c r="S167" s="85">
        <f t="shared" si="169"/>
        <v>0.6</v>
      </c>
      <c r="T167" s="127">
        <f t="shared" si="3"/>
        <v>0.6551724138</v>
      </c>
      <c r="U167" s="53">
        <f t="shared" si="4"/>
        <v>0</v>
      </c>
      <c r="V167" s="54">
        <f t="shared" si="5"/>
        <v>4</v>
      </c>
    </row>
    <row r="168" ht="15.75" customHeight="1">
      <c r="A168" s="55" t="str">
        <f>SiteAttendu!$A168</f>
        <v>C2023</v>
      </c>
      <c r="B168" s="56" t="str">
        <f>VLOOKUP($A168,SiteAttendu!$A$2:$C$366,2,0)</f>
        <v>DISTRICT SANITAIRE BOUAKE NORD-OUEST</v>
      </c>
      <c r="C168" s="57" t="str">
        <f>VLOOKUP($A168,SiteAttendu!$A$2:$C$366,3,0)</f>
        <v>GBEKE</v>
      </c>
      <c r="D168" s="58">
        <f>IF(VLOOKUP(A168,SiteAttendu!$A$2:$P$366,4,0)="NA","NA",COUNTIFS(soccode,A168,socprog,"PNLS/ANTIRETROVIRAUX ET IO",socprompt,1))</f>
        <v>0</v>
      </c>
      <c r="E168" s="58">
        <f>IF(VLOOKUP($A168,SiteAttendu!$A$2:$O$366,5,0)="NA","NA",COUNTIFS(soccode,A168,socprog,"PNLS/TESTS RAPIDES ET CONSOMMABLES",socprompt,1))</f>
        <v>0</v>
      </c>
      <c r="F168" s="58">
        <f>IF(VLOOKUP($A168,SiteAttendu!$A$2:$O$366,6,0)="NA","NA",COUNTIFS(soccode,A168,socprog,"PNLS/PRODUITS DE LABORATOIRE",socprompt,1))</f>
        <v>0</v>
      </c>
      <c r="G168" s="58" t="str">
        <f>IF(VLOOKUP($A168,SiteAttendu!$A$2:$O$366,7,0)="NA","NA",COUNTIFS(soccode,A168,socprog,"PNLS/CHARGES VIRALES",socprompt,1))</f>
        <v>NA</v>
      </c>
      <c r="H168" s="58">
        <f>IF(VLOOKUP($A168,SiteAttendu!$A$2:$O$366,9,0)="NA","NA",COUNTIFS(soccode,A168,socprog,"PNLP/MEDICAMENTS ET INTRANTS",socprompt,1))</f>
        <v>0</v>
      </c>
      <c r="I168" s="58">
        <f>IF(VLOOKUP($A168,SiteAttendu!$A$2:$O$366,10,0)="NA","NA",COUNTIFS(soccode,$A168,socprog,"PNSME/MEDICAMENTS ET INTRANTS",socprompt,1))</f>
        <v>0</v>
      </c>
      <c r="J168" s="58" t="str">
        <f>IF(VLOOKUP($A168,SiteAttendu!$A$2:$O$366,11,0)="NA","NA",COUNTIFS(soccode,$A168,socprog,"PNN/MEDICAMENTS ET INTRANTS",socprompt,1))</f>
        <v>NA</v>
      </c>
      <c r="K168" s="58">
        <f>IF(VLOOKUP($A168,SiteAttendu!$A$2:$O$366,15,0)="NA","NA",IF(COUNTIF(socprog,"PNLT/SENSIBLE MEDICAMENTS ET INTRANTS")=0,"NA",COUNTIFS(soccode,$A168,socprog,"PNLT/SENSIBLE MEDICAMENTS ET INTRANTS",socprompt,1)))</f>
        <v>0</v>
      </c>
      <c r="L168" s="60"/>
      <c r="M168" s="85">
        <f t="shared" ref="M168:S168" si="170">IFERROR(SUMIFS(E$2:E$364,$C$2:$C$364,$C168)/COUNTIFS(E$2:E$364,"&lt;&gt;NA",$C$2:$C$364,$C168),"")</f>
        <v>0.7</v>
      </c>
      <c r="N168" s="85">
        <f t="shared" si="170"/>
        <v>0.625</v>
      </c>
      <c r="O168" s="85">
        <f t="shared" si="170"/>
        <v>0</v>
      </c>
      <c r="P168" s="85">
        <f t="shared" si="170"/>
        <v>0.7</v>
      </c>
      <c r="Q168" s="85">
        <f t="shared" si="170"/>
        <v>0.7</v>
      </c>
      <c r="R168" s="85" t="str">
        <f t="shared" si="170"/>
        <v/>
      </c>
      <c r="S168" s="85">
        <f t="shared" si="170"/>
        <v>0.6</v>
      </c>
      <c r="T168" s="127">
        <f t="shared" si="3"/>
        <v>0.6551724138</v>
      </c>
      <c r="U168" s="53">
        <f t="shared" si="4"/>
        <v>0</v>
      </c>
      <c r="V168" s="54">
        <f t="shared" si="5"/>
        <v>3</v>
      </c>
    </row>
    <row r="169" ht="15.75" customHeight="1">
      <c r="A169" s="55" t="str">
        <f>SiteAttendu!$A169</f>
        <v>C2170</v>
      </c>
      <c r="B169" s="56" t="str">
        <f>VLOOKUP($A169,SiteAttendu!$A$2:$C$366,2,0)</f>
        <v>CENTRE ANTITUBERCULEUX BOUAKE</v>
      </c>
      <c r="C169" s="57" t="str">
        <f>VLOOKUP($A169,SiteAttendu!$A$2:$C$366,3,0)</f>
        <v>GBEKE</v>
      </c>
      <c r="D169" s="58" t="str">
        <f>IF(VLOOKUP(A169,SiteAttendu!$A$2:$P$366,4,0)="NA","NA",COUNTIFS(soccode,A169,socprog,"PNLS/ANTIRETROVIRAUX ET IO",socprompt,1))</f>
        <v>NA</v>
      </c>
      <c r="E169" s="58" t="str">
        <f>IF(VLOOKUP($A169,SiteAttendu!$A$2:$O$366,5,0)="NA","NA",COUNTIFS(soccode,A169,socprog,"PNLS/TESTS RAPIDES ET CONSOMMABLES",socprompt,1))</f>
        <v>NA</v>
      </c>
      <c r="F169" s="58" t="str">
        <f>IF(VLOOKUP($A169,SiteAttendu!$A$2:$O$366,6,0)="NA","NA",COUNTIFS(soccode,A169,socprog,"PNLS/PRODUITS DE LABORATOIRE",socprompt,1))</f>
        <v>NA</v>
      </c>
      <c r="G169" s="58" t="str">
        <f>IF(VLOOKUP($A169,SiteAttendu!$A$2:$O$366,7,0)="NA","NA",COUNTIFS(soccode,A169,socprog,"PNLS/CHARGES VIRALES",socprompt,1))</f>
        <v>NA</v>
      </c>
      <c r="H169" s="58" t="str">
        <f>IF(VLOOKUP($A169,SiteAttendu!$A$2:$O$366,9,0)="NA","NA",COUNTIFS(soccode,A169,socprog,"PNLP/MEDICAMENTS ET INTRANTS",socprompt,1))</f>
        <v>NA</v>
      </c>
      <c r="I169" s="58" t="str">
        <f>IF(VLOOKUP($A169,SiteAttendu!$A$2:$O$366,10,0)="NA","NA",COUNTIFS(soccode,$A169,socprog,"PNSME/MEDICAMENTS ET INTRANTS",socprompt,1))</f>
        <v>NA</v>
      </c>
      <c r="J169" s="58" t="str">
        <f>IF(VLOOKUP($A169,SiteAttendu!$A$2:$O$366,11,0)="NA","NA",COUNTIFS(soccode,$A169,socprog,"PNN/MEDICAMENTS ET INTRANTS",socprompt,1))</f>
        <v>NA</v>
      </c>
      <c r="K169" s="58">
        <f>IF(VLOOKUP($A169,SiteAttendu!$A$2:$O$366,15,0)="NA","NA",IF(COUNTIF(socprog,"PNLT/SENSIBLE MEDICAMENTS ET INTRANTS")=0,"NA",COUNTIFS(soccode,$A169,socprog,"PNLT/SENSIBLE MEDICAMENTS ET INTRANTS",socprompt,1)))</f>
        <v>1</v>
      </c>
      <c r="L169" s="60"/>
      <c r="M169" s="85">
        <f t="shared" ref="M169:S169" si="171">IFERROR(SUMIFS(E$2:E$364,$C$2:$C$364,$C169)/COUNTIFS(E$2:E$364,"&lt;&gt;NA",$C$2:$C$364,$C169),"")</f>
        <v>0.7</v>
      </c>
      <c r="N169" s="85">
        <f t="shared" si="171"/>
        <v>0.625</v>
      </c>
      <c r="O169" s="85">
        <f t="shared" si="171"/>
        <v>0</v>
      </c>
      <c r="P169" s="85">
        <f t="shared" si="171"/>
        <v>0.7</v>
      </c>
      <c r="Q169" s="85">
        <f t="shared" si="171"/>
        <v>0.7</v>
      </c>
      <c r="R169" s="85" t="str">
        <f t="shared" si="171"/>
        <v/>
      </c>
      <c r="S169" s="85">
        <f t="shared" si="171"/>
        <v>0.6</v>
      </c>
      <c r="T169" s="127">
        <f t="shared" si="3"/>
        <v>0.6551724138</v>
      </c>
      <c r="U169" s="53">
        <f t="shared" si="4"/>
        <v>0</v>
      </c>
      <c r="V169" s="54">
        <f t="shared" si="5"/>
        <v>0</v>
      </c>
    </row>
    <row r="170" ht="15.75" customHeight="1">
      <c r="A170" s="55" t="str">
        <f>SiteAttendu!$A170</f>
        <v>C2024</v>
      </c>
      <c r="B170" s="56" t="str">
        <f>VLOOKUP($A170,SiteAttendu!$A$2:$C$366,2,0)</f>
        <v>DISTRICT SANITAIRE BOUAKE SUD</v>
      </c>
      <c r="C170" s="57" t="str">
        <f>VLOOKUP($A170,SiteAttendu!$A$2:$C$366,3,0)</f>
        <v>GBEKE</v>
      </c>
      <c r="D170" s="58">
        <f>IF(VLOOKUP(A170,SiteAttendu!$A$2:$P$366,4,0)="NA","NA",COUNTIFS(soccode,A170,socprog,"PNLS/ANTIRETROVIRAUX ET IO",socprompt,1))</f>
        <v>1</v>
      </c>
      <c r="E170" s="58">
        <f>IF(VLOOKUP($A170,SiteAttendu!$A$2:$O$366,5,0)="NA","NA",COUNTIFS(soccode,A170,socprog,"PNLS/TESTS RAPIDES ET CONSOMMABLES",socprompt,1))</f>
        <v>1</v>
      </c>
      <c r="F170" s="58">
        <f>IF(VLOOKUP($A170,SiteAttendu!$A$2:$O$366,6,0)="NA","NA",COUNTIFS(soccode,A170,socprog,"PNLS/PRODUITS DE LABORATOIRE",socprompt,1))</f>
        <v>1</v>
      </c>
      <c r="G170" s="58" t="str">
        <f>IF(VLOOKUP($A170,SiteAttendu!$A$2:$O$366,7,0)="NA","NA",COUNTIFS(soccode,A170,socprog,"PNLS/CHARGES VIRALES",socprompt,1))</f>
        <v>NA</v>
      </c>
      <c r="H170" s="58">
        <f>IF(VLOOKUP($A170,SiteAttendu!$A$2:$O$366,9,0)="NA","NA",COUNTIFS(soccode,A170,socprog,"PNLP/MEDICAMENTS ET INTRANTS",socprompt,1))</f>
        <v>1</v>
      </c>
      <c r="I170" s="58">
        <f>IF(VLOOKUP($A170,SiteAttendu!$A$2:$O$366,10,0)="NA","NA",COUNTIFS(soccode,$A170,socprog,"PNSME/MEDICAMENTS ET INTRANTS",socprompt,1))</f>
        <v>1</v>
      </c>
      <c r="J170" s="58" t="str">
        <f>IF(VLOOKUP($A170,SiteAttendu!$A$2:$O$366,11,0)="NA","NA",COUNTIFS(soccode,$A170,socprog,"PNN/MEDICAMENTS ET INTRANTS",socprompt,1))</f>
        <v>NA</v>
      </c>
      <c r="K170" s="58">
        <f>IF(VLOOKUP($A170,SiteAttendu!$A$2:$O$366,15,0)="NA","NA",IF(COUNTIF(socprog,"PNLT/SENSIBLE MEDICAMENTS ET INTRANTS")=0,"NA",COUNTIFS(soccode,$A170,socprog,"PNLT/SENSIBLE MEDICAMENTS ET INTRANTS",socprompt,1)))</f>
        <v>0</v>
      </c>
      <c r="L170" s="60"/>
      <c r="M170" s="85">
        <f t="shared" ref="M170:S170" si="172">IFERROR(SUMIFS(E$2:E$364,$C$2:$C$364,$C170)/COUNTIFS(E$2:E$364,"&lt;&gt;NA",$C$2:$C$364,$C170),"")</f>
        <v>0.7</v>
      </c>
      <c r="N170" s="85">
        <f t="shared" si="172"/>
        <v>0.625</v>
      </c>
      <c r="O170" s="85">
        <f t="shared" si="172"/>
        <v>0</v>
      </c>
      <c r="P170" s="85">
        <f t="shared" si="172"/>
        <v>0.7</v>
      </c>
      <c r="Q170" s="85">
        <f t="shared" si="172"/>
        <v>0.7</v>
      </c>
      <c r="R170" s="85" t="str">
        <f t="shared" si="172"/>
        <v/>
      </c>
      <c r="S170" s="85">
        <f t="shared" si="172"/>
        <v>0.6</v>
      </c>
      <c r="T170" s="127">
        <f t="shared" si="3"/>
        <v>0.6551724138</v>
      </c>
      <c r="U170" s="53">
        <f t="shared" si="4"/>
        <v>3</v>
      </c>
      <c r="V170" s="54">
        <f t="shared" si="5"/>
        <v>3</v>
      </c>
    </row>
    <row r="171" ht="15.75" customHeight="1">
      <c r="A171" s="55" t="str">
        <f>SiteAttendu!$A171</f>
        <v>C2034</v>
      </c>
      <c r="B171" s="56" t="str">
        <f>VLOOKUP($A171,SiteAttendu!$A$2:$C$366,2,0)</f>
        <v>DISTRICT SANITAIRE SAKASSOU</v>
      </c>
      <c r="C171" s="57" t="str">
        <f>VLOOKUP($A171,SiteAttendu!$A$2:$C$366,3,0)</f>
        <v>GBEKE</v>
      </c>
      <c r="D171" s="58">
        <f>IF(VLOOKUP(A171,SiteAttendu!$A$2:$P$366,4,0)="NA","NA",COUNTIFS(soccode,A171,socprog,"PNLS/ANTIRETROVIRAUX ET IO",socprompt,1))</f>
        <v>1</v>
      </c>
      <c r="E171" s="58">
        <f>IF(VLOOKUP($A171,SiteAttendu!$A$2:$O$366,5,0)="NA","NA",COUNTIFS(soccode,A171,socprog,"PNLS/TESTS RAPIDES ET CONSOMMABLES",socprompt,1))</f>
        <v>1</v>
      </c>
      <c r="F171" s="58" t="str">
        <f>IF(VLOOKUP($A171,SiteAttendu!$A$2:$O$366,6,0)="NA","NA",COUNTIFS(soccode,A171,socprog,"PNLS/PRODUITS DE LABORATOIRE",socprompt,1))</f>
        <v>NA</v>
      </c>
      <c r="G171" s="58" t="str">
        <f>IF(VLOOKUP($A171,SiteAttendu!$A$2:$O$366,7,0)="NA","NA",COUNTIFS(soccode,A171,socprog,"PNLS/CHARGES VIRALES",socprompt,1))</f>
        <v>NA</v>
      </c>
      <c r="H171" s="58">
        <f>IF(VLOOKUP($A171,SiteAttendu!$A$2:$O$366,9,0)="NA","NA",COUNTIFS(soccode,A171,socprog,"PNLP/MEDICAMENTS ET INTRANTS",socprompt,1))</f>
        <v>1</v>
      </c>
      <c r="I171" s="58">
        <f>IF(VLOOKUP($A171,SiteAttendu!$A$2:$O$366,10,0)="NA","NA",COUNTIFS(soccode,$A171,socprog,"PNSME/MEDICAMENTS ET INTRANTS",socprompt,1))</f>
        <v>1</v>
      </c>
      <c r="J171" s="58" t="str">
        <f>IF(VLOOKUP($A171,SiteAttendu!$A$2:$O$366,11,0)="NA","NA",COUNTIFS(soccode,$A171,socprog,"PNN/MEDICAMENTS ET INTRANTS",socprompt,1))</f>
        <v>NA</v>
      </c>
      <c r="K171" s="58">
        <f>IF(VLOOKUP($A171,SiteAttendu!$A$2:$O$366,15,0)="NA","NA",IF(COUNTIF(socprog,"PNLT/SENSIBLE MEDICAMENTS ET INTRANTS")=0,"NA",COUNTIFS(soccode,$A171,socprog,"PNLT/SENSIBLE MEDICAMENTS ET INTRANTS",socprompt,1)))</f>
        <v>1</v>
      </c>
      <c r="L171" s="60"/>
      <c r="M171" s="85">
        <f t="shared" ref="M171:S171" si="173">IFERROR(SUMIFS(E$2:E$364,$C$2:$C$364,$C171)/COUNTIFS(E$2:E$364,"&lt;&gt;NA",$C$2:$C$364,$C171),"")</f>
        <v>0.7</v>
      </c>
      <c r="N171" s="85">
        <f t="shared" si="173"/>
        <v>0.625</v>
      </c>
      <c r="O171" s="85">
        <f t="shared" si="173"/>
        <v>0</v>
      </c>
      <c r="P171" s="85">
        <f t="shared" si="173"/>
        <v>0.7</v>
      </c>
      <c r="Q171" s="85">
        <f t="shared" si="173"/>
        <v>0.7</v>
      </c>
      <c r="R171" s="85" t="str">
        <f t="shared" si="173"/>
        <v/>
      </c>
      <c r="S171" s="85">
        <f t="shared" si="173"/>
        <v>0.6</v>
      </c>
      <c r="T171" s="127">
        <f t="shared" si="3"/>
        <v>0.6551724138</v>
      </c>
      <c r="U171" s="53">
        <f t="shared" si="4"/>
        <v>2</v>
      </c>
      <c r="V171" s="54">
        <f t="shared" si="5"/>
        <v>2</v>
      </c>
    </row>
    <row r="172" ht="16.5" customHeight="1">
      <c r="A172" s="62" t="str">
        <f>SiteAttendu!$A172</f>
        <v>C2062</v>
      </c>
      <c r="B172" s="63" t="str">
        <f>VLOOKUP($A172,SiteAttendu!$A$2:$C$366,2,0)</f>
        <v>HOPITAL GENERAL SAKASSOU</v>
      </c>
      <c r="C172" s="64" t="str">
        <f>VLOOKUP($A172,SiteAttendu!$A$2:$C$366,3,0)</f>
        <v>GBEKE</v>
      </c>
      <c r="D172" s="65">
        <f>IF(VLOOKUP(A172,SiteAttendu!$A$2:$P$366,4,0)="NA","NA",COUNTIFS(soccode,A172,socprog,"PNLS/ANTIRETROVIRAUX ET IO",socprompt,1))</f>
        <v>1</v>
      </c>
      <c r="E172" s="65">
        <f>IF(VLOOKUP($A172,SiteAttendu!$A$2:$O$366,5,0)="NA","NA",COUNTIFS(soccode,A172,socprog,"PNLS/TESTS RAPIDES ET CONSOMMABLES",socprompt,1))</f>
        <v>1</v>
      </c>
      <c r="F172" s="65">
        <f>IF(VLOOKUP($A172,SiteAttendu!$A$2:$O$366,6,0)="NA","NA",COUNTIFS(soccode,A172,socprog,"PNLS/PRODUITS DE LABORATOIRE",socprompt,1))</f>
        <v>1</v>
      </c>
      <c r="G172" s="65" t="str">
        <f>IF(VLOOKUP($A172,SiteAttendu!$A$2:$O$366,7,0)="NA","NA",COUNTIFS(soccode,A172,socprog,"PNLS/CHARGES VIRALES",socprompt,1))</f>
        <v>NA</v>
      </c>
      <c r="H172" s="65">
        <f>IF(VLOOKUP($A172,SiteAttendu!$A$2:$O$366,9,0)="NA","NA",COUNTIFS(soccode,A172,socprog,"PNLP/MEDICAMENTS ET INTRANTS",socprompt,1))</f>
        <v>1</v>
      </c>
      <c r="I172" s="65">
        <f>IF(VLOOKUP($A172,SiteAttendu!$A$2:$O$366,10,0)="NA","NA",COUNTIFS(soccode,$A172,socprog,"PNSME/MEDICAMENTS ET INTRANTS",socprompt,1))</f>
        <v>1</v>
      </c>
      <c r="J172" s="65" t="str">
        <f>IF(VLOOKUP($A172,SiteAttendu!$A$2:$O$366,11,0)="NA","NA",COUNTIFS(soccode,$A172,socprog,"PNN/MEDICAMENTS ET INTRANTS",socprompt,1))</f>
        <v>NA</v>
      </c>
      <c r="K172" s="65">
        <f>IF(VLOOKUP($A172,SiteAttendu!$A$2:$O$366,15,0)="NA","NA",IF(COUNTIF(socprog,"PNLT/SENSIBLE MEDICAMENTS ET INTRANTS")=0,"NA",COUNTIFS(soccode,$A172,socprog,"PNLT/SENSIBLE MEDICAMENTS ET INTRANTS",socprompt,1)))</f>
        <v>0</v>
      </c>
      <c r="L172" s="67"/>
      <c r="M172" s="86">
        <f t="shared" ref="M172:S172" si="174">IFERROR(SUMIFS(E$2:E$364,$C$2:$C$364,$C172)/COUNTIFS(E$2:E$364,"&lt;&gt;NA",$C$2:$C$364,$C172),"")</f>
        <v>0.7</v>
      </c>
      <c r="N172" s="86">
        <f t="shared" si="174"/>
        <v>0.625</v>
      </c>
      <c r="O172" s="86">
        <f t="shared" si="174"/>
        <v>0</v>
      </c>
      <c r="P172" s="86">
        <f t="shared" si="174"/>
        <v>0.7</v>
      </c>
      <c r="Q172" s="86">
        <f t="shared" si="174"/>
        <v>0.7</v>
      </c>
      <c r="R172" s="86" t="str">
        <f t="shared" si="174"/>
        <v/>
      </c>
      <c r="S172" s="86">
        <f t="shared" si="174"/>
        <v>0.6</v>
      </c>
      <c r="T172" s="128">
        <f t="shared" si="3"/>
        <v>0.6551724138</v>
      </c>
      <c r="U172" s="53">
        <f t="shared" si="4"/>
        <v>3</v>
      </c>
      <c r="V172" s="54">
        <f t="shared" si="5"/>
        <v>3</v>
      </c>
    </row>
    <row r="173" ht="16.5" customHeight="1">
      <c r="A173" s="46" t="str">
        <f>SiteAttendu!$A173</f>
        <v>C1089</v>
      </c>
      <c r="B173" s="47" t="str">
        <f>VLOOKUP($A173,SiteAttendu!$A$2:$C$366,2,0)</f>
        <v>HOPITAL GENERAL FRESCO</v>
      </c>
      <c r="C173" s="48" t="str">
        <f>VLOOKUP($A173,SiteAttendu!$A$2:$C$366,3,0)</f>
        <v>GBOKLE</v>
      </c>
      <c r="D173" s="49">
        <f>IF(VLOOKUP(A173,SiteAttendu!$A$2:$P$366,4,0)="NA","NA",COUNTIFS(soccode,A173,socprog,"PNLS/ANTIRETROVIRAUX ET IO",socprompt,1))</f>
        <v>1</v>
      </c>
      <c r="E173" s="49">
        <f>IF(VLOOKUP($A173,SiteAttendu!$A$2:$O$366,5,0)="NA","NA",COUNTIFS(soccode,A173,socprog,"PNLS/TESTS RAPIDES ET CONSOMMABLES",socprompt,1))</f>
        <v>1</v>
      </c>
      <c r="F173" s="49">
        <f>IF(VLOOKUP($A173,SiteAttendu!$A$2:$O$366,6,0)="NA","NA",COUNTIFS(soccode,A173,socprog,"PNLS/PRODUITS DE LABORATOIRE",socprompt,1))</f>
        <v>1</v>
      </c>
      <c r="G173" s="49">
        <f>IF(VLOOKUP($A173,SiteAttendu!$A$2:$O$366,7,0)="NA","NA",COUNTIFS(soccode,A173,socprog,"PNLS/CHARGES VIRALES",socprompt,1))</f>
        <v>1</v>
      </c>
      <c r="H173" s="49">
        <f>IF(VLOOKUP($A173,SiteAttendu!$A$2:$O$366,9,0)="NA","NA",COUNTIFS(soccode,A173,socprog,"PNLP/MEDICAMENTS ET INTRANTS",socprompt,1))</f>
        <v>1</v>
      </c>
      <c r="I173" s="49">
        <f>IF(VLOOKUP($A173,SiteAttendu!$A$2:$O$366,10,0)="NA","NA",COUNTIFS(soccode,$A173,socprog,"PNSME/MEDICAMENTS ET INTRANTS",socprompt,1))</f>
        <v>1</v>
      </c>
      <c r="J173" s="49" t="str">
        <f>IF(VLOOKUP($A173,SiteAttendu!$A$2:$O$366,11,0)="NA","NA",COUNTIFS(soccode,$A173,socprog,"PNN/MEDICAMENTS ET INTRANTS",socprompt,1))</f>
        <v>NA</v>
      </c>
      <c r="K173" s="49" t="str">
        <f>IF(VLOOKUP($A173,SiteAttendu!$A$2:$O$366,15,0)="NA","NA",IF(COUNTIF(socprog,"PNLT/SENSIBLE MEDICAMENTS ET INTRANTS")=0,"NA",COUNTIFS(soccode,$A173,socprog,"PNLT/SENSIBLE MEDICAMENTS ET INTRANTS",socprompt,1)))</f>
        <v>NA</v>
      </c>
      <c r="L173" s="51">
        <f t="shared" ref="L173:S173" si="175">IFERROR(SUMIFS(D$2:D$364,$C$2:$C$364,$C173)/COUNTIFS(D$2:D$364,"&lt;&gt;NA",$C$2:$C$364,$C173),"")</f>
        <v>0.75</v>
      </c>
      <c r="M173" s="125">
        <f t="shared" si="175"/>
        <v>0.75</v>
      </c>
      <c r="N173" s="125">
        <f t="shared" si="175"/>
        <v>0.75</v>
      </c>
      <c r="O173" s="125">
        <f t="shared" si="175"/>
        <v>1</v>
      </c>
      <c r="P173" s="125">
        <f t="shared" si="175"/>
        <v>0.75</v>
      </c>
      <c r="Q173" s="125">
        <f t="shared" si="175"/>
        <v>1</v>
      </c>
      <c r="R173" s="125">
        <f t="shared" si="175"/>
        <v>0.5</v>
      </c>
      <c r="S173" s="125">
        <f t="shared" si="175"/>
        <v>0.5</v>
      </c>
      <c r="T173" s="126">
        <f t="shared" si="3"/>
        <v>0.7857142857</v>
      </c>
      <c r="U173" s="53">
        <f t="shared" si="4"/>
        <v>4</v>
      </c>
      <c r="V173" s="54">
        <f t="shared" si="5"/>
        <v>4</v>
      </c>
    </row>
    <row r="174" ht="15.75" customHeight="1">
      <c r="A174" s="55" t="str">
        <f>SiteAttendu!$A174</f>
        <v>C1097</v>
      </c>
      <c r="B174" s="56" t="str">
        <f>VLOOKUP($A174,SiteAttendu!$A$2:$C$366,2,0)</f>
        <v>DISTRICT SANITAIRE FRESCO</v>
      </c>
      <c r="C174" s="57" t="str">
        <f>VLOOKUP($A174,SiteAttendu!$A$2:$C$366,3,0)</f>
        <v>GBOKLE</v>
      </c>
      <c r="D174" s="58">
        <f>IF(VLOOKUP(A174,SiteAttendu!$A$2:$P$366,4,0)="NA","NA",COUNTIFS(soccode,A174,socprog,"PNLS/ANTIRETROVIRAUX ET IO",socprompt,1))</f>
        <v>1</v>
      </c>
      <c r="E174" s="58">
        <f>IF(VLOOKUP($A174,SiteAttendu!$A$2:$O$366,5,0)="NA","NA",COUNTIFS(soccode,A174,socprog,"PNLS/TESTS RAPIDES ET CONSOMMABLES",socprompt,1))</f>
        <v>1</v>
      </c>
      <c r="F174" s="58">
        <f>IF(VLOOKUP($A174,SiteAttendu!$A$2:$O$366,6,0)="NA","NA",COUNTIFS(soccode,A174,socprog,"PNLS/PRODUITS DE LABORATOIRE",socprompt,1))</f>
        <v>1</v>
      </c>
      <c r="G174" s="58" t="str">
        <f>IF(VLOOKUP($A174,SiteAttendu!$A$2:$O$366,7,0)="NA","NA",COUNTIFS(soccode,A174,socprog,"PNLS/CHARGES VIRALES",socprompt,1))</f>
        <v>NA</v>
      </c>
      <c r="H174" s="58">
        <f>IF(VLOOKUP($A174,SiteAttendu!$A$2:$O$366,9,0)="NA","NA",COUNTIFS(soccode,A174,socprog,"PNLP/MEDICAMENTS ET INTRANTS",socprompt,1))</f>
        <v>1</v>
      </c>
      <c r="I174" s="58">
        <f>IF(VLOOKUP($A174,SiteAttendu!$A$2:$O$366,10,0)="NA","NA",COUNTIFS(soccode,$A174,socprog,"PNSME/MEDICAMENTS ET INTRANTS",socprompt,1))</f>
        <v>1</v>
      </c>
      <c r="J174" s="58" t="str">
        <f>IF(VLOOKUP($A174,SiteAttendu!$A$2:$O$366,11,0)="NA","NA",COUNTIFS(soccode,$A174,socprog,"PNN/MEDICAMENTS ET INTRANTS",socprompt,1))</f>
        <v>NA</v>
      </c>
      <c r="K174" s="58" t="str">
        <f>IF(VLOOKUP($A174,SiteAttendu!$A$2:$O$366,15,0)="NA","NA",IF(COUNTIF(socprog,"PNLT/SENSIBLE MEDICAMENTS ET INTRANTS")=0,"NA",COUNTIFS(soccode,$A174,socprog,"PNLT/SENSIBLE MEDICAMENTS ET INTRANTS",socprompt,1)))</f>
        <v>NA</v>
      </c>
      <c r="L174" s="60"/>
      <c r="M174" s="85">
        <f t="shared" ref="M174:S174" si="176">IFERROR(SUMIFS(E$2:E$364,$C$2:$C$364,$C174)/COUNTIFS(E$2:E$364,"&lt;&gt;NA",$C$2:$C$364,$C174),"")</f>
        <v>0.75</v>
      </c>
      <c r="N174" s="85">
        <f t="shared" si="176"/>
        <v>0.75</v>
      </c>
      <c r="O174" s="85">
        <f t="shared" si="176"/>
        <v>1</v>
      </c>
      <c r="P174" s="85">
        <f t="shared" si="176"/>
        <v>0.75</v>
      </c>
      <c r="Q174" s="85">
        <f t="shared" si="176"/>
        <v>1</v>
      </c>
      <c r="R174" s="85">
        <f t="shared" si="176"/>
        <v>0.5</v>
      </c>
      <c r="S174" s="85">
        <f t="shared" si="176"/>
        <v>0.5</v>
      </c>
      <c r="T174" s="127">
        <f t="shared" si="3"/>
        <v>0.7857142857</v>
      </c>
      <c r="U174" s="53">
        <f t="shared" si="4"/>
        <v>3</v>
      </c>
      <c r="V174" s="54">
        <f t="shared" si="5"/>
        <v>3</v>
      </c>
    </row>
    <row r="175" ht="15.75" customHeight="1">
      <c r="A175" s="55" t="str">
        <f>SiteAttendu!$A175</f>
        <v>C1095</v>
      </c>
      <c r="B175" s="56" t="str">
        <f>VLOOKUP($A175,SiteAttendu!$A$2:$C$366,2,0)</f>
        <v>HOPITAL GENERAL SASSANDRA</v>
      </c>
      <c r="C175" s="57" t="str">
        <f>VLOOKUP($A175,SiteAttendu!$A$2:$C$366,3,0)</f>
        <v>GBOKLE</v>
      </c>
      <c r="D175" s="58">
        <f>IF(VLOOKUP(A175,SiteAttendu!$A$2:$P$366,4,0)="NA","NA",COUNTIFS(soccode,A175,socprog,"PNLS/ANTIRETROVIRAUX ET IO",socprompt,1))</f>
        <v>1</v>
      </c>
      <c r="E175" s="58">
        <f>IF(VLOOKUP($A175,SiteAttendu!$A$2:$O$366,5,0)="NA","NA",COUNTIFS(soccode,A175,socprog,"PNLS/TESTS RAPIDES ET CONSOMMABLES",socprompt,1))</f>
        <v>1</v>
      </c>
      <c r="F175" s="58">
        <f>IF(VLOOKUP($A175,SiteAttendu!$A$2:$O$366,6,0)="NA","NA",COUNTIFS(soccode,A175,socprog,"PNLS/PRODUITS DE LABORATOIRE",socprompt,1))</f>
        <v>1</v>
      </c>
      <c r="G175" s="58">
        <f>IF(VLOOKUP($A175,SiteAttendu!$A$2:$O$366,7,0)="NA","NA",COUNTIFS(soccode,A175,socprog,"PNLS/CHARGES VIRALES",socprompt,1))</f>
        <v>1</v>
      </c>
      <c r="H175" s="58">
        <f>IF(VLOOKUP($A175,SiteAttendu!$A$2:$O$366,9,0)="NA","NA",COUNTIFS(soccode,A175,socprog,"PNLP/MEDICAMENTS ET INTRANTS",socprompt,1))</f>
        <v>1</v>
      </c>
      <c r="I175" s="58">
        <f>IF(VLOOKUP($A175,SiteAttendu!$A$2:$O$366,10,0)="NA","NA",COUNTIFS(soccode,$A175,socprog,"PNSME/MEDICAMENTS ET INTRANTS",socprompt,1))</f>
        <v>1</v>
      </c>
      <c r="J175" s="58">
        <f>IF(VLOOKUP($A175,SiteAttendu!$A$2:$O$366,11,0)="NA","NA",COUNTIFS(soccode,$A175,socprog,"PNN/MEDICAMENTS ET INTRANTS",socprompt,1))</f>
        <v>1</v>
      </c>
      <c r="K175" s="58">
        <f>IF(VLOOKUP($A175,SiteAttendu!$A$2:$O$366,15,0)="NA","NA",IF(COUNTIF(socprog,"PNLT/SENSIBLE MEDICAMENTS ET INTRANTS")=0,"NA",COUNTIFS(soccode,$A175,socprog,"PNLT/SENSIBLE MEDICAMENTS ET INTRANTS",socprompt,1)))</f>
        <v>1</v>
      </c>
      <c r="L175" s="60"/>
      <c r="M175" s="85">
        <f t="shared" ref="M175:S175" si="177">IFERROR(SUMIFS(E$2:E$364,$C$2:$C$364,$C175)/COUNTIFS(E$2:E$364,"&lt;&gt;NA",$C$2:$C$364,$C175),"")</f>
        <v>0.75</v>
      </c>
      <c r="N175" s="85">
        <f t="shared" si="177"/>
        <v>0.75</v>
      </c>
      <c r="O175" s="85">
        <f t="shared" si="177"/>
        <v>1</v>
      </c>
      <c r="P175" s="85">
        <f t="shared" si="177"/>
        <v>0.75</v>
      </c>
      <c r="Q175" s="85">
        <f t="shared" si="177"/>
        <v>1</v>
      </c>
      <c r="R175" s="85">
        <f t="shared" si="177"/>
        <v>0.5</v>
      </c>
      <c r="S175" s="85">
        <f t="shared" si="177"/>
        <v>0.5</v>
      </c>
      <c r="T175" s="127">
        <f t="shared" si="3"/>
        <v>0.7857142857</v>
      </c>
      <c r="U175" s="53">
        <f t="shared" si="4"/>
        <v>4</v>
      </c>
      <c r="V175" s="54">
        <f t="shared" si="5"/>
        <v>4</v>
      </c>
    </row>
    <row r="176" ht="15.75" customHeight="1">
      <c r="A176" s="62" t="str">
        <f>SiteAttendu!$A176</f>
        <v>C1096</v>
      </c>
      <c r="B176" s="63" t="str">
        <f>VLOOKUP($A176,SiteAttendu!$A$2:$C$366,2,0)</f>
        <v>DISTRICT SANITAIRE SASSANDRA</v>
      </c>
      <c r="C176" s="64" t="str">
        <f>VLOOKUP($A176,SiteAttendu!$A$2:$C$366,3,0)</f>
        <v>GBOKLE</v>
      </c>
      <c r="D176" s="65">
        <f>IF(VLOOKUP(A176,SiteAttendu!$A$2:$P$366,4,0)="NA","NA",COUNTIFS(soccode,A176,socprog,"PNLS/ANTIRETROVIRAUX ET IO",socprompt,1))</f>
        <v>0</v>
      </c>
      <c r="E176" s="65">
        <f>IF(VLOOKUP($A176,SiteAttendu!$A$2:$O$366,5,0)="NA","NA",COUNTIFS(soccode,A176,socprog,"PNLS/TESTS RAPIDES ET CONSOMMABLES",socprompt,1))</f>
        <v>0</v>
      </c>
      <c r="F176" s="65">
        <f>IF(VLOOKUP($A176,SiteAttendu!$A$2:$O$366,6,0)="NA","NA",COUNTIFS(soccode,A176,socprog,"PNLS/PRODUITS DE LABORATOIRE",socprompt,1))</f>
        <v>0</v>
      </c>
      <c r="G176" s="65" t="str">
        <f>IF(VLOOKUP($A176,SiteAttendu!$A$2:$O$366,7,0)="NA","NA",COUNTIFS(soccode,A176,socprog,"PNLS/CHARGES VIRALES",socprompt,1))</f>
        <v>NA</v>
      </c>
      <c r="H176" s="65">
        <f>IF(VLOOKUP($A176,SiteAttendu!$A$2:$O$366,9,0)="NA","NA",COUNTIFS(soccode,A176,socprog,"PNLP/MEDICAMENTS ET INTRANTS",socprompt,1))</f>
        <v>0</v>
      </c>
      <c r="I176" s="65">
        <f>IF(VLOOKUP($A176,SiteAttendu!$A$2:$O$366,10,0)="NA","NA",COUNTIFS(soccode,$A176,socprog,"PNSME/MEDICAMENTS ET INTRANTS",socprompt,1))</f>
        <v>1</v>
      </c>
      <c r="J176" s="65">
        <f>IF(VLOOKUP($A176,SiteAttendu!$A$2:$O$366,11,0)="NA","NA",COUNTIFS(soccode,$A176,socprog,"PNN/MEDICAMENTS ET INTRANTS",socprompt,1))</f>
        <v>0</v>
      </c>
      <c r="K176" s="65">
        <f>IF(VLOOKUP($A176,SiteAttendu!$A$2:$O$366,15,0)="NA","NA",IF(COUNTIF(socprog,"PNLT/SENSIBLE MEDICAMENTS ET INTRANTS")=0,"NA",COUNTIFS(soccode,$A176,socprog,"PNLT/SENSIBLE MEDICAMENTS ET INTRANTS",socprompt,1)))</f>
        <v>0</v>
      </c>
      <c r="L176" s="67"/>
      <c r="M176" s="86">
        <f t="shared" ref="M176:S176" si="178">IFERROR(SUMIFS(E$2:E$364,$C$2:$C$364,$C176)/COUNTIFS(E$2:E$364,"&lt;&gt;NA",$C$2:$C$364,$C176),"")</f>
        <v>0.75</v>
      </c>
      <c r="N176" s="86">
        <f t="shared" si="178"/>
        <v>0.75</v>
      </c>
      <c r="O176" s="86">
        <f t="shared" si="178"/>
        <v>1</v>
      </c>
      <c r="P176" s="86">
        <f t="shared" si="178"/>
        <v>0.75</v>
      </c>
      <c r="Q176" s="86">
        <f t="shared" si="178"/>
        <v>1</v>
      </c>
      <c r="R176" s="86">
        <f t="shared" si="178"/>
        <v>0.5</v>
      </c>
      <c r="S176" s="86">
        <f t="shared" si="178"/>
        <v>0.5</v>
      </c>
      <c r="T176" s="128">
        <f t="shared" si="3"/>
        <v>0.7857142857</v>
      </c>
      <c r="U176" s="53">
        <f t="shared" si="4"/>
        <v>0</v>
      </c>
      <c r="V176" s="54">
        <f t="shared" si="5"/>
        <v>3</v>
      </c>
    </row>
    <row r="177" ht="15.75" customHeight="1">
      <c r="A177" s="46" t="str">
        <f>SiteAttendu!$A177</f>
        <v>C2006</v>
      </c>
      <c r="B177" s="47" t="str">
        <f>VLOOKUP($A177,SiteAttendu!$A$2:$C$366,2,0)</f>
        <v>CHR GAGNOA</v>
      </c>
      <c r="C177" s="48" t="str">
        <f>VLOOKUP($A177,SiteAttendu!$A$2:$C$366,3,0)</f>
        <v>GOH</v>
      </c>
      <c r="D177" s="49">
        <f>IF(VLOOKUP(A177,SiteAttendu!$A$2:$P$366,4,0)="NA","NA",COUNTIFS(soccode,A177,socprog,"PNLS/ANTIRETROVIRAUX ET IO",socprompt,1))</f>
        <v>1</v>
      </c>
      <c r="E177" s="49">
        <f>IF(VLOOKUP($A177,SiteAttendu!$A$2:$O$366,5,0)="NA","NA",COUNTIFS(soccode,A177,socprog,"PNLS/TESTS RAPIDES ET CONSOMMABLES",socprompt,1))</f>
        <v>1</v>
      </c>
      <c r="F177" s="49">
        <f>IF(VLOOKUP($A177,SiteAttendu!$A$2:$O$366,6,0)="NA","NA",COUNTIFS(soccode,A177,socprog,"PNLS/PRODUITS DE LABORATOIRE",socprompt,1))</f>
        <v>1</v>
      </c>
      <c r="G177" s="49">
        <f>IF(VLOOKUP($A177,SiteAttendu!$A$2:$O$366,7,0)="NA","NA",COUNTIFS(soccode,A177,socprog,"PNLS/CHARGES VIRALES",socprompt,1))</f>
        <v>1</v>
      </c>
      <c r="H177" s="49">
        <f>IF(VLOOKUP($A177,SiteAttendu!$A$2:$O$366,9,0)="NA","NA",COUNTIFS(soccode,A177,socprog,"PNLP/MEDICAMENTS ET INTRANTS",socprompt,1))</f>
        <v>1</v>
      </c>
      <c r="I177" s="49">
        <f>IF(VLOOKUP($A177,SiteAttendu!$A$2:$O$366,10,0)="NA","NA",COUNTIFS(soccode,$A177,socprog,"PNSME/MEDICAMENTS ET INTRANTS",socprompt,1))</f>
        <v>1</v>
      </c>
      <c r="J177" s="49" t="str">
        <f>IF(VLOOKUP($A177,SiteAttendu!$A$2:$O$366,11,0)="NA","NA",COUNTIFS(soccode,$A177,socprog,"PNN/MEDICAMENTS ET INTRANTS",socprompt,1))</f>
        <v>NA</v>
      </c>
      <c r="K177" s="49" t="str">
        <f>IF(VLOOKUP($A177,SiteAttendu!$A$2:$O$366,15,0)="NA","NA",IF(COUNTIF(socprog,"PNLT/SENSIBLE MEDICAMENTS ET INTRANTS")=0,"NA",COUNTIFS(soccode,$A177,socprog,"PNLT/SENSIBLE MEDICAMENTS ET INTRANTS",socprompt,1)))</f>
        <v>NA</v>
      </c>
      <c r="L177" s="51">
        <f t="shared" ref="L177:S177" si="179">IFERROR(SUMIFS(D$2:D$364,$C$2:$C$364,$C177)/COUNTIFS(D$2:D$364,"&lt;&gt;NA",$C$2:$C$364,$C177),"")</f>
        <v>1</v>
      </c>
      <c r="M177" s="51">
        <f t="shared" si="179"/>
        <v>1</v>
      </c>
      <c r="N177" s="51">
        <f t="shared" si="179"/>
        <v>1</v>
      </c>
      <c r="O177" s="51">
        <f t="shared" si="179"/>
        <v>1</v>
      </c>
      <c r="P177" s="51">
        <f t="shared" si="179"/>
        <v>0.8571428571</v>
      </c>
      <c r="Q177" s="51">
        <f t="shared" si="179"/>
        <v>0.8571428571</v>
      </c>
      <c r="R177" s="51" t="str">
        <f t="shared" si="179"/>
        <v/>
      </c>
      <c r="S177" s="51">
        <f t="shared" si="179"/>
        <v>0.8</v>
      </c>
      <c r="T177" s="51">
        <f t="shared" si="3"/>
        <v>1</v>
      </c>
      <c r="U177" s="53">
        <f t="shared" si="4"/>
        <v>4</v>
      </c>
      <c r="V177" s="54">
        <f t="shared" si="5"/>
        <v>4</v>
      </c>
    </row>
    <row r="178" ht="15.75" customHeight="1">
      <c r="A178" s="55" t="str">
        <f>SiteAttendu!$A178</f>
        <v>C2017</v>
      </c>
      <c r="B178" s="56" t="str">
        <f>VLOOKUP($A178,SiteAttendu!$A$2:$C$366,2,0)</f>
        <v>CSU OURAGAHIO</v>
      </c>
      <c r="C178" s="57" t="str">
        <f>VLOOKUP($A178,SiteAttendu!$A$2:$C$366,3,0)</f>
        <v>GOH</v>
      </c>
      <c r="D178" s="58" t="str">
        <f>IF(VLOOKUP(A178,SiteAttendu!$A$2:$P$366,4,0)="NA","NA",COUNTIFS(soccode,A178,socprog,"PNLS/ANTIRETROVIRAUX ET IO",socprompt,1))</f>
        <v>NA</v>
      </c>
      <c r="E178" s="58" t="str">
        <f>IF(VLOOKUP($A178,SiteAttendu!$A$2:$O$366,5,0)="NA","NA",COUNTIFS(soccode,A178,socprog,"PNLS/TESTS RAPIDES ET CONSOMMABLES",socprompt,1))</f>
        <v>NA</v>
      </c>
      <c r="F178" s="58" t="str">
        <f>IF(VLOOKUP($A178,SiteAttendu!$A$2:$O$366,6,0)="NA","NA",COUNTIFS(soccode,A178,socprog,"PNLS/PRODUITS DE LABORATOIRE",socprompt,1))</f>
        <v>NA</v>
      </c>
      <c r="G178" s="58" t="str">
        <f>IF(VLOOKUP($A178,SiteAttendu!$A$2:$O$366,7,0)="NA","NA",COUNTIFS(soccode,A178,socprog,"PNLS/CHARGES VIRALES",socprompt,1))</f>
        <v>NA</v>
      </c>
      <c r="H178" s="58">
        <f>IF(VLOOKUP($A178,SiteAttendu!$A$2:$O$366,9,0)="NA","NA",COUNTIFS(soccode,A178,socprog,"PNLP/MEDICAMENTS ET INTRANTS",socprompt,1))</f>
        <v>0</v>
      </c>
      <c r="I178" s="58">
        <f>IF(VLOOKUP($A178,SiteAttendu!$A$2:$O$366,10,0)="NA","NA",COUNTIFS(soccode,$A178,socprog,"PNSME/MEDICAMENTS ET INTRANTS",socprompt,1))</f>
        <v>0</v>
      </c>
      <c r="J178" s="58" t="str">
        <f>IF(VLOOKUP($A178,SiteAttendu!$A$2:$O$366,11,0)="NA","NA",COUNTIFS(soccode,$A178,socprog,"PNN/MEDICAMENTS ET INTRANTS",socprompt,1))</f>
        <v>NA</v>
      </c>
      <c r="K178" s="58">
        <f>IF(VLOOKUP($A178,SiteAttendu!$A$2:$O$366,15,0)="NA","NA",IF(COUNTIF(socprog,"PNLT/SENSIBLE MEDICAMENTS ET INTRANTS")=0,"NA",COUNTIFS(soccode,$A178,socprog,"PNLT/SENSIBLE MEDICAMENTS ET INTRANTS",socprompt,1)))</f>
        <v>0</v>
      </c>
      <c r="L178" s="60"/>
      <c r="M178" s="60">
        <f t="shared" ref="M178:S178" si="180">IFERROR(SUMIFS(E$2:E$364,$C$2:$C$364,$C178)/COUNTIFS(E$2:E$364,"&lt;&gt;NA",$C$2:$C$364,$C178),"")</f>
        <v>1</v>
      </c>
      <c r="N178" s="60">
        <f t="shared" si="180"/>
        <v>1</v>
      </c>
      <c r="O178" s="60">
        <f t="shared" si="180"/>
        <v>1</v>
      </c>
      <c r="P178" s="60">
        <f t="shared" si="180"/>
        <v>0.8571428571</v>
      </c>
      <c r="Q178" s="60">
        <f t="shared" si="180"/>
        <v>0.8571428571</v>
      </c>
      <c r="R178" s="60" t="str">
        <f t="shared" si="180"/>
        <v/>
      </c>
      <c r="S178" s="60">
        <f t="shared" si="180"/>
        <v>0.8</v>
      </c>
      <c r="T178" s="60">
        <f t="shared" si="3"/>
        <v>1</v>
      </c>
      <c r="U178" s="53">
        <f t="shared" si="4"/>
        <v>0</v>
      </c>
      <c r="V178" s="54">
        <f t="shared" si="5"/>
        <v>0</v>
      </c>
    </row>
    <row r="179" ht="15.75" customHeight="1">
      <c r="A179" s="55" t="str">
        <f>SiteAttendu!$A179</f>
        <v>C2029</v>
      </c>
      <c r="B179" s="56" t="str">
        <f>VLOOKUP($A179,SiteAttendu!$A$2:$C$366,2,0)</f>
        <v>DISTRICT SANITAIRE GAGNOA</v>
      </c>
      <c r="C179" s="57" t="str">
        <f>VLOOKUP($A179,SiteAttendu!$A$2:$C$366,3,0)</f>
        <v>GOH</v>
      </c>
      <c r="D179" s="58">
        <f>IF(VLOOKUP(A179,SiteAttendu!$A$2:$P$366,4,0)="NA","NA",COUNTIFS(soccode,A179,socprog,"PNLS/ANTIRETROVIRAUX ET IO",socprompt,1))</f>
        <v>1</v>
      </c>
      <c r="E179" s="58">
        <f>IF(VLOOKUP($A179,SiteAttendu!$A$2:$O$366,5,0)="NA","NA",COUNTIFS(soccode,A179,socprog,"PNLS/TESTS RAPIDES ET CONSOMMABLES",socprompt,1))</f>
        <v>1</v>
      </c>
      <c r="F179" s="58">
        <f>IF(VLOOKUP($A179,SiteAttendu!$A$2:$O$366,6,0)="NA","NA",COUNTIFS(soccode,A179,socprog,"PNLS/PRODUITS DE LABORATOIRE",socprompt,1))</f>
        <v>1</v>
      </c>
      <c r="G179" s="58" t="str">
        <f>IF(VLOOKUP($A179,SiteAttendu!$A$2:$O$366,7,0)="NA","NA",COUNTIFS(soccode,A179,socprog,"PNLS/CHARGES VIRALES",socprompt,1))</f>
        <v>NA</v>
      </c>
      <c r="H179" s="58">
        <f>IF(VLOOKUP($A179,SiteAttendu!$A$2:$O$366,9,0)="NA","NA",COUNTIFS(soccode,A179,socprog,"PNLP/MEDICAMENTS ET INTRANTS",socprompt,1))</f>
        <v>1</v>
      </c>
      <c r="I179" s="58">
        <f>IF(VLOOKUP($A179,SiteAttendu!$A$2:$O$366,10,0)="NA","NA",COUNTIFS(soccode,$A179,socprog,"PNSME/MEDICAMENTS ET INTRANTS",socprompt,1))</f>
        <v>1</v>
      </c>
      <c r="J179" s="58" t="str">
        <f>IF(VLOOKUP($A179,SiteAttendu!$A$2:$O$366,11,0)="NA","NA",COUNTIFS(soccode,$A179,socprog,"PNN/MEDICAMENTS ET INTRANTS",socprompt,1))</f>
        <v>NA</v>
      </c>
      <c r="K179" s="58">
        <f>IF(VLOOKUP($A179,SiteAttendu!$A$2:$O$366,15,0)="NA","NA",IF(COUNTIF(socprog,"PNLT/SENSIBLE MEDICAMENTS ET INTRANTS")=0,"NA",COUNTIFS(soccode,$A179,socprog,"PNLT/SENSIBLE MEDICAMENTS ET INTRANTS",socprompt,1)))</f>
        <v>1</v>
      </c>
      <c r="L179" s="60"/>
      <c r="M179" s="60">
        <f t="shared" ref="M179:S179" si="181">IFERROR(SUMIFS(E$2:E$364,$C$2:$C$364,$C179)/COUNTIFS(E$2:E$364,"&lt;&gt;NA",$C$2:$C$364,$C179),"")</f>
        <v>1</v>
      </c>
      <c r="N179" s="60">
        <f t="shared" si="181"/>
        <v>1</v>
      </c>
      <c r="O179" s="60">
        <f t="shared" si="181"/>
        <v>1</v>
      </c>
      <c r="P179" s="60">
        <f t="shared" si="181"/>
        <v>0.8571428571</v>
      </c>
      <c r="Q179" s="60">
        <f t="shared" si="181"/>
        <v>0.8571428571</v>
      </c>
      <c r="R179" s="60" t="str">
        <f t="shared" si="181"/>
        <v/>
      </c>
      <c r="S179" s="60">
        <f t="shared" si="181"/>
        <v>0.8</v>
      </c>
      <c r="T179" s="60">
        <f t="shared" si="3"/>
        <v>1</v>
      </c>
      <c r="U179" s="53">
        <f t="shared" si="4"/>
        <v>3</v>
      </c>
      <c r="V179" s="54">
        <f t="shared" si="5"/>
        <v>3</v>
      </c>
    </row>
    <row r="180" ht="15.75" customHeight="1">
      <c r="A180" s="55" t="str">
        <f>SiteAttendu!$A180</f>
        <v>C2053</v>
      </c>
      <c r="B180" s="56" t="str">
        <f>VLOOKUP($A180,SiteAttendu!$A$2:$C$366,2,0)</f>
        <v>HOPITAL GENERAL GAGNOA</v>
      </c>
      <c r="C180" s="57" t="str">
        <f>VLOOKUP($A180,SiteAttendu!$A$2:$C$366,3,0)</f>
        <v>GOH</v>
      </c>
      <c r="D180" s="58">
        <f>IF(VLOOKUP(A180,SiteAttendu!$A$2:$P$366,4,0)="NA","NA",COUNTIFS(soccode,A180,socprog,"PNLS/ANTIRETROVIRAUX ET IO",socprompt,1))</f>
        <v>1</v>
      </c>
      <c r="E180" s="58">
        <f>IF(VLOOKUP($A180,SiteAttendu!$A$2:$O$366,5,0)="NA","NA",COUNTIFS(soccode,A180,socprog,"PNLS/TESTS RAPIDES ET CONSOMMABLES",socprompt,1))</f>
        <v>1</v>
      </c>
      <c r="F180" s="58">
        <f>IF(VLOOKUP($A180,SiteAttendu!$A$2:$O$366,6,0)="NA","NA",COUNTIFS(soccode,A180,socprog,"PNLS/PRODUITS DE LABORATOIRE",socprompt,1))</f>
        <v>1</v>
      </c>
      <c r="G180" s="58">
        <f>IF(VLOOKUP($A180,SiteAttendu!$A$2:$O$366,7,0)="NA","NA",COUNTIFS(soccode,A180,socprog,"PNLS/CHARGES VIRALES",socprompt,1))</f>
        <v>1</v>
      </c>
      <c r="H180" s="58">
        <f>IF(VLOOKUP($A180,SiteAttendu!$A$2:$O$366,9,0)="NA","NA",COUNTIFS(soccode,A180,socprog,"PNLP/MEDICAMENTS ET INTRANTS",socprompt,1))</f>
        <v>1</v>
      </c>
      <c r="I180" s="58">
        <f>IF(VLOOKUP($A180,SiteAttendu!$A$2:$O$366,10,0)="NA","NA",COUNTIFS(soccode,$A180,socprog,"PNSME/MEDICAMENTS ET INTRANTS",socprompt,1))</f>
        <v>1</v>
      </c>
      <c r="J180" s="58" t="str">
        <f>IF(VLOOKUP($A180,SiteAttendu!$A$2:$O$366,11,0)="NA","NA",COUNTIFS(soccode,$A180,socprog,"PNN/MEDICAMENTS ET INTRANTS",socprompt,1))</f>
        <v>NA</v>
      </c>
      <c r="K180" s="58" t="str">
        <f>IF(VLOOKUP($A180,SiteAttendu!$A$2:$O$366,15,0)="NA","NA",IF(COUNTIF(socprog,"PNLT/SENSIBLE MEDICAMENTS ET INTRANTS")=0,"NA",COUNTIFS(soccode,$A180,socprog,"PNLT/SENSIBLE MEDICAMENTS ET INTRANTS",socprompt,1)))</f>
        <v>NA</v>
      </c>
      <c r="L180" s="60"/>
      <c r="M180" s="60">
        <f t="shared" ref="M180:S180" si="182">IFERROR(SUMIFS(E$2:E$364,$C$2:$C$364,$C180)/COUNTIFS(E$2:E$364,"&lt;&gt;NA",$C$2:$C$364,$C180),"")</f>
        <v>1</v>
      </c>
      <c r="N180" s="60">
        <f t="shared" si="182"/>
        <v>1</v>
      </c>
      <c r="O180" s="60">
        <f t="shared" si="182"/>
        <v>1</v>
      </c>
      <c r="P180" s="60">
        <f t="shared" si="182"/>
        <v>0.8571428571</v>
      </c>
      <c r="Q180" s="60">
        <f t="shared" si="182"/>
        <v>0.8571428571</v>
      </c>
      <c r="R180" s="60" t="str">
        <f t="shared" si="182"/>
        <v/>
      </c>
      <c r="S180" s="60">
        <f t="shared" si="182"/>
        <v>0.8</v>
      </c>
      <c r="T180" s="60">
        <f t="shared" si="3"/>
        <v>1</v>
      </c>
      <c r="U180" s="53">
        <f t="shared" si="4"/>
        <v>4</v>
      </c>
      <c r="V180" s="54">
        <f t="shared" si="5"/>
        <v>4</v>
      </c>
    </row>
    <row r="181" ht="15.75" customHeight="1">
      <c r="A181" s="55" t="str">
        <f>SiteAttendu!$A181</f>
        <v>C2001</v>
      </c>
      <c r="B181" s="56" t="str">
        <f>VLOOKUP($A181,SiteAttendu!$A$2:$C$366,2,0)</f>
        <v>CENTRE ANTI-TUBERCULEUX GAGNOA</v>
      </c>
      <c r="C181" s="57" t="str">
        <f>VLOOKUP($A181,SiteAttendu!$A$2:$C$366,3,0)</f>
        <v>GOH</v>
      </c>
      <c r="D181" s="58" t="str">
        <f>IF(VLOOKUP(A181,SiteAttendu!$A$2:$P$366,4,0)="NA","NA",COUNTIFS(soccode,A181,socprog,"PNLS/ANTIRETROVIRAUX ET IO",socprompt,1))</f>
        <v>NA</v>
      </c>
      <c r="E181" s="58" t="str">
        <f>IF(VLOOKUP($A181,SiteAttendu!$A$2:$O$366,5,0)="NA","NA",COUNTIFS(soccode,A181,socprog,"PNLS/TESTS RAPIDES ET CONSOMMABLES",socprompt,1))</f>
        <v>NA</v>
      </c>
      <c r="F181" s="58" t="str">
        <f>IF(VLOOKUP($A181,SiteAttendu!$A$2:$O$366,6,0)="NA","NA",COUNTIFS(soccode,A181,socprog,"PNLS/PRODUITS DE LABORATOIRE",socprompt,1))</f>
        <v>NA</v>
      </c>
      <c r="G181" s="58" t="str">
        <f>IF(VLOOKUP($A181,SiteAttendu!$A$2:$O$366,7,0)="NA","NA",COUNTIFS(soccode,A181,socprog,"PNLS/CHARGES VIRALES",socprompt,1))</f>
        <v>NA</v>
      </c>
      <c r="H181" s="58" t="str">
        <f>IF(VLOOKUP($A181,SiteAttendu!$A$2:$O$366,9,0)="NA","NA",COUNTIFS(soccode,A181,socprog,"PNLP/MEDICAMENTS ET INTRANTS",socprompt,1))</f>
        <v>NA</v>
      </c>
      <c r="I181" s="58" t="str">
        <f>IF(VLOOKUP($A181,SiteAttendu!$A$2:$O$366,10,0)="NA","NA",COUNTIFS(soccode,$A181,socprog,"PNSME/MEDICAMENTS ET INTRANTS",socprompt,1))</f>
        <v>NA</v>
      </c>
      <c r="J181" s="58" t="str">
        <f>IF(VLOOKUP($A181,SiteAttendu!$A$2:$O$366,11,0)="NA","NA",COUNTIFS(soccode,$A181,socprog,"PNN/MEDICAMENTS ET INTRANTS",socprompt,1))</f>
        <v>NA</v>
      </c>
      <c r="K181" s="58">
        <f>IF(VLOOKUP($A181,SiteAttendu!$A$2:$O$366,15,0)="NA","NA",IF(COUNTIF(socprog,"PNLT/SENSIBLE MEDICAMENTS ET INTRANTS")=0,"NA",COUNTIFS(soccode,$A181,socprog,"PNLT/SENSIBLE MEDICAMENTS ET INTRANTS",socprompt,1)))</f>
        <v>1</v>
      </c>
      <c r="L181" s="60"/>
      <c r="M181" s="60">
        <f t="shared" ref="M181:S181" si="183">IFERROR(SUMIFS(E$2:E$364,$C$2:$C$364,$C181)/COUNTIFS(E$2:E$364,"&lt;&gt;NA",$C$2:$C$364,$C181),"")</f>
        <v>1</v>
      </c>
      <c r="N181" s="60">
        <f t="shared" si="183"/>
        <v>1</v>
      </c>
      <c r="O181" s="60">
        <f t="shared" si="183"/>
        <v>1</v>
      </c>
      <c r="P181" s="60">
        <f t="shared" si="183"/>
        <v>0.8571428571</v>
      </c>
      <c r="Q181" s="60">
        <f t="shared" si="183"/>
        <v>0.8571428571</v>
      </c>
      <c r="R181" s="60" t="str">
        <f t="shared" si="183"/>
        <v/>
      </c>
      <c r="S181" s="60">
        <f t="shared" si="183"/>
        <v>0.8</v>
      </c>
      <c r="T181" s="60">
        <f t="shared" si="3"/>
        <v>1</v>
      </c>
      <c r="U181" s="53">
        <f t="shared" si="4"/>
        <v>0</v>
      </c>
      <c r="V181" s="54">
        <f t="shared" si="5"/>
        <v>0</v>
      </c>
    </row>
    <row r="182" ht="15.75" customHeight="1">
      <c r="A182" s="55" t="str">
        <f>SiteAttendu!$A184</f>
        <v>C2088</v>
      </c>
      <c r="B182" s="56" t="str">
        <f>VLOOKUP($A182,SiteAttendu!$A$2:$C$366,2,0)</f>
        <v>DISTRICT SANITAIRE GAGNOA 2</v>
      </c>
      <c r="C182" s="57" t="str">
        <f>VLOOKUP($A182,SiteAttendu!$A$2:$C$366,3,0)</f>
        <v>GOH</v>
      </c>
      <c r="D182" s="58">
        <f>IF(VLOOKUP(A182,SiteAttendu!$A$2:$P$366,4,0)="NA","NA",COUNTIFS(soccode,A182,socprog,"PNLS/ANTIRETROVIRAUX ET IO",socprompt,1))</f>
        <v>1</v>
      </c>
      <c r="E182" s="58">
        <f>IF(VLOOKUP($A182,SiteAttendu!$A$2:$O$366,5,0)="NA","NA",COUNTIFS(soccode,A182,socprog,"PNLS/TESTS RAPIDES ET CONSOMMABLES",socprompt,1))</f>
        <v>1</v>
      </c>
      <c r="F182" s="58">
        <f>IF(VLOOKUP($A182,SiteAttendu!$A$2:$O$366,6,0)="NA","NA",COUNTIFS(soccode,A182,socprog,"PNLS/PRODUITS DE LABORATOIRE",socprompt,1))</f>
        <v>1</v>
      </c>
      <c r="G182" s="58" t="str">
        <f>IF(VLOOKUP($A182,SiteAttendu!$A$2:$O$366,7,0)="NA","NA",COUNTIFS(soccode,A182,socprog,"PNLS/CHARGES VIRALES",socprompt,1))</f>
        <v>NA</v>
      </c>
      <c r="H182" s="58">
        <f>IF(VLOOKUP($A182,SiteAttendu!$A$2:$O$366,9,0)="NA","NA",COUNTIFS(soccode,A182,socprog,"PNLP/MEDICAMENTS ET INTRANTS",socprompt,1))</f>
        <v>1</v>
      </c>
      <c r="I182" s="58">
        <f>IF(VLOOKUP($A182,SiteAttendu!$A$2:$O$366,10,0)="NA","NA",COUNTIFS(soccode,$A182,socprog,"PNSME/MEDICAMENTS ET INTRANTS",socprompt,1))</f>
        <v>1</v>
      </c>
      <c r="J182" s="58" t="str">
        <f>IF(VLOOKUP($A182,SiteAttendu!$A$2:$O$366,11,0)="NA","NA",COUNTIFS(soccode,$A182,socprog,"PNN/MEDICAMENTS ET INTRANTS",socprompt,1))</f>
        <v>NA</v>
      </c>
      <c r="K182" s="58">
        <f>IF(VLOOKUP($A182,SiteAttendu!$A$2:$O$366,15,0)="NA","NA",IF(COUNTIF(socprog,"PNLT/SENSIBLE MEDICAMENTS ET INTRANTS")=0,"NA",COUNTIFS(soccode,$A182,socprog,"PNLT/SENSIBLE MEDICAMENTS ET INTRANTS",socprompt,1)))</f>
        <v>1</v>
      </c>
      <c r="L182" s="60"/>
      <c r="M182" s="60">
        <f t="shared" ref="M182:S182" si="184">IFERROR(SUMIFS(E$2:E$364,$C$2:$C$364,$C182)/COUNTIFS(E$2:E$364,"&lt;&gt;NA",$C$2:$C$364,$C182),"")</f>
        <v>1</v>
      </c>
      <c r="N182" s="60">
        <f t="shared" si="184"/>
        <v>1</v>
      </c>
      <c r="O182" s="60">
        <f t="shared" si="184"/>
        <v>1</v>
      </c>
      <c r="P182" s="60">
        <f t="shared" si="184"/>
        <v>0.8571428571</v>
      </c>
      <c r="Q182" s="60">
        <f t="shared" si="184"/>
        <v>0.8571428571</v>
      </c>
      <c r="R182" s="60" t="str">
        <f t="shared" si="184"/>
        <v/>
      </c>
      <c r="S182" s="60">
        <f t="shared" si="184"/>
        <v>0.8</v>
      </c>
      <c r="T182" s="60">
        <f t="shared" si="3"/>
        <v>1</v>
      </c>
      <c r="U182" s="53">
        <f t="shared" si="4"/>
        <v>3</v>
      </c>
      <c r="V182" s="54">
        <f t="shared" si="5"/>
        <v>3</v>
      </c>
    </row>
    <row r="183" ht="15.75" customHeight="1">
      <c r="A183" s="55" t="str">
        <f>SiteAttendu!$A185</f>
        <v>C2033</v>
      </c>
      <c r="B183" s="56" t="str">
        <f>VLOOKUP($A183,SiteAttendu!$A$2:$C$366,2,0)</f>
        <v>DISTRICT SANITAIRE OUME</v>
      </c>
      <c r="C183" s="57" t="str">
        <f>VLOOKUP($A183,SiteAttendu!$A$2:$C$366,3,0)</f>
        <v>GOH</v>
      </c>
      <c r="D183" s="58">
        <f>IF(VLOOKUP(A183,SiteAttendu!$A$2:$P$366,4,0)="NA","NA",COUNTIFS(soccode,A183,socprog,"PNLS/ANTIRETROVIRAUX ET IO",socprompt,1))</f>
        <v>1</v>
      </c>
      <c r="E183" s="58">
        <f>IF(VLOOKUP($A183,SiteAttendu!$A$2:$O$366,5,0)="NA","NA",COUNTIFS(soccode,A183,socprog,"PNLS/TESTS RAPIDES ET CONSOMMABLES",socprompt,1))</f>
        <v>1</v>
      </c>
      <c r="F183" s="58">
        <f>IF(VLOOKUP($A183,SiteAttendu!$A$2:$O$366,6,0)="NA","NA",COUNTIFS(soccode,A183,socprog,"PNLS/PRODUITS DE LABORATOIRE",socprompt,1))</f>
        <v>1</v>
      </c>
      <c r="G183" s="58" t="str">
        <f>IF(VLOOKUP($A183,SiteAttendu!$A$2:$O$366,7,0)="NA","NA",COUNTIFS(soccode,A183,socprog,"PNLS/CHARGES VIRALES",socprompt,1))</f>
        <v>NA</v>
      </c>
      <c r="H183" s="58">
        <f>IF(VLOOKUP($A183,SiteAttendu!$A$2:$O$366,9,0)="NA","NA",COUNTIFS(soccode,A183,socprog,"PNLP/MEDICAMENTS ET INTRANTS",socprompt,1))</f>
        <v>1</v>
      </c>
      <c r="I183" s="58">
        <f>IF(VLOOKUP($A183,SiteAttendu!$A$2:$O$366,10,0)="NA","NA",COUNTIFS(soccode,$A183,socprog,"PNSME/MEDICAMENTS ET INTRANTS",socprompt,1))</f>
        <v>1</v>
      </c>
      <c r="J183" s="58" t="str">
        <f>IF(VLOOKUP($A183,SiteAttendu!$A$2:$O$366,11,0)="NA","NA",COUNTIFS(soccode,$A183,socprog,"PNN/MEDICAMENTS ET INTRANTS",socprompt,1))</f>
        <v>NA</v>
      </c>
      <c r="K183" s="58">
        <f>IF(VLOOKUP($A183,SiteAttendu!$A$2:$O$366,15,0)="NA","NA",IF(COUNTIF(socprog,"PNLT/SENSIBLE MEDICAMENTS ET INTRANTS")=0,"NA",COUNTIFS(soccode,$A183,socprog,"PNLT/SENSIBLE MEDICAMENTS ET INTRANTS",socprompt,1)))</f>
        <v>1</v>
      </c>
      <c r="L183" s="60"/>
      <c r="M183" s="60">
        <f t="shared" ref="M183:S183" si="185">IFERROR(SUMIFS(E$2:E$364,$C$2:$C$364,$C183)/COUNTIFS(E$2:E$364,"&lt;&gt;NA",$C$2:$C$364,$C183),"")</f>
        <v>1</v>
      </c>
      <c r="N183" s="60">
        <f t="shared" si="185"/>
        <v>1</v>
      </c>
      <c r="O183" s="60">
        <f t="shared" si="185"/>
        <v>1</v>
      </c>
      <c r="P183" s="60">
        <f t="shared" si="185"/>
        <v>0.8571428571</v>
      </c>
      <c r="Q183" s="60">
        <f t="shared" si="185"/>
        <v>0.8571428571</v>
      </c>
      <c r="R183" s="60" t="str">
        <f t="shared" si="185"/>
        <v/>
      </c>
      <c r="S183" s="60">
        <f t="shared" si="185"/>
        <v>0.8</v>
      </c>
      <c r="T183" s="60">
        <f t="shared" si="3"/>
        <v>1</v>
      </c>
      <c r="U183" s="53">
        <f t="shared" si="4"/>
        <v>3</v>
      </c>
      <c r="V183" s="54">
        <f t="shared" si="5"/>
        <v>3</v>
      </c>
    </row>
    <row r="184" ht="15.75" customHeight="1">
      <c r="A184" s="70" t="str">
        <f>SiteAttendu!$A186</f>
        <v>C2060</v>
      </c>
      <c r="B184" s="71" t="str">
        <f>VLOOKUP($A184,SiteAttendu!$A$2:$C$366,2,0)</f>
        <v>HOPITAL GENERAL OUME</v>
      </c>
      <c r="C184" s="72" t="str">
        <f>VLOOKUP($A184,SiteAttendu!$A$2:$C$366,3,0)</f>
        <v>GOH</v>
      </c>
      <c r="D184" s="73">
        <f>IF(VLOOKUP(A184,SiteAttendu!$A$2:$P$366,4,0)="NA","NA",COUNTIFS(soccode,A184,socprog,"PNLS/ANTIRETROVIRAUX ET IO",socprompt,1))</f>
        <v>1</v>
      </c>
      <c r="E184" s="73">
        <f>IF(VLOOKUP($A184,SiteAttendu!$A$2:$O$366,5,0)="NA","NA",COUNTIFS(soccode,A184,socprog,"PNLS/TESTS RAPIDES ET CONSOMMABLES",socprompt,1))</f>
        <v>1</v>
      </c>
      <c r="F184" s="73">
        <f>IF(VLOOKUP($A184,SiteAttendu!$A$2:$O$366,6,0)="NA","NA",COUNTIFS(soccode,A184,socprog,"PNLS/PRODUITS DE LABORATOIRE",socprompt,1))</f>
        <v>1</v>
      </c>
      <c r="G184" s="73">
        <f>IF(VLOOKUP($A184,SiteAttendu!$A$2:$O$366,7,0)="NA","NA",COUNTIFS(soccode,A184,socprog,"PNLS/CHARGES VIRALES",socprompt,1))</f>
        <v>1</v>
      </c>
      <c r="H184" s="73">
        <f>IF(VLOOKUP($A184,SiteAttendu!$A$2:$O$366,9,0)="NA","NA",COUNTIFS(soccode,A184,socprog,"PNLP/MEDICAMENTS ET INTRANTS",socprompt,1))</f>
        <v>1</v>
      </c>
      <c r="I184" s="73">
        <f>IF(VLOOKUP($A184,SiteAttendu!$A$2:$O$366,10,0)="NA","NA",COUNTIFS(soccode,$A184,socprog,"PNSME/MEDICAMENTS ET INTRANTS",socprompt,1))</f>
        <v>1</v>
      </c>
      <c r="J184" s="73" t="str">
        <f>IF(VLOOKUP($A184,SiteAttendu!$A$2:$O$366,11,0)="NA","NA",COUNTIFS(soccode,$A184,socprog,"PNN/MEDICAMENTS ET INTRANTS",socprompt,1))</f>
        <v>NA</v>
      </c>
      <c r="K184" s="73" t="str">
        <f>IF(VLOOKUP($A184,SiteAttendu!$A$2:$O$366,15,0)="NA","NA",IF(COUNTIF(socprog,"PNLT/SENSIBLE MEDICAMENTS ET INTRANTS")=0,"NA",COUNTIFS(soccode,$A184,socprog,"PNLT/SENSIBLE MEDICAMENTS ET INTRANTS",socprompt,1)))</f>
        <v>NA</v>
      </c>
      <c r="L184" s="60"/>
      <c r="M184" s="60">
        <f t="shared" ref="M184:S184" si="186">IFERROR(SUMIFS(E$2:E$364,$C$2:$C$364,$C184)/COUNTIFS(E$2:E$364,"&lt;&gt;NA",$C$2:$C$364,$C184),"")</f>
        <v>1</v>
      </c>
      <c r="N184" s="60">
        <f t="shared" si="186"/>
        <v>1</v>
      </c>
      <c r="O184" s="60">
        <f t="shared" si="186"/>
        <v>1</v>
      </c>
      <c r="P184" s="60">
        <f t="shared" si="186"/>
        <v>0.8571428571</v>
      </c>
      <c r="Q184" s="60">
        <f t="shared" si="186"/>
        <v>0.8571428571</v>
      </c>
      <c r="R184" s="60" t="str">
        <f t="shared" si="186"/>
        <v/>
      </c>
      <c r="S184" s="60">
        <f t="shared" si="186"/>
        <v>0.8</v>
      </c>
      <c r="T184" s="60">
        <f t="shared" si="3"/>
        <v>1</v>
      </c>
      <c r="U184" s="53">
        <f t="shared" si="4"/>
        <v>4</v>
      </c>
      <c r="V184" s="54">
        <f t="shared" si="5"/>
        <v>4</v>
      </c>
    </row>
    <row r="185" ht="15.75" customHeight="1">
      <c r="A185" s="46" t="str">
        <f>SiteAttendu!$A187</f>
        <v>C4002</v>
      </c>
      <c r="B185" s="47" t="str">
        <f>VLOOKUP($A185,SiteAttendu!$A$2:$C$366,2,0)</f>
        <v>CHR BONDOUKOU</v>
      </c>
      <c r="C185" s="48" t="str">
        <f>VLOOKUP($A185,SiteAttendu!$A$2:$C$366,3,0)</f>
        <v>GONTOUGO</v>
      </c>
      <c r="D185" s="49">
        <f>IF(VLOOKUP(A185,SiteAttendu!$A$2:$P$366,4,0)="NA","NA",COUNTIFS(soccode,A185,socprog,"PNLS/ANTIRETROVIRAUX ET IO",socprompt,1))</f>
        <v>1</v>
      </c>
      <c r="E185" s="49">
        <f>IF(VLOOKUP($A185,SiteAttendu!$A$2:$O$366,5,0)="NA","NA",COUNTIFS(soccode,A185,socprog,"PNLS/TESTS RAPIDES ET CONSOMMABLES",socprompt,1))</f>
        <v>1</v>
      </c>
      <c r="F185" s="49">
        <f>IF(VLOOKUP($A185,SiteAttendu!$A$2:$O$366,6,0)="NA","NA",COUNTIFS(soccode,A185,socprog,"PNLS/PRODUITS DE LABORATOIRE",socprompt,1))</f>
        <v>1</v>
      </c>
      <c r="G185" s="49">
        <f>IF(VLOOKUP($A185,SiteAttendu!$A$2:$O$366,7,0)="NA","NA",COUNTIFS(soccode,A185,socprog,"PNLS/CHARGES VIRALES",socprompt,1))</f>
        <v>1</v>
      </c>
      <c r="H185" s="49">
        <f>IF(VLOOKUP($A185,SiteAttendu!$A$2:$O$366,9,0)="NA","NA",COUNTIFS(soccode,A185,socprog,"PNLP/MEDICAMENTS ET INTRANTS",socprompt,1))</f>
        <v>1</v>
      </c>
      <c r="I185" s="49">
        <f>IF(VLOOKUP($A185,SiteAttendu!$A$2:$O$366,10,0)="NA","NA",COUNTIFS(soccode,$A185,socprog,"PNSME/MEDICAMENTS ET INTRANTS",socprompt,1))</f>
        <v>1</v>
      </c>
      <c r="J185" s="49">
        <f>IF(VLOOKUP($A185,SiteAttendu!$A$2:$O$366,11,0)="NA","NA",COUNTIFS(soccode,$A185,socprog,"PNN/MEDICAMENTS ET INTRANTS",socprompt,1))</f>
        <v>1</v>
      </c>
      <c r="K185" s="49" t="str">
        <f>IF(VLOOKUP($A185,SiteAttendu!$A$2:$O$366,15,0)="NA","NA",IF(COUNTIF(socprog,"PNLT/SENSIBLE MEDICAMENTS ET INTRANTS")=0,"NA",COUNTIFS(soccode,$A185,socprog,"PNLT/SENSIBLE MEDICAMENTS ET INTRANTS",socprompt,1)))</f>
        <v>NA</v>
      </c>
      <c r="L185" s="98">
        <f t="shared" ref="L185:S185" si="187">IFERROR(SUMIFS(D$2:D$364,$C$2:$C$364,$C185)/COUNTIFS(D$2:D$364,"&lt;&gt;NA",$C$2:$C$364,$C185),"")</f>
        <v>1</v>
      </c>
      <c r="M185" s="98">
        <f t="shared" si="187"/>
        <v>1</v>
      </c>
      <c r="N185" s="98">
        <f t="shared" si="187"/>
        <v>0.8571428571</v>
      </c>
      <c r="O185" s="98">
        <f t="shared" si="187"/>
        <v>1</v>
      </c>
      <c r="P185" s="98">
        <f t="shared" si="187"/>
        <v>1</v>
      </c>
      <c r="Q185" s="98">
        <f t="shared" si="187"/>
        <v>1</v>
      </c>
      <c r="R185" s="98">
        <f t="shared" si="187"/>
        <v>1</v>
      </c>
      <c r="S185" s="98">
        <f t="shared" si="187"/>
        <v>0.5</v>
      </c>
      <c r="T185" s="99">
        <f t="shared" si="3"/>
        <v>0.9666666667</v>
      </c>
      <c r="U185" s="92">
        <f t="shared" si="4"/>
        <v>4</v>
      </c>
      <c r="V185" s="54">
        <f t="shared" si="5"/>
        <v>4</v>
      </c>
    </row>
    <row r="186" ht="15.75" customHeight="1">
      <c r="A186" s="55" t="str">
        <f>SiteAttendu!$A147</f>
        <v>C2168</v>
      </c>
      <c r="B186" s="56" t="str">
        <f>VLOOKUP($A186,SiteAttendu!$A$2:$C$366,2,0)</f>
        <v>HOPITAL GENERAL TRANSUA</v>
      </c>
      <c r="C186" s="57" t="str">
        <f>VLOOKUP($A186,SiteAttendu!$A$2:$C$366,3,0)</f>
        <v>GONTOUGO</v>
      </c>
      <c r="D186" s="58">
        <f>IF(VLOOKUP(A186,SiteAttendu!$A$2:$P$366,4,0)="NA","NA",COUNTIFS(soccode,A186,socprog,"PNLS/ANTIRETROVIRAUX ET IO",socprompt,1))</f>
        <v>1</v>
      </c>
      <c r="E186" s="58">
        <f>IF(VLOOKUP($A186,SiteAttendu!$A$2:$O$366,5,0)="NA","NA",COUNTIFS(soccode,A186,socprog,"PNLS/TESTS RAPIDES ET CONSOMMABLES",socprompt,1))</f>
        <v>1</v>
      </c>
      <c r="F186" s="58" t="str">
        <f>IF(VLOOKUP($A186,SiteAttendu!$A$2:$O$366,6,0)="NA","NA",COUNTIFS(soccode,A186,socprog,"PNLS/PRODUITS DE LABORATOIRE",socprompt,1))</f>
        <v>NA</v>
      </c>
      <c r="G186" s="58" t="str">
        <f>IF(VLOOKUP($A186,SiteAttendu!$A$2:$O$366,7,0)="NA","NA",COUNTIFS(soccode,A186,socprog,"PNLS/CHARGES VIRALES",socprompt,1))</f>
        <v>NA</v>
      </c>
      <c r="H186" s="58">
        <f>IF(VLOOKUP($A186,SiteAttendu!$A$2:$O$366,9,0)="NA","NA",COUNTIFS(soccode,A186,socprog,"PNLP/MEDICAMENTS ET INTRANTS",socprompt,1))</f>
        <v>1</v>
      </c>
      <c r="I186" s="58">
        <f>IF(VLOOKUP($A186,SiteAttendu!$A$2:$O$366,10,0)="NA","NA",COUNTIFS(soccode,$A186,socprog,"PNSME/MEDICAMENTS ET INTRANTS",socprompt,1))</f>
        <v>1</v>
      </c>
      <c r="J186" s="58" t="str">
        <f>IF(VLOOKUP($A186,SiteAttendu!$A$2:$O$366,11,0)="NA","NA",COUNTIFS(soccode,$A186,socprog,"PNN/MEDICAMENTS ET INTRANTS",socprompt,1))</f>
        <v>NA</v>
      </c>
      <c r="K186" s="58" t="str">
        <f>IF(VLOOKUP($A186,SiteAttendu!$A$2:$O$366,15,0)="NA","NA",IF(COUNTIF(socprog,"PNLT/SENSIBLE MEDICAMENTS ET INTRANTS")=0,"NA",COUNTIFS(soccode,$A186,socprog,"PNLT/SENSIBLE MEDICAMENTS ET INTRANTS",socprompt,1)))</f>
        <v>NA</v>
      </c>
      <c r="L186" s="100"/>
      <c r="M186" s="100">
        <f t="shared" ref="M186:S186" si="188">IFERROR(SUMIFS(E$2:E$364,$C$2:$C$364,$C186)/COUNTIFS(E$2:E$364,"&lt;&gt;NA",$C$2:$C$364,$C186),"")</f>
        <v>1</v>
      </c>
      <c r="N186" s="100">
        <f t="shared" si="188"/>
        <v>0.8571428571</v>
      </c>
      <c r="O186" s="100">
        <f t="shared" si="188"/>
        <v>1</v>
      </c>
      <c r="P186" s="100">
        <f t="shared" si="188"/>
        <v>1</v>
      </c>
      <c r="Q186" s="100">
        <f t="shared" si="188"/>
        <v>1</v>
      </c>
      <c r="R186" s="100">
        <f t="shared" si="188"/>
        <v>1</v>
      </c>
      <c r="S186" s="100">
        <f t="shared" si="188"/>
        <v>0.5</v>
      </c>
      <c r="T186" s="101">
        <f t="shared" si="3"/>
        <v>0.9666666667</v>
      </c>
      <c r="U186" s="92">
        <f t="shared" si="4"/>
        <v>2</v>
      </c>
      <c r="V186" s="54">
        <f t="shared" si="5"/>
        <v>2</v>
      </c>
    </row>
    <row r="187" ht="16.5" customHeight="1">
      <c r="A187" s="55" t="str">
        <f>SiteAttendu!$A148</f>
        <v>C4069</v>
      </c>
      <c r="B187" s="56" t="str">
        <f>VLOOKUP($A187,SiteAttendu!$A$2:$C$366,2,0)</f>
        <v>DISTRICT SANITAIRE TRANSUA</v>
      </c>
      <c r="C187" s="57" t="str">
        <f>VLOOKUP($A187,SiteAttendu!$A$2:$C$366,3,0)</f>
        <v>GONTOUGO</v>
      </c>
      <c r="D187" s="58">
        <f>IF(VLOOKUP(A187,SiteAttendu!$A$2:$P$366,4,0)="NA","NA",COUNTIFS(soccode,A187,socprog,"PNLS/ANTIRETROVIRAUX ET IO",socprompt,1))</f>
        <v>1</v>
      </c>
      <c r="E187" s="58">
        <f>IF(VLOOKUP($A187,SiteAttendu!$A$2:$O$366,5,0)="NA","NA",COUNTIFS(soccode,A187,socprog,"PNLS/TESTS RAPIDES ET CONSOMMABLES",socprompt,1))</f>
        <v>1</v>
      </c>
      <c r="F187" s="58">
        <f>IF(VLOOKUP($A187,SiteAttendu!$A$2:$O$366,6,0)="NA","NA",COUNTIFS(soccode,A187,socprog,"PNLS/PRODUITS DE LABORATOIRE",socprompt,1))</f>
        <v>1</v>
      </c>
      <c r="G187" s="58" t="str">
        <f>IF(VLOOKUP($A187,SiteAttendu!$A$2:$O$366,7,0)="NA","NA",COUNTIFS(soccode,A187,socprog,"PNLS/CHARGES VIRALES",socprompt,1))</f>
        <v>NA</v>
      </c>
      <c r="H187" s="58">
        <f>IF(VLOOKUP($A187,SiteAttendu!$A$2:$O$366,9,0)="NA","NA",COUNTIFS(soccode,A187,socprog,"PNLP/MEDICAMENTS ET INTRANTS",socprompt,1))</f>
        <v>1</v>
      </c>
      <c r="I187" s="58">
        <f>IF(VLOOKUP($A187,SiteAttendu!$A$2:$O$366,10,0)="NA","NA",COUNTIFS(soccode,$A187,socprog,"PNSME/MEDICAMENTS ET INTRANTS",socprompt,1))</f>
        <v>1</v>
      </c>
      <c r="J187" s="58">
        <f>IF(VLOOKUP($A187,SiteAttendu!$A$2:$O$366,11,0)="NA","NA",COUNTIFS(soccode,$A187,socprog,"PNN/MEDICAMENTS ET INTRANTS",socprompt,1))</f>
        <v>1</v>
      </c>
      <c r="K187" s="58" t="str">
        <f>IF(VLOOKUP($A187,SiteAttendu!$A$2:$O$366,15,0)="NA","NA",IF(COUNTIF(socprog,"PNLT/SENSIBLE MEDICAMENTS ET INTRANTS")=0,"NA",COUNTIFS(soccode,$A187,socprog,"PNLT/SENSIBLE MEDICAMENTS ET INTRANTS",socprompt,1)))</f>
        <v>NA</v>
      </c>
      <c r="L187" s="100"/>
      <c r="M187" s="100">
        <f t="shared" ref="M187:S187" si="189">IFERROR(SUMIFS(E$2:E$364,$C$2:$C$364,$C187)/COUNTIFS(E$2:E$364,"&lt;&gt;NA",$C$2:$C$364,$C187),"")</f>
        <v>1</v>
      </c>
      <c r="N187" s="100">
        <f t="shared" si="189"/>
        <v>0.8571428571</v>
      </c>
      <c r="O187" s="100">
        <f t="shared" si="189"/>
        <v>1</v>
      </c>
      <c r="P187" s="100">
        <f t="shared" si="189"/>
        <v>1</v>
      </c>
      <c r="Q187" s="100">
        <f t="shared" si="189"/>
        <v>1</v>
      </c>
      <c r="R187" s="100">
        <f t="shared" si="189"/>
        <v>1</v>
      </c>
      <c r="S187" s="100">
        <f t="shared" si="189"/>
        <v>0.5</v>
      </c>
      <c r="T187" s="101">
        <f t="shared" si="3"/>
        <v>0.9666666667</v>
      </c>
      <c r="U187" s="92">
        <f t="shared" si="4"/>
        <v>3</v>
      </c>
      <c r="V187" s="54">
        <f t="shared" si="5"/>
        <v>3</v>
      </c>
    </row>
    <row r="188" ht="15.75" customHeight="1">
      <c r="A188" s="55" t="str">
        <f>SiteAttendu!$A188</f>
        <v>C4007</v>
      </c>
      <c r="B188" s="56" t="str">
        <f>VLOOKUP($A188,SiteAttendu!$A$2:$C$366,2,0)</f>
        <v>DISTRICT SANITAIRE BONDOUKOU</v>
      </c>
      <c r="C188" s="57" t="str">
        <f>VLOOKUP($A188,SiteAttendu!$A$2:$C$366,3,0)</f>
        <v>GONTOUGO</v>
      </c>
      <c r="D188" s="58">
        <f>IF(VLOOKUP(A188,SiteAttendu!$A$2:$P$366,4,0)="NA","NA",COUNTIFS(soccode,A188,socprog,"PNLS/ANTIRETROVIRAUX ET IO",socprompt,1))</f>
        <v>1</v>
      </c>
      <c r="E188" s="58">
        <f>IF(VLOOKUP($A188,SiteAttendu!$A$2:$O$366,5,0)="NA","NA",COUNTIFS(soccode,A188,socprog,"PNLS/TESTS RAPIDES ET CONSOMMABLES",socprompt,1))</f>
        <v>1</v>
      </c>
      <c r="F188" s="58">
        <f>IF(VLOOKUP($A188,SiteAttendu!$A$2:$O$366,6,0)="NA","NA",COUNTIFS(soccode,A188,socprog,"PNLS/PRODUITS DE LABORATOIRE",socprompt,1))</f>
        <v>1</v>
      </c>
      <c r="G188" s="58">
        <f>IF(VLOOKUP($A188,SiteAttendu!$A$2:$O$366,7,0)="NA","NA",COUNTIFS(soccode,A188,socprog,"PNLS/CHARGES VIRALES",socprompt,1))</f>
        <v>1</v>
      </c>
      <c r="H188" s="58">
        <f>IF(VLOOKUP($A188,SiteAttendu!$A$2:$O$366,9,0)="NA","NA",COUNTIFS(soccode,A188,socprog,"PNLP/MEDICAMENTS ET INTRANTS",socprompt,1))</f>
        <v>1</v>
      </c>
      <c r="I188" s="58">
        <f>IF(VLOOKUP($A188,SiteAttendu!$A$2:$O$366,10,0)="NA","NA",COUNTIFS(soccode,$A188,socprog,"PNSME/MEDICAMENTS ET INTRANTS",socprompt,1))</f>
        <v>1</v>
      </c>
      <c r="J188" s="58">
        <f>IF(VLOOKUP($A188,SiteAttendu!$A$2:$O$366,11,0)="NA","NA",COUNTIFS(soccode,$A188,socprog,"PNN/MEDICAMENTS ET INTRANTS",socprompt,1))</f>
        <v>1</v>
      </c>
      <c r="K188" s="58">
        <f>IF(VLOOKUP($A188,SiteAttendu!$A$2:$O$366,15,0)="NA","NA",IF(COUNTIF(socprog,"PNLT/SENSIBLE MEDICAMENTS ET INTRANTS")=0,"NA",COUNTIFS(soccode,$A188,socprog,"PNLT/SENSIBLE MEDICAMENTS ET INTRANTS",socprompt,1)))</f>
        <v>0</v>
      </c>
      <c r="L188" s="100"/>
      <c r="M188" s="100">
        <f t="shared" ref="M188:S188" si="190">IFERROR(SUMIFS(E$2:E$364,$C$2:$C$364,$C188)/COUNTIFS(E$2:E$364,"&lt;&gt;NA",$C$2:$C$364,$C188),"")</f>
        <v>1</v>
      </c>
      <c r="N188" s="100">
        <f t="shared" si="190"/>
        <v>0.8571428571</v>
      </c>
      <c r="O188" s="100">
        <f t="shared" si="190"/>
        <v>1</v>
      </c>
      <c r="P188" s="100">
        <f t="shared" si="190"/>
        <v>1</v>
      </c>
      <c r="Q188" s="100">
        <f t="shared" si="190"/>
        <v>1</v>
      </c>
      <c r="R188" s="100">
        <f t="shared" si="190"/>
        <v>1</v>
      </c>
      <c r="S188" s="100">
        <f t="shared" si="190"/>
        <v>0.5</v>
      </c>
      <c r="T188" s="101">
        <f t="shared" si="3"/>
        <v>0.9666666667</v>
      </c>
      <c r="U188" s="92">
        <f t="shared" si="4"/>
        <v>4</v>
      </c>
      <c r="V188" s="54">
        <f t="shared" si="5"/>
        <v>4</v>
      </c>
    </row>
    <row r="189" ht="16.5" customHeight="1">
      <c r="A189" s="55" t="str">
        <f>SiteAttendu!$A189</f>
        <v>C4062</v>
      </c>
      <c r="B189" s="56" t="str">
        <f>VLOOKUP($A189,SiteAttendu!$A$2:$C$366,2,0)</f>
        <v>CENTRE ANTI-TUBERCULEUX BONDOUKOU</v>
      </c>
      <c r="C189" s="57" t="str">
        <f>VLOOKUP($A189,SiteAttendu!$A$2:$C$366,3,0)</f>
        <v>GONTOUGO</v>
      </c>
      <c r="D189" s="58" t="str">
        <f>IF(VLOOKUP(A189,SiteAttendu!$A$2:$P$366,4,0)="NA","NA",COUNTIFS(soccode,A189,socprog,"PNLS/ANTIRETROVIRAUX ET IO",socprompt,1))</f>
        <v>NA</v>
      </c>
      <c r="E189" s="58" t="str">
        <f>IF(VLOOKUP($A189,SiteAttendu!$A$2:$O$366,5,0)="NA","NA",COUNTIFS(soccode,A189,socprog,"PNLS/TESTS RAPIDES ET CONSOMMABLES",socprompt,1))</f>
        <v>NA</v>
      </c>
      <c r="F189" s="58" t="str">
        <f>IF(VLOOKUP($A189,SiteAttendu!$A$2:$O$366,6,0)="NA","NA",COUNTIFS(soccode,A189,socprog,"PNLS/PRODUITS DE LABORATOIRE",socprompt,1))</f>
        <v>NA</v>
      </c>
      <c r="G189" s="58" t="str">
        <f>IF(VLOOKUP($A189,SiteAttendu!$A$2:$O$366,7,0)="NA","NA",COUNTIFS(soccode,A189,socprog,"PNLS/CHARGES VIRALES",socprompt,1))</f>
        <v>NA</v>
      </c>
      <c r="H189" s="58" t="str">
        <f>IF(VLOOKUP($A189,SiteAttendu!$A$2:$O$366,9,0)="NA","NA",COUNTIFS(soccode,A189,socprog,"PNLP/MEDICAMENTS ET INTRANTS",socprompt,1))</f>
        <v>NA</v>
      </c>
      <c r="I189" s="58" t="str">
        <f>IF(VLOOKUP($A189,SiteAttendu!$A$2:$O$366,10,0)="NA","NA",COUNTIFS(soccode,$A189,socprog,"PNSME/MEDICAMENTS ET INTRANTS",socprompt,1))</f>
        <v>NA</v>
      </c>
      <c r="J189" s="58" t="str">
        <f>IF(VLOOKUP($A189,SiteAttendu!$A$2:$O$366,11,0)="NA","NA",COUNTIFS(soccode,$A189,socprog,"PNN/MEDICAMENTS ET INTRANTS",socprompt,1))</f>
        <v>NA</v>
      </c>
      <c r="K189" s="58">
        <f>IF(VLOOKUP($A189,SiteAttendu!$A$2:$O$366,15,0)="NA","NA",IF(COUNTIF(socprog,"PNLT/SENSIBLE MEDICAMENTS ET INTRANTS")=0,"NA",COUNTIFS(soccode,$A189,socprog,"PNLT/SENSIBLE MEDICAMENTS ET INTRANTS",socprompt,1)))</f>
        <v>1</v>
      </c>
      <c r="L189" s="100"/>
      <c r="M189" s="100">
        <f t="shared" ref="M189:S189" si="191">IFERROR(SUMIFS(E$2:E$364,$C$2:$C$364,$C189)/COUNTIFS(E$2:E$364,"&lt;&gt;NA",$C$2:$C$364,$C189),"")</f>
        <v>1</v>
      </c>
      <c r="N189" s="100">
        <f t="shared" si="191"/>
        <v>0.8571428571</v>
      </c>
      <c r="O189" s="100">
        <f t="shared" si="191"/>
        <v>1</v>
      </c>
      <c r="P189" s="100">
        <f t="shared" si="191"/>
        <v>1</v>
      </c>
      <c r="Q189" s="100">
        <f t="shared" si="191"/>
        <v>1</v>
      </c>
      <c r="R189" s="100">
        <f t="shared" si="191"/>
        <v>1</v>
      </c>
      <c r="S189" s="100">
        <f t="shared" si="191"/>
        <v>0.5</v>
      </c>
      <c r="T189" s="101">
        <f t="shared" si="3"/>
        <v>0.9666666667</v>
      </c>
      <c r="U189" s="92">
        <f t="shared" si="4"/>
        <v>0</v>
      </c>
      <c r="V189" s="54">
        <f t="shared" si="5"/>
        <v>0</v>
      </c>
    </row>
    <row r="190" ht="15.75" customHeight="1">
      <c r="A190" s="55" t="str">
        <f>SiteAttendu!$A190</f>
        <v>C4070</v>
      </c>
      <c r="B190" s="56" t="str">
        <f>VLOOKUP($A190,SiteAttendu!$A$2:$C$366,2,0)</f>
        <v>DISTRICT SANITAIRE KOUN FAO</v>
      </c>
      <c r="C190" s="57" t="str">
        <f>VLOOKUP($A190,SiteAttendu!$A$2:$C$366,3,0)</f>
        <v>GONTOUGO</v>
      </c>
      <c r="D190" s="58">
        <f>IF(VLOOKUP(A190,SiteAttendu!$A$2:$P$366,4,0)="NA","NA",COUNTIFS(soccode,A190,socprog,"PNLS/ANTIRETROVIRAUX ET IO",socprompt,1))</f>
        <v>1</v>
      </c>
      <c r="E190" s="58">
        <f>IF(VLOOKUP($A190,SiteAttendu!$A$2:$O$366,5,0)="NA","NA",COUNTIFS(soccode,A190,socprog,"PNLS/TESTS RAPIDES ET CONSOMMABLES",socprompt,1))</f>
        <v>1</v>
      </c>
      <c r="F190" s="58">
        <f>IF(VLOOKUP($A190,SiteAttendu!$A$2:$O$366,6,0)="NA","NA",COUNTIFS(soccode,A190,socprog,"PNLS/PRODUITS DE LABORATOIRE",socprompt,1))</f>
        <v>1</v>
      </c>
      <c r="G190" s="58" t="str">
        <f>IF(VLOOKUP($A190,SiteAttendu!$A$2:$O$366,7,0)="NA","NA",COUNTIFS(soccode,A190,socprog,"PNLS/CHARGES VIRALES",socprompt,1))</f>
        <v>NA</v>
      </c>
      <c r="H190" s="58">
        <f>IF(VLOOKUP($A190,SiteAttendu!$A$2:$O$366,9,0)="NA","NA",COUNTIFS(soccode,A190,socprog,"PNLP/MEDICAMENTS ET INTRANTS",socprompt,1))</f>
        <v>1</v>
      </c>
      <c r="I190" s="58">
        <f>IF(VLOOKUP($A190,SiteAttendu!$A$2:$O$366,10,0)="NA","NA",COUNTIFS(soccode,$A190,socprog,"PNSME/MEDICAMENTS ET INTRANTS",socprompt,1))</f>
        <v>1</v>
      </c>
      <c r="J190" s="58" t="str">
        <f>IF(VLOOKUP($A190,SiteAttendu!$A$2:$O$366,11,0)="NA","NA",COUNTIFS(soccode,$A190,socprog,"PNN/MEDICAMENTS ET INTRANTS",socprompt,1))</f>
        <v>NA</v>
      </c>
      <c r="K190" s="58">
        <f>IF(VLOOKUP($A190,SiteAttendu!$A$2:$O$366,15,0)="NA","NA",IF(COUNTIF(socprog,"PNLT/SENSIBLE MEDICAMENTS ET INTRANTS")=0,"NA",COUNTIFS(soccode,$A190,socprog,"PNLT/SENSIBLE MEDICAMENTS ET INTRANTS",socprompt,1)))</f>
        <v>1</v>
      </c>
      <c r="L190" s="100"/>
      <c r="M190" s="100">
        <f t="shared" ref="M190:S190" si="192">IFERROR(SUMIFS(E$2:E$364,$C$2:$C$364,$C190)/COUNTIFS(E$2:E$364,"&lt;&gt;NA",$C$2:$C$364,$C190),"")</f>
        <v>1</v>
      </c>
      <c r="N190" s="100">
        <f t="shared" si="192"/>
        <v>0.8571428571</v>
      </c>
      <c r="O190" s="100">
        <f t="shared" si="192"/>
        <v>1</v>
      </c>
      <c r="P190" s="100">
        <f t="shared" si="192"/>
        <v>1</v>
      </c>
      <c r="Q190" s="100">
        <f t="shared" si="192"/>
        <v>1</v>
      </c>
      <c r="R190" s="100">
        <f t="shared" si="192"/>
        <v>1</v>
      </c>
      <c r="S190" s="100">
        <f t="shared" si="192"/>
        <v>0.5</v>
      </c>
      <c r="T190" s="101">
        <f t="shared" si="3"/>
        <v>0.9666666667</v>
      </c>
      <c r="U190" s="92">
        <f t="shared" si="4"/>
        <v>3</v>
      </c>
      <c r="V190" s="54">
        <f t="shared" si="5"/>
        <v>3</v>
      </c>
    </row>
    <row r="191" ht="15.75" customHeight="1">
      <c r="A191" s="55" t="str">
        <f>SiteAttendu!$A191</f>
        <v>C4068</v>
      </c>
      <c r="B191" s="56" t="str">
        <f>VLOOKUP($A191,SiteAttendu!$A$2:$C$366,2,0)</f>
        <v>DISTRICT SANITAIRE SANDEGUE</v>
      </c>
      <c r="C191" s="57" t="str">
        <f>VLOOKUP($A191,SiteAttendu!$A$2:$C$366,3,0)</f>
        <v>GONTOUGO</v>
      </c>
      <c r="D191" s="58">
        <f>IF(VLOOKUP(A191,SiteAttendu!$A$2:$P$366,4,0)="NA","NA",COUNTIFS(soccode,A191,socprog,"PNLS/ANTIRETROVIRAUX ET IO",socprompt,1))</f>
        <v>1</v>
      </c>
      <c r="E191" s="58">
        <f>IF(VLOOKUP($A191,SiteAttendu!$A$2:$O$366,5,0)="NA","NA",COUNTIFS(soccode,A191,socprog,"PNLS/TESTS RAPIDES ET CONSOMMABLES",socprompt,1))</f>
        <v>1</v>
      </c>
      <c r="F191" s="58" t="str">
        <f>IF(VLOOKUP($A191,SiteAttendu!$A$2:$O$366,6,0)="NA","NA",COUNTIFS(soccode,A191,socprog,"PNLS/PRODUITS DE LABORATOIRE",socprompt,1))</f>
        <v>NA</v>
      </c>
      <c r="G191" s="58" t="str">
        <f>IF(VLOOKUP($A191,SiteAttendu!$A$2:$O$366,7,0)="NA","NA",COUNTIFS(soccode,A191,socprog,"PNLS/CHARGES VIRALES",socprompt,1))</f>
        <v>NA</v>
      </c>
      <c r="H191" s="58">
        <f>IF(VLOOKUP($A191,SiteAttendu!$A$2:$O$366,9,0)="NA","NA",COUNTIFS(soccode,A191,socprog,"PNLP/MEDICAMENTS ET INTRANTS",socprompt,1))</f>
        <v>1</v>
      </c>
      <c r="I191" s="58">
        <f>IF(VLOOKUP($A191,SiteAttendu!$A$2:$O$366,10,0)="NA","NA",COUNTIFS(soccode,$A191,socprog,"PNSME/MEDICAMENTS ET INTRANTS",socprompt,1))</f>
        <v>1</v>
      </c>
      <c r="J191" s="58">
        <f>IF(VLOOKUP($A191,SiteAttendu!$A$2:$O$366,11,0)="NA","NA",COUNTIFS(soccode,$A191,socprog,"PNN/MEDICAMENTS ET INTRANTS",socprompt,1))</f>
        <v>1</v>
      </c>
      <c r="K191" s="58">
        <f>IF(VLOOKUP($A191,SiteAttendu!$A$2:$O$366,15,0)="NA","NA",IF(COUNTIF(socprog,"PNLT/SENSIBLE MEDICAMENTS ET INTRANTS")=0,"NA",COUNTIFS(soccode,$A191,socprog,"PNLT/SENSIBLE MEDICAMENTS ET INTRANTS",socprompt,1)))</f>
        <v>1</v>
      </c>
      <c r="L191" s="100"/>
      <c r="M191" s="100">
        <f t="shared" ref="M191:S191" si="193">IFERROR(SUMIFS(E$2:E$364,$C$2:$C$364,$C191)/COUNTIFS(E$2:E$364,"&lt;&gt;NA",$C$2:$C$364,$C191),"")</f>
        <v>1</v>
      </c>
      <c r="N191" s="100">
        <f t="shared" si="193"/>
        <v>0.8571428571</v>
      </c>
      <c r="O191" s="100">
        <f t="shared" si="193"/>
        <v>1</v>
      </c>
      <c r="P191" s="100">
        <f t="shared" si="193"/>
        <v>1</v>
      </c>
      <c r="Q191" s="100">
        <f t="shared" si="193"/>
        <v>1</v>
      </c>
      <c r="R191" s="100">
        <f t="shared" si="193"/>
        <v>1</v>
      </c>
      <c r="S191" s="100">
        <f t="shared" si="193"/>
        <v>0.5</v>
      </c>
      <c r="T191" s="101">
        <f t="shared" si="3"/>
        <v>0.9666666667</v>
      </c>
      <c r="U191" s="92">
        <f t="shared" si="4"/>
        <v>2</v>
      </c>
      <c r="V191" s="54">
        <f t="shared" si="5"/>
        <v>2</v>
      </c>
    </row>
    <row r="192" ht="15.75" customHeight="1">
      <c r="A192" s="55" t="str">
        <f>SiteAttendu!$A192</f>
        <v>C4085</v>
      </c>
      <c r="B192" s="56" t="str">
        <f>VLOOKUP($A192,SiteAttendu!$A$2:$C$366,2,0)</f>
        <v>HOPITAL GENERAL SANDEGUE</v>
      </c>
      <c r="C192" s="57" t="str">
        <f>VLOOKUP($A192,SiteAttendu!$A$2:$C$366,3,0)</f>
        <v>GONTOUGO</v>
      </c>
      <c r="D192" s="58">
        <f>IF(VLOOKUP(A192,SiteAttendu!$A$2:$P$366,4,0)="NA","NA",COUNTIFS(soccode,A192,socprog,"PNLS/ANTIRETROVIRAUX ET IO",socprompt,1))</f>
        <v>1</v>
      </c>
      <c r="E192" s="58">
        <f>IF(VLOOKUP($A192,SiteAttendu!$A$2:$O$366,5,0)="NA","NA",COUNTIFS(soccode,A192,socprog,"PNLS/TESTS RAPIDES ET CONSOMMABLES",socprompt,1))</f>
        <v>1</v>
      </c>
      <c r="F192" s="58" t="str">
        <f>IF(VLOOKUP($A192,SiteAttendu!$A$2:$O$366,6,0)="NA","NA",COUNTIFS(soccode,A192,socprog,"PNLS/PRODUITS DE LABORATOIRE",socprompt,1))</f>
        <v>NA</v>
      </c>
      <c r="G192" s="58" t="str">
        <f>IF(VLOOKUP($A192,SiteAttendu!$A$2:$O$366,7,0)="NA","NA",COUNTIFS(soccode,A192,socprog,"PNLS/CHARGES VIRALES",socprompt,1))</f>
        <v>NA</v>
      </c>
      <c r="H192" s="58">
        <f>IF(VLOOKUP($A192,SiteAttendu!$A$2:$O$366,9,0)="NA","NA",COUNTIFS(soccode,A192,socprog,"PNLP/MEDICAMENTS ET INTRANTS",socprompt,1))</f>
        <v>1</v>
      </c>
      <c r="I192" s="58">
        <f>IF(VLOOKUP($A192,SiteAttendu!$A$2:$O$366,10,0)="NA","NA",COUNTIFS(soccode,$A192,socprog,"PNSME/MEDICAMENTS ET INTRANTS",socprompt,1))</f>
        <v>1</v>
      </c>
      <c r="J192" s="58">
        <f>IF(VLOOKUP($A192,SiteAttendu!$A$2:$O$366,11,0)="NA","NA",COUNTIFS(soccode,$A192,socprog,"PNN/MEDICAMENTS ET INTRANTS",socprompt,1))</f>
        <v>1</v>
      </c>
      <c r="K192" s="58">
        <f>IF(VLOOKUP($A192,SiteAttendu!$A$2:$O$366,15,0)="NA","NA",IF(COUNTIF(socprog,"PNLT/SENSIBLE MEDICAMENTS ET INTRANTS")=0,"NA",COUNTIFS(soccode,$A192,socprog,"PNLT/SENSIBLE MEDICAMENTS ET INTRANTS",socprompt,1)))</f>
        <v>0</v>
      </c>
      <c r="L192" s="100"/>
      <c r="M192" s="100">
        <f t="shared" ref="M192:S192" si="194">IFERROR(SUMIFS(E$2:E$364,$C$2:$C$364,$C192)/COUNTIFS(E$2:E$364,"&lt;&gt;NA",$C$2:$C$364,$C192),"")</f>
        <v>1</v>
      </c>
      <c r="N192" s="100">
        <f t="shared" si="194"/>
        <v>0.8571428571</v>
      </c>
      <c r="O192" s="100">
        <f t="shared" si="194"/>
        <v>1</v>
      </c>
      <c r="P192" s="100">
        <f t="shared" si="194"/>
        <v>1</v>
      </c>
      <c r="Q192" s="100">
        <f t="shared" si="194"/>
        <v>1</v>
      </c>
      <c r="R192" s="100">
        <f t="shared" si="194"/>
        <v>1</v>
      </c>
      <c r="S192" s="100">
        <f t="shared" si="194"/>
        <v>0.5</v>
      </c>
      <c r="T192" s="101">
        <f t="shared" si="3"/>
        <v>0.9666666667</v>
      </c>
      <c r="U192" s="92">
        <f t="shared" si="4"/>
        <v>2</v>
      </c>
      <c r="V192" s="54">
        <f t="shared" si="5"/>
        <v>2</v>
      </c>
    </row>
    <row r="193" ht="15.75" customHeight="1">
      <c r="A193" s="55" t="str">
        <f>SiteAttendu!$A193</f>
        <v>C4013</v>
      </c>
      <c r="B193" s="56" t="str">
        <f>VLOOKUP($A193,SiteAttendu!$A$2:$C$366,2,0)</f>
        <v>DISTRICT SANITAIRE TANDA</v>
      </c>
      <c r="C193" s="57" t="str">
        <f>VLOOKUP($A193,SiteAttendu!$A$2:$C$366,3,0)</f>
        <v>GONTOUGO</v>
      </c>
      <c r="D193" s="58">
        <f>IF(VLOOKUP(A193,SiteAttendu!$A$2:$P$366,4,0)="NA","NA",COUNTIFS(soccode,A193,socprog,"PNLS/ANTIRETROVIRAUX ET IO",socprompt,1))</f>
        <v>1</v>
      </c>
      <c r="E193" s="58">
        <f>IF(VLOOKUP($A193,SiteAttendu!$A$2:$O$366,5,0)="NA","NA",COUNTIFS(soccode,A193,socprog,"PNLS/TESTS RAPIDES ET CONSOMMABLES",socprompt,1))</f>
        <v>1</v>
      </c>
      <c r="F193" s="58">
        <f>IF(VLOOKUP($A193,SiteAttendu!$A$2:$O$366,6,0)="NA","NA",COUNTIFS(soccode,A193,socprog,"PNLS/PRODUITS DE LABORATOIRE",socprompt,1))</f>
        <v>0</v>
      </c>
      <c r="G193" s="58" t="str">
        <f>IF(VLOOKUP($A193,SiteAttendu!$A$2:$O$366,7,0)="NA","NA",COUNTIFS(soccode,A193,socprog,"PNLS/CHARGES VIRALES",socprompt,1))</f>
        <v>NA</v>
      </c>
      <c r="H193" s="58">
        <f>IF(VLOOKUP($A193,SiteAttendu!$A$2:$O$366,9,0)="NA","NA",COUNTIFS(soccode,A193,socprog,"PNLP/MEDICAMENTS ET INTRANTS",socprompt,1))</f>
        <v>1</v>
      </c>
      <c r="I193" s="58">
        <f>IF(VLOOKUP($A193,SiteAttendu!$A$2:$O$366,10,0)="NA","NA",COUNTIFS(soccode,$A193,socprog,"PNSME/MEDICAMENTS ET INTRANTS",socprompt,1))</f>
        <v>1</v>
      </c>
      <c r="J193" s="58">
        <f>IF(VLOOKUP($A193,SiteAttendu!$A$2:$O$366,11,0)="NA","NA",COUNTIFS(soccode,$A193,socprog,"PNN/MEDICAMENTS ET INTRANTS",socprompt,1))</f>
        <v>1</v>
      </c>
      <c r="K193" s="58">
        <f>IF(VLOOKUP($A193,SiteAttendu!$A$2:$O$366,15,0)="NA","NA",IF(COUNTIF(socprog,"PNLT/SENSIBLE MEDICAMENTS ET INTRANTS")=0,"NA",COUNTIFS(soccode,$A193,socprog,"PNLT/SENSIBLE MEDICAMENTS ET INTRANTS",socprompt,1)))</f>
        <v>1</v>
      </c>
      <c r="L193" s="100"/>
      <c r="M193" s="100">
        <f t="shared" ref="M193:S193" si="195">IFERROR(SUMIFS(E$2:E$364,$C$2:$C$364,$C193)/COUNTIFS(E$2:E$364,"&lt;&gt;NA",$C$2:$C$364,$C193),"")</f>
        <v>1</v>
      </c>
      <c r="N193" s="100">
        <f t="shared" si="195"/>
        <v>0.8571428571</v>
      </c>
      <c r="O193" s="100">
        <f t="shared" si="195"/>
        <v>1</v>
      </c>
      <c r="P193" s="100">
        <f t="shared" si="195"/>
        <v>1</v>
      </c>
      <c r="Q193" s="100">
        <f t="shared" si="195"/>
        <v>1</v>
      </c>
      <c r="R193" s="100">
        <f t="shared" si="195"/>
        <v>1</v>
      </c>
      <c r="S193" s="100">
        <f t="shared" si="195"/>
        <v>0.5</v>
      </c>
      <c r="T193" s="101">
        <f t="shared" si="3"/>
        <v>0.9666666667</v>
      </c>
      <c r="U193" s="92">
        <f t="shared" si="4"/>
        <v>2</v>
      </c>
      <c r="V193" s="54">
        <f t="shared" si="5"/>
        <v>3</v>
      </c>
    </row>
    <row r="194" ht="15.75" customHeight="1">
      <c r="A194" s="55" t="str">
        <f>SiteAttendu!$A194</f>
        <v>C4020</v>
      </c>
      <c r="B194" s="56" t="str">
        <f>VLOOKUP($A194,SiteAttendu!$A$2:$C$366,2,0)</f>
        <v>HOPITAL GENERAL KOUASSI-DATEKRO</v>
      </c>
      <c r="C194" s="57" t="str">
        <f>VLOOKUP($A194,SiteAttendu!$A$2:$C$366,3,0)</f>
        <v>GONTOUGO</v>
      </c>
      <c r="D194" s="58" t="str">
        <f>IF(VLOOKUP(A194,SiteAttendu!$A$2:$P$366,4,0)="NA","NA",COUNTIFS(soccode,A194,socprog,"PNLS/ANTIRETROVIRAUX ET IO",socprompt,1))</f>
        <v>NA</v>
      </c>
      <c r="E194" s="58" t="str">
        <f>IF(VLOOKUP($A194,SiteAttendu!$A$2:$O$366,5,0)="NA","NA",COUNTIFS(soccode,A194,socprog,"PNLS/TESTS RAPIDES ET CONSOMMABLES",socprompt,1))</f>
        <v>NA</v>
      </c>
      <c r="F194" s="58" t="str">
        <f>IF(VLOOKUP($A194,SiteAttendu!$A$2:$O$366,6,0)="NA","NA",COUNTIFS(soccode,A194,socprog,"PNLS/PRODUITS DE LABORATOIRE",socprompt,1))</f>
        <v>NA</v>
      </c>
      <c r="G194" s="58" t="str">
        <f>IF(VLOOKUP($A194,SiteAttendu!$A$2:$O$366,7,0)="NA","NA",COUNTIFS(soccode,A194,socprog,"PNLS/CHARGES VIRALES",socprompt,1))</f>
        <v>NA</v>
      </c>
      <c r="H194" s="58">
        <f>IF(VLOOKUP($A194,SiteAttendu!$A$2:$O$366,9,0)="NA","NA",COUNTIFS(soccode,A194,socprog,"PNLP/MEDICAMENTS ET INTRANTS",socprompt,1))</f>
        <v>1</v>
      </c>
      <c r="I194" s="58">
        <f>IF(VLOOKUP($A194,SiteAttendu!$A$2:$O$366,10,0)="NA","NA",COUNTIFS(soccode,$A194,socprog,"PNSME/MEDICAMENTS ET INTRANTS",socprompt,1))</f>
        <v>1</v>
      </c>
      <c r="J194" s="58" t="str">
        <f>IF(VLOOKUP($A194,SiteAttendu!$A$2:$O$366,11,0)="NA","NA",COUNTIFS(soccode,$A194,socprog,"PNN/MEDICAMENTS ET INTRANTS",socprompt,1))</f>
        <v>NA</v>
      </c>
      <c r="K194" s="58">
        <f>IF(VLOOKUP($A194,SiteAttendu!$A$2:$O$366,15,0)="NA","NA",IF(COUNTIF(socprog,"PNLT/SENSIBLE MEDICAMENTS ET INTRANTS")=0,"NA",COUNTIFS(soccode,$A194,socprog,"PNLT/SENSIBLE MEDICAMENTS ET INTRANTS",socprompt,1)))</f>
        <v>0</v>
      </c>
      <c r="L194" s="100"/>
      <c r="M194" s="100">
        <f t="shared" ref="M194:S194" si="196">IFERROR(SUMIFS(E$2:E$364,$C$2:$C$364,$C194)/COUNTIFS(E$2:E$364,"&lt;&gt;NA",$C$2:$C$364,$C194),"")</f>
        <v>1</v>
      </c>
      <c r="N194" s="100">
        <f t="shared" si="196"/>
        <v>0.8571428571</v>
      </c>
      <c r="O194" s="100">
        <f t="shared" si="196"/>
        <v>1</v>
      </c>
      <c r="P194" s="100">
        <f t="shared" si="196"/>
        <v>1</v>
      </c>
      <c r="Q194" s="100">
        <f t="shared" si="196"/>
        <v>1</v>
      </c>
      <c r="R194" s="100">
        <f t="shared" si="196"/>
        <v>1</v>
      </c>
      <c r="S194" s="100">
        <f t="shared" si="196"/>
        <v>0.5</v>
      </c>
      <c r="T194" s="101">
        <f t="shared" si="3"/>
        <v>0.9666666667</v>
      </c>
      <c r="U194" s="92">
        <f t="shared" si="4"/>
        <v>0</v>
      </c>
      <c r="V194" s="54">
        <f t="shared" si="5"/>
        <v>0</v>
      </c>
    </row>
    <row r="195" ht="15.75" customHeight="1">
      <c r="A195" s="55" t="str">
        <f>SiteAttendu!$A195</f>
        <v>C4021</v>
      </c>
      <c r="B195" s="56" t="str">
        <f>VLOOKUP($A195,SiteAttendu!$A$2:$C$366,2,0)</f>
        <v>HOPITAL GENERAL KOUN FAO</v>
      </c>
      <c r="C195" s="57" t="str">
        <f>VLOOKUP($A195,SiteAttendu!$A$2:$C$366,3,0)</f>
        <v>GONTOUGO</v>
      </c>
      <c r="D195" s="58">
        <f>IF(VLOOKUP(A195,SiteAttendu!$A$2:$P$366,4,0)="NA","NA",COUNTIFS(soccode,A195,socprog,"PNLS/ANTIRETROVIRAUX ET IO",socprompt,1))</f>
        <v>1</v>
      </c>
      <c r="E195" s="58">
        <f>IF(VLOOKUP($A195,SiteAttendu!$A$2:$O$366,5,0)="NA","NA",COUNTIFS(soccode,A195,socprog,"PNLS/TESTS RAPIDES ET CONSOMMABLES",socprompt,1))</f>
        <v>1</v>
      </c>
      <c r="F195" s="58">
        <f>IF(VLOOKUP($A195,SiteAttendu!$A$2:$O$366,6,0)="NA","NA",COUNTIFS(soccode,A195,socprog,"PNLS/PRODUITS DE LABORATOIRE",socprompt,1))</f>
        <v>1</v>
      </c>
      <c r="G195" s="58">
        <f>IF(VLOOKUP($A195,SiteAttendu!$A$2:$O$366,7,0)="NA","NA",COUNTIFS(soccode,A195,socprog,"PNLS/CHARGES VIRALES",socprompt,1))</f>
        <v>1</v>
      </c>
      <c r="H195" s="58">
        <f>IF(VLOOKUP($A195,SiteAttendu!$A$2:$O$366,9,0)="NA","NA",COUNTIFS(soccode,A195,socprog,"PNLP/MEDICAMENTS ET INTRANTS",socprompt,1))</f>
        <v>1</v>
      </c>
      <c r="I195" s="58">
        <f>IF(VLOOKUP($A195,SiteAttendu!$A$2:$O$366,10,0)="NA","NA",COUNTIFS(soccode,$A195,socprog,"PNSME/MEDICAMENTS ET INTRANTS",socprompt,1))</f>
        <v>1</v>
      </c>
      <c r="J195" s="58" t="str">
        <f>IF(VLOOKUP($A195,SiteAttendu!$A$2:$O$366,11,0)="NA","NA",COUNTIFS(soccode,$A195,socprog,"PNN/MEDICAMENTS ET INTRANTS",socprompt,1))</f>
        <v>NA</v>
      </c>
      <c r="K195" s="58">
        <f>IF(VLOOKUP($A195,SiteAttendu!$A$2:$O$366,15,0)="NA","NA",IF(COUNTIF(socprog,"PNLT/SENSIBLE MEDICAMENTS ET INTRANTS")=0,"NA",COUNTIFS(soccode,$A195,socprog,"PNLT/SENSIBLE MEDICAMENTS ET INTRANTS",socprompt,1)))</f>
        <v>0</v>
      </c>
      <c r="L195" s="100"/>
      <c r="M195" s="100">
        <f t="shared" ref="M195:S195" si="197">IFERROR(SUMIFS(E$2:E$364,$C$2:$C$364,$C195)/COUNTIFS(E$2:E$364,"&lt;&gt;NA",$C$2:$C$364,$C195),"")</f>
        <v>1</v>
      </c>
      <c r="N195" s="100">
        <f t="shared" si="197"/>
        <v>0.8571428571</v>
      </c>
      <c r="O195" s="100">
        <f t="shared" si="197"/>
        <v>1</v>
      </c>
      <c r="P195" s="100">
        <f t="shared" si="197"/>
        <v>1</v>
      </c>
      <c r="Q195" s="100">
        <f t="shared" si="197"/>
        <v>1</v>
      </c>
      <c r="R195" s="100">
        <f t="shared" si="197"/>
        <v>1</v>
      </c>
      <c r="S195" s="100">
        <f t="shared" si="197"/>
        <v>0.5</v>
      </c>
      <c r="T195" s="101">
        <f t="shared" si="3"/>
        <v>0.9666666667</v>
      </c>
      <c r="U195" s="92">
        <f t="shared" si="4"/>
        <v>4</v>
      </c>
      <c r="V195" s="54">
        <f t="shared" si="5"/>
        <v>4</v>
      </c>
    </row>
    <row r="196" ht="15.75" customHeight="1">
      <c r="A196" s="62" t="str">
        <f>SiteAttendu!$A196</f>
        <v>C4026</v>
      </c>
      <c r="B196" s="63" t="str">
        <f>VLOOKUP($A196,SiteAttendu!$A$2:$C$366,2,0)</f>
        <v>HOPITAL GENERAL TANDA</v>
      </c>
      <c r="C196" s="64" t="str">
        <f>VLOOKUP($A196,SiteAttendu!$A$2:$C$366,3,0)</f>
        <v>GONTOUGO</v>
      </c>
      <c r="D196" s="65">
        <f>IF(VLOOKUP(A196,SiteAttendu!$A$2:$P$366,4,0)="NA","NA",COUNTIFS(soccode,A196,socprog,"PNLS/ANTIRETROVIRAUX ET IO",socprompt,1))</f>
        <v>1</v>
      </c>
      <c r="E196" s="65">
        <f>IF(VLOOKUP($A196,SiteAttendu!$A$2:$O$366,5,0)="NA","NA",COUNTIFS(soccode,A196,socprog,"PNLS/TESTS RAPIDES ET CONSOMMABLES",socprompt,1))</f>
        <v>1</v>
      </c>
      <c r="F196" s="65">
        <f>IF(VLOOKUP($A196,SiteAttendu!$A$2:$O$366,6,0)="NA","NA",COUNTIFS(soccode,A196,socprog,"PNLS/PRODUITS DE LABORATOIRE",socprompt,1))</f>
        <v>1</v>
      </c>
      <c r="G196" s="65" t="str">
        <f>IF(VLOOKUP($A196,SiteAttendu!$A$2:$O$366,7,0)="NA","NA",COUNTIFS(soccode,A196,socprog,"PNLS/CHARGES VIRALES",socprompt,1))</f>
        <v>NA</v>
      </c>
      <c r="H196" s="65">
        <f>IF(VLOOKUP($A196,SiteAttendu!$A$2:$O$366,9,0)="NA","NA",COUNTIFS(soccode,A196,socprog,"PNLP/MEDICAMENTS ET INTRANTS",socprompt,1))</f>
        <v>1</v>
      </c>
      <c r="I196" s="65">
        <f>IF(VLOOKUP($A196,SiteAttendu!$A$2:$O$366,10,0)="NA","NA",COUNTIFS(soccode,$A196,socprog,"PNSME/MEDICAMENTS ET INTRANTS",socprompt,1))</f>
        <v>1</v>
      </c>
      <c r="J196" s="65" t="str">
        <f>IF(VLOOKUP($A196,SiteAttendu!$A$2:$O$366,11,0)="NA","NA",COUNTIFS(soccode,$A196,socprog,"PNN/MEDICAMENTS ET INTRANTS",socprompt,1))</f>
        <v>NA</v>
      </c>
      <c r="K196" s="65" t="str">
        <f>IF(VLOOKUP($A196,SiteAttendu!$A$2:$O$366,15,0)="NA","NA",IF(COUNTIF(socprog,"PNLT/SENSIBLE MEDICAMENTS ET INTRANTS")=0,"NA",COUNTIFS(soccode,$A196,socprog,"PNLT/SENSIBLE MEDICAMENTS ET INTRANTS",socprompt,1)))</f>
        <v>NA</v>
      </c>
      <c r="L196" s="102"/>
      <c r="M196" s="102">
        <f t="shared" ref="M196:S196" si="198">IFERROR(SUMIFS(E$2:E$364,$C$2:$C$364,$C196)/COUNTIFS(E$2:E$364,"&lt;&gt;NA",$C$2:$C$364,$C196),"")</f>
        <v>1</v>
      </c>
      <c r="N196" s="102">
        <f t="shared" si="198"/>
        <v>0.8571428571</v>
      </c>
      <c r="O196" s="102">
        <f t="shared" si="198"/>
        <v>1</v>
      </c>
      <c r="P196" s="102">
        <f t="shared" si="198"/>
        <v>1</v>
      </c>
      <c r="Q196" s="102">
        <f t="shared" si="198"/>
        <v>1</v>
      </c>
      <c r="R196" s="102">
        <f t="shared" si="198"/>
        <v>1</v>
      </c>
      <c r="S196" s="102">
        <f t="shared" si="198"/>
        <v>0.5</v>
      </c>
      <c r="T196" s="103">
        <f t="shared" si="3"/>
        <v>0.9666666667</v>
      </c>
      <c r="U196" s="92">
        <f t="shared" si="4"/>
        <v>3</v>
      </c>
      <c r="V196" s="54">
        <f t="shared" si="5"/>
        <v>3</v>
      </c>
    </row>
    <row r="197" ht="15.75" customHeight="1">
      <c r="A197" s="81" t="str">
        <f>SiteAttendu!$A197</f>
        <v>C1047</v>
      </c>
      <c r="B197" s="82" t="str">
        <f>VLOOKUP($A197,SiteAttendu!$A$2:$C$366,2,0)</f>
        <v>DISTRICT SANITAIRE DABOU</v>
      </c>
      <c r="C197" s="88" t="str">
        <f>VLOOKUP($A197,SiteAttendu!$A$2:$C$366,3,0)</f>
        <v>GRANDS PONTS</v>
      </c>
      <c r="D197" s="84">
        <f>IF(VLOOKUP(A197,SiteAttendu!$A$2:$P$366,4,0)="NA","NA",COUNTIFS(soccode,A197,socprog,"PNLS/ANTIRETROVIRAUX ET IO",socprompt,1))</f>
        <v>1</v>
      </c>
      <c r="E197" s="84">
        <f>IF(VLOOKUP($A197,SiteAttendu!$A$2:$O$366,5,0)="NA","NA",COUNTIFS(soccode,A197,socprog,"PNLS/TESTS RAPIDES ET CONSOMMABLES",socprompt,1))</f>
        <v>1</v>
      </c>
      <c r="F197" s="84">
        <f>IF(VLOOKUP($A197,SiteAttendu!$A$2:$O$366,6,0)="NA","NA",COUNTIFS(soccode,A197,socprog,"PNLS/PRODUITS DE LABORATOIRE",socprompt,1))</f>
        <v>1</v>
      </c>
      <c r="G197" s="84" t="str">
        <f>IF(VLOOKUP($A197,SiteAttendu!$A$2:$O$366,7,0)="NA","NA",COUNTIFS(soccode,A197,socprog,"PNLS/CHARGES VIRALES",socprompt,1))</f>
        <v>NA</v>
      </c>
      <c r="H197" s="84">
        <f>IF(VLOOKUP($A197,SiteAttendu!$A$2:$O$366,9,0)="NA","NA",COUNTIFS(soccode,A197,socprog,"PNLP/MEDICAMENTS ET INTRANTS",socprompt,1))</f>
        <v>1</v>
      </c>
      <c r="I197" s="84">
        <f>IF(VLOOKUP($A197,SiteAttendu!$A$2:$O$366,10,0)="NA","NA",COUNTIFS(soccode,$A197,socprog,"PNSME/MEDICAMENTS ET INTRANTS",socprompt,1))</f>
        <v>1</v>
      </c>
      <c r="J197" s="84" t="str">
        <f>IF(VLOOKUP($A197,SiteAttendu!$A$2:$O$366,11,0)="NA","NA",COUNTIFS(soccode,$A197,socprog,"PNN/MEDICAMENTS ET INTRANTS",socprompt,1))</f>
        <v>NA</v>
      </c>
      <c r="K197" s="84">
        <f>IF(VLOOKUP($A197,SiteAttendu!$A$2:$O$366,15,0)="NA","NA",IF(COUNTIF(socprog,"PNLT/SENSIBLE MEDICAMENTS ET INTRANTS")=0,"NA",COUNTIFS(soccode,$A197,socprog,"PNLT/SENSIBLE MEDICAMENTS ET INTRANTS",socprompt,1)))</f>
        <v>1</v>
      </c>
      <c r="L197" s="60">
        <f t="shared" ref="L197:S197" si="199">IFERROR(SUMIFS(D$2:D$364,$C$2:$C$364,$C197)/COUNTIFS(D$2:D$364,"&lt;&gt;NA",$C$2:$C$364,$C197),"")</f>
        <v>1</v>
      </c>
      <c r="M197" s="85">
        <f t="shared" si="199"/>
        <v>1</v>
      </c>
      <c r="N197" s="85">
        <f t="shared" si="199"/>
        <v>1</v>
      </c>
      <c r="O197" s="85">
        <f t="shared" si="199"/>
        <v>1</v>
      </c>
      <c r="P197" s="85">
        <f t="shared" si="199"/>
        <v>1</v>
      </c>
      <c r="Q197" s="85">
        <f t="shared" si="199"/>
        <v>1</v>
      </c>
      <c r="R197" s="85">
        <f t="shared" si="199"/>
        <v>1</v>
      </c>
      <c r="S197" s="85">
        <f t="shared" si="199"/>
        <v>0.8333333333</v>
      </c>
      <c r="T197" s="127">
        <f t="shared" si="3"/>
        <v>1</v>
      </c>
      <c r="U197" s="53">
        <f t="shared" si="4"/>
        <v>3</v>
      </c>
      <c r="V197" s="54">
        <f t="shared" si="5"/>
        <v>3</v>
      </c>
    </row>
    <row r="198" ht="16.5" customHeight="1">
      <c r="A198" s="55" t="str">
        <f>SiteAttendu!$A198</f>
        <v>C1088</v>
      </c>
      <c r="B198" s="56" t="str">
        <f>VLOOKUP($A198,SiteAttendu!$A$2:$C$366,2,0)</f>
        <v>HOPITAL GENERAL DABOU</v>
      </c>
      <c r="C198" s="57" t="str">
        <f>VLOOKUP($A198,SiteAttendu!$A$2:$C$366,3,0)</f>
        <v>GRANDS PONTS</v>
      </c>
      <c r="D198" s="58">
        <f>IF(VLOOKUP(A198,SiteAttendu!$A$2:$P$366,4,0)="NA","NA",COUNTIFS(soccode,A198,socprog,"PNLS/ANTIRETROVIRAUX ET IO",socprompt,1))</f>
        <v>1</v>
      </c>
      <c r="E198" s="58">
        <f>IF(VLOOKUP($A198,SiteAttendu!$A$2:$O$366,5,0)="NA","NA",COUNTIFS(soccode,A198,socprog,"PNLS/TESTS RAPIDES ET CONSOMMABLES",socprompt,1))</f>
        <v>1</v>
      </c>
      <c r="F198" s="58">
        <f>IF(VLOOKUP($A198,SiteAttendu!$A$2:$O$366,6,0)="NA","NA",COUNTIFS(soccode,A198,socprog,"PNLS/PRODUITS DE LABORATOIRE",socprompt,1))</f>
        <v>1</v>
      </c>
      <c r="G198" s="58">
        <f>IF(VLOOKUP($A198,SiteAttendu!$A$2:$O$366,7,0)="NA","NA",COUNTIFS(soccode,A198,socprog,"PNLS/CHARGES VIRALES",socprompt,1))</f>
        <v>1</v>
      </c>
      <c r="H198" s="58">
        <f>IF(VLOOKUP($A198,SiteAttendu!$A$2:$O$366,9,0)="NA","NA",COUNTIFS(soccode,A198,socprog,"PNLP/MEDICAMENTS ET INTRANTS",socprompt,1))</f>
        <v>1</v>
      </c>
      <c r="I198" s="58">
        <f>IF(VLOOKUP($A198,SiteAttendu!$A$2:$O$366,10,0)="NA","NA",COUNTIFS(soccode,$A198,socprog,"PNSME/MEDICAMENTS ET INTRANTS",socprompt,1))</f>
        <v>1</v>
      </c>
      <c r="J198" s="58" t="str">
        <f>IF(VLOOKUP($A198,SiteAttendu!$A$2:$O$366,11,0)="NA","NA",COUNTIFS(soccode,$A198,socprog,"PNN/MEDICAMENTS ET INTRANTS",socprompt,1))</f>
        <v>NA</v>
      </c>
      <c r="K198" s="58">
        <f>IF(VLOOKUP($A198,SiteAttendu!$A$2:$O$366,15,0)="NA","NA",IF(COUNTIF(socprog,"PNLT/SENSIBLE MEDICAMENTS ET INTRANTS")=0,"NA",COUNTIFS(soccode,$A198,socprog,"PNLT/SENSIBLE MEDICAMENTS ET INTRANTS",socprompt,1)))</f>
        <v>0</v>
      </c>
      <c r="L198" s="60"/>
      <c r="M198" s="85">
        <f t="shared" ref="M198:S198" si="200">IFERROR(SUMIFS(E$2:E$364,$C$2:$C$364,$C198)/COUNTIFS(E$2:E$364,"&lt;&gt;NA",$C$2:$C$364,$C198),"")</f>
        <v>1</v>
      </c>
      <c r="N198" s="85">
        <f t="shared" si="200"/>
        <v>1</v>
      </c>
      <c r="O198" s="85">
        <f t="shared" si="200"/>
        <v>1</v>
      </c>
      <c r="P198" s="85">
        <f t="shared" si="200"/>
        <v>1</v>
      </c>
      <c r="Q198" s="85">
        <f t="shared" si="200"/>
        <v>1</v>
      </c>
      <c r="R198" s="85">
        <f t="shared" si="200"/>
        <v>1</v>
      </c>
      <c r="S198" s="85">
        <f t="shared" si="200"/>
        <v>0.8333333333</v>
      </c>
      <c r="T198" s="127">
        <f t="shared" si="3"/>
        <v>1</v>
      </c>
      <c r="U198" s="53">
        <f t="shared" si="4"/>
        <v>4</v>
      </c>
      <c r="V198" s="54">
        <f t="shared" si="5"/>
        <v>4</v>
      </c>
    </row>
    <row r="199" ht="15.75" customHeight="1">
      <c r="A199" s="55" t="str">
        <f>SiteAttendu!$A199</f>
        <v>C1102</v>
      </c>
      <c r="B199" s="56" t="str">
        <f>VLOOKUP($A199,SiteAttendu!$A$2:$C$366,2,0)</f>
        <v>HOPITAL METHODISTE DE DABOU</v>
      </c>
      <c r="C199" s="57" t="str">
        <f>VLOOKUP($A199,SiteAttendu!$A$2:$C$366,3,0)</f>
        <v>GRANDS PONTS</v>
      </c>
      <c r="D199" s="58">
        <f>IF(VLOOKUP(A199,SiteAttendu!$A$2:$P$366,4,0)="NA","NA",COUNTIFS(soccode,A199,socprog,"PNLS/ANTIRETROVIRAUX ET IO",socprompt,1))</f>
        <v>1</v>
      </c>
      <c r="E199" s="58">
        <f>IF(VLOOKUP($A199,SiteAttendu!$A$2:$O$366,5,0)="NA","NA",COUNTIFS(soccode,A199,socprog,"PNLS/TESTS RAPIDES ET CONSOMMABLES",socprompt,1))</f>
        <v>1</v>
      </c>
      <c r="F199" s="58">
        <f>IF(VLOOKUP($A199,SiteAttendu!$A$2:$O$366,6,0)="NA","NA",COUNTIFS(soccode,A199,socprog,"PNLS/PRODUITS DE LABORATOIRE",socprompt,1))</f>
        <v>1</v>
      </c>
      <c r="G199" s="58" t="str">
        <f>IF(VLOOKUP($A199,SiteAttendu!$A$2:$O$366,7,0)="NA","NA",COUNTIFS(soccode,A199,socprog,"PNLS/CHARGES VIRALES",socprompt,1))</f>
        <v>NA</v>
      </c>
      <c r="H199" s="58" t="str">
        <f>IF(VLOOKUP($A199,SiteAttendu!$A$2:$O$366,9,0)="NA","NA",COUNTIFS(soccode,A199,socprog,"PNLP/MEDICAMENTS ET INTRANTS",socprompt,1))</f>
        <v>NA</v>
      </c>
      <c r="I199" s="58" t="str">
        <f>IF(VLOOKUP($A199,SiteAttendu!$A$2:$O$366,10,0)="NA","NA",COUNTIFS(soccode,$A199,socprog,"PNSME/MEDICAMENTS ET INTRANTS",socprompt,1))</f>
        <v>NA</v>
      </c>
      <c r="J199" s="58" t="str">
        <f>IF(VLOOKUP($A199,SiteAttendu!$A$2:$O$366,11,0)="NA","NA",COUNTIFS(soccode,$A199,socprog,"PNN/MEDICAMENTS ET INTRANTS",socprompt,1))</f>
        <v>NA</v>
      </c>
      <c r="K199" s="58">
        <f>IF(VLOOKUP($A199,SiteAttendu!$A$2:$O$366,15,0)="NA","NA",IF(COUNTIF(socprog,"PNLT/SENSIBLE MEDICAMENTS ET INTRANTS")=0,"NA",COUNTIFS(soccode,$A199,socprog,"PNLT/SENSIBLE MEDICAMENTS ET INTRANTS",socprompt,1)))</f>
        <v>1</v>
      </c>
      <c r="L199" s="60"/>
      <c r="M199" s="85">
        <f t="shared" ref="M199:S199" si="201">IFERROR(SUMIFS(E$2:E$364,$C$2:$C$364,$C199)/COUNTIFS(E$2:E$364,"&lt;&gt;NA",$C$2:$C$364,$C199),"")</f>
        <v>1</v>
      </c>
      <c r="N199" s="85">
        <f t="shared" si="201"/>
        <v>1</v>
      </c>
      <c r="O199" s="85">
        <f t="shared" si="201"/>
        <v>1</v>
      </c>
      <c r="P199" s="85">
        <f t="shared" si="201"/>
        <v>1</v>
      </c>
      <c r="Q199" s="85">
        <f t="shared" si="201"/>
        <v>1</v>
      </c>
      <c r="R199" s="85">
        <f t="shared" si="201"/>
        <v>1</v>
      </c>
      <c r="S199" s="85">
        <f t="shared" si="201"/>
        <v>0.8333333333</v>
      </c>
      <c r="T199" s="127">
        <f t="shared" si="3"/>
        <v>1</v>
      </c>
      <c r="U199" s="53">
        <f t="shared" si="4"/>
        <v>3</v>
      </c>
      <c r="V199" s="54">
        <f t="shared" si="5"/>
        <v>3</v>
      </c>
    </row>
    <row r="200" ht="15.75" customHeight="1">
      <c r="A200" s="55" t="str">
        <f>SiteAttendu!$A200</f>
        <v>C1944</v>
      </c>
      <c r="B200" s="56" t="str">
        <f>VLOOKUP($A200,SiteAttendu!$A$2:$C$366,2,0)</f>
        <v>CENTRE ANTITUBERCULEUX DABOU</v>
      </c>
      <c r="C200" s="57" t="str">
        <f>VLOOKUP($A200,SiteAttendu!$A$2:$C$366,3,0)</f>
        <v>GRANDS PONTS</v>
      </c>
      <c r="D200" s="58" t="str">
        <f>IF(VLOOKUP(A200,SiteAttendu!$A$2:$P$366,4,0)="NA","NA",COUNTIFS(soccode,A200,socprog,"PNLS/ANTIRETROVIRAUX ET IO",socprompt,1))</f>
        <v>NA</v>
      </c>
      <c r="E200" s="58" t="str">
        <f>IF(VLOOKUP($A200,SiteAttendu!$A$2:$O$366,5,0)="NA","NA",COUNTIFS(soccode,A200,socprog,"PNLS/TESTS RAPIDES ET CONSOMMABLES",socprompt,1))</f>
        <v>NA</v>
      </c>
      <c r="F200" s="58" t="str">
        <f>IF(VLOOKUP($A200,SiteAttendu!$A$2:$O$366,6,0)="NA","NA",COUNTIFS(soccode,A200,socprog,"PNLS/PRODUITS DE LABORATOIRE",socprompt,1))</f>
        <v>NA</v>
      </c>
      <c r="G200" s="58" t="str">
        <f>IF(VLOOKUP($A200,SiteAttendu!$A$2:$O$366,7,0)="NA","NA",COUNTIFS(soccode,A200,socprog,"PNLS/CHARGES VIRALES",socprompt,1))</f>
        <v>NA</v>
      </c>
      <c r="H200" s="58" t="str">
        <f>IF(VLOOKUP($A200,SiteAttendu!$A$2:$O$366,9,0)="NA","NA",COUNTIFS(soccode,A200,socprog,"PNLP/MEDICAMENTS ET INTRANTS",socprompt,1))</f>
        <v>NA</v>
      </c>
      <c r="I200" s="58" t="str">
        <f>IF(VLOOKUP($A200,SiteAttendu!$A$2:$O$366,10,0)="NA","NA",COUNTIFS(soccode,$A200,socprog,"PNSME/MEDICAMENTS ET INTRANTS",socprompt,1))</f>
        <v>NA</v>
      </c>
      <c r="J200" s="58" t="str">
        <f>IF(VLOOKUP($A200,SiteAttendu!$A$2:$O$366,11,0)="NA","NA",COUNTIFS(soccode,$A200,socprog,"PNN/MEDICAMENTS ET INTRANTS",socprompt,1))</f>
        <v>NA</v>
      </c>
      <c r="K200" s="58" t="str">
        <f>IF(VLOOKUP($A200,SiteAttendu!$A$2:$O$366,15,0)="NA","NA",IF(COUNTIF(socprog,"PNLT/SENSIBLE MEDICAMENTS ET INTRANTS")=0,"NA",COUNTIFS(soccode,$A200,socprog,"PNLT/SENSIBLE MEDICAMENTS ET INTRANTS",socprompt,1)))</f>
        <v>NA</v>
      </c>
      <c r="L200" s="60"/>
      <c r="M200" s="85">
        <f t="shared" ref="M200:S200" si="202">IFERROR(SUMIFS(E$2:E$364,$C$2:$C$364,$C200)/COUNTIFS(E$2:E$364,"&lt;&gt;NA",$C$2:$C$364,$C200),"")</f>
        <v>1</v>
      </c>
      <c r="N200" s="85">
        <f t="shared" si="202"/>
        <v>1</v>
      </c>
      <c r="O200" s="85">
        <f t="shared" si="202"/>
        <v>1</v>
      </c>
      <c r="P200" s="85">
        <f t="shared" si="202"/>
        <v>1</v>
      </c>
      <c r="Q200" s="85">
        <f t="shared" si="202"/>
        <v>1</v>
      </c>
      <c r="R200" s="85">
        <f t="shared" si="202"/>
        <v>1</v>
      </c>
      <c r="S200" s="85">
        <f t="shared" si="202"/>
        <v>0.8333333333</v>
      </c>
      <c r="T200" s="127">
        <f t="shared" si="3"/>
        <v>1</v>
      </c>
      <c r="U200" s="53">
        <f t="shared" si="4"/>
        <v>0</v>
      </c>
      <c r="V200" s="54">
        <f t="shared" si="5"/>
        <v>0</v>
      </c>
    </row>
    <row r="201" ht="15.75" customHeight="1">
      <c r="A201" s="55" t="str">
        <f>SiteAttendu!$A201</f>
        <v>C1901</v>
      </c>
      <c r="B201" s="56" t="str">
        <f>VLOOKUP($A201,SiteAttendu!$A$2:$C$366,2,0)</f>
        <v>CSU LOPOU</v>
      </c>
      <c r="C201" s="57" t="str">
        <f>VLOOKUP($A201,SiteAttendu!$A$2:$C$366,3,0)</f>
        <v>GRANDS PONTS</v>
      </c>
      <c r="D201" s="58" t="str">
        <f>IF(VLOOKUP(A201,SiteAttendu!$A$2:$P$366,4,0)="NA","NA",COUNTIFS(soccode,A201,socprog,"PNLS/ANTIRETROVIRAUX ET IO",socprompt,1))</f>
        <v>NA</v>
      </c>
      <c r="E201" s="58" t="str">
        <f>IF(VLOOKUP($A201,SiteAttendu!$A$2:$O$366,5,0)="NA","NA",COUNTIFS(soccode,A201,socprog,"PNLS/TESTS RAPIDES ET CONSOMMABLES",socprompt,1))</f>
        <v>NA</v>
      </c>
      <c r="F201" s="58" t="str">
        <f>IF(VLOOKUP($A201,SiteAttendu!$A$2:$O$366,6,0)="NA","NA",COUNTIFS(soccode,A201,socprog,"PNLS/PRODUITS DE LABORATOIRE",socprompt,1))</f>
        <v>NA</v>
      </c>
      <c r="G201" s="58" t="str">
        <f>IF(VLOOKUP($A201,SiteAttendu!$A$2:$O$366,7,0)="NA","NA",COUNTIFS(soccode,A201,socprog,"PNLS/CHARGES VIRALES",socprompt,1))</f>
        <v>NA</v>
      </c>
      <c r="H201" s="58" t="str">
        <f>IF(VLOOKUP($A201,SiteAttendu!$A$2:$O$366,9,0)="NA","NA",COUNTIFS(soccode,A201,socprog,"PNLP/MEDICAMENTS ET INTRANTS",socprompt,1))</f>
        <v>NA</v>
      </c>
      <c r="I201" s="58">
        <f>IF(VLOOKUP($A201,SiteAttendu!$A$2:$O$366,10,0)="NA","NA",COUNTIFS(soccode,$A201,socprog,"PNSME/MEDICAMENTS ET INTRANTS",socprompt,1))</f>
        <v>1</v>
      </c>
      <c r="J201" s="58" t="str">
        <f>IF(VLOOKUP($A201,SiteAttendu!$A$2:$O$366,11,0)="NA","NA",COUNTIFS(soccode,$A201,socprog,"PNN/MEDICAMENTS ET INTRANTS",socprompt,1))</f>
        <v>NA</v>
      </c>
      <c r="K201" s="58" t="str">
        <f>IF(VLOOKUP($A201,SiteAttendu!$A$2:$O$366,15,0)="NA","NA",IF(COUNTIF(socprog,"PNLT/SENSIBLE MEDICAMENTS ET INTRANTS")=0,"NA",COUNTIFS(soccode,$A201,socprog,"PNLT/SENSIBLE MEDICAMENTS ET INTRANTS",socprompt,1)))</f>
        <v>NA</v>
      </c>
      <c r="L201" s="60"/>
      <c r="M201" s="85">
        <f t="shared" ref="M201:S201" si="203">IFERROR(SUMIFS(E$2:E$364,$C$2:$C$364,$C201)/COUNTIFS(E$2:E$364,"&lt;&gt;NA",$C$2:$C$364,$C201),"")</f>
        <v>1</v>
      </c>
      <c r="N201" s="85">
        <f t="shared" si="203"/>
        <v>1</v>
      </c>
      <c r="O201" s="85">
        <f t="shared" si="203"/>
        <v>1</v>
      </c>
      <c r="P201" s="85">
        <f t="shared" si="203"/>
        <v>1</v>
      </c>
      <c r="Q201" s="85">
        <f t="shared" si="203"/>
        <v>1</v>
      </c>
      <c r="R201" s="85">
        <f t="shared" si="203"/>
        <v>1</v>
      </c>
      <c r="S201" s="85">
        <f t="shared" si="203"/>
        <v>0.8333333333</v>
      </c>
      <c r="T201" s="127">
        <f t="shared" si="3"/>
        <v>1</v>
      </c>
      <c r="U201" s="53">
        <f t="shared" si="4"/>
        <v>0</v>
      </c>
      <c r="V201" s="54">
        <f t="shared" si="5"/>
        <v>0</v>
      </c>
    </row>
    <row r="202" ht="15.75" customHeight="1">
      <c r="A202" s="55" t="str">
        <f>SiteAttendu!$A202</f>
        <v>C1049</v>
      </c>
      <c r="B202" s="56" t="str">
        <f>VLOOKUP($A202,SiteAttendu!$A$2:$C$366,2,0)</f>
        <v>DISTRICT SANITAIRE GRAND-LAHOU</v>
      </c>
      <c r="C202" s="57" t="str">
        <f>VLOOKUP($A202,SiteAttendu!$A$2:$C$366,3,0)</f>
        <v>GRANDS PONTS</v>
      </c>
      <c r="D202" s="58">
        <f>IF(VLOOKUP(A202,SiteAttendu!$A$2:$P$366,4,0)="NA","NA",COUNTIFS(soccode,A202,socprog,"PNLS/ANTIRETROVIRAUX ET IO",socprompt,1))</f>
        <v>1</v>
      </c>
      <c r="E202" s="58">
        <f>IF(VLOOKUP($A202,SiteAttendu!$A$2:$O$366,5,0)="NA","NA",COUNTIFS(soccode,A202,socprog,"PNLS/TESTS RAPIDES ET CONSOMMABLES",socprompt,1))</f>
        <v>1</v>
      </c>
      <c r="F202" s="58">
        <f>IF(VLOOKUP($A202,SiteAttendu!$A$2:$O$366,6,0)="NA","NA",COUNTIFS(soccode,A202,socprog,"PNLS/PRODUITS DE LABORATOIRE",socprompt,1))</f>
        <v>1</v>
      </c>
      <c r="G202" s="58" t="str">
        <f>IF(VLOOKUP($A202,SiteAttendu!$A$2:$O$366,7,0)="NA","NA",COUNTIFS(soccode,A202,socprog,"PNLS/CHARGES VIRALES",socprompt,1))</f>
        <v>NA</v>
      </c>
      <c r="H202" s="58">
        <f>IF(VLOOKUP($A202,SiteAttendu!$A$2:$O$366,9,0)="NA","NA",COUNTIFS(soccode,A202,socprog,"PNLP/MEDICAMENTS ET INTRANTS",socprompt,1))</f>
        <v>1</v>
      </c>
      <c r="I202" s="58">
        <f>IF(VLOOKUP($A202,SiteAttendu!$A$2:$O$366,10,0)="NA","NA",COUNTIFS(soccode,$A202,socprog,"PNSME/MEDICAMENTS ET INTRANTS",socprompt,1))</f>
        <v>1</v>
      </c>
      <c r="J202" s="58" t="str">
        <f>IF(VLOOKUP($A202,SiteAttendu!$A$2:$O$366,11,0)="NA","NA",COUNTIFS(soccode,$A202,socprog,"PNN/MEDICAMENTS ET INTRANTS",socprompt,1))</f>
        <v>NA</v>
      </c>
      <c r="K202" s="58" t="str">
        <f>IF(VLOOKUP($A202,SiteAttendu!$A$2:$O$366,15,0)="NA","NA",IF(COUNTIF(socprog,"PNLT/SENSIBLE MEDICAMENTS ET INTRANTS")=0,"NA",COUNTIFS(soccode,$A202,socprog,"PNLT/SENSIBLE MEDICAMENTS ET INTRANTS",socprompt,1)))</f>
        <v>NA</v>
      </c>
      <c r="L202" s="60"/>
      <c r="M202" s="85">
        <f t="shared" ref="M202:S202" si="204">IFERROR(SUMIFS(E$2:E$364,$C$2:$C$364,$C202)/COUNTIFS(E$2:E$364,"&lt;&gt;NA",$C$2:$C$364,$C202),"")</f>
        <v>1</v>
      </c>
      <c r="N202" s="85">
        <f t="shared" si="204"/>
        <v>1</v>
      </c>
      <c r="O202" s="85">
        <f t="shared" si="204"/>
        <v>1</v>
      </c>
      <c r="P202" s="85">
        <f t="shared" si="204"/>
        <v>1</v>
      </c>
      <c r="Q202" s="85">
        <f t="shared" si="204"/>
        <v>1</v>
      </c>
      <c r="R202" s="85">
        <f t="shared" si="204"/>
        <v>1</v>
      </c>
      <c r="S202" s="85">
        <f t="shared" si="204"/>
        <v>0.8333333333</v>
      </c>
      <c r="T202" s="127">
        <f t="shared" si="3"/>
        <v>1</v>
      </c>
      <c r="U202" s="53">
        <f t="shared" si="4"/>
        <v>3</v>
      </c>
      <c r="V202" s="54">
        <f t="shared" si="5"/>
        <v>3</v>
      </c>
    </row>
    <row r="203" ht="15.75" customHeight="1">
      <c r="A203" s="55" t="str">
        <f>SiteAttendu!$A203</f>
        <v>C1091</v>
      </c>
      <c r="B203" s="56" t="str">
        <f>VLOOKUP($A203,SiteAttendu!$A$2:$C$366,2,0)</f>
        <v>HOPITAL GENERAL GRAND-LAHOU</v>
      </c>
      <c r="C203" s="57" t="str">
        <f>VLOOKUP($A203,SiteAttendu!$A$2:$C$366,3,0)</f>
        <v>GRANDS PONTS</v>
      </c>
      <c r="D203" s="58">
        <f>IF(VLOOKUP(A203,SiteAttendu!$A$2:$P$366,4,0)="NA","NA",COUNTIFS(soccode,A203,socprog,"PNLS/ANTIRETROVIRAUX ET IO",socprompt,1))</f>
        <v>1</v>
      </c>
      <c r="E203" s="58">
        <f>IF(VLOOKUP($A203,SiteAttendu!$A$2:$O$366,5,0)="NA","NA",COUNTIFS(soccode,A203,socprog,"PNLS/TESTS RAPIDES ET CONSOMMABLES",socprompt,1))</f>
        <v>1</v>
      </c>
      <c r="F203" s="58">
        <f>IF(VLOOKUP($A203,SiteAttendu!$A$2:$O$366,6,0)="NA","NA",COUNTIFS(soccode,A203,socprog,"PNLS/PRODUITS DE LABORATOIRE",socprompt,1))</f>
        <v>1</v>
      </c>
      <c r="G203" s="58">
        <f>IF(VLOOKUP($A203,SiteAttendu!$A$2:$O$366,7,0)="NA","NA",COUNTIFS(soccode,A203,socprog,"PNLS/CHARGES VIRALES",socprompt,1))</f>
        <v>1</v>
      </c>
      <c r="H203" s="58">
        <f>IF(VLOOKUP($A203,SiteAttendu!$A$2:$O$366,9,0)="NA","NA",COUNTIFS(soccode,A203,socprog,"PNLP/MEDICAMENTS ET INTRANTS",socprompt,1))</f>
        <v>1</v>
      </c>
      <c r="I203" s="58">
        <f>IF(VLOOKUP($A203,SiteAttendu!$A$2:$O$366,10,0)="NA","NA",COUNTIFS(soccode,$A203,socprog,"PNSME/MEDICAMENTS ET INTRANTS",socprompt,1))</f>
        <v>1</v>
      </c>
      <c r="J203" s="58" t="str">
        <f>IF(VLOOKUP($A203,SiteAttendu!$A$2:$O$366,11,0)="NA","NA",COUNTIFS(soccode,$A203,socprog,"PNN/MEDICAMENTS ET INTRANTS",socprompt,1))</f>
        <v>NA</v>
      </c>
      <c r="K203" s="58">
        <f>IF(VLOOKUP($A203,SiteAttendu!$A$2:$O$366,15,0)="NA","NA",IF(COUNTIF(socprog,"PNLT/SENSIBLE MEDICAMENTS ET INTRANTS")=0,"NA",COUNTIFS(soccode,$A203,socprog,"PNLT/SENSIBLE MEDICAMENTS ET INTRANTS",socprompt,1)))</f>
        <v>1</v>
      </c>
      <c r="L203" s="60"/>
      <c r="M203" s="85">
        <f t="shared" ref="M203:S203" si="205">IFERROR(SUMIFS(E$2:E$364,$C$2:$C$364,$C203)/COUNTIFS(E$2:E$364,"&lt;&gt;NA",$C$2:$C$364,$C203),"")</f>
        <v>1</v>
      </c>
      <c r="N203" s="85">
        <f t="shared" si="205"/>
        <v>1</v>
      </c>
      <c r="O203" s="85">
        <f t="shared" si="205"/>
        <v>1</v>
      </c>
      <c r="P203" s="85">
        <f t="shared" si="205"/>
        <v>1</v>
      </c>
      <c r="Q203" s="85">
        <f t="shared" si="205"/>
        <v>1</v>
      </c>
      <c r="R203" s="85">
        <f t="shared" si="205"/>
        <v>1</v>
      </c>
      <c r="S203" s="85">
        <f t="shared" si="205"/>
        <v>0.8333333333</v>
      </c>
      <c r="T203" s="127">
        <f t="shared" si="3"/>
        <v>1</v>
      </c>
      <c r="U203" s="53">
        <f t="shared" si="4"/>
        <v>4</v>
      </c>
      <c r="V203" s="54">
        <f t="shared" si="5"/>
        <v>4</v>
      </c>
    </row>
    <row r="204" ht="15.75" customHeight="1">
      <c r="A204" s="55" t="str">
        <f>SiteAttendu!$A204</f>
        <v>C1050</v>
      </c>
      <c r="B204" s="56" t="str">
        <f>VLOOKUP($A204,SiteAttendu!$A$2:$C$366,2,0)</f>
        <v>DISTRICT SANITAIRE JACQUEVILLE</v>
      </c>
      <c r="C204" s="57" t="str">
        <f>VLOOKUP($A204,SiteAttendu!$A$2:$C$366,3,0)</f>
        <v>GRANDS PONTS</v>
      </c>
      <c r="D204" s="58">
        <f>IF(VLOOKUP(A204,SiteAttendu!$A$2:$P$366,4,0)="NA","NA",COUNTIFS(soccode,A204,socprog,"PNLS/ANTIRETROVIRAUX ET IO",socprompt,1))</f>
        <v>1</v>
      </c>
      <c r="E204" s="58">
        <f>IF(VLOOKUP($A204,SiteAttendu!$A$2:$O$366,5,0)="NA","NA",COUNTIFS(soccode,A204,socprog,"PNLS/TESTS RAPIDES ET CONSOMMABLES",socprompt,1))</f>
        <v>1</v>
      </c>
      <c r="F204" s="58" t="str">
        <f>IF(VLOOKUP($A204,SiteAttendu!$A$2:$O$366,6,0)="NA","NA",COUNTIFS(soccode,A204,socprog,"PNLS/PRODUITS DE LABORATOIRE",socprompt,1))</f>
        <v>NA</v>
      </c>
      <c r="G204" s="58" t="str">
        <f>IF(VLOOKUP($A204,SiteAttendu!$A$2:$O$366,7,0)="NA","NA",COUNTIFS(soccode,A204,socprog,"PNLS/CHARGES VIRALES",socprompt,1))</f>
        <v>NA</v>
      </c>
      <c r="H204" s="58">
        <f>IF(VLOOKUP($A204,SiteAttendu!$A$2:$O$366,9,0)="NA","NA",COUNTIFS(soccode,A204,socprog,"PNLP/MEDICAMENTS ET INTRANTS",socprompt,1))</f>
        <v>1</v>
      </c>
      <c r="I204" s="58">
        <f>IF(VLOOKUP($A204,SiteAttendu!$A$2:$O$366,10,0)="NA","NA",COUNTIFS(soccode,$A204,socprog,"PNSME/MEDICAMENTS ET INTRANTS",socprompt,1))</f>
        <v>1</v>
      </c>
      <c r="J204" s="58">
        <f>IF(VLOOKUP($A204,SiteAttendu!$A$2:$O$366,11,0)="NA","NA",COUNTIFS(soccode,$A204,socprog,"PNN/MEDICAMENTS ET INTRANTS",socprompt,1))</f>
        <v>1</v>
      </c>
      <c r="K204" s="58">
        <f>IF(VLOOKUP($A204,SiteAttendu!$A$2:$O$366,15,0)="NA","NA",IF(COUNTIF(socprog,"PNLT/SENSIBLE MEDICAMENTS ET INTRANTS")=0,"NA",COUNTIFS(soccode,$A204,socprog,"PNLT/SENSIBLE MEDICAMENTS ET INTRANTS",socprompt,1)))</f>
        <v>1</v>
      </c>
      <c r="L204" s="60"/>
      <c r="M204" s="85">
        <f t="shared" ref="M204:S204" si="206">IFERROR(SUMIFS(E$2:E$364,$C$2:$C$364,$C204)/COUNTIFS(E$2:E$364,"&lt;&gt;NA",$C$2:$C$364,$C204),"")</f>
        <v>1</v>
      </c>
      <c r="N204" s="85">
        <f t="shared" si="206"/>
        <v>1</v>
      </c>
      <c r="O204" s="85">
        <f t="shared" si="206"/>
        <v>1</v>
      </c>
      <c r="P204" s="85">
        <f t="shared" si="206"/>
        <v>1</v>
      </c>
      <c r="Q204" s="85">
        <f t="shared" si="206"/>
        <v>1</v>
      </c>
      <c r="R204" s="85">
        <f t="shared" si="206"/>
        <v>1</v>
      </c>
      <c r="S204" s="85">
        <f t="shared" si="206"/>
        <v>0.8333333333</v>
      </c>
      <c r="T204" s="127">
        <f t="shared" si="3"/>
        <v>1</v>
      </c>
      <c r="U204" s="53">
        <f t="shared" si="4"/>
        <v>2</v>
      </c>
      <c r="V204" s="54">
        <f t="shared" si="5"/>
        <v>2</v>
      </c>
    </row>
    <row r="205" ht="16.5" customHeight="1">
      <c r="A205" s="62" t="str">
        <f>SiteAttendu!$A205</f>
        <v>C1092</v>
      </c>
      <c r="B205" s="63" t="str">
        <f>VLOOKUP($A205,SiteAttendu!$A$2:$C$366,2,0)</f>
        <v>HOPITAL GENERAL JACQUEVILLE</v>
      </c>
      <c r="C205" s="64" t="str">
        <f>VLOOKUP($A205,SiteAttendu!$A$2:$C$366,3,0)</f>
        <v>GRANDS PONTS</v>
      </c>
      <c r="D205" s="65">
        <f>IF(VLOOKUP(A205,SiteAttendu!$A$2:$P$366,4,0)="NA","NA",COUNTIFS(soccode,A205,socprog,"PNLS/ANTIRETROVIRAUX ET IO",socprompt,1))</f>
        <v>1</v>
      </c>
      <c r="E205" s="65">
        <f>IF(VLOOKUP($A205,SiteAttendu!$A$2:$O$366,5,0)="NA","NA",COUNTIFS(soccode,A205,socprog,"PNLS/TESTS RAPIDES ET CONSOMMABLES",socprompt,1))</f>
        <v>1</v>
      </c>
      <c r="F205" s="65">
        <f>IF(VLOOKUP($A205,SiteAttendu!$A$2:$O$366,6,0)="NA","NA",COUNTIFS(soccode,A205,socprog,"PNLS/PRODUITS DE LABORATOIRE",socprompt,1))</f>
        <v>1</v>
      </c>
      <c r="G205" s="65">
        <f>IF(VLOOKUP($A205,SiteAttendu!$A$2:$O$366,7,0)="NA","NA",COUNTIFS(soccode,A205,socprog,"PNLS/CHARGES VIRALES",socprompt,1))</f>
        <v>1</v>
      </c>
      <c r="H205" s="65">
        <f>IF(VLOOKUP($A205,SiteAttendu!$A$2:$O$366,9,0)="NA","NA",COUNTIFS(soccode,A205,socprog,"PNLP/MEDICAMENTS ET INTRANTS",socprompt,1))</f>
        <v>1</v>
      </c>
      <c r="I205" s="65">
        <f>IF(VLOOKUP($A205,SiteAttendu!$A$2:$O$366,10,0)="NA","NA",COUNTIFS(soccode,$A205,socprog,"PNSME/MEDICAMENTS ET INTRANTS",socprompt,1))</f>
        <v>1</v>
      </c>
      <c r="J205" s="65">
        <f>IF(VLOOKUP($A205,SiteAttendu!$A$2:$O$366,11,0)="NA","NA",COUNTIFS(soccode,$A205,socprog,"PNN/MEDICAMENTS ET INTRANTS",socprompt,1))</f>
        <v>1</v>
      </c>
      <c r="K205" s="65">
        <f>IF(VLOOKUP($A205,SiteAttendu!$A$2:$O$366,15,0)="NA","NA",IF(COUNTIF(socprog,"PNLT/SENSIBLE MEDICAMENTS ET INTRANTS")=0,"NA",COUNTIFS(soccode,$A205,socprog,"PNLT/SENSIBLE MEDICAMENTS ET INTRANTS",socprompt,1)))</f>
        <v>1</v>
      </c>
      <c r="L205" s="67"/>
      <c r="M205" s="86">
        <f t="shared" ref="M205:S205" si="207">IFERROR(SUMIFS(E$2:E$364,$C$2:$C$364,$C205)/COUNTIFS(E$2:E$364,"&lt;&gt;NA",$C$2:$C$364,$C205),"")</f>
        <v>1</v>
      </c>
      <c r="N205" s="86">
        <f t="shared" si="207"/>
        <v>1</v>
      </c>
      <c r="O205" s="86">
        <f t="shared" si="207"/>
        <v>1</v>
      </c>
      <c r="P205" s="86">
        <f t="shared" si="207"/>
        <v>1</v>
      </c>
      <c r="Q205" s="86">
        <f t="shared" si="207"/>
        <v>1</v>
      </c>
      <c r="R205" s="86">
        <f t="shared" si="207"/>
        <v>1</v>
      </c>
      <c r="S205" s="86">
        <f t="shared" si="207"/>
        <v>0.8333333333</v>
      </c>
      <c r="T205" s="128">
        <f t="shared" si="3"/>
        <v>1</v>
      </c>
      <c r="U205" s="53">
        <f t="shared" si="4"/>
        <v>4</v>
      </c>
      <c r="V205" s="54">
        <f t="shared" si="5"/>
        <v>4</v>
      </c>
    </row>
    <row r="206" ht="15.75" customHeight="1">
      <c r="A206" s="46" t="str">
        <f>SiteAttendu!$A206</f>
        <v>C5007</v>
      </c>
      <c r="B206" s="47" t="str">
        <f>VLOOKUP($A206,SiteAttendu!$A$2:$C$366,2,0)</f>
        <v>DISTRICT SANITAIRE BANGOLO</v>
      </c>
      <c r="C206" s="48" t="str">
        <f>VLOOKUP($A206,SiteAttendu!$A$2:$C$366,3,0)</f>
        <v>GUEMON</v>
      </c>
      <c r="D206" s="49">
        <f>IF(VLOOKUP(A206,SiteAttendu!$A$2:$P$366,4,0)="NA","NA",COUNTIFS(soccode,A206,socprog,"PNLS/ANTIRETROVIRAUX ET IO",socprompt,1))</f>
        <v>1</v>
      </c>
      <c r="E206" s="49">
        <f>IF(VLOOKUP($A206,SiteAttendu!$A$2:$O$366,5,0)="NA","NA",COUNTIFS(soccode,A206,socprog,"PNLS/TESTS RAPIDES ET CONSOMMABLES",socprompt,1))</f>
        <v>1</v>
      </c>
      <c r="F206" s="49">
        <f>IF(VLOOKUP($A206,SiteAttendu!$A$2:$O$366,6,0)="NA","NA",COUNTIFS(soccode,A206,socprog,"PNLS/PRODUITS DE LABORATOIRE",socprompt,1))</f>
        <v>1</v>
      </c>
      <c r="G206" s="49" t="str">
        <f>IF(VLOOKUP($A206,SiteAttendu!$A$2:$O$366,7,0)="NA","NA",COUNTIFS(soccode,A206,socprog,"PNLS/CHARGES VIRALES",socprompt,1))</f>
        <v>NA</v>
      </c>
      <c r="H206" s="49">
        <f>IF(VLOOKUP($A206,SiteAttendu!$A$2:$O$366,9,0)="NA","NA",COUNTIFS(soccode,A206,socprog,"PNLP/MEDICAMENTS ET INTRANTS",socprompt,1))</f>
        <v>1</v>
      </c>
      <c r="I206" s="49">
        <f>IF(VLOOKUP($A206,SiteAttendu!$A$2:$O$366,10,0)="NA","NA",COUNTIFS(soccode,$A206,socprog,"PNSME/MEDICAMENTS ET INTRANTS",socprompt,1))</f>
        <v>1</v>
      </c>
      <c r="J206" s="49">
        <f>IF(VLOOKUP($A206,SiteAttendu!$A$2:$O$366,11,0)="NA","NA",COUNTIFS(soccode,$A206,socprog,"PNN/MEDICAMENTS ET INTRANTS",socprompt,1))</f>
        <v>1</v>
      </c>
      <c r="K206" s="49" t="str">
        <f>IF(VLOOKUP($A206,SiteAttendu!$A$2:$O$366,15,0)="NA","NA",IF(COUNTIF(socprog,"PNLT/SENSIBLE MEDICAMENTS ET INTRANTS")=0,"NA",COUNTIFS(soccode,$A206,socprog,"PNLT/SENSIBLE MEDICAMENTS ET INTRANTS",socprompt,1)))</f>
        <v>NA</v>
      </c>
      <c r="L206" s="51">
        <f t="shared" ref="L206:S206" si="208">IFERROR(SUMIFS(D$2:D$364,$C$2:$C$364,$C206)/COUNTIFS(D$2:D$364,"&lt;&gt;NA",$C$2:$C$364,$C206),"")</f>
        <v>0.8333333333</v>
      </c>
      <c r="M206" s="125">
        <f t="shared" si="208"/>
        <v>0.8333333333</v>
      </c>
      <c r="N206" s="125">
        <f t="shared" si="208"/>
        <v>1</v>
      </c>
      <c r="O206" s="125">
        <f t="shared" si="208"/>
        <v>1</v>
      </c>
      <c r="P206" s="125">
        <f t="shared" si="208"/>
        <v>1</v>
      </c>
      <c r="Q206" s="125">
        <f t="shared" si="208"/>
        <v>1</v>
      </c>
      <c r="R206" s="125">
        <f t="shared" si="208"/>
        <v>0.8333333333</v>
      </c>
      <c r="S206" s="125">
        <f t="shared" si="208"/>
        <v>0.8</v>
      </c>
      <c r="T206" s="126">
        <f t="shared" si="3"/>
        <v>0.8888888889</v>
      </c>
      <c r="U206" s="53">
        <f t="shared" si="4"/>
        <v>3</v>
      </c>
      <c r="V206" s="54">
        <f t="shared" si="5"/>
        <v>3</v>
      </c>
    </row>
    <row r="207" ht="15.75" customHeight="1">
      <c r="A207" s="55" t="str">
        <f>SiteAttendu!$A207</f>
        <v>C5015</v>
      </c>
      <c r="B207" s="56" t="str">
        <f>VLOOKUP($A207,SiteAttendu!$A$2:$C$366,2,0)</f>
        <v>HOPITAL GENERAL BANGOLO</v>
      </c>
      <c r="C207" s="57" t="str">
        <f>VLOOKUP($A207,SiteAttendu!$A$2:$C$366,3,0)</f>
        <v>GUEMON</v>
      </c>
      <c r="D207" s="58">
        <f>IF(VLOOKUP(A207,SiteAttendu!$A$2:$P$366,4,0)="NA","NA",COUNTIFS(soccode,A207,socprog,"PNLS/ANTIRETROVIRAUX ET IO",socprompt,1))</f>
        <v>1</v>
      </c>
      <c r="E207" s="58">
        <f>IF(VLOOKUP($A207,SiteAttendu!$A$2:$O$366,5,0)="NA","NA",COUNTIFS(soccode,A207,socprog,"PNLS/TESTS RAPIDES ET CONSOMMABLES",socprompt,1))</f>
        <v>1</v>
      </c>
      <c r="F207" s="58">
        <f>IF(VLOOKUP($A207,SiteAttendu!$A$2:$O$366,6,0)="NA","NA",COUNTIFS(soccode,A207,socprog,"PNLS/PRODUITS DE LABORATOIRE",socprompt,1))</f>
        <v>1</v>
      </c>
      <c r="G207" s="58">
        <f>IF(VLOOKUP($A207,SiteAttendu!$A$2:$O$366,7,0)="NA","NA",COUNTIFS(soccode,A207,socprog,"PNLS/CHARGES VIRALES",socprompt,1))</f>
        <v>1</v>
      </c>
      <c r="H207" s="58">
        <f>IF(VLOOKUP($A207,SiteAttendu!$A$2:$O$366,9,0)="NA","NA",COUNTIFS(soccode,A207,socprog,"PNLP/MEDICAMENTS ET INTRANTS",socprompt,1))</f>
        <v>1</v>
      </c>
      <c r="I207" s="58">
        <f>IF(VLOOKUP($A207,SiteAttendu!$A$2:$O$366,10,0)="NA","NA",COUNTIFS(soccode,$A207,socprog,"PNSME/MEDICAMENTS ET INTRANTS",socprompt,1))</f>
        <v>1</v>
      </c>
      <c r="J207" s="58">
        <f>IF(VLOOKUP($A207,SiteAttendu!$A$2:$O$366,11,0)="NA","NA",COUNTIFS(soccode,$A207,socprog,"PNN/MEDICAMENTS ET INTRANTS",socprompt,1))</f>
        <v>1</v>
      </c>
      <c r="K207" s="58">
        <f>IF(VLOOKUP($A207,SiteAttendu!$A$2:$O$366,15,0)="NA","NA",IF(COUNTIF(socprog,"PNLT/SENSIBLE MEDICAMENTS ET INTRANTS")=0,"NA",COUNTIFS(soccode,$A207,socprog,"PNLT/SENSIBLE MEDICAMENTS ET INTRANTS",socprompt,1)))</f>
        <v>1</v>
      </c>
      <c r="L207" s="60"/>
      <c r="M207" s="85">
        <f t="shared" ref="M207:S207" si="209">IFERROR(SUMIFS(E$2:E$364,$C$2:$C$364,$C207)/COUNTIFS(E$2:E$364,"&lt;&gt;NA",$C$2:$C$364,$C207),"")</f>
        <v>0.8333333333</v>
      </c>
      <c r="N207" s="85">
        <f t="shared" si="209"/>
        <v>1</v>
      </c>
      <c r="O207" s="85">
        <f t="shared" si="209"/>
        <v>1</v>
      </c>
      <c r="P207" s="85">
        <f t="shared" si="209"/>
        <v>1</v>
      </c>
      <c r="Q207" s="85">
        <f t="shared" si="209"/>
        <v>1</v>
      </c>
      <c r="R207" s="85">
        <f t="shared" si="209"/>
        <v>0.8333333333</v>
      </c>
      <c r="S207" s="85">
        <f t="shared" si="209"/>
        <v>0.8</v>
      </c>
      <c r="T207" s="127">
        <f t="shared" si="3"/>
        <v>0.8888888889</v>
      </c>
      <c r="U207" s="53">
        <f t="shared" si="4"/>
        <v>4</v>
      </c>
      <c r="V207" s="54">
        <f t="shared" si="5"/>
        <v>4</v>
      </c>
    </row>
    <row r="208" ht="15.75" customHeight="1">
      <c r="A208" s="55" t="str">
        <f>SiteAttendu!$A208</f>
        <v>C5010</v>
      </c>
      <c r="B208" s="56" t="str">
        <f>VLOOKUP($A208,SiteAttendu!$A$2:$C$366,2,0)</f>
        <v>DISTRICT SANITAIRE  DUEKOUE</v>
      </c>
      <c r="C208" s="57" t="str">
        <f>VLOOKUP($A208,SiteAttendu!$A$2:$C$366,3,0)</f>
        <v>GUEMON</v>
      </c>
      <c r="D208" s="58">
        <f>IF(VLOOKUP(A208,SiteAttendu!$A$2:$P$366,4,0)="NA","NA",COUNTIFS(soccode,A208,socprog,"PNLS/ANTIRETROVIRAUX ET IO",socprompt,1))</f>
        <v>0</v>
      </c>
      <c r="E208" s="58">
        <f>IF(VLOOKUP($A208,SiteAttendu!$A$2:$O$366,5,0)="NA","NA",COUNTIFS(soccode,A208,socprog,"PNLS/TESTS RAPIDES ET CONSOMMABLES",socprompt,1))</f>
        <v>0</v>
      </c>
      <c r="F208" s="58" t="str">
        <f>IF(VLOOKUP($A208,SiteAttendu!$A$2:$O$366,6,0)="NA","NA",COUNTIFS(soccode,A208,socprog,"PNLS/PRODUITS DE LABORATOIRE",socprompt,1))</f>
        <v>NA</v>
      </c>
      <c r="G208" s="58" t="str">
        <f>IF(VLOOKUP($A208,SiteAttendu!$A$2:$O$366,7,0)="NA","NA",COUNTIFS(soccode,A208,socprog,"PNLS/CHARGES VIRALES",socprompt,1))</f>
        <v>NA</v>
      </c>
      <c r="H208" s="58">
        <f>IF(VLOOKUP($A208,SiteAttendu!$A$2:$O$366,9,0)="NA","NA",COUNTIFS(soccode,A208,socprog,"PNLP/MEDICAMENTS ET INTRANTS",socprompt,1))</f>
        <v>1</v>
      </c>
      <c r="I208" s="58">
        <f>IF(VLOOKUP($A208,SiteAttendu!$A$2:$O$366,10,0)="NA","NA",COUNTIFS(soccode,$A208,socprog,"PNSME/MEDICAMENTS ET INTRANTS",socprompt,1))</f>
        <v>1</v>
      </c>
      <c r="J208" s="58">
        <f>IF(VLOOKUP($A208,SiteAttendu!$A$2:$O$366,11,0)="NA","NA",COUNTIFS(soccode,$A208,socprog,"PNN/MEDICAMENTS ET INTRANTS",socprompt,1))</f>
        <v>0</v>
      </c>
      <c r="K208" s="58">
        <f>IF(VLOOKUP($A208,SiteAttendu!$A$2:$O$366,15,0)="NA","NA",IF(COUNTIF(socprog,"PNLT/SENSIBLE MEDICAMENTS ET INTRANTS")=0,"NA",COUNTIFS(soccode,$A208,socprog,"PNLT/SENSIBLE MEDICAMENTS ET INTRANTS",socprompt,1)))</f>
        <v>1</v>
      </c>
      <c r="L208" s="60"/>
      <c r="M208" s="85">
        <f t="shared" ref="M208:S208" si="210">IFERROR(SUMIFS(E$2:E$364,$C$2:$C$364,$C208)/COUNTIFS(E$2:E$364,"&lt;&gt;NA",$C$2:$C$364,$C208),"")</f>
        <v>0.8333333333</v>
      </c>
      <c r="N208" s="85">
        <f t="shared" si="210"/>
        <v>1</v>
      </c>
      <c r="O208" s="85">
        <f t="shared" si="210"/>
        <v>1</v>
      </c>
      <c r="P208" s="85">
        <f t="shared" si="210"/>
        <v>1</v>
      </c>
      <c r="Q208" s="85">
        <f t="shared" si="210"/>
        <v>1</v>
      </c>
      <c r="R208" s="85">
        <f t="shared" si="210"/>
        <v>0.8333333333</v>
      </c>
      <c r="S208" s="85">
        <f t="shared" si="210"/>
        <v>0.8</v>
      </c>
      <c r="T208" s="127">
        <f t="shared" si="3"/>
        <v>0.8888888889</v>
      </c>
      <c r="U208" s="53">
        <f t="shared" si="4"/>
        <v>0</v>
      </c>
      <c r="V208" s="54">
        <f t="shared" si="5"/>
        <v>2</v>
      </c>
    </row>
    <row r="209" ht="15.75" customHeight="1">
      <c r="A209" s="55" t="str">
        <f>SiteAttendu!$A209</f>
        <v>C5019</v>
      </c>
      <c r="B209" s="56" t="str">
        <f>VLOOKUP($A209,SiteAttendu!$A$2:$C$366,2,0)</f>
        <v>HOPITAL GENERAL DUEKOUE</v>
      </c>
      <c r="C209" s="57" t="str">
        <f>VLOOKUP($A209,SiteAttendu!$A$2:$C$366,3,0)</f>
        <v>GUEMON</v>
      </c>
      <c r="D209" s="58">
        <f>IF(VLOOKUP(A209,SiteAttendu!$A$2:$P$366,4,0)="NA","NA",COUNTIFS(soccode,A209,socprog,"PNLS/ANTIRETROVIRAUX ET IO",socprompt,1))</f>
        <v>1</v>
      </c>
      <c r="E209" s="58">
        <f>IF(VLOOKUP($A209,SiteAttendu!$A$2:$O$366,5,0)="NA","NA",COUNTIFS(soccode,A209,socprog,"PNLS/TESTS RAPIDES ET CONSOMMABLES",socprompt,1))</f>
        <v>1</v>
      </c>
      <c r="F209" s="58">
        <f>IF(VLOOKUP($A209,SiteAttendu!$A$2:$O$366,6,0)="NA","NA",COUNTIFS(soccode,A209,socprog,"PNLS/PRODUITS DE LABORATOIRE",socprompt,1))</f>
        <v>1</v>
      </c>
      <c r="G209" s="58">
        <f>IF(VLOOKUP($A209,SiteAttendu!$A$2:$O$366,7,0)="NA","NA",COUNTIFS(soccode,A209,socprog,"PNLS/CHARGES VIRALES",socprompt,1))</f>
        <v>1</v>
      </c>
      <c r="H209" s="58">
        <f>IF(VLOOKUP($A209,SiteAttendu!$A$2:$O$366,9,0)="NA","NA",COUNTIFS(soccode,A209,socprog,"PNLP/MEDICAMENTS ET INTRANTS",socprompt,1))</f>
        <v>1</v>
      </c>
      <c r="I209" s="58">
        <f>IF(VLOOKUP($A209,SiteAttendu!$A$2:$O$366,10,0)="NA","NA",COUNTIFS(soccode,$A209,socprog,"PNSME/MEDICAMENTS ET INTRANTS",socprompt,1))</f>
        <v>1</v>
      </c>
      <c r="J209" s="58">
        <f>IF(VLOOKUP($A209,SiteAttendu!$A$2:$O$366,11,0)="NA","NA",COUNTIFS(soccode,$A209,socprog,"PNN/MEDICAMENTS ET INTRANTS",socprompt,1))</f>
        <v>1</v>
      </c>
      <c r="K209" s="58">
        <f>IF(VLOOKUP($A209,SiteAttendu!$A$2:$O$366,15,0)="NA","NA",IF(COUNTIF(socprog,"PNLT/SENSIBLE MEDICAMENTS ET INTRANTS")=0,"NA",COUNTIFS(soccode,$A209,socprog,"PNLT/SENSIBLE MEDICAMENTS ET INTRANTS",socprompt,1)))</f>
        <v>0</v>
      </c>
      <c r="L209" s="60"/>
      <c r="M209" s="85">
        <f t="shared" ref="M209:S209" si="211">IFERROR(SUMIFS(E$2:E$364,$C$2:$C$364,$C209)/COUNTIFS(E$2:E$364,"&lt;&gt;NA",$C$2:$C$364,$C209),"")</f>
        <v>0.8333333333</v>
      </c>
      <c r="N209" s="85">
        <f t="shared" si="211"/>
        <v>1</v>
      </c>
      <c r="O209" s="85">
        <f t="shared" si="211"/>
        <v>1</v>
      </c>
      <c r="P209" s="85">
        <f t="shared" si="211"/>
        <v>1</v>
      </c>
      <c r="Q209" s="85">
        <f t="shared" si="211"/>
        <v>1</v>
      </c>
      <c r="R209" s="85">
        <f t="shared" si="211"/>
        <v>0.8333333333</v>
      </c>
      <c r="S209" s="85">
        <f t="shared" si="211"/>
        <v>0.8</v>
      </c>
      <c r="T209" s="127">
        <f t="shared" si="3"/>
        <v>0.8888888889</v>
      </c>
      <c r="U209" s="53">
        <f t="shared" si="4"/>
        <v>4</v>
      </c>
      <c r="V209" s="54">
        <f t="shared" si="5"/>
        <v>4</v>
      </c>
    </row>
    <row r="210" ht="15.75" customHeight="1">
      <c r="A210" s="55" t="str">
        <f>SiteAttendu!$A210</f>
        <v>C5020</v>
      </c>
      <c r="B210" s="56" t="str">
        <f>VLOOKUP($A210,SiteAttendu!$A$2:$C$366,2,0)</f>
        <v>HOPITAL GENERAL KOUIBLY</v>
      </c>
      <c r="C210" s="57" t="str">
        <f>VLOOKUP($A210,SiteAttendu!$A$2:$C$366,3,0)</f>
        <v>GUEMON</v>
      </c>
      <c r="D210" s="58">
        <f>IF(VLOOKUP(A210,SiteAttendu!$A$2:$P$366,4,0)="NA","NA",COUNTIFS(soccode,A210,socprog,"PNLS/ANTIRETROVIRAUX ET IO",socprompt,1))</f>
        <v>1</v>
      </c>
      <c r="E210" s="58">
        <f>IF(VLOOKUP($A210,SiteAttendu!$A$2:$O$366,5,0)="NA","NA",COUNTIFS(soccode,A210,socprog,"PNLS/TESTS RAPIDES ET CONSOMMABLES",socprompt,1))</f>
        <v>1</v>
      </c>
      <c r="F210" s="58">
        <f>IF(VLOOKUP($A210,SiteAttendu!$A$2:$O$366,6,0)="NA","NA",COUNTIFS(soccode,A210,socprog,"PNLS/PRODUITS DE LABORATOIRE",socprompt,1))</f>
        <v>1</v>
      </c>
      <c r="G210" s="58" t="str">
        <f>IF(VLOOKUP($A210,SiteAttendu!$A$2:$O$366,7,0)="NA","NA",COUNTIFS(soccode,A210,socprog,"PNLS/CHARGES VIRALES",socprompt,1))</f>
        <v>NA</v>
      </c>
      <c r="H210" s="58">
        <f>IF(VLOOKUP($A210,SiteAttendu!$A$2:$O$366,9,0)="NA","NA",COUNTIFS(soccode,A210,socprog,"PNLP/MEDICAMENTS ET INTRANTS",socprompt,1))</f>
        <v>1</v>
      </c>
      <c r="I210" s="58">
        <f>IF(VLOOKUP($A210,SiteAttendu!$A$2:$O$366,10,0)="NA","NA",COUNTIFS(soccode,$A210,socprog,"PNSME/MEDICAMENTS ET INTRANTS",socprompt,1))</f>
        <v>1</v>
      </c>
      <c r="J210" s="58">
        <f>IF(VLOOKUP($A210,SiteAttendu!$A$2:$O$366,11,0)="NA","NA",COUNTIFS(soccode,$A210,socprog,"PNN/MEDICAMENTS ET INTRANTS",socprompt,1))</f>
        <v>1</v>
      </c>
      <c r="K210" s="58">
        <f>IF(VLOOKUP($A210,SiteAttendu!$A$2:$O$366,15,0)="NA","NA",IF(COUNTIF(socprog,"PNLT/SENSIBLE MEDICAMENTS ET INTRANTS")=0,"NA",COUNTIFS(soccode,$A210,socprog,"PNLT/SENSIBLE MEDICAMENTS ET INTRANTS",socprompt,1)))</f>
        <v>1</v>
      </c>
      <c r="L210" s="60"/>
      <c r="M210" s="85">
        <f t="shared" ref="M210:S210" si="212">IFERROR(SUMIFS(E$2:E$364,$C$2:$C$364,$C210)/COUNTIFS(E$2:E$364,"&lt;&gt;NA",$C$2:$C$364,$C210),"")</f>
        <v>0.8333333333</v>
      </c>
      <c r="N210" s="85">
        <f t="shared" si="212"/>
        <v>1</v>
      </c>
      <c r="O210" s="85">
        <f t="shared" si="212"/>
        <v>1</v>
      </c>
      <c r="P210" s="85">
        <f t="shared" si="212"/>
        <v>1</v>
      </c>
      <c r="Q210" s="85">
        <f t="shared" si="212"/>
        <v>1</v>
      </c>
      <c r="R210" s="85">
        <f t="shared" si="212"/>
        <v>0.8333333333</v>
      </c>
      <c r="S210" s="85">
        <f t="shared" si="212"/>
        <v>0.8</v>
      </c>
      <c r="T210" s="127">
        <f t="shared" si="3"/>
        <v>0.8888888889</v>
      </c>
      <c r="U210" s="53">
        <f t="shared" si="4"/>
        <v>3</v>
      </c>
      <c r="V210" s="54">
        <f t="shared" si="5"/>
        <v>3</v>
      </c>
    </row>
    <row r="211" ht="15.75" customHeight="1">
      <c r="A211" s="62" t="str">
        <f>SiteAttendu!$A211</f>
        <v>C5035</v>
      </c>
      <c r="B211" s="63" t="str">
        <f>VLOOKUP($A211,SiteAttendu!$A$2:$C$366,2,0)</f>
        <v>DISTRICT SANITAIRE KOUIBLY</v>
      </c>
      <c r="C211" s="64" t="str">
        <f>VLOOKUP($A211,SiteAttendu!$A$2:$C$366,3,0)</f>
        <v>GUEMON</v>
      </c>
      <c r="D211" s="65">
        <f>IF(VLOOKUP(A211,SiteAttendu!$A$2:$P$366,4,0)="NA","NA",COUNTIFS(soccode,A211,socprog,"PNLS/ANTIRETROVIRAUX ET IO",socprompt,1))</f>
        <v>1</v>
      </c>
      <c r="E211" s="65">
        <f>IF(VLOOKUP($A211,SiteAttendu!$A$2:$O$366,5,0)="NA","NA",COUNTIFS(soccode,A211,socprog,"PNLS/TESTS RAPIDES ET CONSOMMABLES",socprompt,1))</f>
        <v>1</v>
      </c>
      <c r="F211" s="65" t="str">
        <f>IF(VLOOKUP($A211,SiteAttendu!$A$2:$O$366,6,0)="NA","NA",COUNTIFS(soccode,A211,socprog,"PNLS/PRODUITS DE LABORATOIRE",socprompt,1))</f>
        <v>NA</v>
      </c>
      <c r="G211" s="65" t="str">
        <f>IF(VLOOKUP($A211,SiteAttendu!$A$2:$O$366,7,0)="NA","NA",COUNTIFS(soccode,A211,socprog,"PNLS/CHARGES VIRALES",socprompt,1))</f>
        <v>NA</v>
      </c>
      <c r="H211" s="65">
        <f>IF(VLOOKUP($A211,SiteAttendu!$A$2:$O$366,9,0)="NA","NA",COUNTIFS(soccode,A211,socprog,"PNLP/MEDICAMENTS ET INTRANTS",socprompt,1))</f>
        <v>1</v>
      </c>
      <c r="I211" s="65">
        <f>IF(VLOOKUP($A211,SiteAttendu!$A$2:$O$366,10,0)="NA","NA",COUNTIFS(soccode,$A211,socprog,"PNSME/MEDICAMENTS ET INTRANTS",socprompt,1))</f>
        <v>1</v>
      </c>
      <c r="J211" s="65">
        <f>IF(VLOOKUP($A211,SiteAttendu!$A$2:$O$366,11,0)="NA","NA",COUNTIFS(soccode,$A211,socprog,"PNN/MEDICAMENTS ET INTRANTS",socprompt,1))</f>
        <v>1</v>
      </c>
      <c r="K211" s="65">
        <f>IF(VLOOKUP($A211,SiteAttendu!$A$2:$O$366,15,0)="NA","NA",IF(COUNTIF(socprog,"PNLT/SENSIBLE MEDICAMENTS ET INTRANTS")=0,"NA",COUNTIFS(soccode,$A211,socprog,"PNLT/SENSIBLE MEDICAMENTS ET INTRANTS",socprompt,1)))</f>
        <v>1</v>
      </c>
      <c r="L211" s="67"/>
      <c r="M211" s="86">
        <f t="shared" ref="M211:S211" si="213">IFERROR(SUMIFS(E$2:E$364,$C$2:$C$364,$C211)/COUNTIFS(E$2:E$364,"&lt;&gt;NA",$C$2:$C$364,$C211),"")</f>
        <v>0.8333333333</v>
      </c>
      <c r="N211" s="86">
        <f t="shared" si="213"/>
        <v>1</v>
      </c>
      <c r="O211" s="86">
        <f t="shared" si="213"/>
        <v>1</v>
      </c>
      <c r="P211" s="86">
        <f t="shared" si="213"/>
        <v>1</v>
      </c>
      <c r="Q211" s="86">
        <f t="shared" si="213"/>
        <v>1</v>
      </c>
      <c r="R211" s="86">
        <f t="shared" si="213"/>
        <v>0.8333333333</v>
      </c>
      <c r="S211" s="86">
        <f t="shared" si="213"/>
        <v>0.8</v>
      </c>
      <c r="T211" s="128">
        <f t="shared" si="3"/>
        <v>0.8888888889</v>
      </c>
      <c r="U211" s="53">
        <f t="shared" si="4"/>
        <v>2</v>
      </c>
      <c r="V211" s="54">
        <f t="shared" si="5"/>
        <v>2</v>
      </c>
    </row>
    <row r="212" ht="15.75" customHeight="1">
      <c r="A212" s="46" t="str">
        <f>SiteAttendu!$A212</f>
        <v>C3003</v>
      </c>
      <c r="B212" s="47" t="str">
        <f>VLOOKUP($A212,SiteAttendu!$A$2:$C$366,2,0)</f>
        <v>DISTRICT SANITAIRE DABAKALA</v>
      </c>
      <c r="C212" s="48" t="str">
        <f>VLOOKUP($A212,SiteAttendu!$A$2:$C$366,3,0)</f>
        <v>HAMBOL</v>
      </c>
      <c r="D212" s="49">
        <f>IF(VLOOKUP(A212,SiteAttendu!$A$2:$P$366,4,0)="NA","NA",COUNTIFS(soccode,A212,socprog,"PNLS/ANTIRETROVIRAUX ET IO",socprompt,1))</f>
        <v>1</v>
      </c>
      <c r="E212" s="49">
        <f>IF(VLOOKUP($A212,SiteAttendu!$A$2:$O$366,5,0)="NA","NA",COUNTIFS(soccode,A212,socprog,"PNLS/TESTS RAPIDES ET CONSOMMABLES",socprompt,1))</f>
        <v>1</v>
      </c>
      <c r="F212" s="49">
        <f>IF(VLOOKUP($A212,SiteAttendu!$A$2:$O$366,6,0)="NA","NA",COUNTIFS(soccode,A212,socprog,"PNLS/PRODUITS DE LABORATOIRE",socprompt,1))</f>
        <v>1</v>
      </c>
      <c r="G212" s="49" t="str">
        <f>IF(VLOOKUP($A212,SiteAttendu!$A$2:$O$366,7,0)="NA","NA",COUNTIFS(soccode,A212,socprog,"PNLS/CHARGES VIRALES",socprompt,1))</f>
        <v>NA</v>
      </c>
      <c r="H212" s="49">
        <f>IF(VLOOKUP($A212,SiteAttendu!$A$2:$O$366,9,0)="NA","NA",COUNTIFS(soccode,A212,socprog,"PNLP/MEDICAMENTS ET INTRANTS",socprompt,1))</f>
        <v>1</v>
      </c>
      <c r="I212" s="49">
        <f>IF(VLOOKUP($A212,SiteAttendu!$A$2:$O$366,10,0)="NA","NA",COUNTIFS(soccode,$A212,socprog,"PNSME/MEDICAMENTS ET INTRANTS",socprompt,1))</f>
        <v>1</v>
      </c>
      <c r="J212" s="49">
        <f>IF(VLOOKUP($A212,SiteAttendu!$A$2:$O$366,11,0)="NA","NA",COUNTIFS(soccode,$A212,socprog,"PNN/MEDICAMENTS ET INTRANTS",socprompt,1))</f>
        <v>1</v>
      </c>
      <c r="K212" s="49">
        <f>IF(VLOOKUP($A212,SiteAttendu!$A$2:$O$366,15,0)="NA","NA",IF(COUNTIF(socprog,"PNLT/SENSIBLE MEDICAMENTS ET INTRANTS")=0,"NA",COUNTIFS(soccode,$A212,socprog,"PNLT/SENSIBLE MEDICAMENTS ET INTRANTS",socprompt,1)))</f>
        <v>1</v>
      </c>
      <c r="L212" s="51">
        <f t="shared" ref="L212:S212" si="214">IFERROR(SUMIFS(D$2:D$364,$C$2:$C$364,$C212)/COUNTIFS(D$2:D$364,"&lt;&gt;NA",$C$2:$C$364,$C212),"")</f>
        <v>1</v>
      </c>
      <c r="M212" s="125">
        <f t="shared" si="214"/>
        <v>1</v>
      </c>
      <c r="N212" s="125">
        <f t="shared" si="214"/>
        <v>1</v>
      </c>
      <c r="O212" s="125">
        <f t="shared" si="214"/>
        <v>1</v>
      </c>
      <c r="P212" s="125">
        <f t="shared" si="214"/>
        <v>1</v>
      </c>
      <c r="Q212" s="125">
        <f t="shared" si="214"/>
        <v>0.8571428571</v>
      </c>
      <c r="R212" s="125">
        <f t="shared" si="214"/>
        <v>1</v>
      </c>
      <c r="S212" s="125">
        <f t="shared" si="214"/>
        <v>1</v>
      </c>
      <c r="T212" s="126">
        <f t="shared" si="3"/>
        <v>1</v>
      </c>
      <c r="U212" s="53">
        <f t="shared" si="4"/>
        <v>3</v>
      </c>
      <c r="V212" s="54">
        <f t="shared" si="5"/>
        <v>3</v>
      </c>
    </row>
    <row r="213" ht="16.5" customHeight="1">
      <c r="A213" s="55" t="str">
        <f>SiteAttendu!$A213</f>
        <v>C3011</v>
      </c>
      <c r="B213" s="56" t="str">
        <f>VLOOKUP($A213,SiteAttendu!$A$2:$C$366,2,0)</f>
        <v>HOPITAL GENERAL DABAKALA</v>
      </c>
      <c r="C213" s="57" t="str">
        <f>VLOOKUP($A213,SiteAttendu!$A$2:$C$366,3,0)</f>
        <v>HAMBOL</v>
      </c>
      <c r="D213" s="58">
        <f>IF(VLOOKUP(A213,SiteAttendu!$A$2:$P$366,4,0)="NA","NA",COUNTIFS(soccode,A213,socprog,"PNLS/ANTIRETROVIRAUX ET IO",socprompt,1))</f>
        <v>1</v>
      </c>
      <c r="E213" s="58">
        <f>IF(VLOOKUP($A213,SiteAttendu!$A$2:$O$366,5,0)="NA","NA",COUNTIFS(soccode,A213,socprog,"PNLS/TESTS RAPIDES ET CONSOMMABLES",socprompt,1))</f>
        <v>1</v>
      </c>
      <c r="F213" s="58">
        <f>IF(VLOOKUP($A213,SiteAttendu!$A$2:$O$366,6,0)="NA","NA",COUNTIFS(soccode,A213,socprog,"PNLS/PRODUITS DE LABORATOIRE",socprompt,1))</f>
        <v>1</v>
      </c>
      <c r="G213" s="58" t="str">
        <f>IF(VLOOKUP($A213,SiteAttendu!$A$2:$O$366,7,0)="NA","NA",COUNTIFS(soccode,A213,socprog,"PNLS/CHARGES VIRALES",socprompt,1))</f>
        <v>NA</v>
      </c>
      <c r="H213" s="58">
        <f>IF(VLOOKUP($A213,SiteAttendu!$A$2:$O$366,9,0)="NA","NA",COUNTIFS(soccode,A213,socprog,"PNLP/MEDICAMENTS ET INTRANTS",socprompt,1))</f>
        <v>1</v>
      </c>
      <c r="I213" s="58">
        <f>IF(VLOOKUP($A213,SiteAttendu!$A$2:$O$366,10,0)="NA","NA",COUNTIFS(soccode,$A213,socprog,"PNSME/MEDICAMENTS ET INTRANTS",socprompt,1))</f>
        <v>1</v>
      </c>
      <c r="J213" s="58">
        <f>IF(VLOOKUP($A213,SiteAttendu!$A$2:$O$366,11,0)="NA","NA",COUNTIFS(soccode,$A213,socprog,"PNN/MEDICAMENTS ET INTRANTS",socprompt,1))</f>
        <v>1</v>
      </c>
      <c r="K213" s="58" t="str">
        <f>IF(VLOOKUP($A213,SiteAttendu!$A$2:$O$366,15,0)="NA","NA",IF(COUNTIF(socprog,"PNLT/SENSIBLE MEDICAMENTS ET INTRANTS")=0,"NA",COUNTIFS(soccode,$A213,socprog,"PNLT/SENSIBLE MEDICAMENTS ET INTRANTS",socprompt,1)))</f>
        <v>NA</v>
      </c>
      <c r="L213" s="60"/>
      <c r="M213" s="85">
        <f t="shared" ref="M213:S213" si="215">IFERROR(SUMIFS(E$2:E$364,$C$2:$C$364,$C213)/COUNTIFS(E$2:E$364,"&lt;&gt;NA",$C$2:$C$364,$C213),"")</f>
        <v>1</v>
      </c>
      <c r="N213" s="85">
        <f t="shared" si="215"/>
        <v>1</v>
      </c>
      <c r="O213" s="85">
        <f t="shared" si="215"/>
        <v>1</v>
      </c>
      <c r="P213" s="85">
        <f t="shared" si="215"/>
        <v>1</v>
      </c>
      <c r="Q213" s="85">
        <f t="shared" si="215"/>
        <v>0.8571428571</v>
      </c>
      <c r="R213" s="85">
        <f t="shared" si="215"/>
        <v>1</v>
      </c>
      <c r="S213" s="85">
        <f t="shared" si="215"/>
        <v>1</v>
      </c>
      <c r="T213" s="127">
        <f t="shared" si="3"/>
        <v>1</v>
      </c>
      <c r="U213" s="53">
        <f t="shared" si="4"/>
        <v>3</v>
      </c>
      <c r="V213" s="54">
        <f t="shared" si="5"/>
        <v>3</v>
      </c>
    </row>
    <row r="214" ht="15.75" customHeight="1">
      <c r="A214" s="55" t="str">
        <f>SiteAttendu!$A214</f>
        <v>C3005</v>
      </c>
      <c r="B214" s="56" t="str">
        <f>VLOOKUP($A214,SiteAttendu!$A$2:$C$366,2,0)</f>
        <v>DISTRICT SANITAIRE KATIOLA</v>
      </c>
      <c r="C214" s="57" t="str">
        <f>VLOOKUP($A214,SiteAttendu!$A$2:$C$366,3,0)</f>
        <v>HAMBOL</v>
      </c>
      <c r="D214" s="58">
        <f>IF(VLOOKUP(A214,SiteAttendu!$A$2:$P$366,4,0)="NA","NA",COUNTIFS(soccode,A214,socprog,"PNLS/ANTIRETROVIRAUX ET IO",socprompt,1))</f>
        <v>1</v>
      </c>
      <c r="E214" s="58">
        <f>IF(VLOOKUP($A214,SiteAttendu!$A$2:$O$366,5,0)="NA","NA",COUNTIFS(soccode,A214,socprog,"PNLS/TESTS RAPIDES ET CONSOMMABLES",socprompt,1))</f>
        <v>1</v>
      </c>
      <c r="F214" s="58" t="str">
        <f>IF(VLOOKUP($A214,SiteAttendu!$A$2:$O$366,6,0)="NA","NA",COUNTIFS(soccode,A214,socprog,"PNLS/PRODUITS DE LABORATOIRE",socprompt,1))</f>
        <v>NA</v>
      </c>
      <c r="G214" s="58" t="str">
        <f>IF(VLOOKUP($A214,SiteAttendu!$A$2:$O$366,7,0)="NA","NA",COUNTIFS(soccode,A214,socprog,"PNLS/CHARGES VIRALES",socprompt,1))</f>
        <v>NA</v>
      </c>
      <c r="H214" s="58">
        <f>IF(VLOOKUP($A214,SiteAttendu!$A$2:$O$366,9,0)="NA","NA",COUNTIFS(soccode,A214,socprog,"PNLP/MEDICAMENTS ET INTRANTS",socprompt,1))</f>
        <v>1</v>
      </c>
      <c r="I214" s="58">
        <f>IF(VLOOKUP($A214,SiteAttendu!$A$2:$O$366,10,0)="NA","NA",COUNTIFS(soccode,$A214,socprog,"PNSME/MEDICAMENTS ET INTRANTS",socprompt,1))</f>
        <v>1</v>
      </c>
      <c r="J214" s="58" t="str">
        <f>IF(VLOOKUP($A214,SiteAttendu!$A$2:$O$366,11,0)="NA","NA",COUNTIFS(soccode,$A214,socprog,"PNN/MEDICAMENTS ET INTRANTS",socprompt,1))</f>
        <v>NA</v>
      </c>
      <c r="K214" s="58" t="str">
        <f>IF(VLOOKUP($A214,SiteAttendu!$A$2:$O$366,15,0)="NA","NA",IF(COUNTIF(socprog,"PNLT/SENSIBLE MEDICAMENTS ET INTRANTS")=0,"NA",COUNTIFS(soccode,$A214,socprog,"PNLT/SENSIBLE MEDICAMENTS ET INTRANTS",socprompt,1)))</f>
        <v>NA</v>
      </c>
      <c r="L214" s="60"/>
      <c r="M214" s="85">
        <f t="shared" ref="M214:S214" si="216">IFERROR(SUMIFS(E$2:E$364,$C$2:$C$364,$C214)/COUNTIFS(E$2:E$364,"&lt;&gt;NA",$C$2:$C$364,$C214),"")</f>
        <v>1</v>
      </c>
      <c r="N214" s="85">
        <f t="shared" si="216"/>
        <v>1</v>
      </c>
      <c r="O214" s="85">
        <f t="shared" si="216"/>
        <v>1</v>
      </c>
      <c r="P214" s="85">
        <f t="shared" si="216"/>
        <v>1</v>
      </c>
      <c r="Q214" s="85">
        <f t="shared" si="216"/>
        <v>0.8571428571</v>
      </c>
      <c r="R214" s="85">
        <f t="shared" si="216"/>
        <v>1</v>
      </c>
      <c r="S214" s="85">
        <f t="shared" si="216"/>
        <v>1</v>
      </c>
      <c r="T214" s="127">
        <f t="shared" si="3"/>
        <v>1</v>
      </c>
      <c r="U214" s="53">
        <f t="shared" si="4"/>
        <v>2</v>
      </c>
      <c r="V214" s="54">
        <f t="shared" si="5"/>
        <v>2</v>
      </c>
    </row>
    <row r="215" ht="15.75" customHeight="1">
      <c r="A215" s="55" t="str">
        <f>SiteAttendu!$A215</f>
        <v>C3013</v>
      </c>
      <c r="B215" s="56" t="str">
        <f>VLOOKUP($A215,SiteAttendu!$A$2:$C$366,2,0)</f>
        <v>CHR KATIOLA</v>
      </c>
      <c r="C215" s="57" t="str">
        <f>VLOOKUP($A215,SiteAttendu!$A$2:$C$366,3,0)</f>
        <v>HAMBOL</v>
      </c>
      <c r="D215" s="58">
        <f>IF(VLOOKUP(A215,SiteAttendu!$A$2:$P$366,4,0)="NA","NA",COUNTIFS(soccode,A215,socprog,"PNLS/ANTIRETROVIRAUX ET IO",socprompt,1))</f>
        <v>1</v>
      </c>
      <c r="E215" s="58">
        <f>IF(VLOOKUP($A215,SiteAttendu!$A$2:$O$366,5,0)="NA","NA",COUNTIFS(soccode,A215,socprog,"PNLS/TESTS RAPIDES ET CONSOMMABLES",socprompt,1))</f>
        <v>1</v>
      </c>
      <c r="F215" s="58">
        <f>IF(VLOOKUP($A215,SiteAttendu!$A$2:$O$366,6,0)="NA","NA",COUNTIFS(soccode,A215,socprog,"PNLS/PRODUITS DE LABORATOIRE",socprompt,1))</f>
        <v>1</v>
      </c>
      <c r="G215" s="58">
        <f>IF(VLOOKUP($A215,SiteAttendu!$A$2:$O$366,7,0)="NA","NA",COUNTIFS(soccode,A215,socprog,"PNLS/CHARGES VIRALES",socprompt,1))</f>
        <v>1</v>
      </c>
      <c r="H215" s="58">
        <f>IF(VLOOKUP($A215,SiteAttendu!$A$2:$O$366,9,0)="NA","NA",COUNTIFS(soccode,A215,socprog,"PNLP/MEDICAMENTS ET INTRANTS",socprompt,1))</f>
        <v>1</v>
      </c>
      <c r="I215" s="58">
        <f>IF(VLOOKUP($A215,SiteAttendu!$A$2:$O$366,10,0)="NA","NA",COUNTIFS(soccode,$A215,socprog,"PNSME/MEDICAMENTS ET INTRANTS",socprompt,1))</f>
        <v>1</v>
      </c>
      <c r="J215" s="58" t="str">
        <f>IF(VLOOKUP($A215,SiteAttendu!$A$2:$O$366,11,0)="NA","NA",COUNTIFS(soccode,$A215,socprog,"PNN/MEDICAMENTS ET INTRANTS",socprompt,1))</f>
        <v>NA</v>
      </c>
      <c r="K215" s="58" t="str">
        <f>IF(VLOOKUP($A215,SiteAttendu!$A$2:$O$366,15,0)="NA","NA",IF(COUNTIF(socprog,"PNLT/SENSIBLE MEDICAMENTS ET INTRANTS")=0,"NA",COUNTIFS(soccode,$A215,socprog,"PNLT/SENSIBLE MEDICAMENTS ET INTRANTS",socprompt,1)))</f>
        <v>NA</v>
      </c>
      <c r="L215" s="60"/>
      <c r="M215" s="85">
        <f t="shared" ref="M215:S215" si="217">IFERROR(SUMIFS(E$2:E$364,$C$2:$C$364,$C215)/COUNTIFS(E$2:E$364,"&lt;&gt;NA",$C$2:$C$364,$C215),"")</f>
        <v>1</v>
      </c>
      <c r="N215" s="85">
        <f t="shared" si="217"/>
        <v>1</v>
      </c>
      <c r="O215" s="85">
        <f t="shared" si="217"/>
        <v>1</v>
      </c>
      <c r="P215" s="85">
        <f t="shared" si="217"/>
        <v>1</v>
      </c>
      <c r="Q215" s="85">
        <f t="shared" si="217"/>
        <v>0.8571428571</v>
      </c>
      <c r="R215" s="85">
        <f t="shared" si="217"/>
        <v>1</v>
      </c>
      <c r="S215" s="85">
        <f t="shared" si="217"/>
        <v>1</v>
      </c>
      <c r="T215" s="127">
        <f t="shared" si="3"/>
        <v>1</v>
      </c>
      <c r="U215" s="53">
        <f t="shared" si="4"/>
        <v>4</v>
      </c>
      <c r="V215" s="54">
        <f t="shared" si="5"/>
        <v>4</v>
      </c>
    </row>
    <row r="216" ht="15.75" customHeight="1">
      <c r="A216" s="55" t="str">
        <f>SiteAttendu!$A216</f>
        <v>C3049</v>
      </c>
      <c r="B216" s="56" t="str">
        <f>VLOOKUP($A216,SiteAttendu!$A$2:$C$366,2,0)</f>
        <v>CENTRE ANTITUBERCULEUX KATIOLA</v>
      </c>
      <c r="C216" s="57" t="str">
        <f>VLOOKUP($A216,SiteAttendu!$A$2:$C$366,3,0)</f>
        <v>HAMBOL</v>
      </c>
      <c r="D216" s="58" t="str">
        <f>IF(VLOOKUP(A216,SiteAttendu!$A$2:$P$366,4,0)="NA","NA",COUNTIFS(soccode,A216,socprog,"PNLS/ANTIRETROVIRAUX ET IO",socprompt,1))</f>
        <v>NA</v>
      </c>
      <c r="E216" s="58" t="str">
        <f>IF(VLOOKUP($A216,SiteAttendu!$A$2:$O$366,5,0)="NA","NA",COUNTIFS(soccode,A216,socprog,"PNLS/TESTS RAPIDES ET CONSOMMABLES",socprompt,1))</f>
        <v>NA</v>
      </c>
      <c r="F216" s="58" t="str">
        <f>IF(VLOOKUP($A216,SiteAttendu!$A$2:$O$366,6,0)="NA","NA",COUNTIFS(soccode,A216,socprog,"PNLS/PRODUITS DE LABORATOIRE",socprompt,1))</f>
        <v>NA</v>
      </c>
      <c r="G216" s="58" t="str">
        <f>IF(VLOOKUP($A216,SiteAttendu!$A$2:$O$366,7,0)="NA","NA",COUNTIFS(soccode,A216,socprog,"PNLS/CHARGES VIRALES",socprompt,1))</f>
        <v>NA</v>
      </c>
      <c r="H216" s="58" t="str">
        <f>IF(VLOOKUP($A216,SiteAttendu!$A$2:$O$366,9,0)="NA","NA",COUNTIFS(soccode,A216,socprog,"PNLP/MEDICAMENTS ET INTRANTS",socprompt,1))</f>
        <v>NA</v>
      </c>
      <c r="I216" s="58" t="str">
        <f>IF(VLOOKUP($A216,SiteAttendu!$A$2:$O$366,10,0)="NA","NA",COUNTIFS(soccode,$A216,socprog,"PNSME/MEDICAMENTS ET INTRANTS",socprompt,1))</f>
        <v>NA</v>
      </c>
      <c r="J216" s="58" t="str">
        <f>IF(VLOOKUP($A216,SiteAttendu!$A$2:$O$366,11,0)="NA","NA",COUNTIFS(soccode,$A216,socprog,"PNN/MEDICAMENTS ET INTRANTS",socprompt,1))</f>
        <v>NA</v>
      </c>
      <c r="K216" s="58">
        <f>IF(VLOOKUP($A216,SiteAttendu!$A$2:$O$366,15,0)="NA","NA",IF(COUNTIF(socprog,"PNLT/SENSIBLE MEDICAMENTS ET INTRANTS")=0,"NA",COUNTIFS(soccode,$A216,socprog,"PNLT/SENSIBLE MEDICAMENTS ET INTRANTS",socprompt,1)))</f>
        <v>1</v>
      </c>
      <c r="L216" s="60"/>
      <c r="M216" s="85">
        <f t="shared" ref="M216:S216" si="218">IFERROR(SUMIFS(E$2:E$364,$C$2:$C$364,$C216)/COUNTIFS(E$2:E$364,"&lt;&gt;NA",$C$2:$C$364,$C216),"")</f>
        <v>1</v>
      </c>
      <c r="N216" s="85">
        <f t="shared" si="218"/>
        <v>1</v>
      </c>
      <c r="O216" s="85">
        <f t="shared" si="218"/>
        <v>1</v>
      </c>
      <c r="P216" s="85">
        <f t="shared" si="218"/>
        <v>1</v>
      </c>
      <c r="Q216" s="85">
        <f t="shared" si="218"/>
        <v>0.8571428571</v>
      </c>
      <c r="R216" s="85">
        <f t="shared" si="218"/>
        <v>1</v>
      </c>
      <c r="S216" s="85">
        <f t="shared" si="218"/>
        <v>1</v>
      </c>
      <c r="T216" s="127">
        <f t="shared" si="3"/>
        <v>1</v>
      </c>
      <c r="U216" s="53">
        <f t="shared" si="4"/>
        <v>0</v>
      </c>
      <c r="V216" s="54">
        <f t="shared" si="5"/>
        <v>0</v>
      </c>
    </row>
    <row r="217" ht="15.75" customHeight="1">
      <c r="A217" s="55" t="str">
        <f>SiteAttendu!$A217</f>
        <v>C3019</v>
      </c>
      <c r="B217" s="56" t="str">
        <f>VLOOKUP($A217,SiteAttendu!$A$2:$C$366,2,0)</f>
        <v>HOPITAL GENERAL NIAKARA</v>
      </c>
      <c r="C217" s="57" t="str">
        <f>VLOOKUP($A217,SiteAttendu!$A$2:$C$366,3,0)</f>
        <v>HAMBOL</v>
      </c>
      <c r="D217" s="58">
        <f>IF(VLOOKUP(A217,SiteAttendu!$A$2:$P$366,4,0)="NA","NA",COUNTIFS(soccode,A217,socprog,"PNLS/ANTIRETROVIRAUX ET IO",socprompt,1))</f>
        <v>1</v>
      </c>
      <c r="E217" s="58">
        <f>IF(VLOOKUP($A217,SiteAttendu!$A$2:$O$366,5,0)="NA","NA",COUNTIFS(soccode,A217,socprog,"PNLS/TESTS RAPIDES ET CONSOMMABLES",socprompt,1))</f>
        <v>1</v>
      </c>
      <c r="F217" s="58">
        <f>IF(VLOOKUP($A217,SiteAttendu!$A$2:$O$366,6,0)="NA","NA",COUNTIFS(soccode,A217,socprog,"PNLS/PRODUITS DE LABORATOIRE",socprompt,1))</f>
        <v>1</v>
      </c>
      <c r="G217" s="58" t="str">
        <f>IF(VLOOKUP($A217,SiteAttendu!$A$2:$O$366,7,0)="NA","NA",COUNTIFS(soccode,A217,socprog,"PNLS/CHARGES VIRALES",socprompt,1))</f>
        <v>NA</v>
      </c>
      <c r="H217" s="58">
        <f>IF(VLOOKUP($A217,SiteAttendu!$A$2:$O$366,9,0)="NA","NA",COUNTIFS(soccode,A217,socprog,"PNLP/MEDICAMENTS ET INTRANTS",socprompt,1))</f>
        <v>1</v>
      </c>
      <c r="I217" s="58">
        <f>IF(VLOOKUP($A217,SiteAttendu!$A$2:$O$366,10,0)="NA","NA",COUNTIFS(soccode,$A217,socprog,"PNSME/MEDICAMENTS ET INTRANTS",socprompt,1))</f>
        <v>0</v>
      </c>
      <c r="J217" s="58">
        <f>IF(VLOOKUP($A217,SiteAttendu!$A$2:$O$366,11,0)="NA","NA",COUNTIFS(soccode,$A217,socprog,"PNN/MEDICAMENTS ET INTRANTS",socprompt,1))</f>
        <v>1</v>
      </c>
      <c r="K217" s="58">
        <f>IF(VLOOKUP($A217,SiteAttendu!$A$2:$O$366,15,0)="NA","NA",IF(COUNTIF(socprog,"PNLT/SENSIBLE MEDICAMENTS ET INTRANTS")=0,"NA",COUNTIFS(soccode,$A217,socprog,"PNLT/SENSIBLE MEDICAMENTS ET INTRANTS",socprompt,1)))</f>
        <v>1</v>
      </c>
      <c r="L217" s="60"/>
      <c r="M217" s="85">
        <f t="shared" ref="M217:S217" si="219">IFERROR(SUMIFS(E$2:E$364,$C$2:$C$364,$C217)/COUNTIFS(E$2:E$364,"&lt;&gt;NA",$C$2:$C$364,$C217),"")</f>
        <v>1</v>
      </c>
      <c r="N217" s="85">
        <f t="shared" si="219"/>
        <v>1</v>
      </c>
      <c r="O217" s="85">
        <f t="shared" si="219"/>
        <v>1</v>
      </c>
      <c r="P217" s="85">
        <f t="shared" si="219"/>
        <v>1</v>
      </c>
      <c r="Q217" s="85">
        <f t="shared" si="219"/>
        <v>0.8571428571</v>
      </c>
      <c r="R217" s="85">
        <f t="shared" si="219"/>
        <v>1</v>
      </c>
      <c r="S217" s="85">
        <f t="shared" si="219"/>
        <v>1</v>
      </c>
      <c r="T217" s="127">
        <f t="shared" si="3"/>
        <v>1</v>
      </c>
      <c r="U217" s="53">
        <f t="shared" si="4"/>
        <v>3</v>
      </c>
      <c r="V217" s="54">
        <f t="shared" si="5"/>
        <v>3</v>
      </c>
    </row>
    <row r="218" ht="15.75" customHeight="1">
      <c r="A218" s="55" t="str">
        <f>SiteAttendu!$A218</f>
        <v>C3022</v>
      </c>
      <c r="B218" s="56" t="str">
        <f>VLOOKUP($A218,SiteAttendu!$A$2:$C$366,2,0)</f>
        <v>HOPITAL GENERAL TAFIRE</v>
      </c>
      <c r="C218" s="57" t="str">
        <f>VLOOKUP($A218,SiteAttendu!$A$2:$C$366,3,0)</f>
        <v>HAMBOL</v>
      </c>
      <c r="D218" s="58" t="str">
        <f>IF(VLOOKUP(A218,SiteAttendu!$A$2:$P$366,4,0)="NA","NA",COUNTIFS(soccode,A218,socprog,"PNLS/ANTIRETROVIRAUX ET IO",socprompt,1))</f>
        <v>NA</v>
      </c>
      <c r="E218" s="58" t="str">
        <f>IF(VLOOKUP($A218,SiteAttendu!$A$2:$O$366,5,0)="NA","NA",COUNTIFS(soccode,A218,socprog,"PNLS/TESTS RAPIDES ET CONSOMMABLES",socprompt,1))</f>
        <v>NA</v>
      </c>
      <c r="F218" s="58" t="str">
        <f>IF(VLOOKUP($A218,SiteAttendu!$A$2:$O$366,6,0)="NA","NA",COUNTIFS(soccode,A218,socprog,"PNLS/PRODUITS DE LABORATOIRE",socprompt,1))</f>
        <v>NA</v>
      </c>
      <c r="G218" s="58" t="str">
        <f>IF(VLOOKUP($A218,SiteAttendu!$A$2:$O$366,7,0)="NA","NA",COUNTIFS(soccode,A218,socprog,"PNLS/CHARGES VIRALES",socprompt,1))</f>
        <v>NA</v>
      </c>
      <c r="H218" s="58">
        <f>IF(VLOOKUP($A218,SiteAttendu!$A$2:$O$366,9,0)="NA","NA",COUNTIFS(soccode,A218,socprog,"PNLP/MEDICAMENTS ET INTRANTS",socprompt,1))</f>
        <v>1</v>
      </c>
      <c r="I218" s="58">
        <f>IF(VLOOKUP($A218,SiteAttendu!$A$2:$O$366,10,0)="NA","NA",COUNTIFS(soccode,$A218,socprog,"PNSME/MEDICAMENTS ET INTRANTS",socprompt,1))</f>
        <v>1</v>
      </c>
      <c r="J218" s="58" t="str">
        <f>IF(VLOOKUP($A218,SiteAttendu!$A$2:$O$366,11,0)="NA","NA",COUNTIFS(soccode,$A218,socprog,"PNN/MEDICAMENTS ET INTRANTS",socprompt,1))</f>
        <v>NA</v>
      </c>
      <c r="K218" s="58">
        <f>IF(VLOOKUP($A218,SiteAttendu!$A$2:$O$366,15,0)="NA","NA",IF(COUNTIF(socprog,"PNLT/SENSIBLE MEDICAMENTS ET INTRANTS")=0,"NA",COUNTIFS(soccode,$A218,socprog,"PNLT/SENSIBLE MEDICAMENTS ET INTRANTS",socprompt,1)))</f>
        <v>1</v>
      </c>
      <c r="L218" s="60"/>
      <c r="M218" s="85">
        <f t="shared" ref="M218:S218" si="220">IFERROR(SUMIFS(E$2:E$364,$C$2:$C$364,$C218)/COUNTIFS(E$2:E$364,"&lt;&gt;NA",$C$2:$C$364,$C218),"")</f>
        <v>1</v>
      </c>
      <c r="N218" s="85">
        <f t="shared" si="220"/>
        <v>1</v>
      </c>
      <c r="O218" s="85">
        <f t="shared" si="220"/>
        <v>1</v>
      </c>
      <c r="P218" s="85">
        <f t="shared" si="220"/>
        <v>1</v>
      </c>
      <c r="Q218" s="85">
        <f t="shared" si="220"/>
        <v>0.8571428571</v>
      </c>
      <c r="R218" s="85">
        <f t="shared" si="220"/>
        <v>1</v>
      </c>
      <c r="S218" s="85">
        <f t="shared" si="220"/>
        <v>1</v>
      </c>
      <c r="T218" s="127">
        <f t="shared" si="3"/>
        <v>1</v>
      </c>
      <c r="U218" s="53">
        <f t="shared" si="4"/>
        <v>0</v>
      </c>
      <c r="V218" s="54">
        <f t="shared" si="5"/>
        <v>0</v>
      </c>
    </row>
    <row r="219" ht="15.75" customHeight="1">
      <c r="A219" s="62" t="str">
        <f>SiteAttendu!$A219</f>
        <v>C3045</v>
      </c>
      <c r="B219" s="63" t="str">
        <f>VLOOKUP($A219,SiteAttendu!$A$2:$C$366,2,0)</f>
        <v>DISTRICT SANITAIRE NIAKARA</v>
      </c>
      <c r="C219" s="64" t="str">
        <f>VLOOKUP($A219,SiteAttendu!$A$2:$C$366,3,0)</f>
        <v>HAMBOL</v>
      </c>
      <c r="D219" s="65">
        <f>IF(VLOOKUP(A219,SiteAttendu!$A$2:$P$366,4,0)="NA","NA",COUNTIFS(soccode,A219,socprog,"PNLS/ANTIRETROVIRAUX ET IO",socprompt,1))</f>
        <v>1</v>
      </c>
      <c r="E219" s="65">
        <f>IF(VLOOKUP($A219,SiteAttendu!$A$2:$O$366,5,0)="NA","NA",COUNTIFS(soccode,A219,socprog,"PNLS/TESTS RAPIDES ET CONSOMMABLES",socprompt,1))</f>
        <v>1</v>
      </c>
      <c r="F219" s="65">
        <f>IF(VLOOKUP($A219,SiteAttendu!$A$2:$O$366,6,0)="NA","NA",COUNTIFS(soccode,A219,socprog,"PNLS/PRODUITS DE LABORATOIRE",socprompt,1))</f>
        <v>1</v>
      </c>
      <c r="G219" s="65" t="str">
        <f>IF(VLOOKUP($A219,SiteAttendu!$A$2:$O$366,7,0)="NA","NA",COUNTIFS(soccode,A219,socprog,"PNLS/CHARGES VIRALES",socprompt,1))</f>
        <v>NA</v>
      </c>
      <c r="H219" s="65">
        <f>IF(VLOOKUP($A219,SiteAttendu!$A$2:$O$366,9,0)="NA","NA",COUNTIFS(soccode,A219,socprog,"PNLP/MEDICAMENTS ET INTRANTS",socprompt,1))</f>
        <v>1</v>
      </c>
      <c r="I219" s="65">
        <f>IF(VLOOKUP($A219,SiteAttendu!$A$2:$O$366,10,0)="NA","NA",COUNTIFS(soccode,$A219,socprog,"PNSME/MEDICAMENTS ET INTRANTS",socprompt,1))</f>
        <v>1</v>
      </c>
      <c r="J219" s="65">
        <f>IF(VLOOKUP($A219,SiteAttendu!$A$2:$O$366,11,0)="NA","NA",COUNTIFS(soccode,$A219,socprog,"PNN/MEDICAMENTS ET INTRANTS",socprompt,1))</f>
        <v>1</v>
      </c>
      <c r="K219" s="65">
        <f>IF(VLOOKUP($A219,SiteAttendu!$A$2:$O$366,15,0)="NA","NA",IF(COUNTIF(socprog,"PNLT/SENSIBLE MEDICAMENTS ET INTRANTS")=0,"NA",COUNTIFS(soccode,$A219,socprog,"PNLT/SENSIBLE MEDICAMENTS ET INTRANTS",socprompt,1)))</f>
        <v>1</v>
      </c>
      <c r="L219" s="67"/>
      <c r="M219" s="86">
        <f t="shared" ref="M219:S219" si="221">IFERROR(SUMIFS(E$2:E$364,$C$2:$C$364,$C219)/COUNTIFS(E$2:E$364,"&lt;&gt;NA",$C$2:$C$364,$C219),"")</f>
        <v>1</v>
      </c>
      <c r="N219" s="86">
        <f t="shared" si="221"/>
        <v>1</v>
      </c>
      <c r="O219" s="86">
        <f t="shared" si="221"/>
        <v>1</v>
      </c>
      <c r="P219" s="86">
        <f t="shared" si="221"/>
        <v>1</v>
      </c>
      <c r="Q219" s="86">
        <f t="shared" si="221"/>
        <v>0.8571428571</v>
      </c>
      <c r="R219" s="86">
        <f t="shared" si="221"/>
        <v>1</v>
      </c>
      <c r="S219" s="86">
        <f t="shared" si="221"/>
        <v>1</v>
      </c>
      <c r="T219" s="128">
        <f t="shared" si="3"/>
        <v>1</v>
      </c>
      <c r="U219" s="53">
        <f t="shared" si="4"/>
        <v>3</v>
      </c>
      <c r="V219" s="54">
        <f t="shared" si="5"/>
        <v>3</v>
      </c>
    </row>
    <row r="220" ht="15.75" customHeight="1">
      <c r="A220" s="46" t="str">
        <f>SiteAttendu!$A220</f>
        <v>C2003</v>
      </c>
      <c r="B220" s="47" t="str">
        <f>VLOOKUP($A220,SiteAttendu!$A$2:$C$366,2,0)</f>
        <v>CHR DALOA</v>
      </c>
      <c r="C220" s="48" t="str">
        <f>VLOOKUP($A220,SiteAttendu!$A$2:$C$366,3,0)</f>
        <v>HAUT-SASSANDRA</v>
      </c>
      <c r="D220" s="49">
        <f>IF(VLOOKUP(A220,SiteAttendu!$A$2:$P$366,4,0)="NA","NA",COUNTIFS(soccode,A220,socprog,"PNLS/ANTIRETROVIRAUX ET IO",socprompt,1))</f>
        <v>1</v>
      </c>
      <c r="E220" s="49">
        <f>IF(VLOOKUP($A220,SiteAttendu!$A$2:$O$366,5,0)="NA","NA",COUNTIFS(soccode,A220,socprog,"PNLS/TESTS RAPIDES ET CONSOMMABLES",socprompt,1))</f>
        <v>1</v>
      </c>
      <c r="F220" s="49">
        <f>IF(VLOOKUP($A220,SiteAttendu!$A$2:$O$366,6,0)="NA","NA",COUNTIFS(soccode,A220,socprog,"PNLS/PRODUITS DE LABORATOIRE",socprompt,1))</f>
        <v>1</v>
      </c>
      <c r="G220" s="49">
        <f>IF(VLOOKUP($A220,SiteAttendu!$A$2:$O$366,7,0)="NA","NA",COUNTIFS(soccode,A220,socprog,"PNLS/CHARGES VIRALES",socprompt,1))</f>
        <v>1</v>
      </c>
      <c r="H220" s="49">
        <f>IF(VLOOKUP($A220,SiteAttendu!$A$2:$O$366,9,0)="NA","NA",COUNTIFS(soccode,A220,socprog,"PNLP/MEDICAMENTS ET INTRANTS",socprompt,1))</f>
        <v>1</v>
      </c>
      <c r="I220" s="49">
        <f>IF(VLOOKUP($A220,SiteAttendu!$A$2:$O$366,10,0)="NA","NA",COUNTIFS(soccode,$A220,socprog,"PNSME/MEDICAMENTS ET INTRANTS",socprompt,1))</f>
        <v>1</v>
      </c>
      <c r="J220" s="49" t="str">
        <f>IF(VLOOKUP($A220,SiteAttendu!$A$2:$O$366,11,0)="NA","NA",COUNTIFS(soccode,$A220,socprog,"PNN/MEDICAMENTS ET INTRANTS",socprompt,1))</f>
        <v>NA</v>
      </c>
      <c r="K220" s="49" t="str">
        <f>IF(VLOOKUP($A220,SiteAttendu!$A$2:$O$366,15,0)="NA","NA",IF(COUNTIF(socprog,"PNLT/SENSIBLE MEDICAMENTS ET INTRANTS")=0,"NA",COUNTIFS(soccode,$A220,socprog,"PNLT/SENSIBLE MEDICAMENTS ET INTRANTS",socprompt,1)))</f>
        <v>NA</v>
      </c>
      <c r="L220" s="51">
        <f t="shared" ref="L220:S220" si="222">IFERROR(SUMIFS(D$2:D$364,$C$2:$C$364,$C220)/COUNTIFS(D$2:D$364,"&lt;&gt;NA",$C$2:$C$364,$C220),"")</f>
        <v>0.8888888889</v>
      </c>
      <c r="M220" s="125">
        <f t="shared" si="222"/>
        <v>0.8888888889</v>
      </c>
      <c r="N220" s="125">
        <f t="shared" si="222"/>
        <v>1</v>
      </c>
      <c r="O220" s="125">
        <f t="shared" si="222"/>
        <v>1</v>
      </c>
      <c r="P220" s="125">
        <f t="shared" si="222"/>
        <v>0.7777777778</v>
      </c>
      <c r="Q220" s="125">
        <f t="shared" si="222"/>
        <v>0.7777777778</v>
      </c>
      <c r="R220" s="125">
        <f t="shared" si="222"/>
        <v>1</v>
      </c>
      <c r="S220" s="125">
        <f t="shared" si="222"/>
        <v>0.875</v>
      </c>
      <c r="T220" s="126">
        <f t="shared" si="3"/>
        <v>0.9285714286</v>
      </c>
      <c r="U220" s="53">
        <f t="shared" si="4"/>
        <v>4</v>
      </c>
      <c r="V220" s="54">
        <f t="shared" si="5"/>
        <v>4</v>
      </c>
    </row>
    <row r="221" ht="15.75" customHeight="1">
      <c r="A221" s="55" t="str">
        <f>SiteAttendu!$A221</f>
        <v>C2025</v>
      </c>
      <c r="B221" s="56" t="str">
        <f>VLOOKUP($A221,SiteAttendu!$A$2:$C$366,2,0)</f>
        <v>DISTRICT SANITAIRE DALOA</v>
      </c>
      <c r="C221" s="57" t="str">
        <f>VLOOKUP($A221,SiteAttendu!$A$2:$C$366,3,0)</f>
        <v>HAUT-SASSANDRA</v>
      </c>
      <c r="D221" s="58">
        <f>IF(VLOOKUP(A221,SiteAttendu!$A$2:$P$366,4,0)="NA","NA",COUNTIFS(soccode,A221,socprog,"PNLS/ANTIRETROVIRAUX ET IO",socprompt,1))</f>
        <v>1</v>
      </c>
      <c r="E221" s="58">
        <f>IF(VLOOKUP($A221,SiteAttendu!$A$2:$O$366,5,0)="NA","NA",COUNTIFS(soccode,A221,socprog,"PNLS/TESTS RAPIDES ET CONSOMMABLES",socprompt,1))</f>
        <v>1</v>
      </c>
      <c r="F221" s="58">
        <f>IF(VLOOKUP($A221,SiteAttendu!$A$2:$O$366,6,0)="NA","NA",COUNTIFS(soccode,A221,socprog,"PNLS/PRODUITS DE LABORATOIRE",socprompt,1))</f>
        <v>1</v>
      </c>
      <c r="G221" s="58" t="str">
        <f>IF(VLOOKUP($A221,SiteAttendu!$A$2:$O$366,7,0)="NA","NA",COUNTIFS(soccode,A221,socprog,"PNLS/CHARGES VIRALES",socprompt,1))</f>
        <v>NA</v>
      </c>
      <c r="H221" s="58">
        <f>IF(VLOOKUP($A221,SiteAttendu!$A$2:$O$366,9,0)="NA","NA",COUNTIFS(soccode,A221,socprog,"PNLP/MEDICAMENTS ET INTRANTS",socprompt,1))</f>
        <v>0</v>
      </c>
      <c r="I221" s="58">
        <f>IF(VLOOKUP($A221,SiteAttendu!$A$2:$O$366,10,0)="NA","NA",COUNTIFS(soccode,$A221,socprog,"PNSME/MEDICAMENTS ET INTRANTS",socprompt,1))</f>
        <v>0</v>
      </c>
      <c r="J221" s="58" t="str">
        <f>IF(VLOOKUP($A221,SiteAttendu!$A$2:$O$366,11,0)="NA","NA",COUNTIFS(soccode,$A221,socprog,"PNN/MEDICAMENTS ET INTRANTS",socprompt,1))</f>
        <v>NA</v>
      </c>
      <c r="K221" s="58">
        <f>IF(VLOOKUP($A221,SiteAttendu!$A$2:$O$366,15,0)="NA","NA",IF(COUNTIF(socprog,"PNLT/SENSIBLE MEDICAMENTS ET INTRANTS")=0,"NA",COUNTIFS(soccode,$A221,socprog,"PNLT/SENSIBLE MEDICAMENTS ET INTRANTS",socprompt,1)))</f>
        <v>1</v>
      </c>
      <c r="L221" s="60"/>
      <c r="M221" s="85">
        <f t="shared" ref="M221:S221" si="223">IFERROR(SUMIFS(E$2:E$364,$C$2:$C$364,$C221)/COUNTIFS(E$2:E$364,"&lt;&gt;NA",$C$2:$C$364,$C221),"")</f>
        <v>0.8888888889</v>
      </c>
      <c r="N221" s="85">
        <f t="shared" si="223"/>
        <v>1</v>
      </c>
      <c r="O221" s="85">
        <f t="shared" si="223"/>
        <v>1</v>
      </c>
      <c r="P221" s="85">
        <f t="shared" si="223"/>
        <v>0.7777777778</v>
      </c>
      <c r="Q221" s="85">
        <f t="shared" si="223"/>
        <v>0.7777777778</v>
      </c>
      <c r="R221" s="85">
        <f t="shared" si="223"/>
        <v>1</v>
      </c>
      <c r="S221" s="85">
        <f t="shared" si="223"/>
        <v>0.875</v>
      </c>
      <c r="T221" s="127">
        <f t="shared" si="3"/>
        <v>0.9285714286</v>
      </c>
      <c r="U221" s="53">
        <f t="shared" si="4"/>
        <v>3</v>
      </c>
      <c r="V221" s="54">
        <f t="shared" si="5"/>
        <v>3</v>
      </c>
    </row>
    <row r="222" ht="16.5" customHeight="1">
      <c r="A222" s="55" t="str">
        <f>SiteAttendu!$A222</f>
        <v>C2172</v>
      </c>
      <c r="B222" s="56" t="str">
        <f>VLOOKUP($A222,SiteAttendu!$A$2:$C$366,2,0)</f>
        <v>CENTRE ANTITUBERCULEUX DALOA</v>
      </c>
      <c r="C222" s="57" t="str">
        <f>VLOOKUP($A222,SiteAttendu!$A$2:$C$366,3,0)</f>
        <v>HAUT-SASSANDRA</v>
      </c>
      <c r="D222" s="58" t="str">
        <f>IF(VLOOKUP(A222,SiteAttendu!$A$2:$P$366,4,0)="NA","NA",COUNTIFS(soccode,A222,socprog,"PNLS/ANTIRETROVIRAUX ET IO",socprompt,1))</f>
        <v>NA</v>
      </c>
      <c r="E222" s="58" t="str">
        <f>IF(VLOOKUP($A222,SiteAttendu!$A$2:$O$366,5,0)="NA","NA",COUNTIFS(soccode,A222,socprog,"PNLS/TESTS RAPIDES ET CONSOMMABLES",socprompt,1))</f>
        <v>NA</v>
      </c>
      <c r="F222" s="58" t="str">
        <f>IF(VLOOKUP($A222,SiteAttendu!$A$2:$O$366,6,0)="NA","NA",COUNTIFS(soccode,A222,socprog,"PNLS/PRODUITS DE LABORATOIRE",socprompt,1))</f>
        <v>NA</v>
      </c>
      <c r="G222" s="58" t="str">
        <f>IF(VLOOKUP($A222,SiteAttendu!$A$2:$O$366,7,0)="NA","NA",COUNTIFS(soccode,A222,socprog,"PNLS/CHARGES VIRALES",socprompt,1))</f>
        <v>NA</v>
      </c>
      <c r="H222" s="58" t="str">
        <f>IF(VLOOKUP($A222,SiteAttendu!$A$2:$O$366,9,0)="NA","NA",COUNTIFS(soccode,A222,socprog,"PNLP/MEDICAMENTS ET INTRANTS",socprompt,1))</f>
        <v>NA</v>
      </c>
      <c r="I222" s="58" t="str">
        <f>IF(VLOOKUP($A222,SiteAttendu!$A$2:$O$366,10,0)="NA","NA",COUNTIFS(soccode,$A222,socprog,"PNSME/MEDICAMENTS ET INTRANTS",socprompt,1))</f>
        <v>NA</v>
      </c>
      <c r="J222" s="58" t="str">
        <f>IF(VLOOKUP($A222,SiteAttendu!$A$2:$O$366,11,0)="NA","NA",COUNTIFS(soccode,$A222,socprog,"PNN/MEDICAMENTS ET INTRANTS",socprompt,1))</f>
        <v>NA</v>
      </c>
      <c r="K222" s="58">
        <f>IF(VLOOKUP($A222,SiteAttendu!$A$2:$O$366,15,0)="NA","NA",IF(COUNTIF(socprog,"PNLT/SENSIBLE MEDICAMENTS ET INTRANTS")=0,"NA",COUNTIFS(soccode,$A222,socprog,"PNLT/SENSIBLE MEDICAMENTS ET INTRANTS",socprompt,1)))</f>
        <v>1</v>
      </c>
      <c r="L222" s="60"/>
      <c r="M222" s="85">
        <f t="shared" ref="M222:S222" si="224">IFERROR(SUMIFS(E$2:E$364,$C$2:$C$364,$C222)/COUNTIFS(E$2:E$364,"&lt;&gt;NA",$C$2:$C$364,$C222),"")</f>
        <v>0.8888888889</v>
      </c>
      <c r="N222" s="85">
        <f t="shared" si="224"/>
        <v>1</v>
      </c>
      <c r="O222" s="85">
        <f t="shared" si="224"/>
        <v>1</v>
      </c>
      <c r="P222" s="85">
        <f t="shared" si="224"/>
        <v>0.7777777778</v>
      </c>
      <c r="Q222" s="85">
        <f t="shared" si="224"/>
        <v>0.7777777778</v>
      </c>
      <c r="R222" s="85">
        <f t="shared" si="224"/>
        <v>1</v>
      </c>
      <c r="S222" s="85">
        <f t="shared" si="224"/>
        <v>0.875</v>
      </c>
      <c r="T222" s="127">
        <f t="shared" si="3"/>
        <v>0.9285714286</v>
      </c>
      <c r="U222" s="53">
        <f t="shared" si="4"/>
        <v>0</v>
      </c>
      <c r="V222" s="54">
        <f t="shared" si="5"/>
        <v>0</v>
      </c>
    </row>
    <row r="223" ht="15.75" customHeight="1">
      <c r="A223" s="55" t="str">
        <f>SiteAttendu!$A223</f>
        <v>C2031</v>
      </c>
      <c r="B223" s="56" t="str">
        <f>VLOOKUP($A223,SiteAttendu!$A$2:$C$366,2,0)</f>
        <v>DISTRICT SANITAIRE ISSIA</v>
      </c>
      <c r="C223" s="57" t="str">
        <f>VLOOKUP($A223,SiteAttendu!$A$2:$C$366,3,0)</f>
        <v>HAUT-SASSANDRA</v>
      </c>
      <c r="D223" s="58">
        <f>IF(VLOOKUP(A223,SiteAttendu!$A$2:$P$366,4,0)="NA","NA",COUNTIFS(soccode,A223,socprog,"PNLS/ANTIRETROVIRAUX ET IO",socprompt,1))</f>
        <v>1</v>
      </c>
      <c r="E223" s="58">
        <f>IF(VLOOKUP($A223,SiteAttendu!$A$2:$O$366,5,0)="NA","NA",COUNTIFS(soccode,A223,socprog,"PNLS/TESTS RAPIDES ET CONSOMMABLES",socprompt,1))</f>
        <v>1</v>
      </c>
      <c r="F223" s="58">
        <f>IF(VLOOKUP($A223,SiteAttendu!$A$2:$O$366,6,0)="NA","NA",COUNTIFS(soccode,A223,socprog,"PNLS/PRODUITS DE LABORATOIRE",socprompt,1))</f>
        <v>1</v>
      </c>
      <c r="G223" s="58" t="str">
        <f>IF(VLOOKUP($A223,SiteAttendu!$A$2:$O$366,7,0)="NA","NA",COUNTIFS(soccode,A223,socprog,"PNLS/CHARGES VIRALES",socprompt,1))</f>
        <v>NA</v>
      </c>
      <c r="H223" s="58">
        <f>IF(VLOOKUP($A223,SiteAttendu!$A$2:$O$366,9,0)="NA","NA",COUNTIFS(soccode,A223,socprog,"PNLP/MEDICAMENTS ET INTRANTS",socprompt,1))</f>
        <v>1</v>
      </c>
      <c r="I223" s="58">
        <f>IF(VLOOKUP($A223,SiteAttendu!$A$2:$O$366,10,0)="NA","NA",COUNTIFS(soccode,$A223,socprog,"PNSME/MEDICAMENTS ET INTRANTS",socprompt,1))</f>
        <v>1</v>
      </c>
      <c r="J223" s="58">
        <f>IF(VLOOKUP($A223,SiteAttendu!$A$2:$O$366,11,0)="NA","NA",COUNTIFS(soccode,$A223,socprog,"PNN/MEDICAMENTS ET INTRANTS",socprompt,1))</f>
        <v>1</v>
      </c>
      <c r="K223" s="58">
        <f>IF(VLOOKUP($A223,SiteAttendu!$A$2:$O$366,15,0)="NA","NA",IF(COUNTIF(socprog,"PNLT/SENSIBLE MEDICAMENTS ET INTRANTS")=0,"NA",COUNTIFS(soccode,$A223,socprog,"PNLT/SENSIBLE MEDICAMENTS ET INTRANTS",socprompt,1)))</f>
        <v>1</v>
      </c>
      <c r="L223" s="60"/>
      <c r="M223" s="85">
        <f t="shared" ref="M223:S223" si="225">IFERROR(SUMIFS(E$2:E$364,$C$2:$C$364,$C223)/COUNTIFS(E$2:E$364,"&lt;&gt;NA",$C$2:$C$364,$C223),"")</f>
        <v>0.8888888889</v>
      </c>
      <c r="N223" s="85">
        <f t="shared" si="225"/>
        <v>1</v>
      </c>
      <c r="O223" s="85">
        <f t="shared" si="225"/>
        <v>1</v>
      </c>
      <c r="P223" s="85">
        <f t="shared" si="225"/>
        <v>0.7777777778</v>
      </c>
      <c r="Q223" s="85">
        <f t="shared" si="225"/>
        <v>0.7777777778</v>
      </c>
      <c r="R223" s="85">
        <f t="shared" si="225"/>
        <v>1</v>
      </c>
      <c r="S223" s="85">
        <f t="shared" si="225"/>
        <v>0.875</v>
      </c>
      <c r="T223" s="127">
        <f t="shared" si="3"/>
        <v>0.9285714286</v>
      </c>
      <c r="U223" s="53">
        <f t="shared" si="4"/>
        <v>3</v>
      </c>
      <c r="V223" s="54">
        <f t="shared" si="5"/>
        <v>3</v>
      </c>
    </row>
    <row r="224" ht="15.75" customHeight="1">
      <c r="A224" s="55" t="str">
        <f>SiteAttendu!$A224</f>
        <v>C2056</v>
      </c>
      <c r="B224" s="56" t="str">
        <f>VLOOKUP($A224,SiteAttendu!$A$2:$C$366,2,0)</f>
        <v>HOPITAL GENERAL ISSIA</v>
      </c>
      <c r="C224" s="57" t="str">
        <f>VLOOKUP($A224,SiteAttendu!$A$2:$C$366,3,0)</f>
        <v>HAUT-SASSANDRA</v>
      </c>
      <c r="D224" s="58">
        <f>IF(VLOOKUP(A224,SiteAttendu!$A$2:$P$366,4,0)="NA","NA",COUNTIFS(soccode,A224,socprog,"PNLS/ANTIRETROVIRAUX ET IO",socprompt,1))</f>
        <v>1</v>
      </c>
      <c r="E224" s="58">
        <f>IF(VLOOKUP($A224,SiteAttendu!$A$2:$O$366,5,0)="NA","NA",COUNTIFS(soccode,A224,socprog,"PNLS/TESTS RAPIDES ET CONSOMMABLES",socprompt,1))</f>
        <v>1</v>
      </c>
      <c r="F224" s="58">
        <f>IF(VLOOKUP($A224,SiteAttendu!$A$2:$O$366,6,0)="NA","NA",COUNTIFS(soccode,A224,socprog,"PNLS/PRODUITS DE LABORATOIRE",socprompt,1))</f>
        <v>1</v>
      </c>
      <c r="G224" s="58">
        <f>IF(VLOOKUP($A224,SiteAttendu!$A$2:$O$366,7,0)="NA","NA",COUNTIFS(soccode,A224,socprog,"PNLS/CHARGES VIRALES",socprompt,1))</f>
        <v>1</v>
      </c>
      <c r="H224" s="58">
        <f>IF(VLOOKUP($A224,SiteAttendu!$A$2:$O$366,9,0)="NA","NA",COUNTIFS(soccode,A224,socprog,"PNLP/MEDICAMENTS ET INTRANTS",socprompt,1))</f>
        <v>1</v>
      </c>
      <c r="I224" s="58">
        <f>IF(VLOOKUP($A224,SiteAttendu!$A$2:$O$366,10,0)="NA","NA",COUNTIFS(soccode,$A224,socprog,"PNSME/MEDICAMENTS ET INTRANTS",socprompt,1))</f>
        <v>1</v>
      </c>
      <c r="J224" s="58">
        <f>IF(VLOOKUP($A224,SiteAttendu!$A$2:$O$366,11,0)="NA","NA",COUNTIFS(soccode,$A224,socprog,"PNN/MEDICAMENTS ET INTRANTS",socprompt,1))</f>
        <v>1</v>
      </c>
      <c r="K224" s="58">
        <f>IF(VLOOKUP($A224,SiteAttendu!$A$2:$O$366,15,0)="NA","NA",IF(COUNTIF(socprog,"PNLT/SENSIBLE MEDICAMENTS ET INTRANTS")=0,"NA",COUNTIFS(soccode,$A224,socprog,"PNLT/SENSIBLE MEDICAMENTS ET INTRANTS",socprompt,1)))</f>
        <v>1</v>
      </c>
      <c r="L224" s="60"/>
      <c r="M224" s="85">
        <f t="shared" ref="M224:S224" si="226">IFERROR(SUMIFS(E$2:E$364,$C$2:$C$364,$C224)/COUNTIFS(E$2:E$364,"&lt;&gt;NA",$C$2:$C$364,$C224),"")</f>
        <v>0.8888888889</v>
      </c>
      <c r="N224" s="85">
        <f t="shared" si="226"/>
        <v>1</v>
      </c>
      <c r="O224" s="85">
        <f t="shared" si="226"/>
        <v>1</v>
      </c>
      <c r="P224" s="85">
        <f t="shared" si="226"/>
        <v>0.7777777778</v>
      </c>
      <c r="Q224" s="85">
        <f t="shared" si="226"/>
        <v>0.7777777778</v>
      </c>
      <c r="R224" s="85">
        <f t="shared" si="226"/>
        <v>1</v>
      </c>
      <c r="S224" s="85">
        <f t="shared" si="226"/>
        <v>0.875</v>
      </c>
      <c r="T224" s="127">
        <f t="shared" si="3"/>
        <v>0.9285714286</v>
      </c>
      <c r="U224" s="53">
        <f t="shared" si="4"/>
        <v>4</v>
      </c>
      <c r="V224" s="54">
        <f t="shared" si="5"/>
        <v>4</v>
      </c>
    </row>
    <row r="225" ht="15.75" customHeight="1">
      <c r="A225" s="55" t="str">
        <f>SiteAttendu!$A225</f>
        <v>C2061</v>
      </c>
      <c r="B225" s="56" t="str">
        <f>VLOOKUP($A225,SiteAttendu!$A$2:$C$366,2,0)</f>
        <v>HOPITAL GENERAL SAIOUA</v>
      </c>
      <c r="C225" s="57" t="str">
        <f>VLOOKUP($A225,SiteAttendu!$A$2:$C$366,3,0)</f>
        <v>HAUT-SASSANDRA</v>
      </c>
      <c r="D225" s="58">
        <f>IF(VLOOKUP(A225,SiteAttendu!$A$2:$P$366,4,0)="NA","NA",COUNTIFS(soccode,A225,socprog,"PNLS/ANTIRETROVIRAUX ET IO",socprompt,1))</f>
        <v>1</v>
      </c>
      <c r="E225" s="58">
        <f>IF(VLOOKUP($A225,SiteAttendu!$A$2:$O$366,5,0)="NA","NA",COUNTIFS(soccode,A225,socprog,"PNLS/TESTS RAPIDES ET CONSOMMABLES",socprompt,1))</f>
        <v>1</v>
      </c>
      <c r="F225" s="58">
        <f>IF(VLOOKUP($A225,SiteAttendu!$A$2:$O$366,6,0)="NA","NA",COUNTIFS(soccode,A225,socprog,"PNLS/PRODUITS DE LABORATOIRE",socprompt,1))</f>
        <v>1</v>
      </c>
      <c r="G225" s="58" t="str">
        <f>IF(VLOOKUP($A225,SiteAttendu!$A$2:$O$366,7,0)="NA","NA",COUNTIFS(soccode,A225,socprog,"PNLS/CHARGES VIRALES",socprompt,1))</f>
        <v>NA</v>
      </c>
      <c r="H225" s="58">
        <f>IF(VLOOKUP($A225,SiteAttendu!$A$2:$O$366,9,0)="NA","NA",COUNTIFS(soccode,A225,socprog,"PNLP/MEDICAMENTS ET INTRANTS",socprompt,1))</f>
        <v>1</v>
      </c>
      <c r="I225" s="58">
        <f>IF(VLOOKUP($A225,SiteAttendu!$A$2:$O$366,10,0)="NA","NA",COUNTIFS(soccode,$A225,socprog,"PNSME/MEDICAMENTS ET INTRANTS",socprompt,1))</f>
        <v>1</v>
      </c>
      <c r="J225" s="58" t="str">
        <f>IF(VLOOKUP($A225,SiteAttendu!$A$2:$O$366,11,0)="NA","NA",COUNTIFS(soccode,$A225,socprog,"PNN/MEDICAMENTS ET INTRANTS",socprompt,1))</f>
        <v>NA</v>
      </c>
      <c r="K225" s="58">
        <f>IF(VLOOKUP($A225,SiteAttendu!$A$2:$O$366,15,0)="NA","NA",IF(COUNTIF(socprog,"PNLT/SENSIBLE MEDICAMENTS ET INTRANTS")=0,"NA",COUNTIFS(soccode,$A225,socprog,"PNLT/SENSIBLE MEDICAMENTS ET INTRANTS",socprompt,1)))</f>
        <v>1</v>
      </c>
      <c r="L225" s="60"/>
      <c r="M225" s="85">
        <f t="shared" ref="M225:S225" si="227">IFERROR(SUMIFS(E$2:E$364,$C$2:$C$364,$C225)/COUNTIFS(E$2:E$364,"&lt;&gt;NA",$C$2:$C$364,$C225),"")</f>
        <v>0.8888888889</v>
      </c>
      <c r="N225" s="85">
        <f t="shared" si="227"/>
        <v>1</v>
      </c>
      <c r="O225" s="85">
        <f t="shared" si="227"/>
        <v>1</v>
      </c>
      <c r="P225" s="85">
        <f t="shared" si="227"/>
        <v>0.7777777778</v>
      </c>
      <c r="Q225" s="85">
        <f t="shared" si="227"/>
        <v>0.7777777778</v>
      </c>
      <c r="R225" s="85">
        <f t="shared" si="227"/>
        <v>1</v>
      </c>
      <c r="S225" s="85">
        <f t="shared" si="227"/>
        <v>0.875</v>
      </c>
      <c r="T225" s="127">
        <f t="shared" si="3"/>
        <v>0.9285714286</v>
      </c>
      <c r="U225" s="53">
        <f t="shared" si="4"/>
        <v>3</v>
      </c>
      <c r="V225" s="54">
        <f t="shared" si="5"/>
        <v>3</v>
      </c>
    </row>
    <row r="226" ht="15.75" customHeight="1">
      <c r="A226" s="55" t="str">
        <f>SiteAttendu!$A226</f>
        <v>C2044</v>
      </c>
      <c r="B226" s="56" t="str">
        <f>VLOOKUP($A226,SiteAttendu!$A$2:$C$366,2,0)</f>
        <v>DISTRICT SANITAIRE VAVOUA</v>
      </c>
      <c r="C226" s="57" t="str">
        <f>VLOOKUP($A226,SiteAttendu!$A$2:$C$366,3,0)</f>
        <v>HAUT-SASSANDRA</v>
      </c>
      <c r="D226" s="58">
        <f>IF(VLOOKUP(A226,SiteAttendu!$A$2:$P$366,4,0)="NA","NA",COUNTIFS(soccode,A226,socprog,"PNLS/ANTIRETROVIRAUX ET IO",socprompt,1))</f>
        <v>1</v>
      </c>
      <c r="E226" s="58">
        <f>IF(VLOOKUP($A226,SiteAttendu!$A$2:$O$366,5,0)="NA","NA",COUNTIFS(soccode,A226,socprog,"PNLS/TESTS RAPIDES ET CONSOMMABLES",socprompt,1))</f>
        <v>1</v>
      </c>
      <c r="F226" s="58" t="str">
        <f>IF(VLOOKUP($A226,SiteAttendu!$A$2:$O$366,6,0)="NA","NA",COUNTIFS(soccode,A226,socprog,"PNLS/PRODUITS DE LABORATOIRE",socprompt,1))</f>
        <v>NA</v>
      </c>
      <c r="G226" s="58" t="str">
        <f>IF(VLOOKUP($A226,SiteAttendu!$A$2:$O$366,7,0)="NA","NA",COUNTIFS(soccode,A226,socprog,"PNLS/CHARGES VIRALES",socprompt,1))</f>
        <v>NA</v>
      </c>
      <c r="H226" s="58">
        <f>IF(VLOOKUP($A226,SiteAttendu!$A$2:$O$366,9,0)="NA","NA",COUNTIFS(soccode,A226,socprog,"PNLP/MEDICAMENTS ET INTRANTS",socprompt,1))</f>
        <v>1</v>
      </c>
      <c r="I226" s="58">
        <f>IF(VLOOKUP($A226,SiteAttendu!$A$2:$O$366,10,0)="NA","NA",COUNTIFS(soccode,$A226,socprog,"PNSME/MEDICAMENTS ET INTRANTS",socprompt,1))</f>
        <v>1</v>
      </c>
      <c r="J226" s="58">
        <f>IF(VLOOKUP($A226,SiteAttendu!$A$2:$O$366,11,0)="NA","NA",COUNTIFS(soccode,$A226,socprog,"PNN/MEDICAMENTS ET INTRANTS",socprompt,1))</f>
        <v>1</v>
      </c>
      <c r="K226" s="58">
        <f>IF(VLOOKUP($A226,SiteAttendu!$A$2:$O$366,15,0)="NA","NA",IF(COUNTIF(socprog,"PNLT/SENSIBLE MEDICAMENTS ET INTRANTS")=0,"NA",COUNTIFS(soccode,$A226,socprog,"PNLT/SENSIBLE MEDICAMENTS ET INTRANTS",socprompt,1)))</f>
        <v>1</v>
      </c>
      <c r="L226" s="60"/>
      <c r="M226" s="85">
        <f t="shared" ref="M226:S226" si="228">IFERROR(SUMIFS(E$2:E$364,$C$2:$C$364,$C226)/COUNTIFS(E$2:E$364,"&lt;&gt;NA",$C$2:$C$364,$C226),"")</f>
        <v>0.8888888889</v>
      </c>
      <c r="N226" s="85">
        <f t="shared" si="228"/>
        <v>1</v>
      </c>
      <c r="O226" s="85">
        <f t="shared" si="228"/>
        <v>1</v>
      </c>
      <c r="P226" s="85">
        <f t="shared" si="228"/>
        <v>0.7777777778</v>
      </c>
      <c r="Q226" s="85">
        <f t="shared" si="228"/>
        <v>0.7777777778</v>
      </c>
      <c r="R226" s="85">
        <f t="shared" si="228"/>
        <v>1</v>
      </c>
      <c r="S226" s="85">
        <f t="shared" si="228"/>
        <v>0.875</v>
      </c>
      <c r="T226" s="127">
        <f t="shared" si="3"/>
        <v>0.9285714286</v>
      </c>
      <c r="U226" s="53">
        <f t="shared" si="4"/>
        <v>2</v>
      </c>
      <c r="V226" s="54">
        <f t="shared" si="5"/>
        <v>2</v>
      </c>
    </row>
    <row r="227" ht="15.75" customHeight="1">
      <c r="A227" s="55" t="str">
        <f>SiteAttendu!$A227</f>
        <v>C2070</v>
      </c>
      <c r="B227" s="56" t="str">
        <f>VLOOKUP($A227,SiteAttendu!$A$2:$C$366,2,0)</f>
        <v>HOPITAL GENERAL VAVOUA</v>
      </c>
      <c r="C227" s="57" t="str">
        <f>VLOOKUP($A227,SiteAttendu!$A$2:$C$366,3,0)</f>
        <v>HAUT-SASSANDRA</v>
      </c>
      <c r="D227" s="58">
        <f>IF(VLOOKUP(A227,SiteAttendu!$A$2:$P$366,4,0)="NA","NA",COUNTIFS(soccode,A227,socprog,"PNLS/ANTIRETROVIRAUX ET IO",socprompt,1))</f>
        <v>1</v>
      </c>
      <c r="E227" s="58">
        <f>IF(VLOOKUP($A227,SiteAttendu!$A$2:$O$366,5,0)="NA","NA",COUNTIFS(soccode,A227,socprog,"PNLS/TESTS RAPIDES ET CONSOMMABLES",socprompt,1))</f>
        <v>1</v>
      </c>
      <c r="F227" s="58">
        <f>IF(VLOOKUP($A227,SiteAttendu!$A$2:$O$366,6,0)="NA","NA",COUNTIFS(soccode,A227,socprog,"PNLS/PRODUITS DE LABORATOIRE",socprompt,1))</f>
        <v>1</v>
      </c>
      <c r="G227" s="58">
        <f>IF(VLOOKUP($A227,SiteAttendu!$A$2:$O$366,7,0)="NA","NA",COUNTIFS(soccode,A227,socprog,"PNLS/CHARGES VIRALES",socprompt,1))</f>
        <v>1</v>
      </c>
      <c r="H227" s="58">
        <f>IF(VLOOKUP($A227,SiteAttendu!$A$2:$O$366,9,0)="NA","NA",COUNTIFS(soccode,A227,socprog,"PNLP/MEDICAMENTS ET INTRANTS",socprompt,1))</f>
        <v>1</v>
      </c>
      <c r="I227" s="58">
        <f>IF(VLOOKUP($A227,SiteAttendu!$A$2:$O$366,10,0)="NA","NA",COUNTIFS(soccode,$A227,socprog,"PNSME/MEDICAMENTS ET INTRANTS",socprompt,1))</f>
        <v>1</v>
      </c>
      <c r="J227" s="58">
        <f>IF(VLOOKUP($A227,SiteAttendu!$A$2:$O$366,11,0)="NA","NA",COUNTIFS(soccode,$A227,socprog,"PNN/MEDICAMENTS ET INTRANTS",socprompt,1))</f>
        <v>1</v>
      </c>
      <c r="K227" s="58" t="str">
        <f>IF(VLOOKUP($A227,SiteAttendu!$A$2:$O$366,15,0)="NA","NA",IF(COUNTIF(socprog,"PNLT/SENSIBLE MEDICAMENTS ET INTRANTS")=0,"NA",COUNTIFS(soccode,$A227,socprog,"PNLT/SENSIBLE MEDICAMENTS ET INTRANTS",socprompt,1)))</f>
        <v>NA</v>
      </c>
      <c r="L227" s="60"/>
      <c r="M227" s="85">
        <f t="shared" ref="M227:S227" si="229">IFERROR(SUMIFS(E$2:E$364,$C$2:$C$364,$C227)/COUNTIFS(E$2:E$364,"&lt;&gt;NA",$C$2:$C$364,$C227),"")</f>
        <v>0.8888888889</v>
      </c>
      <c r="N227" s="85">
        <f t="shared" si="229"/>
        <v>1</v>
      </c>
      <c r="O227" s="85">
        <f t="shared" si="229"/>
        <v>1</v>
      </c>
      <c r="P227" s="85">
        <f t="shared" si="229"/>
        <v>0.7777777778</v>
      </c>
      <c r="Q227" s="85">
        <f t="shared" si="229"/>
        <v>0.7777777778</v>
      </c>
      <c r="R227" s="85">
        <f t="shared" si="229"/>
        <v>1</v>
      </c>
      <c r="S227" s="85">
        <f t="shared" si="229"/>
        <v>0.875</v>
      </c>
      <c r="T227" s="127">
        <f t="shared" si="3"/>
        <v>0.9285714286</v>
      </c>
      <c r="U227" s="53">
        <f t="shared" si="4"/>
        <v>4</v>
      </c>
      <c r="V227" s="54">
        <f t="shared" si="5"/>
        <v>4</v>
      </c>
    </row>
    <row r="228" ht="16.5" customHeight="1">
      <c r="A228" s="55" t="str">
        <f>SiteAttendu!$A228</f>
        <v>C5060</v>
      </c>
      <c r="B228" s="56" t="str">
        <f>VLOOKUP($A228,SiteAttendu!$A$2:$C$366,2,0)</f>
        <v>HOPITAL GENERAL ZOUKOUGBEU</v>
      </c>
      <c r="C228" s="57" t="str">
        <f>VLOOKUP($A228,SiteAttendu!$A$2:$C$366,3,0)</f>
        <v>HAUT-SASSANDRA</v>
      </c>
      <c r="D228" s="58">
        <f>IF(VLOOKUP(A228,SiteAttendu!$A$2:$P$366,4,0)="NA","NA",COUNTIFS(soccode,A228,socprog,"PNLS/ANTIRETROVIRAUX ET IO",socprompt,1))</f>
        <v>1</v>
      </c>
      <c r="E228" s="58">
        <f>IF(VLOOKUP($A228,SiteAttendu!$A$2:$O$366,5,0)="NA","NA",COUNTIFS(soccode,A228,socprog,"PNLS/TESTS RAPIDES ET CONSOMMABLES",socprompt,1))</f>
        <v>1</v>
      </c>
      <c r="F228" s="58">
        <f>IF(VLOOKUP($A228,SiteAttendu!$A$2:$O$366,6,0)="NA","NA",COUNTIFS(soccode,A228,socprog,"PNLS/PRODUITS DE LABORATOIRE",socprompt,1))</f>
        <v>1</v>
      </c>
      <c r="G228" s="58" t="str">
        <f>IF(VLOOKUP($A228,SiteAttendu!$A$2:$O$366,7,0)="NA","NA",COUNTIFS(soccode,A228,socprog,"PNLS/CHARGES VIRALES",socprompt,1))</f>
        <v>NA</v>
      </c>
      <c r="H228" s="58">
        <f>IF(VLOOKUP($A228,SiteAttendu!$A$2:$O$366,9,0)="NA","NA",COUNTIFS(soccode,A228,socprog,"PNLP/MEDICAMENTS ET INTRANTS",socprompt,1))</f>
        <v>1</v>
      </c>
      <c r="I228" s="58">
        <f>IF(VLOOKUP($A228,SiteAttendu!$A$2:$O$366,10,0)="NA","NA",COUNTIFS(soccode,$A228,socprog,"PNSME/MEDICAMENTS ET INTRANTS",socprompt,1))</f>
        <v>1</v>
      </c>
      <c r="J228" s="58" t="str">
        <f>IF(VLOOKUP($A228,SiteAttendu!$A$2:$O$366,11,0)="NA","NA",COUNTIFS(soccode,$A228,socprog,"PNN/MEDICAMENTS ET INTRANTS",socprompt,1))</f>
        <v>NA</v>
      </c>
      <c r="K228" s="58">
        <f>IF(VLOOKUP($A228,SiteAttendu!$A$2:$O$366,15,0)="NA","NA",IF(COUNTIF(socprog,"PNLT/SENSIBLE MEDICAMENTS ET INTRANTS")=0,"NA",COUNTIFS(soccode,$A228,socprog,"PNLT/SENSIBLE MEDICAMENTS ET INTRANTS",socprompt,1)))</f>
        <v>1</v>
      </c>
      <c r="L228" s="60"/>
      <c r="M228" s="85">
        <f t="shared" ref="M228:S228" si="230">IFERROR(SUMIFS(E$2:E$364,$C$2:$C$364,$C228)/COUNTIFS(E$2:E$364,"&lt;&gt;NA",$C$2:$C$364,$C228),"")</f>
        <v>0.8888888889</v>
      </c>
      <c r="N228" s="85">
        <f t="shared" si="230"/>
        <v>1</v>
      </c>
      <c r="O228" s="85">
        <f t="shared" si="230"/>
        <v>1</v>
      </c>
      <c r="P228" s="85">
        <f t="shared" si="230"/>
        <v>0.7777777778</v>
      </c>
      <c r="Q228" s="85">
        <f t="shared" si="230"/>
        <v>0.7777777778</v>
      </c>
      <c r="R228" s="85">
        <f t="shared" si="230"/>
        <v>1</v>
      </c>
      <c r="S228" s="85">
        <f t="shared" si="230"/>
        <v>0.875</v>
      </c>
      <c r="T228" s="127">
        <f t="shared" si="3"/>
        <v>0.9285714286</v>
      </c>
      <c r="U228" s="53">
        <f t="shared" si="4"/>
        <v>3</v>
      </c>
      <c r="V228" s="54">
        <f t="shared" si="5"/>
        <v>3</v>
      </c>
    </row>
    <row r="229" ht="15.75" customHeight="1">
      <c r="A229" s="62" t="str">
        <f>SiteAttendu!$A229</f>
        <v>C5071</v>
      </c>
      <c r="B229" s="63" t="str">
        <f>VLOOKUP($A229,SiteAttendu!$A$2:$C$366,2,0)</f>
        <v>DISTRICT SANITAIRE ZOUKOUGBEU</v>
      </c>
      <c r="C229" s="64" t="str">
        <f>VLOOKUP($A229,SiteAttendu!$A$2:$C$366,3,0)</f>
        <v>HAUT-SASSANDRA</v>
      </c>
      <c r="D229" s="65">
        <f>IF(VLOOKUP(A229,SiteAttendu!$A$2:$P$366,4,0)="NA","NA",COUNTIFS(soccode,A229,socprog,"PNLS/ANTIRETROVIRAUX ET IO",socprompt,1))</f>
        <v>0</v>
      </c>
      <c r="E229" s="65">
        <f>IF(VLOOKUP($A229,SiteAttendu!$A$2:$O$366,5,0)="NA","NA",COUNTIFS(soccode,A229,socprog,"PNLS/TESTS RAPIDES ET CONSOMMABLES",socprompt,1))</f>
        <v>0</v>
      </c>
      <c r="F229" s="65" t="str">
        <f>IF(VLOOKUP($A229,SiteAttendu!$A$2:$O$366,6,0)="NA","NA",COUNTIFS(soccode,A229,socprog,"PNLS/PRODUITS DE LABORATOIRE",socprompt,1))</f>
        <v>NA</v>
      </c>
      <c r="G229" s="65" t="str">
        <f>IF(VLOOKUP($A229,SiteAttendu!$A$2:$O$366,7,0)="NA","NA",COUNTIFS(soccode,A229,socprog,"PNLS/CHARGES VIRALES",socprompt,1))</f>
        <v>NA</v>
      </c>
      <c r="H229" s="65">
        <f>IF(VLOOKUP($A229,SiteAttendu!$A$2:$O$366,9,0)="NA","NA",COUNTIFS(soccode,A229,socprog,"PNLP/MEDICAMENTS ET INTRANTS",socprompt,1))</f>
        <v>0</v>
      </c>
      <c r="I229" s="65">
        <f>IF(VLOOKUP($A229,SiteAttendu!$A$2:$O$366,10,0)="NA","NA",COUNTIFS(soccode,$A229,socprog,"PNSME/MEDICAMENTS ET INTRANTS",socprompt,1))</f>
        <v>0</v>
      </c>
      <c r="J229" s="65" t="str">
        <f>IF(VLOOKUP($A229,SiteAttendu!$A$2:$O$366,11,0)="NA","NA",COUNTIFS(soccode,$A229,socprog,"PNN/MEDICAMENTS ET INTRANTS",socprompt,1))</f>
        <v>NA</v>
      </c>
      <c r="K229" s="65">
        <f>IF(VLOOKUP($A229,SiteAttendu!$A$2:$O$366,15,0)="NA","NA",IF(COUNTIF(socprog,"PNLT/SENSIBLE MEDICAMENTS ET INTRANTS")=0,"NA",COUNTIFS(soccode,$A229,socprog,"PNLT/SENSIBLE MEDICAMENTS ET INTRANTS",socprompt,1)))</f>
        <v>0</v>
      </c>
      <c r="L229" s="67"/>
      <c r="M229" s="86">
        <f t="shared" ref="M229:S229" si="231">IFERROR(SUMIFS(E$2:E$364,$C$2:$C$364,$C229)/COUNTIFS(E$2:E$364,"&lt;&gt;NA",$C$2:$C$364,$C229),"")</f>
        <v>0.8888888889</v>
      </c>
      <c r="N229" s="86">
        <f t="shared" si="231"/>
        <v>1</v>
      </c>
      <c r="O229" s="86">
        <f t="shared" si="231"/>
        <v>1</v>
      </c>
      <c r="P229" s="86">
        <f t="shared" si="231"/>
        <v>0.7777777778</v>
      </c>
      <c r="Q229" s="86">
        <f t="shared" si="231"/>
        <v>0.7777777778</v>
      </c>
      <c r="R229" s="86">
        <f t="shared" si="231"/>
        <v>1</v>
      </c>
      <c r="S229" s="86">
        <f t="shared" si="231"/>
        <v>0.875</v>
      </c>
      <c r="T229" s="128">
        <f t="shared" si="3"/>
        <v>0.9285714286</v>
      </c>
      <c r="U229" s="53">
        <f t="shared" si="4"/>
        <v>0</v>
      </c>
      <c r="V229" s="54">
        <f t="shared" si="5"/>
        <v>2</v>
      </c>
    </row>
    <row r="230" ht="15.75" customHeight="1">
      <c r="A230" s="46" t="str">
        <f>SiteAttendu!$A230</f>
        <v>C4011</v>
      </c>
      <c r="B230" s="47" t="str">
        <f>VLOOKUP($A230,SiteAttendu!$A$2:$C$366,2,0)</f>
        <v>DISTRICT SANITAIRE DAOUKRO</v>
      </c>
      <c r="C230" s="48" t="str">
        <f>VLOOKUP($A230,SiteAttendu!$A$2:$C$366,3,0)</f>
        <v>IFFOU</v>
      </c>
      <c r="D230" s="49">
        <f>IF(VLOOKUP(A230,SiteAttendu!$A$2:$P$366,4,0)="NA","NA",COUNTIFS(soccode,A230,socprog,"PNLS/ANTIRETROVIRAUX ET IO",socprompt,1))</f>
        <v>1</v>
      </c>
      <c r="E230" s="49">
        <f>IF(VLOOKUP($A230,SiteAttendu!$A$2:$O$366,5,0)="NA","NA",COUNTIFS(soccode,A230,socprog,"PNLS/TESTS RAPIDES ET CONSOMMABLES",socprompt,1))</f>
        <v>1</v>
      </c>
      <c r="F230" s="49">
        <f>IF(VLOOKUP($A230,SiteAttendu!$A$2:$O$366,6,0)="NA","NA",COUNTIFS(soccode,A230,socprog,"PNLS/PRODUITS DE LABORATOIRE",socprompt,1))</f>
        <v>0</v>
      </c>
      <c r="G230" s="49" t="str">
        <f>IF(VLOOKUP($A230,SiteAttendu!$A$2:$O$366,7,0)="NA","NA",COUNTIFS(soccode,A230,socprog,"PNLS/CHARGES VIRALES",socprompt,1))</f>
        <v>NA</v>
      </c>
      <c r="H230" s="49">
        <f>IF(VLOOKUP($A230,SiteAttendu!$A$2:$O$366,9,0)="NA","NA",COUNTIFS(soccode,A230,socprog,"PNLP/MEDICAMENTS ET INTRANTS",socprompt,1))</f>
        <v>1</v>
      </c>
      <c r="I230" s="49">
        <f>IF(VLOOKUP($A230,SiteAttendu!$A$2:$O$366,10,0)="NA","NA",COUNTIFS(soccode,$A230,socprog,"PNSME/MEDICAMENTS ET INTRANTS",socprompt,1))</f>
        <v>1</v>
      </c>
      <c r="J230" s="49" t="str">
        <f>IF(VLOOKUP($A230,SiteAttendu!$A$2:$O$366,11,0)="NA","NA",COUNTIFS(soccode,$A230,socprog,"PNN/MEDICAMENTS ET INTRANTS",socprompt,1))</f>
        <v>NA</v>
      </c>
      <c r="K230" s="49">
        <f>IF(VLOOKUP($A230,SiteAttendu!$A$2:$O$366,15,0)="NA","NA",IF(COUNTIF(socprog,"PNLT/SENSIBLE MEDICAMENTS ET INTRANTS")=0,"NA",COUNTIFS(soccode,$A230,socprog,"PNLT/SENSIBLE MEDICAMENTS ET INTRANTS",socprompt,1)))</f>
        <v>1</v>
      </c>
      <c r="L230" s="51">
        <f t="shared" ref="L230:S230" si="232">IFERROR(SUMIFS(D$2:D$364,$C$2:$C$364,$C230)/COUNTIFS(D$2:D$364,"&lt;&gt;NA",$C$2:$C$364,$C230),"")</f>
        <v>1</v>
      </c>
      <c r="M230" s="125">
        <f t="shared" si="232"/>
        <v>0.8333333333</v>
      </c>
      <c r="N230" s="125">
        <f t="shared" si="232"/>
        <v>0.75</v>
      </c>
      <c r="O230" s="125">
        <f t="shared" si="232"/>
        <v>1</v>
      </c>
      <c r="P230" s="125">
        <f t="shared" si="232"/>
        <v>1</v>
      </c>
      <c r="Q230" s="125">
        <f t="shared" si="232"/>
        <v>1</v>
      </c>
      <c r="R230" s="125">
        <f t="shared" si="232"/>
        <v>1</v>
      </c>
      <c r="S230" s="125">
        <f t="shared" si="232"/>
        <v>0.75</v>
      </c>
      <c r="T230" s="126">
        <f t="shared" si="3"/>
        <v>0.8823529412</v>
      </c>
      <c r="U230" s="53">
        <f t="shared" si="4"/>
        <v>2</v>
      </c>
      <c r="V230" s="54">
        <f t="shared" si="5"/>
        <v>3</v>
      </c>
    </row>
    <row r="231" ht="15.75" customHeight="1">
      <c r="A231" s="55" t="str">
        <f>SiteAttendu!$A231</f>
        <v>C4019</v>
      </c>
      <c r="B231" s="56" t="str">
        <f>VLOOKUP($A231,SiteAttendu!$A$2:$C$366,2,0)</f>
        <v>HOPITAL GENERAL DAOUKRO</v>
      </c>
      <c r="C231" s="57" t="str">
        <f>VLOOKUP($A231,SiteAttendu!$A$2:$C$366,3,0)</f>
        <v>IFFOU</v>
      </c>
      <c r="D231" s="58">
        <f>IF(VLOOKUP(A231,SiteAttendu!$A$2:$P$366,4,0)="NA","NA",COUNTIFS(soccode,A231,socprog,"PNLS/ANTIRETROVIRAUX ET IO",socprompt,1))</f>
        <v>1</v>
      </c>
      <c r="E231" s="58">
        <f>IF(VLOOKUP($A231,SiteAttendu!$A$2:$O$366,5,0)="NA","NA",COUNTIFS(soccode,A231,socprog,"PNLS/TESTS RAPIDES ET CONSOMMABLES",socprompt,1))</f>
        <v>1</v>
      </c>
      <c r="F231" s="58">
        <f>IF(VLOOKUP($A231,SiteAttendu!$A$2:$O$366,6,0)="NA","NA",COUNTIFS(soccode,A231,socprog,"PNLS/PRODUITS DE LABORATOIRE",socprompt,1))</f>
        <v>1</v>
      </c>
      <c r="G231" s="58">
        <f>IF(VLOOKUP($A231,SiteAttendu!$A$2:$O$366,7,0)="NA","NA",COUNTIFS(soccode,A231,socprog,"PNLS/CHARGES VIRALES",socprompt,1))</f>
        <v>1</v>
      </c>
      <c r="H231" s="58">
        <f>IF(VLOOKUP($A231,SiteAttendu!$A$2:$O$366,9,0)="NA","NA",COUNTIFS(soccode,A231,socprog,"PNLP/MEDICAMENTS ET INTRANTS",socprompt,1))</f>
        <v>1</v>
      </c>
      <c r="I231" s="58">
        <f>IF(VLOOKUP($A231,SiteAttendu!$A$2:$O$366,10,0)="NA","NA",COUNTIFS(soccode,$A231,socprog,"PNSME/MEDICAMENTS ET INTRANTS",socprompt,1))</f>
        <v>1</v>
      </c>
      <c r="J231" s="58" t="str">
        <f>IF(VLOOKUP($A231,SiteAttendu!$A$2:$O$366,11,0)="NA","NA",COUNTIFS(soccode,$A231,socprog,"PNN/MEDICAMENTS ET INTRANTS",socprompt,1))</f>
        <v>NA</v>
      </c>
      <c r="K231" s="58" t="str">
        <f>IF(VLOOKUP($A231,SiteAttendu!$A$2:$O$366,15,0)="NA","NA",IF(COUNTIF(socprog,"PNLT/SENSIBLE MEDICAMENTS ET INTRANTS")=0,"NA",COUNTIFS(soccode,$A231,socprog,"PNLT/SENSIBLE MEDICAMENTS ET INTRANTS",socprompt,1)))</f>
        <v>NA</v>
      </c>
      <c r="L231" s="60"/>
      <c r="M231" s="85">
        <f t="shared" ref="M231:S231" si="233">IFERROR(SUMIFS(E$2:E$364,$C$2:$C$364,$C231)/COUNTIFS(E$2:E$364,"&lt;&gt;NA",$C$2:$C$364,$C231),"")</f>
        <v>0.8333333333</v>
      </c>
      <c r="N231" s="85">
        <f t="shared" si="233"/>
        <v>0.75</v>
      </c>
      <c r="O231" s="85">
        <f t="shared" si="233"/>
        <v>1</v>
      </c>
      <c r="P231" s="85">
        <f t="shared" si="233"/>
        <v>1</v>
      </c>
      <c r="Q231" s="85">
        <f t="shared" si="233"/>
        <v>1</v>
      </c>
      <c r="R231" s="85">
        <f t="shared" si="233"/>
        <v>1</v>
      </c>
      <c r="S231" s="85">
        <f t="shared" si="233"/>
        <v>0.75</v>
      </c>
      <c r="T231" s="127">
        <f t="shared" si="3"/>
        <v>0.8823529412</v>
      </c>
      <c r="U231" s="53">
        <f t="shared" si="4"/>
        <v>4</v>
      </c>
      <c r="V231" s="54">
        <f t="shared" si="5"/>
        <v>4</v>
      </c>
    </row>
    <row r="232" ht="15.75" customHeight="1">
      <c r="A232" s="55" t="str">
        <f>SiteAttendu!$A232</f>
        <v>C4024</v>
      </c>
      <c r="B232" s="56" t="str">
        <f>VLOOKUP($A232,SiteAttendu!$A$2:$C$366,2,0)</f>
        <v>CSU OUELLE</v>
      </c>
      <c r="C232" s="57" t="str">
        <f>VLOOKUP($A232,SiteAttendu!$A$2:$C$366,3,0)</f>
        <v>IFFOU</v>
      </c>
      <c r="D232" s="58" t="str">
        <f>IF(VLOOKUP(A232,SiteAttendu!$A$2:$P$366,4,0)="NA","NA",COUNTIFS(soccode,A232,socprog,"PNLS/ANTIRETROVIRAUX ET IO",socprompt,1))</f>
        <v>NA</v>
      </c>
      <c r="E232" s="58" t="str">
        <f>IF(VLOOKUP($A232,SiteAttendu!$A$2:$O$366,5,0)="NA","NA",COUNTIFS(soccode,A232,socprog,"PNLS/TESTS RAPIDES ET CONSOMMABLES",socprompt,1))</f>
        <v>NA</v>
      </c>
      <c r="F232" s="58" t="str">
        <f>IF(VLOOKUP($A232,SiteAttendu!$A$2:$O$366,6,0)="NA","NA",COUNTIFS(soccode,A232,socprog,"PNLS/PRODUITS DE LABORATOIRE",socprompt,1))</f>
        <v>NA</v>
      </c>
      <c r="G232" s="58" t="str">
        <f>IF(VLOOKUP($A232,SiteAttendu!$A$2:$O$366,7,0)="NA","NA",COUNTIFS(soccode,A232,socprog,"PNLS/CHARGES VIRALES",socprompt,1))</f>
        <v>NA</v>
      </c>
      <c r="H232" s="58">
        <f>IF(VLOOKUP($A232,SiteAttendu!$A$2:$O$366,9,0)="NA","NA",COUNTIFS(soccode,A232,socprog,"PNLP/MEDICAMENTS ET INTRANTS",socprompt,1))</f>
        <v>1</v>
      </c>
      <c r="I232" s="58">
        <f>IF(VLOOKUP($A232,SiteAttendu!$A$2:$O$366,10,0)="NA","NA",COUNTIFS(soccode,$A232,socprog,"PNSME/MEDICAMENTS ET INTRANTS",socprompt,1))</f>
        <v>1</v>
      </c>
      <c r="J232" s="58" t="str">
        <f>IF(VLOOKUP($A232,SiteAttendu!$A$2:$O$366,11,0)="NA","NA",COUNTIFS(soccode,$A232,socprog,"PNN/MEDICAMENTS ET INTRANTS",socprompt,1))</f>
        <v>NA</v>
      </c>
      <c r="K232" s="58">
        <f>IF(VLOOKUP($A232,SiteAttendu!$A$2:$O$366,15,0)="NA","NA",IF(COUNTIF(socprog,"PNLT/SENSIBLE MEDICAMENTS ET INTRANTS")=0,"NA",COUNTIFS(soccode,$A232,socprog,"PNLT/SENSIBLE MEDICAMENTS ET INTRANTS",socprompt,1)))</f>
        <v>1</v>
      </c>
      <c r="L232" s="60"/>
      <c r="M232" s="85">
        <f t="shared" ref="M232:S232" si="234">IFERROR(SUMIFS(E$2:E$364,$C$2:$C$364,$C232)/COUNTIFS(E$2:E$364,"&lt;&gt;NA",$C$2:$C$364,$C232),"")</f>
        <v>0.8333333333</v>
      </c>
      <c r="N232" s="85">
        <f t="shared" si="234"/>
        <v>0.75</v>
      </c>
      <c r="O232" s="85">
        <f t="shared" si="234"/>
        <v>1</v>
      </c>
      <c r="P232" s="85">
        <f t="shared" si="234"/>
        <v>1</v>
      </c>
      <c r="Q232" s="85">
        <f t="shared" si="234"/>
        <v>1</v>
      </c>
      <c r="R232" s="85">
        <f t="shared" si="234"/>
        <v>1</v>
      </c>
      <c r="S232" s="85">
        <f t="shared" si="234"/>
        <v>0.75</v>
      </c>
      <c r="T232" s="127">
        <f t="shared" si="3"/>
        <v>0.8823529412</v>
      </c>
      <c r="U232" s="53">
        <f t="shared" si="4"/>
        <v>0</v>
      </c>
      <c r="V232" s="54">
        <f t="shared" si="5"/>
        <v>0</v>
      </c>
    </row>
    <row r="233" ht="15.75" customHeight="1">
      <c r="A233" s="55" t="str">
        <f>SiteAttendu!$A233</f>
        <v>C4093</v>
      </c>
      <c r="B233" s="56" t="str">
        <f>VLOOKUP($A233,SiteAttendu!$A$2:$C$366,2,0)</f>
        <v>CENTRE ANTITUBERCULEUX DAOUKRO</v>
      </c>
      <c r="C233" s="57" t="str">
        <f>VLOOKUP($A233,SiteAttendu!$A$2:$C$366,3,0)</f>
        <v>IFFOU</v>
      </c>
      <c r="D233" s="58" t="str">
        <f>IF(VLOOKUP(A233,SiteAttendu!$A$2:$P$366,4,0)="NA","NA",COUNTIFS(soccode,A233,socprog,"PNLS/ANTIRETROVIRAUX ET IO",socprompt,1))</f>
        <v>NA</v>
      </c>
      <c r="E233" s="58" t="str">
        <f>IF(VLOOKUP($A233,SiteAttendu!$A$2:$O$366,5,0)="NA","NA",COUNTIFS(soccode,A233,socprog,"PNLS/TESTS RAPIDES ET CONSOMMABLES",socprompt,1))</f>
        <v>NA</v>
      </c>
      <c r="F233" s="58" t="str">
        <f>IF(VLOOKUP($A233,SiteAttendu!$A$2:$O$366,6,0)="NA","NA",COUNTIFS(soccode,A233,socprog,"PNLS/PRODUITS DE LABORATOIRE",socprompt,1))</f>
        <v>NA</v>
      </c>
      <c r="G233" s="58" t="str">
        <f>IF(VLOOKUP($A233,SiteAttendu!$A$2:$O$366,7,0)="NA","NA",COUNTIFS(soccode,A233,socprog,"PNLS/CHARGES VIRALES",socprompt,1))</f>
        <v>NA</v>
      </c>
      <c r="H233" s="58" t="str">
        <f>IF(VLOOKUP($A233,SiteAttendu!$A$2:$O$366,9,0)="NA","NA",COUNTIFS(soccode,A233,socprog,"PNLP/MEDICAMENTS ET INTRANTS",socprompt,1))</f>
        <v>NA</v>
      </c>
      <c r="I233" s="58" t="str">
        <f>IF(VLOOKUP($A233,SiteAttendu!$A$2:$O$366,10,0)="NA","NA",COUNTIFS(soccode,$A233,socprog,"PNSME/MEDICAMENTS ET INTRANTS",socprompt,1))</f>
        <v>NA</v>
      </c>
      <c r="J233" s="58" t="str">
        <f>IF(VLOOKUP($A233,SiteAttendu!$A$2:$O$366,11,0)="NA","NA",COUNTIFS(soccode,$A233,socprog,"PNN/MEDICAMENTS ET INTRANTS",socprompt,1))</f>
        <v>NA</v>
      </c>
      <c r="K233" s="58" t="str">
        <f>IF(VLOOKUP($A233,SiteAttendu!$A$2:$O$366,15,0)="NA","NA",IF(COUNTIF(socprog,"PNLT/SENSIBLE MEDICAMENTS ET INTRANTS")=0,"NA",COUNTIFS(soccode,$A233,socprog,"PNLT/SENSIBLE MEDICAMENTS ET INTRANTS",socprompt,1)))</f>
        <v>NA</v>
      </c>
      <c r="L233" s="60"/>
      <c r="M233" s="85">
        <f t="shared" ref="M233:S233" si="235">IFERROR(SUMIFS(E$2:E$364,$C$2:$C$364,$C233)/COUNTIFS(E$2:E$364,"&lt;&gt;NA",$C$2:$C$364,$C233),"")</f>
        <v>0.8333333333</v>
      </c>
      <c r="N233" s="85">
        <f t="shared" si="235"/>
        <v>0.75</v>
      </c>
      <c r="O233" s="85">
        <f t="shared" si="235"/>
        <v>1</v>
      </c>
      <c r="P233" s="85">
        <f t="shared" si="235"/>
        <v>1</v>
      </c>
      <c r="Q233" s="85">
        <f t="shared" si="235"/>
        <v>1</v>
      </c>
      <c r="R233" s="85">
        <f t="shared" si="235"/>
        <v>1</v>
      </c>
      <c r="S233" s="85">
        <f t="shared" si="235"/>
        <v>0.75</v>
      </c>
      <c r="T233" s="127">
        <f t="shared" si="3"/>
        <v>0.8823529412</v>
      </c>
      <c r="U233" s="53">
        <f t="shared" si="4"/>
        <v>0</v>
      </c>
      <c r="V233" s="54">
        <f t="shared" si="5"/>
        <v>0</v>
      </c>
    </row>
    <row r="234" ht="15.75" customHeight="1">
      <c r="A234" s="55" t="str">
        <f>SiteAttendu!$A234</f>
        <v>C4012</v>
      </c>
      <c r="B234" s="56" t="str">
        <f>VLOOKUP($A234,SiteAttendu!$A$2:$C$366,2,0)</f>
        <v>DISTRICT SANITAIRE MBAHIAKRO</v>
      </c>
      <c r="C234" s="57" t="str">
        <f>VLOOKUP($A234,SiteAttendu!$A$2:$C$366,3,0)</f>
        <v>IFFOU</v>
      </c>
      <c r="D234" s="58">
        <f>IF(VLOOKUP(A234,SiteAttendu!$A$2:$P$366,4,0)="NA","NA",COUNTIFS(soccode,A234,socprog,"PNLS/ANTIRETROVIRAUX ET IO",socprompt,1))</f>
        <v>1</v>
      </c>
      <c r="E234" s="58">
        <f>IF(VLOOKUP($A234,SiteAttendu!$A$2:$O$366,5,0)="NA","NA",COUNTIFS(soccode,A234,socprog,"PNLS/TESTS RAPIDES ET CONSOMMABLES",socprompt,1))</f>
        <v>0</v>
      </c>
      <c r="F234" s="58" t="str">
        <f>IF(VLOOKUP($A234,SiteAttendu!$A$2:$O$366,6,0)="NA","NA",COUNTIFS(soccode,A234,socprog,"PNLS/PRODUITS DE LABORATOIRE",socprompt,1))</f>
        <v>NA</v>
      </c>
      <c r="G234" s="58" t="str">
        <f>IF(VLOOKUP($A234,SiteAttendu!$A$2:$O$366,7,0)="NA","NA",COUNTIFS(soccode,A234,socprog,"PNLS/CHARGES VIRALES",socprompt,1))</f>
        <v>NA</v>
      </c>
      <c r="H234" s="58">
        <f>IF(VLOOKUP($A234,SiteAttendu!$A$2:$O$366,9,0)="NA","NA",COUNTIFS(soccode,A234,socprog,"PNLP/MEDICAMENTS ET INTRANTS",socprompt,1))</f>
        <v>1</v>
      </c>
      <c r="I234" s="58">
        <f>IF(VLOOKUP($A234,SiteAttendu!$A$2:$O$366,10,0)="NA","NA",COUNTIFS(soccode,$A234,socprog,"PNSME/MEDICAMENTS ET INTRANTS",socprompt,1))</f>
        <v>1</v>
      </c>
      <c r="J234" s="58">
        <f>IF(VLOOKUP($A234,SiteAttendu!$A$2:$O$366,11,0)="NA","NA",COUNTIFS(soccode,$A234,socprog,"PNN/MEDICAMENTS ET INTRANTS",socprompt,1))</f>
        <v>1</v>
      </c>
      <c r="K234" s="58">
        <f>IF(VLOOKUP($A234,SiteAttendu!$A$2:$O$366,15,0)="NA","NA",IF(COUNTIF(socprog,"PNLT/SENSIBLE MEDICAMENTS ET INTRANTS")=0,"NA",COUNTIFS(soccode,$A234,socprog,"PNLT/SENSIBLE MEDICAMENTS ET INTRANTS",socprompt,1)))</f>
        <v>1</v>
      </c>
      <c r="L234" s="60"/>
      <c r="M234" s="85">
        <f t="shared" ref="M234:S234" si="236">IFERROR(SUMIFS(E$2:E$364,$C$2:$C$364,$C234)/COUNTIFS(E$2:E$364,"&lt;&gt;NA",$C$2:$C$364,$C234),"")</f>
        <v>0.8333333333</v>
      </c>
      <c r="N234" s="85">
        <f t="shared" si="236"/>
        <v>0.75</v>
      </c>
      <c r="O234" s="85">
        <f t="shared" si="236"/>
        <v>1</v>
      </c>
      <c r="P234" s="85">
        <f t="shared" si="236"/>
        <v>1</v>
      </c>
      <c r="Q234" s="85">
        <f t="shared" si="236"/>
        <v>1</v>
      </c>
      <c r="R234" s="85">
        <f t="shared" si="236"/>
        <v>1</v>
      </c>
      <c r="S234" s="85">
        <f t="shared" si="236"/>
        <v>0.75</v>
      </c>
      <c r="T234" s="127">
        <f t="shared" si="3"/>
        <v>0.8823529412</v>
      </c>
      <c r="U234" s="53">
        <f t="shared" si="4"/>
        <v>1</v>
      </c>
      <c r="V234" s="54">
        <f t="shared" si="5"/>
        <v>2</v>
      </c>
    </row>
    <row r="235" ht="15.75" customHeight="1">
      <c r="A235" s="55" t="str">
        <f>SiteAttendu!$A235</f>
        <v>C4022</v>
      </c>
      <c r="B235" s="56" t="str">
        <f>VLOOKUP($A235,SiteAttendu!$A$2:$C$366,2,0)</f>
        <v>HOPITAL GENERAL MBAHIAKRO</v>
      </c>
      <c r="C235" s="57" t="str">
        <f>VLOOKUP($A235,SiteAttendu!$A$2:$C$366,3,0)</f>
        <v>IFFOU</v>
      </c>
      <c r="D235" s="58">
        <f>IF(VLOOKUP(A235,SiteAttendu!$A$2:$P$366,4,0)="NA","NA",COUNTIFS(soccode,A235,socprog,"PNLS/ANTIRETROVIRAUX ET IO",socprompt,1))</f>
        <v>1</v>
      </c>
      <c r="E235" s="58">
        <f>IF(VLOOKUP($A235,SiteAttendu!$A$2:$O$366,5,0)="NA","NA",COUNTIFS(soccode,A235,socprog,"PNLS/TESTS RAPIDES ET CONSOMMABLES",socprompt,1))</f>
        <v>1</v>
      </c>
      <c r="F235" s="58">
        <f>IF(VLOOKUP($A235,SiteAttendu!$A$2:$O$366,6,0)="NA","NA",COUNTIFS(soccode,A235,socprog,"PNLS/PRODUITS DE LABORATOIRE",socprompt,1))</f>
        <v>1</v>
      </c>
      <c r="G235" s="58" t="str">
        <f>IF(VLOOKUP($A235,SiteAttendu!$A$2:$O$366,7,0)="NA","NA",COUNTIFS(soccode,A235,socprog,"PNLS/CHARGES VIRALES",socprompt,1))</f>
        <v>NA</v>
      </c>
      <c r="H235" s="58">
        <f>IF(VLOOKUP($A235,SiteAttendu!$A$2:$O$366,9,0)="NA","NA",COUNTIFS(soccode,A235,socprog,"PNLP/MEDICAMENTS ET INTRANTS",socprompt,1))</f>
        <v>1</v>
      </c>
      <c r="I235" s="58">
        <f>IF(VLOOKUP($A235,SiteAttendu!$A$2:$O$366,10,0)="NA","NA",COUNTIFS(soccode,$A235,socprog,"PNSME/MEDICAMENTS ET INTRANTS",socprompt,1))</f>
        <v>1</v>
      </c>
      <c r="J235" s="58">
        <f>IF(VLOOKUP($A235,SiteAttendu!$A$2:$O$366,11,0)="NA","NA",COUNTIFS(soccode,$A235,socprog,"PNN/MEDICAMENTS ET INTRANTS",socprompt,1))</f>
        <v>1</v>
      </c>
      <c r="K235" s="58" t="str">
        <f>IF(VLOOKUP($A235,SiteAttendu!$A$2:$O$366,15,0)="NA","NA",IF(COUNTIF(socprog,"PNLT/SENSIBLE MEDICAMENTS ET INTRANTS")=0,"NA",COUNTIFS(soccode,$A235,socprog,"PNLT/SENSIBLE MEDICAMENTS ET INTRANTS",socprompt,1)))</f>
        <v>NA</v>
      </c>
      <c r="L235" s="60"/>
      <c r="M235" s="85">
        <f t="shared" ref="M235:S235" si="237">IFERROR(SUMIFS(E$2:E$364,$C$2:$C$364,$C235)/COUNTIFS(E$2:E$364,"&lt;&gt;NA",$C$2:$C$364,$C235),"")</f>
        <v>0.8333333333</v>
      </c>
      <c r="N235" s="85">
        <f t="shared" si="237"/>
        <v>0.75</v>
      </c>
      <c r="O235" s="85">
        <f t="shared" si="237"/>
        <v>1</v>
      </c>
      <c r="P235" s="85">
        <f t="shared" si="237"/>
        <v>1</v>
      </c>
      <c r="Q235" s="85">
        <f t="shared" si="237"/>
        <v>1</v>
      </c>
      <c r="R235" s="85">
        <f t="shared" si="237"/>
        <v>1</v>
      </c>
      <c r="S235" s="85">
        <f t="shared" si="237"/>
        <v>0.75</v>
      </c>
      <c r="T235" s="127">
        <f t="shared" si="3"/>
        <v>0.8823529412</v>
      </c>
      <c r="U235" s="53">
        <f t="shared" si="4"/>
        <v>3</v>
      </c>
      <c r="V235" s="54">
        <f t="shared" si="5"/>
        <v>3</v>
      </c>
    </row>
    <row r="236" ht="15.75" customHeight="1">
      <c r="A236" s="55" t="str">
        <f>SiteAttendu!$A236</f>
        <v>C4025</v>
      </c>
      <c r="B236" s="56" t="str">
        <f>VLOOKUP($A236,SiteAttendu!$A$2:$C$366,2,0)</f>
        <v>HOPITAL GENERAL PRIKRO</v>
      </c>
      <c r="C236" s="57" t="str">
        <f>VLOOKUP($A236,SiteAttendu!$A$2:$C$366,3,0)</f>
        <v>IFFOU</v>
      </c>
      <c r="D236" s="58">
        <f>IF(VLOOKUP(A236,SiteAttendu!$A$2:$P$366,4,0)="NA","NA",COUNTIFS(soccode,A236,socprog,"PNLS/ANTIRETROVIRAUX ET IO",socprompt,1))</f>
        <v>1</v>
      </c>
      <c r="E236" s="58">
        <f>IF(VLOOKUP($A236,SiteAttendu!$A$2:$O$366,5,0)="NA","NA",COUNTIFS(soccode,A236,socprog,"PNLS/TESTS RAPIDES ET CONSOMMABLES",socprompt,1))</f>
        <v>1</v>
      </c>
      <c r="F236" s="58">
        <f>IF(VLOOKUP($A236,SiteAttendu!$A$2:$O$366,6,0)="NA","NA",COUNTIFS(soccode,A236,socprog,"PNLS/PRODUITS DE LABORATOIRE",socprompt,1))</f>
        <v>1</v>
      </c>
      <c r="G236" s="58" t="str">
        <f>IF(VLOOKUP($A236,SiteAttendu!$A$2:$O$366,7,0)="NA","NA",COUNTIFS(soccode,A236,socprog,"PNLS/CHARGES VIRALES",socprompt,1))</f>
        <v>NA</v>
      </c>
      <c r="H236" s="58">
        <f>IF(VLOOKUP($A236,SiteAttendu!$A$2:$O$366,9,0)="NA","NA",COUNTIFS(soccode,A236,socprog,"PNLP/MEDICAMENTS ET INTRANTS",socprompt,1))</f>
        <v>1</v>
      </c>
      <c r="I236" s="58">
        <f>IF(VLOOKUP($A236,SiteAttendu!$A$2:$O$366,10,0)="NA","NA",COUNTIFS(soccode,$A236,socprog,"PNSME/MEDICAMENTS ET INTRANTS",socprompt,1))</f>
        <v>1</v>
      </c>
      <c r="J236" s="58">
        <f>IF(VLOOKUP($A236,SiteAttendu!$A$2:$O$366,11,0)="NA","NA",COUNTIFS(soccode,$A236,socprog,"PNN/MEDICAMENTS ET INTRANTS",socprompt,1))</f>
        <v>1</v>
      </c>
      <c r="K236" s="58">
        <f>IF(VLOOKUP($A236,SiteAttendu!$A$2:$O$366,15,0)="NA","NA",IF(COUNTIF(socprog,"PNLT/SENSIBLE MEDICAMENTS ET INTRANTS")=0,"NA",COUNTIFS(soccode,$A236,socprog,"PNLT/SENSIBLE MEDICAMENTS ET INTRANTS",socprompt,1)))</f>
        <v>0</v>
      </c>
      <c r="L236" s="60"/>
      <c r="M236" s="85">
        <f t="shared" ref="M236:S236" si="238">IFERROR(SUMIFS(E$2:E$364,$C$2:$C$364,$C236)/COUNTIFS(E$2:E$364,"&lt;&gt;NA",$C$2:$C$364,$C236),"")</f>
        <v>0.8333333333</v>
      </c>
      <c r="N236" s="85">
        <f t="shared" si="238"/>
        <v>0.75</v>
      </c>
      <c r="O236" s="85">
        <f t="shared" si="238"/>
        <v>1</v>
      </c>
      <c r="P236" s="85">
        <f t="shared" si="238"/>
        <v>1</v>
      </c>
      <c r="Q236" s="85">
        <f t="shared" si="238"/>
        <v>1</v>
      </c>
      <c r="R236" s="85">
        <f t="shared" si="238"/>
        <v>1</v>
      </c>
      <c r="S236" s="85">
        <f t="shared" si="238"/>
        <v>0.75</v>
      </c>
      <c r="T236" s="127">
        <f t="shared" si="3"/>
        <v>0.8823529412</v>
      </c>
      <c r="U236" s="53">
        <f t="shared" si="4"/>
        <v>3</v>
      </c>
      <c r="V236" s="54">
        <f t="shared" si="5"/>
        <v>3</v>
      </c>
    </row>
    <row r="237" ht="15.75" customHeight="1">
      <c r="A237" s="62" t="str">
        <f>SiteAttendu!$A237</f>
        <v>C4051</v>
      </c>
      <c r="B237" s="63" t="str">
        <f>VLOOKUP($A237,SiteAttendu!$A$2:$C$366,2,0)</f>
        <v>DISTRICT SANITAIRE PRIKRO</v>
      </c>
      <c r="C237" s="64" t="str">
        <f>VLOOKUP($A237,SiteAttendu!$A$2:$C$366,3,0)</f>
        <v>IFFOU</v>
      </c>
      <c r="D237" s="65">
        <f>IF(VLOOKUP(A237,SiteAttendu!$A$2:$P$366,4,0)="NA","NA",COUNTIFS(soccode,A237,socprog,"PNLS/ANTIRETROVIRAUX ET IO",socprompt,1))</f>
        <v>1</v>
      </c>
      <c r="E237" s="65">
        <f>IF(VLOOKUP($A237,SiteAttendu!$A$2:$O$366,5,0)="NA","NA",COUNTIFS(soccode,A237,socprog,"PNLS/TESTS RAPIDES ET CONSOMMABLES",socprompt,1))</f>
        <v>1</v>
      </c>
      <c r="F237" s="65" t="str">
        <f>IF(VLOOKUP($A237,SiteAttendu!$A$2:$O$366,6,0)="NA","NA",COUNTIFS(soccode,A237,socprog,"PNLS/PRODUITS DE LABORATOIRE",socprompt,1))</f>
        <v>NA</v>
      </c>
      <c r="G237" s="65" t="str">
        <f>IF(VLOOKUP($A237,SiteAttendu!$A$2:$O$366,7,0)="NA","NA",COUNTIFS(soccode,A237,socprog,"PNLS/CHARGES VIRALES",socprompt,1))</f>
        <v>NA</v>
      </c>
      <c r="H237" s="65">
        <f>IF(VLOOKUP($A237,SiteAttendu!$A$2:$O$366,9,0)="NA","NA",COUNTIFS(soccode,A237,socprog,"PNLP/MEDICAMENTS ET INTRANTS",socprompt,1))</f>
        <v>1</v>
      </c>
      <c r="I237" s="65">
        <f>IF(VLOOKUP($A237,SiteAttendu!$A$2:$O$366,10,0)="NA","NA",COUNTIFS(soccode,$A237,socprog,"PNSME/MEDICAMENTS ET INTRANTS",socprompt,1))</f>
        <v>1</v>
      </c>
      <c r="J237" s="65">
        <f>IF(VLOOKUP($A237,SiteAttendu!$A$2:$O$366,11,0)="NA","NA",COUNTIFS(soccode,$A237,socprog,"PNN/MEDICAMENTS ET INTRANTS",socprompt,1))</f>
        <v>1</v>
      </c>
      <c r="K237" s="65" t="str">
        <f>IF(VLOOKUP($A237,SiteAttendu!$A$2:$O$366,15,0)="NA","NA",IF(COUNTIF(socprog,"PNLT/SENSIBLE MEDICAMENTS ET INTRANTS")=0,"NA",COUNTIFS(soccode,$A237,socprog,"PNLT/SENSIBLE MEDICAMENTS ET INTRANTS",socprompt,1)))</f>
        <v>NA</v>
      </c>
      <c r="L237" s="67"/>
      <c r="M237" s="86">
        <f t="shared" ref="M237:S237" si="239">IFERROR(SUMIFS(E$2:E$364,$C$2:$C$364,$C237)/COUNTIFS(E$2:E$364,"&lt;&gt;NA",$C$2:$C$364,$C237),"")</f>
        <v>0.8333333333</v>
      </c>
      <c r="N237" s="86">
        <f t="shared" si="239"/>
        <v>0.75</v>
      </c>
      <c r="O237" s="86">
        <f t="shared" si="239"/>
        <v>1</v>
      </c>
      <c r="P237" s="86">
        <f t="shared" si="239"/>
        <v>1</v>
      </c>
      <c r="Q237" s="86">
        <f t="shared" si="239"/>
        <v>1</v>
      </c>
      <c r="R237" s="86">
        <f t="shared" si="239"/>
        <v>1</v>
      </c>
      <c r="S237" s="86">
        <f t="shared" si="239"/>
        <v>0.75</v>
      </c>
      <c r="T237" s="128">
        <f t="shared" si="3"/>
        <v>0.8823529412</v>
      </c>
      <c r="U237" s="53">
        <f t="shared" si="4"/>
        <v>2</v>
      </c>
      <c r="V237" s="54">
        <f t="shared" si="5"/>
        <v>2</v>
      </c>
    </row>
    <row r="238" ht="15.75" customHeight="1">
      <c r="A238" s="46" t="str">
        <f>SiteAttendu!$A238</f>
        <v>C4001</v>
      </c>
      <c r="B238" s="47" t="str">
        <f>VLOOKUP($A238,SiteAttendu!$A$2:$C$366,2,0)</f>
        <v>CHR ABENGOUROU</v>
      </c>
      <c r="C238" s="48" t="str">
        <f>VLOOKUP($A238,SiteAttendu!$A$2:$C$366,3,0)</f>
        <v>INDENIE-DJUABLIN</v>
      </c>
      <c r="D238" s="49">
        <f>IF(VLOOKUP(A238,SiteAttendu!$A$2:$P$366,4,0)="NA","NA",COUNTIFS(soccode,A238,socprog,"PNLS/ANTIRETROVIRAUX ET IO",socprompt,1))</f>
        <v>1</v>
      </c>
      <c r="E238" s="49">
        <f>IF(VLOOKUP($A238,SiteAttendu!$A$2:$O$366,5,0)="NA","NA",COUNTIFS(soccode,A238,socprog,"PNLS/TESTS RAPIDES ET CONSOMMABLES",socprompt,1))</f>
        <v>1</v>
      </c>
      <c r="F238" s="49">
        <f>IF(VLOOKUP($A238,SiteAttendu!$A$2:$O$366,6,0)="NA","NA",COUNTIFS(soccode,A238,socprog,"PNLS/PRODUITS DE LABORATOIRE",socprompt,1))</f>
        <v>1</v>
      </c>
      <c r="G238" s="49">
        <f>IF(VLOOKUP($A238,SiteAttendu!$A$2:$O$366,7,0)="NA","NA",COUNTIFS(soccode,A238,socprog,"PNLS/CHARGES VIRALES",socprompt,1))</f>
        <v>1</v>
      </c>
      <c r="H238" s="49">
        <f>IF(VLOOKUP($A238,SiteAttendu!$A$2:$O$366,9,0)="NA","NA",COUNTIFS(soccode,A238,socprog,"PNLP/MEDICAMENTS ET INTRANTS",socprompt,1))</f>
        <v>1</v>
      </c>
      <c r="I238" s="49">
        <f>IF(VLOOKUP($A238,SiteAttendu!$A$2:$O$366,10,0)="NA","NA",COUNTIFS(soccode,$A238,socprog,"PNSME/MEDICAMENTS ET INTRANTS",socprompt,1))</f>
        <v>1</v>
      </c>
      <c r="J238" s="49" t="str">
        <f>IF(VLOOKUP($A238,SiteAttendu!$A$2:$O$366,11,0)="NA","NA",COUNTIFS(soccode,$A238,socprog,"PNN/MEDICAMENTS ET INTRANTS",socprompt,1))</f>
        <v>NA</v>
      </c>
      <c r="K238" s="49" t="str">
        <f>IF(VLOOKUP($A238,SiteAttendu!$A$2:$O$366,15,0)="NA","NA",IF(COUNTIF(socprog,"PNLT/SENSIBLE MEDICAMENTS ET INTRANTS")=0,"NA",COUNTIFS(soccode,$A238,socprog,"PNLT/SENSIBLE MEDICAMENTS ET INTRANTS",socprompt,1)))</f>
        <v>NA</v>
      </c>
      <c r="L238" s="51">
        <f t="shared" ref="L238:S238" si="240">IFERROR(SUMIFS(D$2:D$364,$C$2:$C$364,$C238)/COUNTIFS(D$2:D$364,"&lt;&gt;NA",$C$2:$C$364,$C238),"")</f>
        <v>1</v>
      </c>
      <c r="M238" s="125">
        <f t="shared" si="240"/>
        <v>0.8333333333</v>
      </c>
      <c r="N238" s="125">
        <f t="shared" si="240"/>
        <v>1</v>
      </c>
      <c r="O238" s="125">
        <f t="shared" si="240"/>
        <v>1</v>
      </c>
      <c r="P238" s="125">
        <f t="shared" si="240"/>
        <v>1</v>
      </c>
      <c r="Q238" s="125">
        <f t="shared" si="240"/>
        <v>0.8571428571</v>
      </c>
      <c r="R238" s="125" t="str">
        <f t="shared" si="240"/>
        <v/>
      </c>
      <c r="S238" s="125">
        <f t="shared" si="240"/>
        <v>0.7142857143</v>
      </c>
      <c r="T238" s="126">
        <f t="shared" si="3"/>
        <v>0.9444444444</v>
      </c>
      <c r="U238" s="53">
        <f t="shared" si="4"/>
        <v>4</v>
      </c>
      <c r="V238" s="54">
        <f t="shared" si="5"/>
        <v>4</v>
      </c>
    </row>
    <row r="239" ht="15.75" customHeight="1">
      <c r="A239" s="55" t="str">
        <f>SiteAttendu!$A239</f>
        <v>C4004</v>
      </c>
      <c r="B239" s="56" t="str">
        <f>VLOOKUP($A239,SiteAttendu!$A$2:$C$366,2,0)</f>
        <v>DISTRICT SANITAIRE ABENGOUROU</v>
      </c>
      <c r="C239" s="57" t="str">
        <f>VLOOKUP($A239,SiteAttendu!$A$2:$C$366,3,0)</f>
        <v>INDENIE-DJUABLIN</v>
      </c>
      <c r="D239" s="58">
        <f>IF(VLOOKUP(A239,SiteAttendu!$A$2:$P$366,4,0)="NA","NA",COUNTIFS(soccode,A239,socprog,"PNLS/ANTIRETROVIRAUX ET IO",socprompt,1))</f>
        <v>1</v>
      </c>
      <c r="E239" s="58">
        <f>IF(VLOOKUP($A239,SiteAttendu!$A$2:$O$366,5,0)="NA","NA",COUNTIFS(soccode,A239,socprog,"PNLS/TESTS RAPIDES ET CONSOMMABLES",socprompt,1))</f>
        <v>1</v>
      </c>
      <c r="F239" s="58">
        <f>IF(VLOOKUP($A239,SiteAttendu!$A$2:$O$366,6,0)="NA","NA",COUNTIFS(soccode,A239,socprog,"PNLS/PRODUITS DE LABORATOIRE",socprompt,1))</f>
        <v>1</v>
      </c>
      <c r="G239" s="58" t="str">
        <f>IF(VLOOKUP($A239,SiteAttendu!$A$2:$O$366,7,0)="NA","NA",COUNTIFS(soccode,A239,socprog,"PNLS/CHARGES VIRALES",socprompt,1))</f>
        <v>NA</v>
      </c>
      <c r="H239" s="58">
        <f>IF(VLOOKUP($A239,SiteAttendu!$A$2:$O$366,9,0)="NA","NA",COUNTIFS(soccode,A239,socprog,"PNLP/MEDICAMENTS ET INTRANTS",socprompt,1))</f>
        <v>1</v>
      </c>
      <c r="I239" s="58">
        <f>IF(VLOOKUP($A239,SiteAttendu!$A$2:$O$366,10,0)="NA","NA",COUNTIFS(soccode,$A239,socprog,"PNSME/MEDICAMENTS ET INTRANTS",socprompt,1))</f>
        <v>1</v>
      </c>
      <c r="J239" s="58" t="str">
        <f>IF(VLOOKUP($A239,SiteAttendu!$A$2:$O$366,11,0)="NA","NA",COUNTIFS(soccode,$A239,socprog,"PNN/MEDICAMENTS ET INTRANTS",socprompt,1))</f>
        <v>NA</v>
      </c>
      <c r="K239" s="58">
        <f>IF(VLOOKUP($A239,SiteAttendu!$A$2:$O$366,15,0)="NA","NA",IF(COUNTIF(socprog,"PNLT/SENSIBLE MEDICAMENTS ET INTRANTS")=0,"NA",COUNTIFS(soccode,$A239,socprog,"PNLT/SENSIBLE MEDICAMENTS ET INTRANTS",socprompt,1)))</f>
        <v>1</v>
      </c>
      <c r="L239" s="60"/>
      <c r="M239" s="85">
        <f t="shared" ref="M239:S239" si="241">IFERROR(SUMIFS(E$2:E$364,$C$2:$C$364,$C239)/COUNTIFS(E$2:E$364,"&lt;&gt;NA",$C$2:$C$364,$C239),"")</f>
        <v>0.8333333333</v>
      </c>
      <c r="N239" s="85">
        <f t="shared" si="241"/>
        <v>1</v>
      </c>
      <c r="O239" s="85">
        <f t="shared" si="241"/>
        <v>1</v>
      </c>
      <c r="P239" s="85">
        <f t="shared" si="241"/>
        <v>1</v>
      </c>
      <c r="Q239" s="85">
        <f t="shared" si="241"/>
        <v>0.8571428571</v>
      </c>
      <c r="R239" s="85" t="str">
        <f t="shared" si="241"/>
        <v/>
      </c>
      <c r="S239" s="85">
        <f t="shared" si="241"/>
        <v>0.7142857143</v>
      </c>
      <c r="T239" s="127">
        <f t="shared" si="3"/>
        <v>0.9444444444</v>
      </c>
      <c r="U239" s="53">
        <f t="shared" si="4"/>
        <v>3</v>
      </c>
      <c r="V239" s="54">
        <f t="shared" si="5"/>
        <v>3</v>
      </c>
    </row>
    <row r="240" ht="15.75" customHeight="1">
      <c r="A240" s="55" t="str">
        <f>SiteAttendu!$A240</f>
        <v>C4023</v>
      </c>
      <c r="B240" s="56" t="str">
        <f>VLOOKUP($A240,SiteAttendu!$A$2:$C$366,2,0)</f>
        <v>CSU NIABLE</v>
      </c>
      <c r="C240" s="57" t="str">
        <f>VLOOKUP($A240,SiteAttendu!$A$2:$C$366,3,0)</f>
        <v>INDENIE-DJUABLIN</v>
      </c>
      <c r="D240" s="58" t="str">
        <f>IF(VLOOKUP(A240,SiteAttendu!$A$2:$P$366,4,0)="NA","NA",COUNTIFS(soccode,A240,socprog,"PNLS/ANTIRETROVIRAUX ET IO",socprompt,1))</f>
        <v>NA</v>
      </c>
      <c r="E240" s="58" t="str">
        <f>IF(VLOOKUP($A240,SiteAttendu!$A$2:$O$366,5,0)="NA","NA",COUNTIFS(soccode,A240,socprog,"PNLS/TESTS RAPIDES ET CONSOMMABLES",socprompt,1))</f>
        <v>NA</v>
      </c>
      <c r="F240" s="58" t="str">
        <f>IF(VLOOKUP($A240,SiteAttendu!$A$2:$O$366,6,0)="NA","NA",COUNTIFS(soccode,A240,socprog,"PNLS/PRODUITS DE LABORATOIRE",socprompt,1))</f>
        <v>NA</v>
      </c>
      <c r="G240" s="58" t="str">
        <f>IF(VLOOKUP($A240,SiteAttendu!$A$2:$O$366,7,0)="NA","NA",COUNTIFS(soccode,A240,socprog,"PNLS/CHARGES VIRALES",socprompt,1))</f>
        <v>NA</v>
      </c>
      <c r="H240" s="58" t="str">
        <f>IF(VLOOKUP($A240,SiteAttendu!$A$2:$O$366,9,0)="NA","NA",COUNTIFS(soccode,A240,socprog,"PNLP/MEDICAMENTS ET INTRANTS",socprompt,1))</f>
        <v>NA</v>
      </c>
      <c r="I240" s="58">
        <f>IF(VLOOKUP($A240,SiteAttendu!$A$2:$O$366,10,0)="NA","NA",COUNTIFS(soccode,$A240,socprog,"PNSME/MEDICAMENTS ET INTRANTS",socprompt,1))</f>
        <v>1</v>
      </c>
      <c r="J240" s="58" t="str">
        <f>IF(VLOOKUP($A240,SiteAttendu!$A$2:$O$366,11,0)="NA","NA",COUNTIFS(soccode,$A240,socprog,"PNN/MEDICAMENTS ET INTRANTS",socprompt,1))</f>
        <v>NA</v>
      </c>
      <c r="K240" s="58">
        <f>IF(VLOOKUP($A240,SiteAttendu!$A$2:$O$366,15,0)="NA","NA",IF(COUNTIF(socprog,"PNLT/SENSIBLE MEDICAMENTS ET INTRANTS")=0,"NA",COUNTIFS(soccode,$A240,socprog,"PNLT/SENSIBLE MEDICAMENTS ET INTRANTS",socprompt,1)))</f>
        <v>1</v>
      </c>
      <c r="L240" s="60"/>
      <c r="M240" s="85">
        <f t="shared" ref="M240:S240" si="242">IFERROR(SUMIFS(E$2:E$364,$C$2:$C$364,$C240)/COUNTIFS(E$2:E$364,"&lt;&gt;NA",$C$2:$C$364,$C240),"")</f>
        <v>0.8333333333</v>
      </c>
      <c r="N240" s="85">
        <f t="shared" si="242"/>
        <v>1</v>
      </c>
      <c r="O240" s="85">
        <f t="shared" si="242"/>
        <v>1</v>
      </c>
      <c r="P240" s="85">
        <f t="shared" si="242"/>
        <v>1</v>
      </c>
      <c r="Q240" s="85">
        <f t="shared" si="242"/>
        <v>0.8571428571</v>
      </c>
      <c r="R240" s="85" t="str">
        <f t="shared" si="242"/>
        <v/>
      </c>
      <c r="S240" s="85">
        <f t="shared" si="242"/>
        <v>0.7142857143</v>
      </c>
      <c r="T240" s="127">
        <f t="shared" si="3"/>
        <v>0.9444444444</v>
      </c>
      <c r="U240" s="53">
        <f t="shared" si="4"/>
        <v>0</v>
      </c>
      <c r="V240" s="54">
        <f t="shared" si="5"/>
        <v>0</v>
      </c>
    </row>
    <row r="241" ht="15.75" customHeight="1">
      <c r="A241" s="55" t="str">
        <f>SiteAttendu!$A241</f>
        <v>C4063</v>
      </c>
      <c r="B241" s="56" t="str">
        <f>VLOOKUP($A241,SiteAttendu!$A$2:$C$366,2,0)</f>
        <v>CENTRE ANTITUBERCULEUX ABENGOUROU</v>
      </c>
      <c r="C241" s="57" t="str">
        <f>VLOOKUP($A241,SiteAttendu!$A$2:$C$366,3,0)</f>
        <v>INDENIE-DJUABLIN</v>
      </c>
      <c r="D241" s="58" t="str">
        <f>IF(VLOOKUP(A241,SiteAttendu!$A$2:$P$366,4,0)="NA","NA",COUNTIFS(soccode,A241,socprog,"PNLS/ANTIRETROVIRAUX ET IO",socprompt,1))</f>
        <v>NA</v>
      </c>
      <c r="E241" s="58" t="str">
        <f>IF(VLOOKUP($A241,SiteAttendu!$A$2:$O$366,5,0)="NA","NA",COUNTIFS(soccode,A241,socprog,"PNLS/TESTS RAPIDES ET CONSOMMABLES",socprompt,1))</f>
        <v>NA</v>
      </c>
      <c r="F241" s="58" t="str">
        <f>IF(VLOOKUP($A241,SiteAttendu!$A$2:$O$366,6,0)="NA","NA",COUNTIFS(soccode,A241,socprog,"PNLS/PRODUITS DE LABORATOIRE",socprompt,1))</f>
        <v>NA</v>
      </c>
      <c r="G241" s="58" t="str">
        <f>IF(VLOOKUP($A241,SiteAttendu!$A$2:$O$366,7,0)="NA","NA",COUNTIFS(soccode,A241,socprog,"PNLS/CHARGES VIRALES",socprompt,1))</f>
        <v>NA</v>
      </c>
      <c r="H241" s="58" t="str">
        <f>IF(VLOOKUP($A241,SiteAttendu!$A$2:$O$366,9,0)="NA","NA",COUNTIFS(soccode,A241,socprog,"PNLP/MEDICAMENTS ET INTRANTS",socprompt,1))</f>
        <v>NA</v>
      </c>
      <c r="I241" s="58" t="str">
        <f>IF(VLOOKUP($A241,SiteAttendu!$A$2:$O$366,10,0)="NA","NA",COUNTIFS(soccode,$A241,socprog,"PNSME/MEDICAMENTS ET INTRANTS",socprompt,1))</f>
        <v>NA</v>
      </c>
      <c r="J241" s="58" t="str">
        <f>IF(VLOOKUP($A241,SiteAttendu!$A$2:$O$366,11,0)="NA","NA",COUNTIFS(soccode,$A241,socprog,"PNN/MEDICAMENTS ET INTRANTS",socprompt,1))</f>
        <v>NA</v>
      </c>
      <c r="K241" s="58">
        <f>IF(VLOOKUP($A241,SiteAttendu!$A$2:$O$366,15,0)="NA","NA",IF(COUNTIF(socprog,"PNLT/SENSIBLE MEDICAMENTS ET INTRANTS")=0,"NA",COUNTIFS(soccode,$A241,socprog,"PNLT/SENSIBLE MEDICAMENTS ET INTRANTS",socprompt,1)))</f>
        <v>0</v>
      </c>
      <c r="L241" s="60"/>
      <c r="M241" s="85">
        <f t="shared" ref="M241:S241" si="243">IFERROR(SUMIFS(E$2:E$364,$C$2:$C$364,$C241)/COUNTIFS(E$2:E$364,"&lt;&gt;NA",$C$2:$C$364,$C241),"")</f>
        <v>0.8333333333</v>
      </c>
      <c r="N241" s="85">
        <f t="shared" si="243"/>
        <v>1</v>
      </c>
      <c r="O241" s="85">
        <f t="shared" si="243"/>
        <v>1</v>
      </c>
      <c r="P241" s="85">
        <f t="shared" si="243"/>
        <v>1</v>
      </c>
      <c r="Q241" s="85">
        <f t="shared" si="243"/>
        <v>0.8571428571</v>
      </c>
      <c r="R241" s="85" t="str">
        <f t="shared" si="243"/>
        <v/>
      </c>
      <c r="S241" s="85">
        <f t="shared" si="243"/>
        <v>0.7142857143</v>
      </c>
      <c r="T241" s="127">
        <f t="shared" si="3"/>
        <v>0.9444444444</v>
      </c>
      <c r="U241" s="53">
        <f t="shared" si="4"/>
        <v>0</v>
      </c>
      <c r="V241" s="54">
        <f t="shared" si="5"/>
        <v>0</v>
      </c>
    </row>
    <row r="242" ht="15.75" customHeight="1">
      <c r="A242" s="55" t="str">
        <f>SiteAttendu!$A242</f>
        <v>C4005</v>
      </c>
      <c r="B242" s="56" t="str">
        <f>VLOOKUP($A242,SiteAttendu!$A$2:$C$366,2,0)</f>
        <v>DISTRICT SANITAIRE AGNIBILEKROU</v>
      </c>
      <c r="C242" s="57" t="str">
        <f>VLOOKUP($A242,SiteAttendu!$A$2:$C$366,3,0)</f>
        <v>INDENIE-DJUABLIN</v>
      </c>
      <c r="D242" s="58">
        <f>IF(VLOOKUP(A242,SiteAttendu!$A$2:$P$366,4,0)="NA","NA",COUNTIFS(soccode,A242,socprog,"PNLS/ANTIRETROVIRAUX ET IO",socprompt,1))</f>
        <v>1</v>
      </c>
      <c r="E242" s="58">
        <f>IF(VLOOKUP($A242,SiteAttendu!$A$2:$O$366,5,0)="NA","NA",COUNTIFS(soccode,A242,socprog,"PNLS/TESTS RAPIDES ET CONSOMMABLES",socprompt,1))</f>
        <v>1</v>
      </c>
      <c r="F242" s="58" t="str">
        <f>IF(VLOOKUP($A242,SiteAttendu!$A$2:$O$366,6,0)="NA","NA",COUNTIFS(soccode,A242,socprog,"PNLS/PRODUITS DE LABORATOIRE",socprompt,1))</f>
        <v>NA</v>
      </c>
      <c r="G242" s="58" t="str">
        <f>IF(VLOOKUP($A242,SiteAttendu!$A$2:$O$366,7,0)="NA","NA",COUNTIFS(soccode,A242,socprog,"PNLS/CHARGES VIRALES",socprompt,1))</f>
        <v>NA</v>
      </c>
      <c r="H242" s="58">
        <f>IF(VLOOKUP($A242,SiteAttendu!$A$2:$O$366,9,0)="NA","NA",COUNTIFS(soccode,A242,socprog,"PNLP/MEDICAMENTS ET INTRANTS",socprompt,1))</f>
        <v>1</v>
      </c>
      <c r="I242" s="58">
        <f>IF(VLOOKUP($A242,SiteAttendu!$A$2:$O$366,10,0)="NA","NA",COUNTIFS(soccode,$A242,socprog,"PNSME/MEDICAMENTS ET INTRANTS",socprompt,1))</f>
        <v>1</v>
      </c>
      <c r="J242" s="58" t="str">
        <f>IF(VLOOKUP($A242,SiteAttendu!$A$2:$O$366,11,0)="NA","NA",COUNTIFS(soccode,$A242,socprog,"PNN/MEDICAMENTS ET INTRANTS",socprompt,1))</f>
        <v>NA</v>
      </c>
      <c r="K242" s="58">
        <f>IF(VLOOKUP($A242,SiteAttendu!$A$2:$O$366,15,0)="NA","NA",IF(COUNTIF(socprog,"PNLT/SENSIBLE MEDICAMENTS ET INTRANTS")=0,"NA",COUNTIFS(soccode,$A242,socprog,"PNLT/SENSIBLE MEDICAMENTS ET INTRANTS",socprompt,1)))</f>
        <v>1</v>
      </c>
      <c r="L242" s="60"/>
      <c r="M242" s="85">
        <f t="shared" ref="M242:S242" si="244">IFERROR(SUMIFS(E$2:E$364,$C$2:$C$364,$C242)/COUNTIFS(E$2:E$364,"&lt;&gt;NA",$C$2:$C$364,$C242),"")</f>
        <v>0.8333333333</v>
      </c>
      <c r="N242" s="85">
        <f t="shared" si="244"/>
        <v>1</v>
      </c>
      <c r="O242" s="85">
        <f t="shared" si="244"/>
        <v>1</v>
      </c>
      <c r="P242" s="85">
        <f t="shared" si="244"/>
        <v>1</v>
      </c>
      <c r="Q242" s="85">
        <f t="shared" si="244"/>
        <v>0.8571428571</v>
      </c>
      <c r="R242" s="85" t="str">
        <f t="shared" si="244"/>
        <v/>
      </c>
      <c r="S242" s="85">
        <f t="shared" si="244"/>
        <v>0.7142857143</v>
      </c>
      <c r="T242" s="127">
        <f t="shared" si="3"/>
        <v>0.9444444444</v>
      </c>
      <c r="U242" s="53">
        <f t="shared" si="4"/>
        <v>2</v>
      </c>
      <c r="V242" s="54">
        <f t="shared" si="5"/>
        <v>2</v>
      </c>
    </row>
    <row r="243" ht="16.5" customHeight="1">
      <c r="A243" s="55" t="str">
        <f>SiteAttendu!$A243</f>
        <v>C4014</v>
      </c>
      <c r="B243" s="56" t="str">
        <f>VLOOKUP($A243,SiteAttendu!$A$2:$C$366,2,0)</f>
        <v>HOPITAL GENERAL AGNIBILEKROU</v>
      </c>
      <c r="C243" s="57" t="str">
        <f>VLOOKUP($A243,SiteAttendu!$A$2:$C$366,3,0)</f>
        <v>INDENIE-DJUABLIN</v>
      </c>
      <c r="D243" s="58">
        <f>IF(VLOOKUP(A243,SiteAttendu!$A$2:$P$366,4,0)="NA","NA",COUNTIFS(soccode,A243,socprog,"PNLS/ANTIRETROVIRAUX ET IO",socprompt,1))</f>
        <v>1</v>
      </c>
      <c r="E243" s="58">
        <f>IF(VLOOKUP($A243,SiteAttendu!$A$2:$O$366,5,0)="NA","NA",COUNTIFS(soccode,A243,socprog,"PNLS/TESTS RAPIDES ET CONSOMMABLES",socprompt,1))</f>
        <v>1</v>
      </c>
      <c r="F243" s="58">
        <f>IF(VLOOKUP($A243,SiteAttendu!$A$2:$O$366,6,0)="NA","NA",COUNTIFS(soccode,A243,socprog,"PNLS/PRODUITS DE LABORATOIRE",socprompt,1))</f>
        <v>1</v>
      </c>
      <c r="G243" s="58">
        <f>IF(VLOOKUP($A243,SiteAttendu!$A$2:$O$366,7,0)="NA","NA",COUNTIFS(soccode,A243,socprog,"PNLS/CHARGES VIRALES",socprompt,1))</f>
        <v>1</v>
      </c>
      <c r="H243" s="58">
        <f>IF(VLOOKUP($A243,SiteAttendu!$A$2:$O$366,9,0)="NA","NA",COUNTIFS(soccode,A243,socprog,"PNLP/MEDICAMENTS ET INTRANTS",socprompt,1))</f>
        <v>1</v>
      </c>
      <c r="I243" s="58">
        <f>IF(VLOOKUP($A243,SiteAttendu!$A$2:$O$366,10,0)="NA","NA",COUNTIFS(soccode,$A243,socprog,"PNSME/MEDICAMENTS ET INTRANTS",socprompt,1))</f>
        <v>1</v>
      </c>
      <c r="J243" s="58" t="str">
        <f>IF(VLOOKUP($A243,SiteAttendu!$A$2:$O$366,11,0)="NA","NA",COUNTIFS(soccode,$A243,socprog,"PNN/MEDICAMENTS ET INTRANTS",socprompt,1))</f>
        <v>NA</v>
      </c>
      <c r="K243" s="58">
        <f>IF(VLOOKUP($A243,SiteAttendu!$A$2:$O$366,15,0)="NA","NA",IF(COUNTIF(socprog,"PNLT/SENSIBLE MEDICAMENTS ET INTRANTS")=0,"NA",COUNTIFS(soccode,$A243,socprog,"PNLT/SENSIBLE MEDICAMENTS ET INTRANTS",socprompt,1)))</f>
        <v>1</v>
      </c>
      <c r="L243" s="60"/>
      <c r="M243" s="85">
        <f t="shared" ref="M243:S243" si="245">IFERROR(SUMIFS(E$2:E$364,$C$2:$C$364,$C243)/COUNTIFS(E$2:E$364,"&lt;&gt;NA",$C$2:$C$364,$C243),"")</f>
        <v>0.8333333333</v>
      </c>
      <c r="N243" s="85">
        <f t="shared" si="245"/>
        <v>1</v>
      </c>
      <c r="O243" s="85">
        <f t="shared" si="245"/>
        <v>1</v>
      </c>
      <c r="P243" s="85">
        <f t="shared" si="245"/>
        <v>1</v>
      </c>
      <c r="Q243" s="85">
        <f t="shared" si="245"/>
        <v>0.8571428571</v>
      </c>
      <c r="R243" s="85" t="str">
        <f t="shared" si="245"/>
        <v/>
      </c>
      <c r="S243" s="85">
        <f t="shared" si="245"/>
        <v>0.7142857143</v>
      </c>
      <c r="T243" s="127">
        <f t="shared" si="3"/>
        <v>0.9444444444</v>
      </c>
      <c r="U243" s="53">
        <f t="shared" si="4"/>
        <v>4</v>
      </c>
      <c r="V243" s="54">
        <f t="shared" si="5"/>
        <v>4</v>
      </c>
    </row>
    <row r="244" ht="15.75" customHeight="1">
      <c r="A244" s="55" t="str">
        <f>SiteAttendu!$A244</f>
        <v>C4049</v>
      </c>
      <c r="B244" s="56" t="str">
        <f>VLOOKUP($A244,SiteAttendu!$A$2:$C$366,2,0)</f>
        <v>DISTRICT SANITAIRE BETTIE</v>
      </c>
      <c r="C244" s="57" t="str">
        <f>VLOOKUP($A244,SiteAttendu!$A$2:$C$366,3,0)</f>
        <v>INDENIE-DJUABLIN</v>
      </c>
      <c r="D244" s="58">
        <f>IF(VLOOKUP(A244,SiteAttendu!$A$2:$P$366,4,0)="NA","NA",COUNTIFS(soccode,A244,socprog,"PNLS/ANTIRETROVIRAUX ET IO",socprompt,1))</f>
        <v>1</v>
      </c>
      <c r="E244" s="58">
        <f>IF(VLOOKUP($A244,SiteAttendu!$A$2:$O$366,5,0)="NA","NA",COUNTIFS(soccode,A244,socprog,"PNLS/TESTS RAPIDES ET CONSOMMABLES",socprompt,1))</f>
        <v>0</v>
      </c>
      <c r="F244" s="58" t="str">
        <f>IF(VLOOKUP($A244,SiteAttendu!$A$2:$O$366,6,0)="NA","NA",COUNTIFS(soccode,A244,socprog,"PNLS/PRODUITS DE LABORATOIRE",socprompt,1))</f>
        <v>NA</v>
      </c>
      <c r="G244" s="58" t="str">
        <f>IF(VLOOKUP($A244,SiteAttendu!$A$2:$O$366,7,0)="NA","NA",COUNTIFS(soccode,A244,socprog,"PNLS/CHARGES VIRALES",socprompt,1))</f>
        <v>NA</v>
      </c>
      <c r="H244" s="58">
        <f>IF(VLOOKUP($A244,SiteAttendu!$A$2:$O$366,9,0)="NA","NA",COUNTIFS(soccode,A244,socprog,"PNLP/MEDICAMENTS ET INTRANTS",socprompt,1))</f>
        <v>1</v>
      </c>
      <c r="I244" s="58">
        <f>IF(VLOOKUP($A244,SiteAttendu!$A$2:$O$366,10,0)="NA","NA",COUNTIFS(soccode,$A244,socprog,"PNSME/MEDICAMENTS ET INTRANTS",socprompt,1))</f>
        <v>0</v>
      </c>
      <c r="J244" s="58" t="str">
        <f>IF(VLOOKUP($A244,SiteAttendu!$A$2:$O$366,11,0)="NA","NA",COUNTIFS(soccode,$A244,socprog,"PNN/MEDICAMENTS ET INTRANTS",socprompt,1))</f>
        <v>NA</v>
      </c>
      <c r="K244" s="58">
        <f>IF(VLOOKUP($A244,SiteAttendu!$A$2:$O$366,15,0)="NA","NA",IF(COUNTIF(socprog,"PNLT/SENSIBLE MEDICAMENTS ET INTRANTS")=0,"NA",COUNTIFS(soccode,$A244,socprog,"PNLT/SENSIBLE MEDICAMENTS ET INTRANTS",socprompt,1)))</f>
        <v>0</v>
      </c>
      <c r="L244" s="60"/>
      <c r="M244" s="85">
        <f t="shared" ref="M244:S244" si="246">IFERROR(SUMIFS(E$2:E$364,$C$2:$C$364,$C244)/COUNTIFS(E$2:E$364,"&lt;&gt;NA",$C$2:$C$364,$C244),"")</f>
        <v>0.8333333333</v>
      </c>
      <c r="N244" s="85">
        <f t="shared" si="246"/>
        <v>1</v>
      </c>
      <c r="O244" s="85">
        <f t="shared" si="246"/>
        <v>1</v>
      </c>
      <c r="P244" s="85">
        <f t="shared" si="246"/>
        <v>1</v>
      </c>
      <c r="Q244" s="85">
        <f t="shared" si="246"/>
        <v>0.8571428571</v>
      </c>
      <c r="R244" s="85" t="str">
        <f t="shared" si="246"/>
        <v/>
      </c>
      <c r="S244" s="85">
        <f t="shared" si="246"/>
        <v>0.7142857143</v>
      </c>
      <c r="T244" s="127">
        <f t="shared" si="3"/>
        <v>0.9444444444</v>
      </c>
      <c r="U244" s="53">
        <f t="shared" si="4"/>
        <v>1</v>
      </c>
      <c r="V244" s="54">
        <f t="shared" si="5"/>
        <v>2</v>
      </c>
    </row>
    <row r="245" ht="15.75" customHeight="1">
      <c r="A245" s="62" t="str">
        <f>SiteAttendu!$A245</f>
        <v>C4056</v>
      </c>
      <c r="B245" s="63" t="str">
        <f>VLOOKUP($A245,SiteAttendu!$A$2:$C$366,2,0)</f>
        <v>HOPITAL GENERAL BETTIE</v>
      </c>
      <c r="C245" s="64" t="str">
        <f>VLOOKUP($A245,SiteAttendu!$A$2:$C$366,3,0)</f>
        <v>INDENIE-DJUABLIN</v>
      </c>
      <c r="D245" s="65">
        <f>IF(VLOOKUP(A245,SiteAttendu!$A$2:$P$366,4,0)="NA","NA",COUNTIFS(soccode,A245,socprog,"PNLS/ANTIRETROVIRAUX ET IO",socprompt,1))</f>
        <v>1</v>
      </c>
      <c r="E245" s="65">
        <f>IF(VLOOKUP($A245,SiteAttendu!$A$2:$O$366,5,0)="NA","NA",COUNTIFS(soccode,A245,socprog,"PNLS/TESTS RAPIDES ET CONSOMMABLES",socprompt,1))</f>
        <v>1</v>
      </c>
      <c r="F245" s="65">
        <f>IF(VLOOKUP($A245,SiteAttendu!$A$2:$O$366,6,0)="NA","NA",COUNTIFS(soccode,A245,socprog,"PNLS/PRODUITS DE LABORATOIRE",socprompt,1))</f>
        <v>1</v>
      </c>
      <c r="G245" s="65" t="str">
        <f>IF(VLOOKUP($A245,SiteAttendu!$A$2:$O$366,7,0)="NA","NA",COUNTIFS(soccode,A245,socprog,"PNLS/CHARGES VIRALES",socprompt,1))</f>
        <v>NA</v>
      </c>
      <c r="H245" s="65">
        <f>IF(VLOOKUP($A245,SiteAttendu!$A$2:$O$366,9,0)="NA","NA",COUNTIFS(soccode,A245,socprog,"PNLP/MEDICAMENTS ET INTRANTS",socprompt,1))</f>
        <v>1</v>
      </c>
      <c r="I245" s="65">
        <f>IF(VLOOKUP($A245,SiteAttendu!$A$2:$O$366,10,0)="NA","NA",COUNTIFS(soccode,$A245,socprog,"PNSME/MEDICAMENTS ET INTRANTS",socprompt,1))</f>
        <v>1</v>
      </c>
      <c r="J245" s="65" t="str">
        <f>IF(VLOOKUP($A245,SiteAttendu!$A$2:$O$366,11,0)="NA","NA",COUNTIFS(soccode,$A245,socprog,"PNN/MEDICAMENTS ET INTRANTS",socprompt,1))</f>
        <v>NA</v>
      </c>
      <c r="K245" s="65">
        <f>IF(VLOOKUP($A245,SiteAttendu!$A$2:$O$366,15,0)="NA","NA",IF(COUNTIF(socprog,"PNLT/SENSIBLE MEDICAMENTS ET INTRANTS")=0,"NA",COUNTIFS(soccode,$A245,socprog,"PNLT/SENSIBLE MEDICAMENTS ET INTRANTS",socprompt,1)))</f>
        <v>1</v>
      </c>
      <c r="L245" s="67"/>
      <c r="M245" s="86">
        <f t="shared" ref="M245:S245" si="247">IFERROR(SUMIFS(E$2:E$364,$C$2:$C$364,$C245)/COUNTIFS(E$2:E$364,"&lt;&gt;NA",$C$2:$C$364,$C245),"")</f>
        <v>0.8333333333</v>
      </c>
      <c r="N245" s="86">
        <f t="shared" si="247"/>
        <v>1</v>
      </c>
      <c r="O245" s="86">
        <f t="shared" si="247"/>
        <v>1</v>
      </c>
      <c r="P245" s="86">
        <f t="shared" si="247"/>
        <v>1</v>
      </c>
      <c r="Q245" s="86">
        <f t="shared" si="247"/>
        <v>0.8571428571</v>
      </c>
      <c r="R245" s="86" t="str">
        <f t="shared" si="247"/>
        <v/>
      </c>
      <c r="S245" s="86">
        <f t="shared" si="247"/>
        <v>0.7142857143</v>
      </c>
      <c r="T245" s="128">
        <f t="shared" si="3"/>
        <v>0.9444444444</v>
      </c>
      <c r="U245" s="53">
        <f t="shared" si="4"/>
        <v>3</v>
      </c>
      <c r="V245" s="54">
        <f t="shared" si="5"/>
        <v>3</v>
      </c>
    </row>
    <row r="246" ht="15.75" customHeight="1">
      <c r="A246" s="46" t="str">
        <f>SiteAttendu!$A246</f>
        <v>C5063</v>
      </c>
      <c r="B246" s="47" t="str">
        <f>VLOOKUP($A246,SiteAttendu!$A$2:$C$366,2,0)</f>
        <v>HOPITAL GENERAL DE MADINANI</v>
      </c>
      <c r="C246" s="48" t="str">
        <f>VLOOKUP($A246,SiteAttendu!$A$2:$C$366,3,0)</f>
        <v>KABADOUGOU</v>
      </c>
      <c r="D246" s="49">
        <f>IF(VLOOKUP(A246,SiteAttendu!$A$2:$P$366,4,0)="NA","NA",COUNTIFS(soccode,A246,socprog,"PNLS/ANTIRETROVIRAUX ET IO",socprompt,1))</f>
        <v>1</v>
      </c>
      <c r="E246" s="49">
        <f>IF(VLOOKUP($A246,SiteAttendu!$A$2:$O$366,5,0)="NA","NA",COUNTIFS(soccode,A246,socprog,"PNLS/TESTS RAPIDES ET CONSOMMABLES",socprompt,1))</f>
        <v>1</v>
      </c>
      <c r="F246" s="49">
        <f>IF(VLOOKUP($A246,SiteAttendu!$A$2:$O$366,6,0)="NA","NA",COUNTIFS(soccode,A246,socprog,"PNLS/PRODUITS DE LABORATOIRE",socprompt,1))</f>
        <v>1</v>
      </c>
      <c r="G246" s="49" t="str">
        <f>IF(VLOOKUP($A246,SiteAttendu!$A$2:$O$366,7,0)="NA","NA",COUNTIFS(soccode,A246,socprog,"PNLS/CHARGES VIRALES",socprompt,1))</f>
        <v>NA</v>
      </c>
      <c r="H246" s="49">
        <f>IF(VLOOKUP($A246,SiteAttendu!$A$2:$O$366,9,0)="NA","NA",COUNTIFS(soccode,A246,socprog,"PNLP/MEDICAMENTS ET INTRANTS",socprompt,1))</f>
        <v>1</v>
      </c>
      <c r="I246" s="49">
        <f>IF(VLOOKUP($A246,SiteAttendu!$A$2:$O$366,10,0)="NA","NA",COUNTIFS(soccode,$A246,socprog,"PNSME/MEDICAMENTS ET INTRANTS",socprompt,1))</f>
        <v>1</v>
      </c>
      <c r="J246" s="49" t="str">
        <f>IF(VLOOKUP($A246,SiteAttendu!$A$2:$O$366,11,0)="NA","NA",COUNTIFS(soccode,$A246,socprog,"PNN/MEDICAMENTS ET INTRANTS",socprompt,1))</f>
        <v>NA</v>
      </c>
      <c r="K246" s="49">
        <f>IF(VLOOKUP($A246,SiteAttendu!$A$2:$O$366,15,0)="NA","NA",IF(COUNTIF(socprog,"PNLT/SENSIBLE MEDICAMENTS ET INTRANTS")=0,"NA",COUNTIFS(soccode,$A246,socprog,"PNLT/SENSIBLE MEDICAMENTS ET INTRANTS",socprompt,1)))</f>
        <v>1</v>
      </c>
      <c r="L246" s="51">
        <f t="shared" ref="L246:S246" si="248">IFERROR(SUMIFS(D$2:D$364,$C$2:$C$364,$C246)/COUNTIFS(D$2:D$364,"&lt;&gt;NA",$C$2:$C$364,$C246),"")</f>
        <v>0.7142857143</v>
      </c>
      <c r="M246" s="125">
        <f t="shared" si="248"/>
        <v>0.7142857143</v>
      </c>
      <c r="N246" s="125">
        <f t="shared" si="248"/>
        <v>1</v>
      </c>
      <c r="O246" s="125">
        <f t="shared" si="248"/>
        <v>1</v>
      </c>
      <c r="P246" s="125">
        <f t="shared" si="248"/>
        <v>0.7142857143</v>
      </c>
      <c r="Q246" s="125">
        <f t="shared" si="248"/>
        <v>0.7142857143</v>
      </c>
      <c r="R246" s="125">
        <f t="shared" si="248"/>
        <v>0.8</v>
      </c>
      <c r="S246" s="125">
        <f t="shared" si="248"/>
        <v>1</v>
      </c>
      <c r="T246" s="126">
        <f t="shared" si="3"/>
        <v>0.7777777778</v>
      </c>
      <c r="U246" s="53">
        <f t="shared" si="4"/>
        <v>3</v>
      </c>
      <c r="V246" s="54">
        <f t="shared" si="5"/>
        <v>3</v>
      </c>
    </row>
    <row r="247" ht="15.75" customHeight="1">
      <c r="A247" s="55" t="str">
        <f>SiteAttendu!$A247</f>
        <v>C5077</v>
      </c>
      <c r="B247" s="56" t="str">
        <f>VLOOKUP($A247,SiteAttendu!$A$2:$C$366,2,0)</f>
        <v>HOPITAL GENERAL SEGUELON</v>
      </c>
      <c r="C247" s="57" t="str">
        <f>VLOOKUP($A247,SiteAttendu!$A$2:$C$366,3,0)</f>
        <v>KABADOUGOU</v>
      </c>
      <c r="D247" s="58">
        <f>IF(VLOOKUP(A247,SiteAttendu!$A$2:$P$366,4,0)="NA","NA",COUNTIFS(soccode,A247,socprog,"PNLS/ANTIRETROVIRAUX ET IO",socprompt,1))</f>
        <v>1</v>
      </c>
      <c r="E247" s="58">
        <f>IF(VLOOKUP($A247,SiteAttendu!$A$2:$O$366,5,0)="NA","NA",COUNTIFS(soccode,A247,socprog,"PNLS/TESTS RAPIDES ET CONSOMMABLES",socprompt,1))</f>
        <v>1</v>
      </c>
      <c r="F247" s="58" t="str">
        <f>IF(VLOOKUP($A247,SiteAttendu!$A$2:$O$366,6,0)="NA","NA",COUNTIFS(soccode,A247,socprog,"PNLS/PRODUITS DE LABORATOIRE",socprompt,1))</f>
        <v>NA</v>
      </c>
      <c r="G247" s="58" t="str">
        <f>IF(VLOOKUP($A247,SiteAttendu!$A$2:$O$366,7,0)="NA","NA",COUNTIFS(soccode,A247,socprog,"PNLS/CHARGES VIRALES",socprompt,1))</f>
        <v>NA</v>
      </c>
      <c r="H247" s="58">
        <f>IF(VLOOKUP($A247,SiteAttendu!$A$2:$O$366,9,0)="NA","NA",COUNTIFS(soccode,A247,socprog,"PNLP/MEDICAMENTS ET INTRANTS",socprompt,1))</f>
        <v>1</v>
      </c>
      <c r="I247" s="58">
        <f>IF(VLOOKUP($A247,SiteAttendu!$A$2:$O$366,10,0)="NA","NA",COUNTIFS(soccode,$A247,socprog,"PNSME/MEDICAMENTS ET INTRANTS",socprompt,1))</f>
        <v>1</v>
      </c>
      <c r="J247" s="58">
        <f>IF(VLOOKUP($A247,SiteAttendu!$A$2:$O$366,11,0)="NA","NA",COUNTIFS(soccode,$A247,socprog,"PNN/MEDICAMENTS ET INTRANTS",socprompt,1))</f>
        <v>1</v>
      </c>
      <c r="K247" s="58">
        <f>IF(VLOOKUP($A247,SiteAttendu!$A$2:$O$366,15,0)="NA","NA",IF(COUNTIF(socprog,"PNLT/SENSIBLE MEDICAMENTS ET INTRANTS")=0,"NA",COUNTIFS(soccode,$A247,socprog,"PNLT/SENSIBLE MEDICAMENTS ET INTRANTS",socprompt,1)))</f>
        <v>1</v>
      </c>
      <c r="L247" s="60"/>
      <c r="M247" s="85">
        <f t="shared" ref="M247:S247" si="249">IFERROR(SUMIFS(E$2:E$364,$C$2:$C$364,$C247)/COUNTIFS(E$2:E$364,"&lt;&gt;NA",$C$2:$C$364,$C247),"")</f>
        <v>0.7142857143</v>
      </c>
      <c r="N247" s="85">
        <f t="shared" si="249"/>
        <v>1</v>
      </c>
      <c r="O247" s="85">
        <f t="shared" si="249"/>
        <v>1</v>
      </c>
      <c r="P247" s="85">
        <f t="shared" si="249"/>
        <v>0.7142857143</v>
      </c>
      <c r="Q247" s="85">
        <f t="shared" si="249"/>
        <v>0.7142857143</v>
      </c>
      <c r="R247" s="85">
        <f t="shared" si="249"/>
        <v>0.8</v>
      </c>
      <c r="S247" s="85">
        <f t="shared" si="249"/>
        <v>1</v>
      </c>
      <c r="T247" s="127">
        <f t="shared" si="3"/>
        <v>0.7777777778</v>
      </c>
      <c r="U247" s="53">
        <f t="shared" si="4"/>
        <v>2</v>
      </c>
      <c r="V247" s="54">
        <f t="shared" si="5"/>
        <v>2</v>
      </c>
    </row>
    <row r="248" ht="15.75" customHeight="1">
      <c r="A248" s="55" t="str">
        <f>SiteAttendu!$A248</f>
        <v>C5090</v>
      </c>
      <c r="B248" s="56" t="str">
        <f>VLOOKUP($A248,SiteAttendu!$A$2:$C$366,2,0)</f>
        <v>DISTRICT SANITAIRE MADINANI</v>
      </c>
      <c r="C248" s="57" t="str">
        <f>VLOOKUP($A248,SiteAttendu!$A$2:$C$366,3,0)</f>
        <v>KABADOUGOU</v>
      </c>
      <c r="D248" s="58">
        <f>IF(VLOOKUP(A248,SiteAttendu!$A$2:$P$366,4,0)="NA","NA",COUNTIFS(soccode,A248,socprog,"PNLS/ANTIRETROVIRAUX ET IO",socprompt,1))</f>
        <v>0</v>
      </c>
      <c r="E248" s="58">
        <f>IF(VLOOKUP($A248,SiteAttendu!$A$2:$O$366,5,0)="NA","NA",COUNTIFS(soccode,A248,socprog,"PNLS/TESTS RAPIDES ET CONSOMMABLES",socprompt,1))</f>
        <v>0</v>
      </c>
      <c r="F248" s="58" t="str">
        <f>IF(VLOOKUP($A248,SiteAttendu!$A$2:$O$366,6,0)="NA","NA",COUNTIFS(soccode,A248,socprog,"PNLS/PRODUITS DE LABORATOIRE",socprompt,1))</f>
        <v>NA</v>
      </c>
      <c r="G248" s="58" t="str">
        <f>IF(VLOOKUP($A248,SiteAttendu!$A$2:$O$366,7,0)="NA","NA",COUNTIFS(soccode,A248,socprog,"PNLS/CHARGES VIRALES",socprompt,1))</f>
        <v>NA</v>
      </c>
      <c r="H248" s="58">
        <f>IF(VLOOKUP($A248,SiteAttendu!$A$2:$O$366,9,0)="NA","NA",COUNTIFS(soccode,A248,socprog,"PNLP/MEDICAMENTS ET INTRANTS",socprompt,1))</f>
        <v>0</v>
      </c>
      <c r="I248" s="58">
        <f>IF(VLOOKUP($A248,SiteAttendu!$A$2:$O$366,10,0)="NA","NA",COUNTIFS(soccode,$A248,socprog,"PNSME/MEDICAMENTS ET INTRANTS",socprompt,1))</f>
        <v>0</v>
      </c>
      <c r="J248" s="58">
        <f>IF(VLOOKUP($A248,SiteAttendu!$A$2:$O$366,11,0)="NA","NA",COUNTIFS(soccode,$A248,socprog,"PNN/MEDICAMENTS ET INTRANTS",socprompt,1))</f>
        <v>0</v>
      </c>
      <c r="K248" s="58" t="str">
        <f>IF(VLOOKUP($A248,SiteAttendu!$A$2:$O$366,15,0)="NA","NA",IF(COUNTIF(socprog,"PNLT/SENSIBLE MEDICAMENTS ET INTRANTS")=0,"NA",COUNTIFS(soccode,$A248,socprog,"PNLT/SENSIBLE MEDICAMENTS ET INTRANTS",socprompt,1)))</f>
        <v>NA</v>
      </c>
      <c r="L248" s="60"/>
      <c r="M248" s="85">
        <f t="shared" ref="M248:S248" si="250">IFERROR(SUMIFS(E$2:E$364,$C$2:$C$364,$C248)/COUNTIFS(E$2:E$364,"&lt;&gt;NA",$C$2:$C$364,$C248),"")</f>
        <v>0.7142857143</v>
      </c>
      <c r="N248" s="85">
        <f t="shared" si="250"/>
        <v>1</v>
      </c>
      <c r="O248" s="85">
        <f t="shared" si="250"/>
        <v>1</v>
      </c>
      <c r="P248" s="85">
        <f t="shared" si="250"/>
        <v>0.7142857143</v>
      </c>
      <c r="Q248" s="85">
        <f t="shared" si="250"/>
        <v>0.7142857143</v>
      </c>
      <c r="R248" s="85">
        <f t="shared" si="250"/>
        <v>0.8</v>
      </c>
      <c r="S248" s="85">
        <f t="shared" si="250"/>
        <v>1</v>
      </c>
      <c r="T248" s="127">
        <f t="shared" si="3"/>
        <v>0.7777777778</v>
      </c>
      <c r="U248" s="53">
        <f t="shared" si="4"/>
        <v>0</v>
      </c>
      <c r="V248" s="54">
        <f t="shared" si="5"/>
        <v>2</v>
      </c>
    </row>
    <row r="249" ht="15.75" customHeight="1">
      <c r="A249" s="55" t="str">
        <f>SiteAttendu!$A249</f>
        <v>C5003</v>
      </c>
      <c r="B249" s="56" t="str">
        <f>VLOOKUP($A249,SiteAttendu!$A$2:$C$366,2,0)</f>
        <v>CHR ODIENNE</v>
      </c>
      <c r="C249" s="57" t="str">
        <f>VLOOKUP($A249,SiteAttendu!$A$2:$C$366,3,0)</f>
        <v>KABADOUGOU</v>
      </c>
      <c r="D249" s="58">
        <f>IF(VLOOKUP(A249,SiteAttendu!$A$2:$P$366,4,0)="NA","NA",COUNTIFS(soccode,A249,socprog,"PNLS/ANTIRETROVIRAUX ET IO",socprompt,1))</f>
        <v>1</v>
      </c>
      <c r="E249" s="58">
        <f>IF(VLOOKUP($A249,SiteAttendu!$A$2:$O$366,5,0)="NA","NA",COUNTIFS(soccode,A249,socprog,"PNLS/TESTS RAPIDES ET CONSOMMABLES",socprompt,1))</f>
        <v>1</v>
      </c>
      <c r="F249" s="58">
        <f>IF(VLOOKUP($A249,SiteAttendu!$A$2:$O$366,6,0)="NA","NA",COUNTIFS(soccode,A249,socprog,"PNLS/PRODUITS DE LABORATOIRE",socprompt,1))</f>
        <v>1</v>
      </c>
      <c r="G249" s="58">
        <f>IF(VLOOKUP($A249,SiteAttendu!$A$2:$O$366,7,0)="NA","NA",COUNTIFS(soccode,A249,socprog,"PNLS/CHARGES VIRALES",socprompt,1))</f>
        <v>1</v>
      </c>
      <c r="H249" s="58">
        <f>IF(VLOOKUP($A249,SiteAttendu!$A$2:$O$366,9,0)="NA","NA",COUNTIFS(soccode,A249,socprog,"PNLP/MEDICAMENTS ET INTRANTS",socprompt,1))</f>
        <v>1</v>
      </c>
      <c r="I249" s="58">
        <f>IF(VLOOKUP($A249,SiteAttendu!$A$2:$O$366,10,0)="NA","NA",COUNTIFS(soccode,$A249,socprog,"PNSME/MEDICAMENTS ET INTRANTS",socprompt,1))</f>
        <v>1</v>
      </c>
      <c r="J249" s="58">
        <f>IF(VLOOKUP($A249,SiteAttendu!$A$2:$O$366,11,0)="NA","NA",COUNTIFS(soccode,$A249,socprog,"PNN/MEDICAMENTS ET INTRANTS",socprompt,1))</f>
        <v>1</v>
      </c>
      <c r="K249" s="58" t="str">
        <f>IF(VLOOKUP($A249,SiteAttendu!$A$2:$O$366,15,0)="NA","NA",IF(COUNTIF(socprog,"PNLT/SENSIBLE MEDICAMENTS ET INTRANTS")=0,"NA",COUNTIFS(soccode,$A249,socprog,"PNLT/SENSIBLE MEDICAMENTS ET INTRANTS",socprompt,1)))</f>
        <v>NA</v>
      </c>
      <c r="L249" s="60"/>
      <c r="M249" s="85">
        <f t="shared" ref="M249:S249" si="251">IFERROR(SUMIFS(E$2:E$364,$C$2:$C$364,$C249)/COUNTIFS(E$2:E$364,"&lt;&gt;NA",$C$2:$C$364,$C249),"")</f>
        <v>0.7142857143</v>
      </c>
      <c r="N249" s="85">
        <f t="shared" si="251"/>
        <v>1</v>
      </c>
      <c r="O249" s="85">
        <f t="shared" si="251"/>
        <v>1</v>
      </c>
      <c r="P249" s="85">
        <f t="shared" si="251"/>
        <v>0.7142857143</v>
      </c>
      <c r="Q249" s="85">
        <f t="shared" si="251"/>
        <v>0.7142857143</v>
      </c>
      <c r="R249" s="85">
        <f t="shared" si="251"/>
        <v>0.8</v>
      </c>
      <c r="S249" s="85">
        <f t="shared" si="251"/>
        <v>1</v>
      </c>
      <c r="T249" s="127">
        <f t="shared" si="3"/>
        <v>0.7777777778</v>
      </c>
      <c r="U249" s="53">
        <f t="shared" si="4"/>
        <v>4</v>
      </c>
      <c r="V249" s="54">
        <f t="shared" si="5"/>
        <v>4</v>
      </c>
    </row>
    <row r="250" ht="15.75" customHeight="1">
      <c r="A250" s="55" t="str">
        <f>SiteAttendu!$A250</f>
        <v>C5013</v>
      </c>
      <c r="B250" s="56" t="str">
        <f>VLOOKUP($A250,SiteAttendu!$A$2:$C$366,2,0)</f>
        <v>DISTRICT SANITAIRE ODIENNE</v>
      </c>
      <c r="C250" s="57" t="str">
        <f>VLOOKUP($A250,SiteAttendu!$A$2:$C$366,3,0)</f>
        <v>KABADOUGOU</v>
      </c>
      <c r="D250" s="58">
        <f>IF(VLOOKUP(A250,SiteAttendu!$A$2:$P$366,4,0)="NA","NA",COUNTIFS(soccode,A250,socprog,"PNLS/ANTIRETROVIRAUX ET IO",socprompt,1))</f>
        <v>1</v>
      </c>
      <c r="E250" s="58">
        <f>IF(VLOOKUP($A250,SiteAttendu!$A$2:$O$366,5,0)="NA","NA",COUNTIFS(soccode,A250,socprog,"PNLS/TESTS RAPIDES ET CONSOMMABLES",socprompt,1))</f>
        <v>1</v>
      </c>
      <c r="F250" s="58">
        <f>IF(VLOOKUP($A250,SiteAttendu!$A$2:$O$366,6,0)="NA","NA",COUNTIFS(soccode,A250,socprog,"PNLS/PRODUITS DE LABORATOIRE",socprompt,1))</f>
        <v>1</v>
      </c>
      <c r="G250" s="58" t="str">
        <f>IF(VLOOKUP($A250,SiteAttendu!$A$2:$O$366,7,0)="NA","NA",COUNTIFS(soccode,A250,socprog,"PNLS/CHARGES VIRALES",socprompt,1))</f>
        <v>NA</v>
      </c>
      <c r="H250" s="58">
        <f>IF(VLOOKUP($A250,SiteAttendu!$A$2:$O$366,9,0)="NA","NA",COUNTIFS(soccode,A250,socprog,"PNLP/MEDICAMENTS ET INTRANTS",socprompt,1))</f>
        <v>1</v>
      </c>
      <c r="I250" s="58">
        <f>IF(VLOOKUP($A250,SiteAttendu!$A$2:$O$366,10,0)="NA","NA",COUNTIFS(soccode,$A250,socprog,"PNSME/MEDICAMENTS ET INTRANTS",socprompt,1))</f>
        <v>1</v>
      </c>
      <c r="J250" s="58">
        <f>IF(VLOOKUP($A250,SiteAttendu!$A$2:$O$366,11,0)="NA","NA",COUNTIFS(soccode,$A250,socprog,"PNN/MEDICAMENTS ET INTRANTS",socprompt,1))</f>
        <v>1</v>
      </c>
      <c r="K250" s="58">
        <f>IF(VLOOKUP($A250,SiteAttendu!$A$2:$O$366,15,0)="NA","NA",IF(COUNTIF(socprog,"PNLT/SENSIBLE MEDICAMENTS ET INTRANTS")=0,"NA",COUNTIFS(soccode,$A250,socprog,"PNLT/SENSIBLE MEDICAMENTS ET INTRANTS",socprompt,1)))</f>
        <v>1</v>
      </c>
      <c r="L250" s="60"/>
      <c r="M250" s="85">
        <f t="shared" ref="M250:S250" si="252">IFERROR(SUMIFS(E$2:E$364,$C$2:$C$364,$C250)/COUNTIFS(E$2:E$364,"&lt;&gt;NA",$C$2:$C$364,$C250),"")</f>
        <v>0.7142857143</v>
      </c>
      <c r="N250" s="85">
        <f t="shared" si="252"/>
        <v>1</v>
      </c>
      <c r="O250" s="85">
        <f t="shared" si="252"/>
        <v>1</v>
      </c>
      <c r="P250" s="85">
        <f t="shared" si="252"/>
        <v>0.7142857143</v>
      </c>
      <c r="Q250" s="85">
        <f t="shared" si="252"/>
        <v>0.7142857143</v>
      </c>
      <c r="R250" s="85">
        <f t="shared" si="252"/>
        <v>0.8</v>
      </c>
      <c r="S250" s="85">
        <f t="shared" si="252"/>
        <v>1</v>
      </c>
      <c r="T250" s="127">
        <f t="shared" si="3"/>
        <v>0.7777777778</v>
      </c>
      <c r="U250" s="53">
        <f t="shared" si="4"/>
        <v>3</v>
      </c>
      <c r="V250" s="54">
        <f t="shared" si="5"/>
        <v>3</v>
      </c>
    </row>
    <row r="251" ht="15.75" customHeight="1">
      <c r="A251" s="55" t="str">
        <f>SiteAttendu!$A251</f>
        <v>C5073</v>
      </c>
      <c r="B251" s="56" t="str">
        <f>VLOOKUP($A251,SiteAttendu!$A$2:$C$366,2,0)</f>
        <v>HOPITAL GENERAL GBELEBAN</v>
      </c>
      <c r="C251" s="57" t="str">
        <f>VLOOKUP($A251,SiteAttendu!$A$2:$C$366,3,0)</f>
        <v>KABADOUGOU</v>
      </c>
      <c r="D251" s="58">
        <f>IF(VLOOKUP(A251,SiteAttendu!$A$2:$P$366,4,0)="NA","NA",COUNTIFS(soccode,A251,socprog,"PNLS/ANTIRETROVIRAUX ET IO",socprompt,1))</f>
        <v>0</v>
      </c>
      <c r="E251" s="58">
        <f>IF(VLOOKUP($A251,SiteAttendu!$A$2:$O$366,5,0)="NA","NA",COUNTIFS(soccode,A251,socprog,"PNLS/TESTS RAPIDES ET CONSOMMABLES",socprompt,1))</f>
        <v>0</v>
      </c>
      <c r="F251" s="58" t="str">
        <f>IF(VLOOKUP($A251,SiteAttendu!$A$2:$O$366,6,0)="NA","NA",COUNTIFS(soccode,A251,socprog,"PNLS/PRODUITS DE LABORATOIRE",socprompt,1))</f>
        <v>NA</v>
      </c>
      <c r="G251" s="58" t="str">
        <f>IF(VLOOKUP($A251,SiteAttendu!$A$2:$O$366,7,0)="NA","NA",COUNTIFS(soccode,A251,socprog,"PNLS/CHARGES VIRALES",socprompt,1))</f>
        <v>NA</v>
      </c>
      <c r="H251" s="58">
        <f>IF(VLOOKUP($A251,SiteAttendu!$A$2:$O$366,9,0)="NA","NA",COUNTIFS(soccode,A251,socprog,"PNLP/MEDICAMENTS ET INTRANTS",socprompt,1))</f>
        <v>0</v>
      </c>
      <c r="I251" s="58">
        <f>IF(VLOOKUP($A251,SiteAttendu!$A$2:$O$366,10,0)="NA","NA",COUNTIFS(soccode,$A251,socprog,"PNSME/MEDICAMENTS ET INTRANTS",socprompt,1))</f>
        <v>0</v>
      </c>
      <c r="J251" s="58" t="str">
        <f>IF(VLOOKUP($A251,SiteAttendu!$A$2:$O$366,11,0)="NA","NA",COUNTIFS(soccode,$A251,socprog,"PNN/MEDICAMENTS ET INTRANTS",socprompt,1))</f>
        <v>NA</v>
      </c>
      <c r="K251" s="58" t="str">
        <f>IF(VLOOKUP($A251,SiteAttendu!$A$2:$O$366,15,0)="NA","NA",IF(COUNTIF(socprog,"PNLT/SENSIBLE MEDICAMENTS ET INTRANTS")=0,"NA",COUNTIFS(soccode,$A251,socprog,"PNLT/SENSIBLE MEDICAMENTS ET INTRANTS",socprompt,1)))</f>
        <v>NA</v>
      </c>
      <c r="L251" s="60"/>
      <c r="M251" s="85">
        <f t="shared" ref="M251:S251" si="253">IFERROR(SUMIFS(E$2:E$364,$C$2:$C$364,$C251)/COUNTIFS(E$2:E$364,"&lt;&gt;NA",$C$2:$C$364,$C251),"")</f>
        <v>0.7142857143</v>
      </c>
      <c r="N251" s="85">
        <f t="shared" si="253"/>
        <v>1</v>
      </c>
      <c r="O251" s="85">
        <f t="shared" si="253"/>
        <v>1</v>
      </c>
      <c r="P251" s="85">
        <f t="shared" si="253"/>
        <v>0.7142857143</v>
      </c>
      <c r="Q251" s="85">
        <f t="shared" si="253"/>
        <v>0.7142857143</v>
      </c>
      <c r="R251" s="85">
        <f t="shared" si="253"/>
        <v>0.8</v>
      </c>
      <c r="S251" s="85">
        <f t="shared" si="253"/>
        <v>1</v>
      </c>
      <c r="T251" s="127">
        <f t="shared" si="3"/>
        <v>0.7777777778</v>
      </c>
      <c r="U251" s="53">
        <f t="shared" si="4"/>
        <v>0</v>
      </c>
      <c r="V251" s="54">
        <f t="shared" si="5"/>
        <v>2</v>
      </c>
    </row>
    <row r="252" ht="15.75" customHeight="1">
      <c r="A252" s="55" t="str">
        <f>SiteAttendu!$A252</f>
        <v>C5075</v>
      </c>
      <c r="B252" s="56" t="str">
        <f>VLOOKUP($A252,SiteAttendu!$A$2:$C$366,2,0)</f>
        <v>HOPITAL GENERAL SAMATIGUILA</v>
      </c>
      <c r="C252" s="57" t="str">
        <f>VLOOKUP($A252,SiteAttendu!$A$2:$C$366,3,0)</f>
        <v>KABADOUGOU</v>
      </c>
      <c r="D252" s="58">
        <f>IF(VLOOKUP(A252,SiteAttendu!$A$2:$P$366,4,0)="NA","NA",COUNTIFS(soccode,A252,socprog,"PNLS/ANTIRETROVIRAUX ET IO",socprompt,1))</f>
        <v>1</v>
      </c>
      <c r="E252" s="58">
        <f>IF(VLOOKUP($A252,SiteAttendu!$A$2:$O$366,5,0)="NA","NA",COUNTIFS(soccode,A252,socprog,"PNLS/TESTS RAPIDES ET CONSOMMABLES",socprompt,1))</f>
        <v>1</v>
      </c>
      <c r="F252" s="58" t="str">
        <f>IF(VLOOKUP($A252,SiteAttendu!$A$2:$O$366,6,0)="NA","NA",COUNTIFS(soccode,A252,socprog,"PNLS/PRODUITS DE LABORATOIRE",socprompt,1))</f>
        <v>NA</v>
      </c>
      <c r="G252" s="58" t="str">
        <f>IF(VLOOKUP($A252,SiteAttendu!$A$2:$O$366,7,0)="NA","NA",COUNTIFS(soccode,A252,socprog,"PNLS/CHARGES VIRALES",socprompt,1))</f>
        <v>NA</v>
      </c>
      <c r="H252" s="58">
        <f>IF(VLOOKUP($A252,SiteAttendu!$A$2:$O$366,9,0)="NA","NA",COUNTIFS(soccode,A252,socprog,"PNLP/MEDICAMENTS ET INTRANTS",socprompt,1))</f>
        <v>1</v>
      </c>
      <c r="I252" s="58">
        <f>IF(VLOOKUP($A252,SiteAttendu!$A$2:$O$366,10,0)="NA","NA",COUNTIFS(soccode,$A252,socprog,"PNSME/MEDICAMENTS ET INTRANTS",socprompt,1))</f>
        <v>1</v>
      </c>
      <c r="J252" s="58">
        <f>IF(VLOOKUP($A252,SiteAttendu!$A$2:$O$366,11,0)="NA","NA",COUNTIFS(soccode,$A252,socprog,"PNN/MEDICAMENTS ET INTRANTS",socprompt,1))</f>
        <v>1</v>
      </c>
      <c r="K252" s="58">
        <f>IF(VLOOKUP($A252,SiteAttendu!$A$2:$O$366,15,0)="NA","NA",IF(COUNTIF(socprog,"PNLT/SENSIBLE MEDICAMENTS ET INTRANTS")=0,"NA",COUNTIFS(soccode,$A252,socprog,"PNLT/SENSIBLE MEDICAMENTS ET INTRANTS",socprompt,1)))</f>
        <v>1</v>
      </c>
      <c r="L252" s="60"/>
      <c r="M252" s="85">
        <f t="shared" ref="M252:S252" si="254">IFERROR(SUMIFS(E$2:E$364,$C$2:$C$364,$C252)/COUNTIFS(E$2:E$364,"&lt;&gt;NA",$C$2:$C$364,$C252),"")</f>
        <v>0.7142857143</v>
      </c>
      <c r="N252" s="85">
        <f t="shared" si="254"/>
        <v>1</v>
      </c>
      <c r="O252" s="85">
        <f t="shared" si="254"/>
        <v>1</v>
      </c>
      <c r="P252" s="85">
        <f t="shared" si="254"/>
        <v>0.7142857143</v>
      </c>
      <c r="Q252" s="85">
        <f t="shared" si="254"/>
        <v>0.7142857143</v>
      </c>
      <c r="R252" s="85">
        <f t="shared" si="254"/>
        <v>0.8</v>
      </c>
      <c r="S252" s="85">
        <f t="shared" si="254"/>
        <v>1</v>
      </c>
      <c r="T252" s="127">
        <f t="shared" si="3"/>
        <v>0.7777777778</v>
      </c>
      <c r="U252" s="53">
        <f t="shared" si="4"/>
        <v>2</v>
      </c>
      <c r="V252" s="54">
        <f t="shared" si="5"/>
        <v>2</v>
      </c>
    </row>
    <row r="253" ht="15.75" customHeight="1">
      <c r="A253" s="62" t="str">
        <f>SiteAttendu!$A253</f>
        <v>C5062</v>
      </c>
      <c r="B253" s="63" t="str">
        <f>VLOOKUP($A253,SiteAttendu!$A$2:$C$366,2,0)</f>
        <v>CENTRE ANTITUBERCULEUX ODIENNE</v>
      </c>
      <c r="C253" s="64" t="str">
        <f>VLOOKUP($A253,SiteAttendu!$A$2:$C$366,3,0)</f>
        <v>KABADOUGOU</v>
      </c>
      <c r="D253" s="65" t="str">
        <f>IF(VLOOKUP(A253,SiteAttendu!$A$2:$P$366,4,0)="NA","NA",COUNTIFS(soccode,A253,socprog,"PNLS/ANTIRETROVIRAUX ET IO",socprompt,1))</f>
        <v>NA</v>
      </c>
      <c r="E253" s="65" t="str">
        <f>IF(VLOOKUP($A253,SiteAttendu!$A$2:$O$366,5,0)="NA","NA",COUNTIFS(soccode,A253,socprog,"PNLS/TESTS RAPIDES ET CONSOMMABLES",socprompt,1))</f>
        <v>NA</v>
      </c>
      <c r="F253" s="65" t="str">
        <f>IF(VLOOKUP($A253,SiteAttendu!$A$2:$O$366,6,0)="NA","NA",COUNTIFS(soccode,A253,socprog,"PNLS/PRODUITS DE LABORATOIRE",socprompt,1))</f>
        <v>NA</v>
      </c>
      <c r="G253" s="65" t="str">
        <f>IF(VLOOKUP($A253,SiteAttendu!$A$2:$O$366,7,0)="NA","NA",COUNTIFS(soccode,A253,socprog,"PNLS/CHARGES VIRALES",socprompt,1))</f>
        <v>NA</v>
      </c>
      <c r="H253" s="65" t="str">
        <f>IF(VLOOKUP($A253,SiteAttendu!$A$2:$O$366,9,0)="NA","NA",COUNTIFS(soccode,A253,socprog,"PNLP/MEDICAMENTS ET INTRANTS",socprompt,1))</f>
        <v>NA</v>
      </c>
      <c r="I253" s="65" t="str">
        <f>IF(VLOOKUP($A253,SiteAttendu!$A$2:$O$366,10,0)="NA","NA",COUNTIFS(soccode,$A253,socprog,"PNSME/MEDICAMENTS ET INTRANTS",socprompt,1))</f>
        <v>NA</v>
      </c>
      <c r="J253" s="65" t="str">
        <f>IF(VLOOKUP($A253,SiteAttendu!$A$2:$O$366,11,0)="NA","NA",COUNTIFS(soccode,$A253,socprog,"PNN/MEDICAMENTS ET INTRANTS",socprompt,1))</f>
        <v>NA</v>
      </c>
      <c r="K253" s="65">
        <f>IF(VLOOKUP($A253,SiteAttendu!$A$2:$O$366,15,0)="NA","NA",IF(COUNTIF(socprog,"PNLT/SENSIBLE MEDICAMENTS ET INTRANTS")=0,"NA",COUNTIFS(soccode,$A253,socprog,"PNLT/SENSIBLE MEDICAMENTS ET INTRANTS",socprompt,1)))</f>
        <v>1</v>
      </c>
      <c r="L253" s="67"/>
      <c r="M253" s="86">
        <f t="shared" ref="M253:S253" si="255">IFERROR(SUMIFS(E$2:E$364,$C$2:$C$364,$C253)/COUNTIFS(E$2:E$364,"&lt;&gt;NA",$C$2:$C$364,$C253),"")</f>
        <v>0.7142857143</v>
      </c>
      <c r="N253" s="86">
        <f t="shared" si="255"/>
        <v>1</v>
      </c>
      <c r="O253" s="86">
        <f t="shared" si="255"/>
        <v>1</v>
      </c>
      <c r="P253" s="86">
        <f t="shared" si="255"/>
        <v>0.7142857143</v>
      </c>
      <c r="Q253" s="86">
        <f t="shared" si="255"/>
        <v>0.7142857143</v>
      </c>
      <c r="R253" s="86">
        <f t="shared" si="255"/>
        <v>0.8</v>
      </c>
      <c r="S253" s="86">
        <f t="shared" si="255"/>
        <v>1</v>
      </c>
      <c r="T253" s="128">
        <f t="shared" si="3"/>
        <v>0.7777777778</v>
      </c>
      <c r="U253" s="53">
        <f t="shared" si="4"/>
        <v>0</v>
      </c>
      <c r="V253" s="54">
        <f t="shared" si="5"/>
        <v>0</v>
      </c>
    </row>
    <row r="254" ht="15.75" customHeight="1">
      <c r="A254" s="46" t="str">
        <f>SiteAttendu!$A254</f>
        <v>C2226</v>
      </c>
      <c r="B254" s="47" t="str">
        <f>VLOOKUP($A254,SiteAttendu!$A$2:$C$366,2,0)</f>
        <v>CSU NIAMBEZARIA</v>
      </c>
      <c r="C254" s="48" t="str">
        <f>VLOOKUP($A254,SiteAttendu!$A$2:$C$366,3,0)</f>
        <v>LOH-DJIBOUA</v>
      </c>
      <c r="D254" s="49" t="str">
        <f>IF(VLOOKUP(A254,SiteAttendu!$A$2:$P$366,4,0)="NA","NA",COUNTIFS(soccode,A254,socprog,"PNLS/ANTIRETROVIRAUX ET IO",socprompt,1))</f>
        <v>NA</v>
      </c>
      <c r="E254" s="49" t="str">
        <f>IF(VLOOKUP($A254,SiteAttendu!$A$2:$O$366,5,0)="NA","NA",COUNTIFS(soccode,A254,socprog,"PNLS/TESTS RAPIDES ET CONSOMMABLES",socprompt,1))</f>
        <v>NA</v>
      </c>
      <c r="F254" s="49" t="str">
        <f>IF(VLOOKUP($A254,SiteAttendu!$A$2:$O$366,6,0)="NA","NA",COUNTIFS(soccode,A254,socprog,"PNLS/PRODUITS DE LABORATOIRE",socprompt,1))</f>
        <v>NA</v>
      </c>
      <c r="G254" s="49" t="str">
        <f>IF(VLOOKUP($A254,SiteAttendu!$A$2:$O$366,7,0)="NA","NA",COUNTIFS(soccode,A254,socprog,"PNLS/CHARGES VIRALES",socprompt,1))</f>
        <v>NA</v>
      </c>
      <c r="H254" s="49" t="str">
        <f>IF(VLOOKUP($A254,SiteAttendu!$A$2:$O$366,9,0)="NA","NA",COUNTIFS(soccode,A254,socprog,"PNLP/MEDICAMENTS ET INTRANTS",socprompt,1))</f>
        <v>NA</v>
      </c>
      <c r="I254" s="49">
        <f>IF(VLOOKUP($A254,SiteAttendu!$A$2:$O$366,10,0)="NA","NA",COUNTIFS(soccode,$A254,socprog,"PNSME/MEDICAMENTS ET INTRANTS",socprompt,1))</f>
        <v>1</v>
      </c>
      <c r="J254" s="49" t="str">
        <f>IF(VLOOKUP($A254,SiteAttendu!$A$2:$O$366,11,0)="NA","NA",COUNTIFS(soccode,$A254,socprog,"PNN/MEDICAMENTS ET INTRANTS",socprompt,1))</f>
        <v>NA</v>
      </c>
      <c r="K254" s="49" t="str">
        <f>IF(VLOOKUP($A254,SiteAttendu!$A$2:$O$366,15,0)="NA","NA",IF(COUNTIF(socprog,"PNLT/SENSIBLE MEDICAMENTS ET INTRANTS")=0,"NA",COUNTIFS(soccode,$A254,socprog,"PNLT/SENSIBLE MEDICAMENTS ET INTRANTS",socprompt,1)))</f>
        <v>NA</v>
      </c>
      <c r="L254" s="51">
        <f t="shared" ref="L254:S254" si="256">IFERROR(SUMIFS(D$2:D$364,$C$2:$C$364,$C254)/COUNTIFS(D$2:D$364,"&lt;&gt;NA",$C$2:$C$364,$C254),"")</f>
        <v>0.8333333333</v>
      </c>
      <c r="M254" s="51">
        <f t="shared" si="256"/>
        <v>0.8333333333</v>
      </c>
      <c r="N254" s="51">
        <f t="shared" si="256"/>
        <v>0.8</v>
      </c>
      <c r="O254" s="51">
        <f t="shared" si="256"/>
        <v>1</v>
      </c>
      <c r="P254" s="51">
        <f t="shared" si="256"/>
        <v>0.8333333333</v>
      </c>
      <c r="Q254" s="51">
        <f t="shared" si="256"/>
        <v>0.5555555556</v>
      </c>
      <c r="R254" s="51" t="str">
        <f t="shared" si="256"/>
        <v/>
      </c>
      <c r="S254" s="51">
        <f t="shared" si="256"/>
        <v>0.3333333333</v>
      </c>
      <c r="T254" s="51">
        <f t="shared" si="3"/>
        <v>0.8333333333</v>
      </c>
      <c r="U254" s="53">
        <f t="shared" si="4"/>
        <v>0</v>
      </c>
      <c r="V254" s="54">
        <f t="shared" si="5"/>
        <v>0</v>
      </c>
    </row>
    <row r="255" ht="15.75" customHeight="1">
      <c r="A255" s="55" t="str">
        <f>SiteAttendu!$A255</f>
        <v>C2005</v>
      </c>
      <c r="B255" s="56" t="str">
        <f>VLOOKUP($A255,SiteAttendu!$A$2:$C$366,2,0)</f>
        <v>CHR DIVO</v>
      </c>
      <c r="C255" s="57" t="str">
        <f>VLOOKUP($A255,SiteAttendu!$A$2:$C$366,3,0)</f>
        <v>LOH-DJIBOUA</v>
      </c>
      <c r="D255" s="58">
        <f>IF(VLOOKUP(A255,SiteAttendu!$A$2:$P$366,4,0)="NA","NA",COUNTIFS(soccode,A255,socprog,"PNLS/ANTIRETROVIRAUX ET IO",socprompt,1))</f>
        <v>1</v>
      </c>
      <c r="E255" s="58">
        <f>IF(VLOOKUP($A255,SiteAttendu!$A$2:$O$366,5,0)="NA","NA",COUNTIFS(soccode,A255,socprog,"PNLS/TESTS RAPIDES ET CONSOMMABLES",socprompt,1))</f>
        <v>1</v>
      </c>
      <c r="F255" s="58">
        <f>IF(VLOOKUP($A255,SiteAttendu!$A$2:$O$366,6,0)="NA","NA",COUNTIFS(soccode,A255,socprog,"PNLS/PRODUITS DE LABORATOIRE",socprompt,1))</f>
        <v>1</v>
      </c>
      <c r="G255" s="58">
        <f>IF(VLOOKUP($A255,SiteAttendu!$A$2:$O$366,7,0)="NA","NA",COUNTIFS(soccode,A255,socprog,"PNLS/CHARGES VIRALES",socprompt,1))</f>
        <v>1</v>
      </c>
      <c r="H255" s="58">
        <f>IF(VLOOKUP($A255,SiteAttendu!$A$2:$O$366,9,0)="NA","NA",COUNTIFS(soccode,A255,socprog,"PNLP/MEDICAMENTS ET INTRANTS",socprompt,1))</f>
        <v>1</v>
      </c>
      <c r="I255" s="58">
        <f>IF(VLOOKUP($A255,SiteAttendu!$A$2:$O$366,10,0)="NA","NA",COUNTIFS(soccode,$A255,socprog,"PNSME/MEDICAMENTS ET INTRANTS",socprompt,1))</f>
        <v>1</v>
      </c>
      <c r="J255" s="58" t="str">
        <f>IF(VLOOKUP($A255,SiteAttendu!$A$2:$O$366,11,0)="NA","NA",COUNTIFS(soccode,$A255,socprog,"PNN/MEDICAMENTS ET INTRANTS",socprompt,1))</f>
        <v>NA</v>
      </c>
      <c r="K255" s="58" t="str">
        <f>IF(VLOOKUP($A255,SiteAttendu!$A$2:$O$366,15,0)="NA","NA",IF(COUNTIF(socprog,"PNLT/SENSIBLE MEDICAMENTS ET INTRANTS")=0,"NA",COUNTIFS(soccode,$A255,socprog,"PNLT/SENSIBLE MEDICAMENTS ET INTRANTS",socprompt,1)))</f>
        <v>NA</v>
      </c>
      <c r="L255" s="60"/>
      <c r="M255" s="60">
        <f t="shared" ref="M255:S255" si="257">IFERROR(SUMIFS(E$2:E$364,$C$2:$C$364,$C255)/COUNTIFS(E$2:E$364,"&lt;&gt;NA",$C$2:$C$364,$C255),"")</f>
        <v>0.8333333333</v>
      </c>
      <c r="N255" s="60">
        <f t="shared" si="257"/>
        <v>0.8</v>
      </c>
      <c r="O255" s="60">
        <f t="shared" si="257"/>
        <v>1</v>
      </c>
      <c r="P255" s="60">
        <f t="shared" si="257"/>
        <v>0.8333333333</v>
      </c>
      <c r="Q255" s="60">
        <f t="shared" si="257"/>
        <v>0.5555555556</v>
      </c>
      <c r="R255" s="60" t="str">
        <f t="shared" si="257"/>
        <v/>
      </c>
      <c r="S255" s="60">
        <f t="shared" si="257"/>
        <v>0.3333333333</v>
      </c>
      <c r="T255" s="60">
        <f t="shared" si="3"/>
        <v>0.8333333333</v>
      </c>
      <c r="U255" s="53">
        <f t="shared" si="4"/>
        <v>4</v>
      </c>
      <c r="V255" s="54">
        <f t="shared" si="5"/>
        <v>4</v>
      </c>
    </row>
    <row r="256" ht="15.75" customHeight="1">
      <c r="A256" s="55" t="str">
        <f>SiteAttendu!$A256</f>
        <v>C2028</v>
      </c>
      <c r="B256" s="56" t="str">
        <f>VLOOKUP($A256,SiteAttendu!$A$2:$C$366,2,0)</f>
        <v>DISTRICT SANITAIRE DIVO</v>
      </c>
      <c r="C256" s="57" t="str">
        <f>VLOOKUP($A256,SiteAttendu!$A$2:$C$366,3,0)</f>
        <v>LOH-DJIBOUA</v>
      </c>
      <c r="D256" s="58">
        <f>IF(VLOOKUP(A256,SiteAttendu!$A$2:$P$366,4,0)="NA","NA",COUNTIFS(soccode,A256,socprog,"PNLS/ANTIRETROVIRAUX ET IO",socprompt,1))</f>
        <v>1</v>
      </c>
      <c r="E256" s="58">
        <f>IF(VLOOKUP($A256,SiteAttendu!$A$2:$O$366,5,0)="NA","NA",COUNTIFS(soccode,A256,socprog,"PNLS/TESTS RAPIDES ET CONSOMMABLES",socprompt,1))</f>
        <v>1</v>
      </c>
      <c r="F256" s="58">
        <f>IF(VLOOKUP($A256,SiteAttendu!$A$2:$O$366,6,0)="NA","NA",COUNTIFS(soccode,A256,socprog,"PNLS/PRODUITS DE LABORATOIRE",socprompt,1))</f>
        <v>1</v>
      </c>
      <c r="G256" s="58" t="str">
        <f>IF(VLOOKUP($A256,SiteAttendu!$A$2:$O$366,7,0)="NA","NA",COUNTIFS(soccode,A256,socprog,"PNLS/CHARGES VIRALES",socprompt,1))</f>
        <v>NA</v>
      </c>
      <c r="H256" s="58">
        <f>IF(VLOOKUP($A256,SiteAttendu!$A$2:$O$366,9,0)="NA","NA",COUNTIFS(soccode,A256,socprog,"PNLP/MEDICAMENTS ET INTRANTS",socprompt,1))</f>
        <v>1</v>
      </c>
      <c r="I256" s="58">
        <f>IF(VLOOKUP($A256,SiteAttendu!$A$2:$O$366,10,0)="NA","NA",COUNTIFS(soccode,$A256,socprog,"PNSME/MEDICAMENTS ET INTRANTS",socprompt,1))</f>
        <v>0</v>
      </c>
      <c r="J256" s="58" t="str">
        <f>IF(VLOOKUP($A256,SiteAttendu!$A$2:$O$366,11,0)="NA","NA",COUNTIFS(soccode,$A256,socprog,"PNN/MEDICAMENTS ET INTRANTS",socprompt,1))</f>
        <v>NA</v>
      </c>
      <c r="K256" s="58">
        <f>IF(VLOOKUP($A256,SiteAttendu!$A$2:$O$366,15,0)="NA","NA",IF(COUNTIF(socprog,"PNLT/SENSIBLE MEDICAMENTS ET INTRANTS")=0,"NA",COUNTIFS(soccode,$A256,socprog,"PNLT/SENSIBLE MEDICAMENTS ET INTRANTS",socprompt,1)))</f>
        <v>0</v>
      </c>
      <c r="L256" s="60"/>
      <c r="M256" s="60">
        <f t="shared" ref="M256:S256" si="258">IFERROR(SUMIFS(E$2:E$364,$C$2:$C$364,$C256)/COUNTIFS(E$2:E$364,"&lt;&gt;NA",$C$2:$C$364,$C256),"")</f>
        <v>0.8333333333</v>
      </c>
      <c r="N256" s="60">
        <f t="shared" si="258"/>
        <v>0.8</v>
      </c>
      <c r="O256" s="60">
        <f t="shared" si="258"/>
        <v>1</v>
      </c>
      <c r="P256" s="60">
        <f t="shared" si="258"/>
        <v>0.8333333333</v>
      </c>
      <c r="Q256" s="60">
        <f t="shared" si="258"/>
        <v>0.5555555556</v>
      </c>
      <c r="R256" s="60" t="str">
        <f t="shared" si="258"/>
        <v/>
      </c>
      <c r="S256" s="60">
        <f t="shared" si="258"/>
        <v>0.3333333333</v>
      </c>
      <c r="T256" s="60">
        <f t="shared" si="3"/>
        <v>0.8333333333</v>
      </c>
      <c r="U256" s="53">
        <f t="shared" si="4"/>
        <v>3</v>
      </c>
      <c r="V256" s="54">
        <f t="shared" si="5"/>
        <v>3</v>
      </c>
    </row>
    <row r="257" ht="15.75" customHeight="1">
      <c r="A257" s="55" t="str">
        <f>SiteAttendu!$A183</f>
        <v>C2216</v>
      </c>
      <c r="B257" s="56" t="str">
        <f>VLOOKUP($A257,SiteAttendu!$A$2:$C$366,2,0)</f>
        <v>CSU HERMANKONO-GARO</v>
      </c>
      <c r="C257" s="57" t="str">
        <f>VLOOKUP($A257,SiteAttendu!$A$2:$C$366,3,0)</f>
        <v>LOH-DJIBOUA</v>
      </c>
      <c r="D257" s="58" t="str">
        <f>IF(VLOOKUP(A257,SiteAttendu!$A$2:$P$366,4,0)="NA","NA",COUNTIFS(soccode,A257,socprog,"PNLS/ANTIRETROVIRAUX ET IO",socprompt,1))</f>
        <v>NA</v>
      </c>
      <c r="E257" s="58" t="str">
        <f>IF(VLOOKUP($A257,SiteAttendu!$A$2:$O$366,5,0)="NA","NA",COUNTIFS(soccode,A257,socprog,"PNLS/TESTS RAPIDES ET CONSOMMABLES",socprompt,1))</f>
        <v>NA</v>
      </c>
      <c r="F257" s="58" t="str">
        <f>IF(VLOOKUP($A257,SiteAttendu!$A$2:$O$366,6,0)="NA","NA",COUNTIFS(soccode,A257,socprog,"PNLS/PRODUITS DE LABORATOIRE",socprompt,1))</f>
        <v>NA</v>
      </c>
      <c r="G257" s="58" t="str">
        <f>IF(VLOOKUP($A257,SiteAttendu!$A$2:$O$366,7,0)="NA","NA",COUNTIFS(soccode,A257,socprog,"PNLS/CHARGES VIRALES",socprompt,1))</f>
        <v>NA</v>
      </c>
      <c r="H257" s="58" t="str">
        <f>IF(VLOOKUP($A257,SiteAttendu!$A$2:$O$366,9,0)="NA","NA",COUNTIFS(soccode,A257,socprog,"PNLP/MEDICAMENTS ET INTRANTS",socprompt,1))</f>
        <v>NA</v>
      </c>
      <c r="I257" s="58">
        <f>IF(VLOOKUP($A257,SiteAttendu!$A$2:$O$366,10,0)="NA","NA",COUNTIFS(soccode,$A257,socprog,"PNSME/MEDICAMENTS ET INTRANTS",socprompt,1))</f>
        <v>1</v>
      </c>
      <c r="J257" s="58" t="str">
        <f>IF(VLOOKUP($A257,SiteAttendu!$A$2:$O$366,11,0)="NA","NA",COUNTIFS(soccode,$A257,socprog,"PNN/MEDICAMENTS ET INTRANTS",socprompt,1))</f>
        <v>NA</v>
      </c>
      <c r="K257" s="58" t="str">
        <f>IF(VLOOKUP($A257,SiteAttendu!$A$2:$O$366,15,0)="NA","NA",IF(COUNTIF(socprog,"PNLT/SENSIBLE MEDICAMENTS ET INTRANTS")=0,"NA",COUNTIFS(soccode,$A257,socprog,"PNLT/SENSIBLE MEDICAMENTS ET INTRANTS",socprompt,1)))</f>
        <v>NA</v>
      </c>
      <c r="L257" s="60"/>
      <c r="M257" s="60">
        <f t="shared" ref="M257:S257" si="259">IFERROR(SUMIFS(E$2:E$364,$C$2:$C$364,$C257)/COUNTIFS(E$2:E$364,"&lt;&gt;NA",$C$2:$C$364,$C257),"")</f>
        <v>0.8333333333</v>
      </c>
      <c r="N257" s="60">
        <f t="shared" si="259"/>
        <v>0.8</v>
      </c>
      <c r="O257" s="60">
        <f t="shared" si="259"/>
        <v>1</v>
      </c>
      <c r="P257" s="60">
        <f t="shared" si="259"/>
        <v>0.8333333333</v>
      </c>
      <c r="Q257" s="60">
        <f t="shared" si="259"/>
        <v>0.5555555556</v>
      </c>
      <c r="R257" s="60" t="str">
        <f t="shared" si="259"/>
        <v/>
      </c>
      <c r="S257" s="60">
        <f t="shared" si="259"/>
        <v>0.3333333333</v>
      </c>
      <c r="T257" s="60">
        <f t="shared" si="3"/>
        <v>0.8333333333</v>
      </c>
      <c r="U257" s="53">
        <f t="shared" si="4"/>
        <v>0</v>
      </c>
      <c r="V257" s="54">
        <f t="shared" si="5"/>
        <v>0</v>
      </c>
    </row>
    <row r="258" ht="15.75" customHeight="1">
      <c r="A258" s="55" t="str">
        <f>SiteAttendu!$A257</f>
        <v>C2016</v>
      </c>
      <c r="B258" s="56" t="str">
        <f>VLOOKUP($A258,SiteAttendu!$A$2:$C$366,2,0)</f>
        <v>CSU HIRE</v>
      </c>
      <c r="C258" s="57" t="str">
        <f>VLOOKUP($A258,SiteAttendu!$A$2:$C$366,3,0)</f>
        <v>LOH-DJIBOUA</v>
      </c>
      <c r="D258" s="58" t="str">
        <f>IF(VLOOKUP(A258,SiteAttendu!$A$2:$P$366,4,0)="NA","NA",COUNTIFS(soccode,A258,socprog,"PNLS/ANTIRETROVIRAUX ET IO",socprompt,1))</f>
        <v>NA</v>
      </c>
      <c r="E258" s="58" t="str">
        <f>IF(VLOOKUP($A258,SiteAttendu!$A$2:$O$366,5,0)="NA","NA",COUNTIFS(soccode,A258,socprog,"PNLS/TESTS RAPIDES ET CONSOMMABLES",socprompt,1))</f>
        <v>NA</v>
      </c>
      <c r="F258" s="58" t="str">
        <f>IF(VLOOKUP($A258,SiteAttendu!$A$2:$O$366,6,0)="NA","NA",COUNTIFS(soccode,A258,socprog,"PNLS/PRODUITS DE LABORATOIRE",socprompt,1))</f>
        <v>NA</v>
      </c>
      <c r="G258" s="58" t="str">
        <f>IF(VLOOKUP($A258,SiteAttendu!$A$2:$O$366,7,0)="NA","NA",COUNTIFS(soccode,A258,socprog,"PNLS/CHARGES VIRALES",socprompt,1))</f>
        <v>NA</v>
      </c>
      <c r="H258" s="58" t="str">
        <f>IF(VLOOKUP($A258,SiteAttendu!$A$2:$O$366,9,0)="NA","NA",COUNTIFS(soccode,A258,socprog,"PNLP/MEDICAMENTS ET INTRANTS",socprompt,1))</f>
        <v>NA</v>
      </c>
      <c r="I258" s="58">
        <f>IF(VLOOKUP($A258,SiteAttendu!$A$2:$O$366,10,0)="NA","NA",COUNTIFS(soccode,$A258,socprog,"PNSME/MEDICAMENTS ET INTRANTS",socprompt,1))</f>
        <v>0</v>
      </c>
      <c r="J258" s="58" t="str">
        <f>IF(VLOOKUP($A258,SiteAttendu!$A$2:$O$366,11,0)="NA","NA",COUNTIFS(soccode,$A258,socprog,"PNN/MEDICAMENTS ET INTRANTS",socprompt,1))</f>
        <v>NA</v>
      </c>
      <c r="K258" s="58">
        <f>IF(VLOOKUP($A258,SiteAttendu!$A$2:$O$366,15,0)="NA","NA",IF(COUNTIF(socprog,"PNLT/SENSIBLE MEDICAMENTS ET INTRANTS")=0,"NA",COUNTIFS(soccode,$A258,socprog,"PNLT/SENSIBLE MEDICAMENTS ET INTRANTS",socprompt,1)))</f>
        <v>0</v>
      </c>
      <c r="L258" s="60"/>
      <c r="M258" s="60">
        <f t="shared" ref="M258:S258" si="260">IFERROR(SUMIFS(E$2:E$364,$C$2:$C$364,$C258)/COUNTIFS(E$2:E$364,"&lt;&gt;NA",$C$2:$C$364,$C258),"")</f>
        <v>0.8333333333</v>
      </c>
      <c r="N258" s="60">
        <f t="shared" si="260"/>
        <v>0.8</v>
      </c>
      <c r="O258" s="60">
        <f t="shared" si="260"/>
        <v>1</v>
      </c>
      <c r="P258" s="60">
        <f t="shared" si="260"/>
        <v>0.8333333333</v>
      </c>
      <c r="Q258" s="60">
        <f t="shared" si="260"/>
        <v>0.5555555556</v>
      </c>
      <c r="R258" s="60" t="str">
        <f t="shared" si="260"/>
        <v/>
      </c>
      <c r="S258" s="60">
        <f t="shared" si="260"/>
        <v>0.3333333333</v>
      </c>
      <c r="T258" s="60">
        <f t="shared" si="3"/>
        <v>0.8333333333</v>
      </c>
      <c r="U258" s="53">
        <f t="shared" si="4"/>
        <v>0</v>
      </c>
      <c r="V258" s="54">
        <f t="shared" si="5"/>
        <v>0</v>
      </c>
    </row>
    <row r="259" ht="15.75" customHeight="1">
      <c r="A259" s="55" t="str">
        <f>SiteAttendu!$A258</f>
        <v>C2174</v>
      </c>
      <c r="B259" s="56" t="str">
        <f>VLOOKUP($A259,SiteAttendu!$A$2:$C$366,2,0)</f>
        <v>CENTRE ANTITUBERCULEUX DIVO</v>
      </c>
      <c r="C259" s="57" t="str">
        <f>VLOOKUP($A259,SiteAttendu!$A$2:$C$366,3,0)</f>
        <v>LOH-DJIBOUA</v>
      </c>
      <c r="D259" s="58" t="str">
        <f>IF(VLOOKUP(A259,SiteAttendu!$A$2:$P$366,4,0)="NA","NA",COUNTIFS(soccode,A259,socprog,"PNLS/ANTIRETROVIRAUX ET IO",socprompt,1))</f>
        <v>NA</v>
      </c>
      <c r="E259" s="58" t="str">
        <f>IF(VLOOKUP($A259,SiteAttendu!$A$2:$O$366,5,0)="NA","NA",COUNTIFS(soccode,A259,socprog,"PNLS/TESTS RAPIDES ET CONSOMMABLES",socprompt,1))</f>
        <v>NA</v>
      </c>
      <c r="F259" s="58" t="str">
        <f>IF(VLOOKUP($A259,SiteAttendu!$A$2:$O$366,6,0)="NA","NA",COUNTIFS(soccode,A259,socprog,"PNLS/PRODUITS DE LABORATOIRE",socprompt,1))</f>
        <v>NA</v>
      </c>
      <c r="G259" s="58" t="str">
        <f>IF(VLOOKUP($A259,SiteAttendu!$A$2:$O$366,7,0)="NA","NA",COUNTIFS(soccode,A259,socprog,"PNLS/CHARGES VIRALES",socprompt,1))</f>
        <v>NA</v>
      </c>
      <c r="H259" s="58" t="str">
        <f>IF(VLOOKUP($A259,SiteAttendu!$A$2:$O$366,9,0)="NA","NA",COUNTIFS(soccode,A259,socprog,"PNLP/MEDICAMENTS ET INTRANTS",socprompt,1))</f>
        <v>NA</v>
      </c>
      <c r="I259" s="58" t="str">
        <f>IF(VLOOKUP($A259,SiteAttendu!$A$2:$O$366,10,0)="NA","NA",COUNTIFS(soccode,$A259,socprog,"PNSME/MEDICAMENTS ET INTRANTS",socprompt,1))</f>
        <v>NA</v>
      </c>
      <c r="J259" s="58" t="str">
        <f>IF(VLOOKUP($A259,SiteAttendu!$A$2:$O$366,11,0)="NA","NA",COUNTIFS(soccode,$A259,socprog,"PNN/MEDICAMENTS ET INTRANTS",socprompt,1))</f>
        <v>NA</v>
      </c>
      <c r="K259" s="58">
        <f>IF(VLOOKUP($A259,SiteAttendu!$A$2:$O$366,15,0)="NA","NA",IF(COUNTIF(socprog,"PNLT/SENSIBLE MEDICAMENTS ET INTRANTS")=0,"NA",COUNTIFS(soccode,$A259,socprog,"PNLT/SENSIBLE MEDICAMENTS ET INTRANTS",socprompt,1)))</f>
        <v>1</v>
      </c>
      <c r="L259" s="60"/>
      <c r="M259" s="60">
        <f t="shared" ref="M259:S259" si="261">IFERROR(SUMIFS(E$2:E$364,$C$2:$C$364,$C259)/COUNTIFS(E$2:E$364,"&lt;&gt;NA",$C$2:$C$364,$C259),"")</f>
        <v>0.8333333333</v>
      </c>
      <c r="N259" s="60">
        <f t="shared" si="261"/>
        <v>0.8</v>
      </c>
      <c r="O259" s="60">
        <f t="shared" si="261"/>
        <v>1</v>
      </c>
      <c r="P259" s="60">
        <f t="shared" si="261"/>
        <v>0.8333333333</v>
      </c>
      <c r="Q259" s="60">
        <f t="shared" si="261"/>
        <v>0.5555555556</v>
      </c>
      <c r="R259" s="60" t="str">
        <f t="shared" si="261"/>
        <v/>
      </c>
      <c r="S259" s="60">
        <f t="shared" si="261"/>
        <v>0.3333333333</v>
      </c>
      <c r="T259" s="60">
        <f t="shared" si="3"/>
        <v>0.8333333333</v>
      </c>
      <c r="U259" s="53">
        <f t="shared" si="4"/>
        <v>0</v>
      </c>
      <c r="V259" s="54">
        <f t="shared" si="5"/>
        <v>0</v>
      </c>
    </row>
    <row r="260" ht="15.75" customHeight="1">
      <c r="A260" s="55" t="str">
        <f>SiteAttendu!$A259</f>
        <v>C2055</v>
      </c>
      <c r="B260" s="56" t="str">
        <f>VLOOKUP($A260,SiteAttendu!$A$2:$C$366,2,0)</f>
        <v>HOPITAL GENERAL GUITRY</v>
      </c>
      <c r="C260" s="57" t="str">
        <f>VLOOKUP($A260,SiteAttendu!$A$2:$C$366,3,0)</f>
        <v>LOH-DJIBOUA</v>
      </c>
      <c r="D260" s="58">
        <f>IF(VLOOKUP(A260,SiteAttendu!$A$2:$P$366,4,0)="NA","NA",COUNTIFS(soccode,A260,socprog,"PNLS/ANTIRETROVIRAUX ET IO",socprompt,1))</f>
        <v>1</v>
      </c>
      <c r="E260" s="58">
        <f>IF(VLOOKUP($A260,SiteAttendu!$A$2:$O$366,5,0)="NA","NA",COUNTIFS(soccode,A260,socprog,"PNLS/TESTS RAPIDES ET CONSOMMABLES",socprompt,1))</f>
        <v>1</v>
      </c>
      <c r="F260" s="58">
        <f>IF(VLOOKUP($A260,SiteAttendu!$A$2:$O$366,6,0)="NA","NA",COUNTIFS(soccode,A260,socprog,"PNLS/PRODUITS DE LABORATOIRE",socprompt,1))</f>
        <v>1</v>
      </c>
      <c r="G260" s="58" t="str">
        <f>IF(VLOOKUP($A260,SiteAttendu!$A$2:$O$366,7,0)="NA","NA",COUNTIFS(soccode,A260,socprog,"PNLS/CHARGES VIRALES",socprompt,1))</f>
        <v>NA</v>
      </c>
      <c r="H260" s="58">
        <f>IF(VLOOKUP($A260,SiteAttendu!$A$2:$O$366,9,0)="NA","NA",COUNTIFS(soccode,A260,socprog,"PNLP/MEDICAMENTS ET INTRANTS",socprompt,1))</f>
        <v>1</v>
      </c>
      <c r="I260" s="58">
        <f>IF(VLOOKUP($A260,SiteAttendu!$A$2:$O$366,10,0)="NA","NA",COUNTIFS(soccode,$A260,socprog,"PNSME/MEDICAMENTS ET INTRANTS",socprompt,1))</f>
        <v>1</v>
      </c>
      <c r="J260" s="58" t="str">
        <f>IF(VLOOKUP($A260,SiteAttendu!$A$2:$O$366,11,0)="NA","NA",COUNTIFS(soccode,$A260,socprog,"PNN/MEDICAMENTS ET INTRANTS",socprompt,1))</f>
        <v>NA</v>
      </c>
      <c r="K260" s="58">
        <f>IF(VLOOKUP($A260,SiteAttendu!$A$2:$O$366,15,0)="NA","NA",IF(COUNTIF(socprog,"PNLT/SENSIBLE MEDICAMENTS ET INTRANTS")=0,"NA",COUNTIFS(soccode,$A260,socprog,"PNLT/SENSIBLE MEDICAMENTS ET INTRANTS",socprompt,1)))</f>
        <v>0</v>
      </c>
      <c r="L260" s="60"/>
      <c r="M260" s="60">
        <f t="shared" ref="M260:S260" si="262">IFERROR(SUMIFS(E$2:E$364,$C$2:$C$364,$C260)/COUNTIFS(E$2:E$364,"&lt;&gt;NA",$C$2:$C$364,$C260),"")</f>
        <v>0.8333333333</v>
      </c>
      <c r="N260" s="60">
        <f t="shared" si="262"/>
        <v>0.8</v>
      </c>
      <c r="O260" s="60">
        <f t="shared" si="262"/>
        <v>1</v>
      </c>
      <c r="P260" s="60">
        <f t="shared" si="262"/>
        <v>0.8333333333</v>
      </c>
      <c r="Q260" s="60">
        <f t="shared" si="262"/>
        <v>0.5555555556</v>
      </c>
      <c r="R260" s="60" t="str">
        <f t="shared" si="262"/>
        <v/>
      </c>
      <c r="S260" s="60">
        <f t="shared" si="262"/>
        <v>0.3333333333</v>
      </c>
      <c r="T260" s="60">
        <f t="shared" si="3"/>
        <v>0.8333333333</v>
      </c>
      <c r="U260" s="53">
        <f t="shared" si="4"/>
        <v>3</v>
      </c>
      <c r="V260" s="54">
        <f t="shared" si="5"/>
        <v>3</v>
      </c>
    </row>
    <row r="261" ht="15.75" customHeight="1">
      <c r="A261" s="55" t="str">
        <f>SiteAttendu!$A260</f>
        <v>C2188</v>
      </c>
      <c r="B261" s="56" t="str">
        <f>VLOOKUP($A261,SiteAttendu!$A$2:$C$366,2,0)</f>
        <v>DISTRICT SANITAIRE DE GUITRY</v>
      </c>
      <c r="C261" s="57" t="str">
        <f>VLOOKUP($A261,SiteAttendu!$A$2:$C$366,3,0)</f>
        <v>LOH-DJIBOUA</v>
      </c>
      <c r="D261" s="58">
        <f>IF(VLOOKUP(A261,SiteAttendu!$A$2:$P$366,4,0)="NA","NA",COUNTIFS(soccode,A261,socprog,"PNLS/ANTIRETROVIRAUX ET IO",socprompt,1))</f>
        <v>0</v>
      </c>
      <c r="E261" s="58">
        <f>IF(VLOOKUP($A261,SiteAttendu!$A$2:$O$366,5,0)="NA","NA",COUNTIFS(soccode,A261,socprog,"PNLS/TESTS RAPIDES ET CONSOMMABLES",socprompt,1))</f>
        <v>0</v>
      </c>
      <c r="F261" s="58">
        <f>IF(VLOOKUP($A261,SiteAttendu!$A$2:$O$366,6,0)="NA","NA",COUNTIFS(soccode,A261,socprog,"PNLS/PRODUITS DE LABORATOIRE",socprompt,1))</f>
        <v>0</v>
      </c>
      <c r="G261" s="58" t="str">
        <f>IF(VLOOKUP($A261,SiteAttendu!$A$2:$O$366,7,0)="NA","NA",COUNTIFS(soccode,A261,socprog,"PNLS/CHARGES VIRALES",socprompt,1))</f>
        <v>NA</v>
      </c>
      <c r="H261" s="58">
        <f>IF(VLOOKUP($A261,SiteAttendu!$A$2:$O$366,9,0)="NA","NA",COUNTIFS(soccode,A261,socprog,"PNLP/MEDICAMENTS ET INTRANTS",socprompt,1))</f>
        <v>0</v>
      </c>
      <c r="I261" s="58">
        <f>IF(VLOOKUP($A261,SiteAttendu!$A$2:$O$366,10,0)="NA","NA",COUNTIFS(soccode,$A261,socprog,"PNSME/MEDICAMENTS ET INTRANTS",socprompt,1))</f>
        <v>0</v>
      </c>
      <c r="J261" s="58" t="str">
        <f>IF(VLOOKUP($A261,SiteAttendu!$A$2:$O$366,11,0)="NA","NA",COUNTIFS(soccode,$A261,socprog,"PNN/MEDICAMENTS ET INTRANTS",socprompt,1))</f>
        <v>NA</v>
      </c>
      <c r="K261" s="58">
        <f>IF(VLOOKUP($A261,SiteAttendu!$A$2:$O$366,15,0)="NA","NA",IF(COUNTIF(socprog,"PNLT/SENSIBLE MEDICAMENTS ET INTRANTS")=0,"NA",COUNTIFS(soccode,$A261,socprog,"PNLT/SENSIBLE MEDICAMENTS ET INTRANTS",socprompt,1)))</f>
        <v>0</v>
      </c>
      <c r="L261" s="60"/>
      <c r="M261" s="60">
        <f t="shared" ref="M261:S261" si="263">IFERROR(SUMIFS(E$2:E$364,$C$2:$C$364,$C261)/COUNTIFS(E$2:E$364,"&lt;&gt;NA",$C$2:$C$364,$C261),"")</f>
        <v>0.8333333333</v>
      </c>
      <c r="N261" s="60">
        <f t="shared" si="263"/>
        <v>0.8</v>
      </c>
      <c r="O261" s="60">
        <f t="shared" si="263"/>
        <v>1</v>
      </c>
      <c r="P261" s="60">
        <f t="shared" si="263"/>
        <v>0.8333333333</v>
      </c>
      <c r="Q261" s="60">
        <f t="shared" si="263"/>
        <v>0.5555555556</v>
      </c>
      <c r="R261" s="60" t="str">
        <f t="shared" si="263"/>
        <v/>
      </c>
      <c r="S261" s="60">
        <f t="shared" si="263"/>
        <v>0.3333333333</v>
      </c>
      <c r="T261" s="60">
        <f t="shared" si="3"/>
        <v>0.8333333333</v>
      </c>
      <c r="U261" s="53">
        <f t="shared" si="4"/>
        <v>0</v>
      </c>
      <c r="V261" s="54">
        <f t="shared" si="5"/>
        <v>3</v>
      </c>
    </row>
    <row r="262" ht="15.75" customHeight="1">
      <c r="A262" s="55" t="str">
        <f>SiteAttendu!$A261</f>
        <v>C2032</v>
      </c>
      <c r="B262" s="56" t="str">
        <f>VLOOKUP($A262,SiteAttendu!$A$2:$C$366,2,0)</f>
        <v>DISTRICT SANITAIRE LAKOTA</v>
      </c>
      <c r="C262" s="57" t="str">
        <f>VLOOKUP($A262,SiteAttendu!$A$2:$C$366,3,0)</f>
        <v>LOH-DJIBOUA</v>
      </c>
      <c r="D262" s="58">
        <f>IF(VLOOKUP(A262,SiteAttendu!$A$2:$P$366,4,0)="NA","NA",COUNTIFS(soccode,A262,socprog,"PNLS/ANTIRETROVIRAUX ET IO",socprompt,1))</f>
        <v>1</v>
      </c>
      <c r="E262" s="58">
        <f>IF(VLOOKUP($A262,SiteAttendu!$A$2:$O$366,5,0)="NA","NA",COUNTIFS(soccode,A262,socprog,"PNLS/TESTS RAPIDES ET CONSOMMABLES",socprompt,1))</f>
        <v>1</v>
      </c>
      <c r="F262" s="58" t="str">
        <f>IF(VLOOKUP($A262,SiteAttendu!$A$2:$O$366,6,0)="NA","NA",COUNTIFS(soccode,A262,socprog,"PNLS/PRODUITS DE LABORATOIRE",socprompt,1))</f>
        <v>NA</v>
      </c>
      <c r="G262" s="58" t="str">
        <f>IF(VLOOKUP($A262,SiteAttendu!$A$2:$O$366,7,0)="NA","NA",COUNTIFS(soccode,A262,socprog,"PNLS/CHARGES VIRALES",socprompt,1))</f>
        <v>NA</v>
      </c>
      <c r="H262" s="58">
        <f>IF(VLOOKUP($A262,SiteAttendu!$A$2:$O$366,9,0)="NA","NA",COUNTIFS(soccode,A262,socprog,"PNLP/MEDICAMENTS ET INTRANTS",socprompt,1))</f>
        <v>1</v>
      </c>
      <c r="I262" s="58">
        <f>IF(VLOOKUP($A262,SiteAttendu!$A$2:$O$366,10,0)="NA","NA",COUNTIFS(soccode,$A262,socprog,"PNSME/MEDICAMENTS ET INTRANTS",socprompt,1))</f>
        <v>0</v>
      </c>
      <c r="J262" s="58" t="str">
        <f>IF(VLOOKUP($A262,SiteAttendu!$A$2:$O$366,11,0)="NA","NA",COUNTIFS(soccode,$A262,socprog,"PNN/MEDICAMENTS ET INTRANTS",socprompt,1))</f>
        <v>NA</v>
      </c>
      <c r="K262" s="58">
        <f>IF(VLOOKUP($A262,SiteAttendu!$A$2:$O$366,15,0)="NA","NA",IF(COUNTIF(socprog,"PNLT/SENSIBLE MEDICAMENTS ET INTRANTS")=0,"NA",COUNTIFS(soccode,$A262,socprog,"PNLT/SENSIBLE MEDICAMENTS ET INTRANTS",socprompt,1)))</f>
        <v>1</v>
      </c>
      <c r="L262" s="60"/>
      <c r="M262" s="60">
        <f t="shared" ref="M262:S262" si="264">IFERROR(SUMIFS(E$2:E$364,$C$2:$C$364,$C262)/COUNTIFS(E$2:E$364,"&lt;&gt;NA",$C$2:$C$364,$C262),"")</f>
        <v>0.8333333333</v>
      </c>
      <c r="N262" s="60">
        <f t="shared" si="264"/>
        <v>0.8</v>
      </c>
      <c r="O262" s="60">
        <f t="shared" si="264"/>
        <v>1</v>
      </c>
      <c r="P262" s="60">
        <f t="shared" si="264"/>
        <v>0.8333333333</v>
      </c>
      <c r="Q262" s="60">
        <f t="shared" si="264"/>
        <v>0.5555555556</v>
      </c>
      <c r="R262" s="60" t="str">
        <f t="shared" si="264"/>
        <v/>
      </c>
      <c r="S262" s="60">
        <f t="shared" si="264"/>
        <v>0.3333333333</v>
      </c>
      <c r="T262" s="60">
        <f t="shared" si="3"/>
        <v>0.8333333333</v>
      </c>
      <c r="U262" s="53">
        <f t="shared" si="4"/>
        <v>2</v>
      </c>
      <c r="V262" s="54">
        <f t="shared" si="5"/>
        <v>2</v>
      </c>
    </row>
    <row r="263" ht="15.75" customHeight="1">
      <c r="A263" s="62" t="str">
        <f>SiteAttendu!$A262</f>
        <v>C2059</v>
      </c>
      <c r="B263" s="63" t="str">
        <f>VLOOKUP($A263,SiteAttendu!$A$2:$C$366,2,0)</f>
        <v>HOPITAL GENERAL LAKOTA</v>
      </c>
      <c r="C263" s="64" t="str">
        <f>VLOOKUP($A263,SiteAttendu!$A$2:$C$366,3,0)</f>
        <v>LOH-DJIBOUA</v>
      </c>
      <c r="D263" s="65">
        <f>IF(VLOOKUP(A263,SiteAttendu!$A$2:$P$366,4,0)="NA","NA",COUNTIFS(soccode,A263,socprog,"PNLS/ANTIRETROVIRAUX ET IO",socprompt,1))</f>
        <v>1</v>
      </c>
      <c r="E263" s="65">
        <f>IF(VLOOKUP($A263,SiteAttendu!$A$2:$O$366,5,0)="NA","NA",COUNTIFS(soccode,A263,socprog,"PNLS/TESTS RAPIDES ET CONSOMMABLES",socprompt,1))</f>
        <v>1</v>
      </c>
      <c r="F263" s="65">
        <f>IF(VLOOKUP($A263,SiteAttendu!$A$2:$O$366,6,0)="NA","NA",COUNTIFS(soccode,A263,socprog,"PNLS/PRODUITS DE LABORATOIRE",socprompt,1))</f>
        <v>1</v>
      </c>
      <c r="G263" s="65" t="str">
        <f>IF(VLOOKUP($A263,SiteAttendu!$A$2:$O$366,7,0)="NA","NA",COUNTIFS(soccode,A263,socprog,"PNLS/CHARGES VIRALES",socprompt,1))</f>
        <v>NA</v>
      </c>
      <c r="H263" s="65">
        <f>IF(VLOOKUP($A263,SiteAttendu!$A$2:$O$366,9,0)="NA","NA",COUNTIFS(soccode,A263,socprog,"PNLP/MEDICAMENTS ET INTRANTS",socprompt,1))</f>
        <v>1</v>
      </c>
      <c r="I263" s="65">
        <f>IF(VLOOKUP($A263,SiteAttendu!$A$2:$O$366,10,0)="NA","NA",COUNTIFS(soccode,$A263,socprog,"PNSME/MEDICAMENTS ET INTRANTS",socprompt,1))</f>
        <v>1</v>
      </c>
      <c r="J263" s="65" t="str">
        <f>IF(VLOOKUP($A263,SiteAttendu!$A$2:$O$366,11,0)="NA","NA",COUNTIFS(soccode,$A263,socprog,"PNN/MEDICAMENTS ET INTRANTS",socprompt,1))</f>
        <v>NA</v>
      </c>
      <c r="K263" s="65" t="str">
        <f>IF(VLOOKUP($A263,SiteAttendu!$A$2:$O$366,15,0)="NA","NA",IF(COUNTIF(socprog,"PNLT/SENSIBLE MEDICAMENTS ET INTRANTS")=0,"NA",COUNTIFS(soccode,$A263,socprog,"PNLT/SENSIBLE MEDICAMENTS ET INTRANTS",socprompt,1)))</f>
        <v>NA</v>
      </c>
      <c r="L263" s="67"/>
      <c r="M263" s="67">
        <f t="shared" ref="M263:S263" si="265">IFERROR(SUMIFS(E$2:E$364,$C$2:$C$364,$C263)/COUNTIFS(E$2:E$364,"&lt;&gt;NA",$C$2:$C$364,$C263),"")</f>
        <v>0.8333333333</v>
      </c>
      <c r="N263" s="67">
        <f t="shared" si="265"/>
        <v>0.8</v>
      </c>
      <c r="O263" s="67">
        <f t="shared" si="265"/>
        <v>1</v>
      </c>
      <c r="P263" s="67">
        <f t="shared" si="265"/>
        <v>0.8333333333</v>
      </c>
      <c r="Q263" s="67">
        <f t="shared" si="265"/>
        <v>0.5555555556</v>
      </c>
      <c r="R263" s="67" t="str">
        <f t="shared" si="265"/>
        <v/>
      </c>
      <c r="S263" s="67">
        <f t="shared" si="265"/>
        <v>0.3333333333</v>
      </c>
      <c r="T263" s="67">
        <f t="shared" si="3"/>
        <v>0.8333333333</v>
      </c>
      <c r="U263" s="53">
        <f t="shared" si="4"/>
        <v>3</v>
      </c>
      <c r="V263" s="54">
        <f t="shared" si="5"/>
        <v>3</v>
      </c>
    </row>
    <row r="264" ht="15.75" customHeight="1">
      <c r="A264" s="46" t="str">
        <f>SiteAttendu!$A263</f>
        <v>C2002</v>
      </c>
      <c r="B264" s="47" t="str">
        <f>VLOOKUP($A264,SiteAttendu!$A$2:$C$366,2,0)</f>
        <v>CHR BOUAFLE</v>
      </c>
      <c r="C264" s="48" t="str">
        <f>VLOOKUP($A264,SiteAttendu!$A$2:$C$366,3,0)</f>
        <v>MARAHOUE</v>
      </c>
      <c r="D264" s="49">
        <f>IF(VLOOKUP(A264,SiteAttendu!$A$2:$P$366,4,0)="NA","NA",COUNTIFS(soccode,A264,socprog,"PNLS/ANTIRETROVIRAUX ET IO",socprompt,1))</f>
        <v>1</v>
      </c>
      <c r="E264" s="49">
        <f>IF(VLOOKUP($A264,SiteAttendu!$A$2:$O$366,5,0)="NA","NA",COUNTIFS(soccode,A264,socprog,"PNLS/TESTS RAPIDES ET CONSOMMABLES",socprompt,1))</f>
        <v>1</v>
      </c>
      <c r="F264" s="49">
        <f>IF(VLOOKUP($A264,SiteAttendu!$A$2:$O$366,6,0)="NA","NA",COUNTIFS(soccode,A264,socprog,"PNLS/PRODUITS DE LABORATOIRE",socprompt,1))</f>
        <v>1</v>
      </c>
      <c r="G264" s="49">
        <f>IF(VLOOKUP($A264,SiteAttendu!$A$2:$O$366,7,0)="NA","NA",COUNTIFS(soccode,A264,socprog,"PNLS/CHARGES VIRALES",socprompt,1))</f>
        <v>1</v>
      </c>
      <c r="H264" s="49">
        <f>IF(VLOOKUP($A264,SiteAttendu!$A$2:$O$366,9,0)="NA","NA",COUNTIFS(soccode,A264,socprog,"PNLP/MEDICAMENTS ET INTRANTS",socprompt,1))</f>
        <v>1</v>
      </c>
      <c r="I264" s="49">
        <f>IF(VLOOKUP($A264,SiteAttendu!$A$2:$O$366,10,0)="NA","NA",COUNTIFS(soccode,$A264,socprog,"PNSME/MEDICAMENTS ET INTRANTS",socprompt,1))</f>
        <v>1</v>
      </c>
      <c r="J264" s="49">
        <f>IF(VLOOKUP($A264,SiteAttendu!$A$2:$O$366,11,0)="NA","NA",COUNTIFS(soccode,$A264,socprog,"PNN/MEDICAMENTS ET INTRANTS",socprompt,1))</f>
        <v>1</v>
      </c>
      <c r="K264" s="49" t="str">
        <f>IF(VLOOKUP($A264,SiteAttendu!$A$2:$O$366,15,0)="NA","NA",IF(COUNTIF(socprog,"PNLT/SENSIBLE MEDICAMENTS ET INTRANTS")=0,"NA",COUNTIFS(soccode,$A264,socprog,"PNLT/SENSIBLE MEDICAMENTS ET INTRANTS",socprompt,1)))</f>
        <v>NA</v>
      </c>
      <c r="L264" s="51">
        <f t="shared" ref="L264:S264" si="266">IFERROR(SUMIFS(D$2:D$364,$C$2:$C$364,$C264)/COUNTIFS(D$2:D$364,"&lt;&gt;NA",$C$2:$C$364,$C264),"")</f>
        <v>1</v>
      </c>
      <c r="M264" s="125">
        <f t="shared" si="266"/>
        <v>1</v>
      </c>
      <c r="N264" s="125">
        <f t="shared" si="266"/>
        <v>1</v>
      </c>
      <c r="O264" s="125">
        <f t="shared" si="266"/>
        <v>1</v>
      </c>
      <c r="P264" s="125">
        <f t="shared" si="266"/>
        <v>1</v>
      </c>
      <c r="Q264" s="125">
        <f t="shared" si="266"/>
        <v>1</v>
      </c>
      <c r="R264" s="125">
        <f t="shared" si="266"/>
        <v>1</v>
      </c>
      <c r="S264" s="125">
        <f t="shared" si="266"/>
        <v>0.6666666667</v>
      </c>
      <c r="T264" s="126">
        <f t="shared" si="3"/>
        <v>1</v>
      </c>
      <c r="U264" s="53">
        <f t="shared" si="4"/>
        <v>4</v>
      </c>
      <c r="V264" s="54">
        <f t="shared" si="5"/>
        <v>4</v>
      </c>
    </row>
    <row r="265" ht="15.75" customHeight="1">
      <c r="A265" s="55" t="str">
        <f>SiteAttendu!$A264</f>
        <v>C2020</v>
      </c>
      <c r="B265" s="56" t="str">
        <f>VLOOKUP($A265,SiteAttendu!$A$2:$C$366,2,0)</f>
        <v>DISTRICT SANITAIRE BOUAFLE</v>
      </c>
      <c r="C265" s="57" t="str">
        <f>VLOOKUP($A265,SiteAttendu!$A$2:$C$366,3,0)</f>
        <v>MARAHOUE</v>
      </c>
      <c r="D265" s="58">
        <f>IF(VLOOKUP(A265,SiteAttendu!$A$2:$P$366,4,0)="NA","NA",COUNTIFS(soccode,A265,socprog,"PNLS/ANTIRETROVIRAUX ET IO",socprompt,1))</f>
        <v>1</v>
      </c>
      <c r="E265" s="58">
        <f>IF(VLOOKUP($A265,SiteAttendu!$A$2:$O$366,5,0)="NA","NA",COUNTIFS(soccode,A265,socprog,"PNLS/TESTS RAPIDES ET CONSOMMABLES",socprompt,1))</f>
        <v>1</v>
      </c>
      <c r="F265" s="58">
        <f>IF(VLOOKUP($A265,SiteAttendu!$A$2:$O$366,6,0)="NA","NA",COUNTIFS(soccode,A265,socprog,"PNLS/PRODUITS DE LABORATOIRE",socprompt,1))</f>
        <v>1</v>
      </c>
      <c r="G265" s="58" t="str">
        <f>IF(VLOOKUP($A265,SiteAttendu!$A$2:$O$366,7,0)="NA","NA",COUNTIFS(soccode,A265,socprog,"PNLS/CHARGES VIRALES",socprompt,1))</f>
        <v>NA</v>
      </c>
      <c r="H265" s="58">
        <f>IF(VLOOKUP($A265,SiteAttendu!$A$2:$O$366,9,0)="NA","NA",COUNTIFS(soccode,A265,socprog,"PNLP/MEDICAMENTS ET INTRANTS",socprompt,1))</f>
        <v>1</v>
      </c>
      <c r="I265" s="58">
        <f>IF(VLOOKUP($A265,SiteAttendu!$A$2:$O$366,10,0)="NA","NA",COUNTIFS(soccode,$A265,socprog,"PNSME/MEDICAMENTS ET INTRANTS",socprompt,1))</f>
        <v>1</v>
      </c>
      <c r="J265" s="58">
        <f>IF(VLOOKUP($A265,SiteAttendu!$A$2:$O$366,11,0)="NA","NA",COUNTIFS(soccode,$A265,socprog,"PNN/MEDICAMENTS ET INTRANTS",socprompt,1))</f>
        <v>1</v>
      </c>
      <c r="K265" s="58">
        <f>IF(VLOOKUP($A265,SiteAttendu!$A$2:$O$366,15,0)="NA","NA",IF(COUNTIF(socprog,"PNLT/SENSIBLE MEDICAMENTS ET INTRANTS")=0,"NA",COUNTIFS(soccode,$A265,socprog,"PNLT/SENSIBLE MEDICAMENTS ET INTRANTS",socprompt,1)))</f>
        <v>1</v>
      </c>
      <c r="L265" s="60"/>
      <c r="M265" s="85">
        <f t="shared" ref="M265:S265" si="267">IFERROR(SUMIFS(E$2:E$364,$C$2:$C$364,$C265)/COUNTIFS(E$2:E$364,"&lt;&gt;NA",$C$2:$C$364,$C265),"")</f>
        <v>1</v>
      </c>
      <c r="N265" s="85">
        <f t="shared" si="267"/>
        <v>1</v>
      </c>
      <c r="O265" s="85">
        <f t="shared" si="267"/>
        <v>1</v>
      </c>
      <c r="P265" s="85">
        <f t="shared" si="267"/>
        <v>1</v>
      </c>
      <c r="Q265" s="85">
        <f t="shared" si="267"/>
        <v>1</v>
      </c>
      <c r="R265" s="85">
        <f t="shared" si="267"/>
        <v>1</v>
      </c>
      <c r="S265" s="85">
        <f t="shared" si="267"/>
        <v>0.6666666667</v>
      </c>
      <c r="T265" s="127">
        <f t="shared" si="3"/>
        <v>1</v>
      </c>
      <c r="U265" s="53">
        <f t="shared" si="4"/>
        <v>3</v>
      </c>
      <c r="V265" s="54">
        <f t="shared" si="5"/>
        <v>3</v>
      </c>
    </row>
    <row r="266" ht="15.75" customHeight="1">
      <c r="A266" s="55" t="str">
        <f>SiteAttendu!$A265</f>
        <v>C2011</v>
      </c>
      <c r="B266" s="56" t="str">
        <f>VLOOKUP($A266,SiteAttendu!$A$2:$C$366,2,0)</f>
        <v>HOPITAL GENERAL BONON</v>
      </c>
      <c r="C266" s="57" t="str">
        <f>VLOOKUP($A266,SiteAttendu!$A$2:$C$366,3,0)</f>
        <v>MARAHOUE</v>
      </c>
      <c r="D266" s="58" t="str">
        <f>IF(VLOOKUP(A266,SiteAttendu!$A$2:$P$366,4,0)="NA","NA",COUNTIFS(soccode,A266,socprog,"PNLS/ANTIRETROVIRAUX ET IO",socprompt,1))</f>
        <v>NA</v>
      </c>
      <c r="E266" s="58" t="str">
        <f>IF(VLOOKUP($A266,SiteAttendu!$A$2:$O$366,5,0)="NA","NA",COUNTIFS(soccode,A266,socprog,"PNLS/TESTS RAPIDES ET CONSOMMABLES",socprompt,1))</f>
        <v>NA</v>
      </c>
      <c r="F266" s="58" t="str">
        <f>IF(VLOOKUP($A266,SiteAttendu!$A$2:$O$366,6,0)="NA","NA",COUNTIFS(soccode,A266,socprog,"PNLS/PRODUITS DE LABORATOIRE",socprompt,1))</f>
        <v>NA</v>
      </c>
      <c r="G266" s="58" t="str">
        <f>IF(VLOOKUP($A266,SiteAttendu!$A$2:$O$366,7,0)="NA","NA",COUNTIFS(soccode,A266,socprog,"PNLS/CHARGES VIRALES",socprompt,1))</f>
        <v>NA</v>
      </c>
      <c r="H266" s="58" t="str">
        <f>IF(VLOOKUP($A266,SiteAttendu!$A$2:$O$366,9,0)="NA","NA",COUNTIFS(soccode,A266,socprog,"PNLP/MEDICAMENTS ET INTRANTS",socprompt,1))</f>
        <v>NA</v>
      </c>
      <c r="I266" s="58">
        <f>IF(VLOOKUP($A266,SiteAttendu!$A$2:$O$366,10,0)="NA","NA",COUNTIFS(soccode,$A266,socprog,"PNSME/MEDICAMENTS ET INTRANTS",socprompt,1))</f>
        <v>1</v>
      </c>
      <c r="J266" s="58" t="str">
        <f>IF(VLOOKUP($A266,SiteAttendu!$A$2:$O$366,11,0)="NA","NA",COUNTIFS(soccode,$A266,socprog,"PNN/MEDICAMENTS ET INTRANTS",socprompt,1))</f>
        <v>NA</v>
      </c>
      <c r="K266" s="58">
        <f>IF(VLOOKUP($A266,SiteAttendu!$A$2:$O$366,15,0)="NA","NA",IF(COUNTIF(socprog,"PNLT/SENSIBLE MEDICAMENTS ET INTRANTS")=0,"NA",COUNTIFS(soccode,$A266,socprog,"PNLT/SENSIBLE MEDICAMENTS ET INTRANTS",socprompt,1)))</f>
        <v>0</v>
      </c>
      <c r="L266" s="60"/>
      <c r="M266" s="85">
        <f t="shared" ref="M266:S266" si="268">IFERROR(SUMIFS(E$2:E$364,$C$2:$C$364,$C266)/COUNTIFS(E$2:E$364,"&lt;&gt;NA",$C$2:$C$364,$C266),"")</f>
        <v>1</v>
      </c>
      <c r="N266" s="85">
        <f t="shared" si="268"/>
        <v>1</v>
      </c>
      <c r="O266" s="85">
        <f t="shared" si="268"/>
        <v>1</v>
      </c>
      <c r="P266" s="85">
        <f t="shared" si="268"/>
        <v>1</v>
      </c>
      <c r="Q266" s="85">
        <f t="shared" si="268"/>
        <v>1</v>
      </c>
      <c r="R266" s="85">
        <f t="shared" si="268"/>
        <v>1</v>
      </c>
      <c r="S266" s="85">
        <f t="shared" si="268"/>
        <v>0.6666666667</v>
      </c>
      <c r="T266" s="127">
        <f t="shared" si="3"/>
        <v>1</v>
      </c>
      <c r="U266" s="53">
        <f t="shared" si="4"/>
        <v>0</v>
      </c>
      <c r="V266" s="54">
        <f t="shared" si="5"/>
        <v>0</v>
      </c>
    </row>
    <row r="267" ht="15.75" customHeight="1">
      <c r="A267" s="55" t="str">
        <f>SiteAttendu!$A266</f>
        <v>C2191</v>
      </c>
      <c r="B267" s="56" t="str">
        <f>VLOOKUP($A267,SiteAttendu!$A$2:$C$366,2,0)</f>
        <v>CENTRE ANTITUBERCULEUX BOUAFLE</v>
      </c>
      <c r="C267" s="57" t="str">
        <f>VLOOKUP($A267,SiteAttendu!$A$2:$C$366,3,0)</f>
        <v>MARAHOUE</v>
      </c>
      <c r="D267" s="58" t="str">
        <f>IF(VLOOKUP(A267,SiteAttendu!$A$2:$P$366,4,0)="NA","NA",COUNTIFS(soccode,A267,socprog,"PNLS/ANTIRETROVIRAUX ET IO",socprompt,1))</f>
        <v>NA</v>
      </c>
      <c r="E267" s="58" t="str">
        <f>IF(VLOOKUP($A267,SiteAttendu!$A$2:$O$366,5,0)="NA","NA",COUNTIFS(soccode,A267,socprog,"PNLS/TESTS RAPIDES ET CONSOMMABLES",socprompt,1))</f>
        <v>NA</v>
      </c>
      <c r="F267" s="58" t="str">
        <f>IF(VLOOKUP($A267,SiteAttendu!$A$2:$O$366,6,0)="NA","NA",COUNTIFS(soccode,A267,socprog,"PNLS/PRODUITS DE LABORATOIRE",socprompt,1))</f>
        <v>NA</v>
      </c>
      <c r="G267" s="58" t="str">
        <f>IF(VLOOKUP($A267,SiteAttendu!$A$2:$O$366,7,0)="NA","NA",COUNTIFS(soccode,A267,socprog,"PNLS/CHARGES VIRALES",socprompt,1))</f>
        <v>NA</v>
      </c>
      <c r="H267" s="58" t="str">
        <f>IF(VLOOKUP($A267,SiteAttendu!$A$2:$O$366,9,0)="NA","NA",COUNTIFS(soccode,A267,socprog,"PNLP/MEDICAMENTS ET INTRANTS",socprompt,1))</f>
        <v>NA</v>
      </c>
      <c r="I267" s="58" t="str">
        <f>IF(VLOOKUP($A267,SiteAttendu!$A$2:$O$366,10,0)="NA","NA",COUNTIFS(soccode,$A267,socprog,"PNSME/MEDICAMENTS ET INTRANTS",socprompt,1))</f>
        <v>NA</v>
      </c>
      <c r="J267" s="58" t="str">
        <f>IF(VLOOKUP($A267,SiteAttendu!$A$2:$O$366,11,0)="NA","NA",COUNTIFS(soccode,$A267,socprog,"PNN/MEDICAMENTS ET INTRANTS",socprompt,1))</f>
        <v>NA</v>
      </c>
      <c r="K267" s="58">
        <f>IF(VLOOKUP($A267,SiteAttendu!$A$2:$O$366,15,0)="NA","NA",IF(COUNTIF(socprog,"PNLT/SENSIBLE MEDICAMENTS ET INTRANTS")=0,"NA",COUNTIFS(soccode,$A267,socprog,"PNLT/SENSIBLE MEDICAMENTS ET INTRANTS",socprompt,1)))</f>
        <v>1</v>
      </c>
      <c r="L267" s="60"/>
      <c r="M267" s="85">
        <f t="shared" ref="M267:S267" si="269">IFERROR(SUMIFS(E$2:E$364,$C$2:$C$364,$C267)/COUNTIFS(E$2:E$364,"&lt;&gt;NA",$C$2:$C$364,$C267),"")</f>
        <v>1</v>
      </c>
      <c r="N267" s="85">
        <f t="shared" si="269"/>
        <v>1</v>
      </c>
      <c r="O267" s="85">
        <f t="shared" si="269"/>
        <v>1</v>
      </c>
      <c r="P267" s="85">
        <f t="shared" si="269"/>
        <v>1</v>
      </c>
      <c r="Q267" s="85">
        <f t="shared" si="269"/>
        <v>1</v>
      </c>
      <c r="R267" s="85">
        <f t="shared" si="269"/>
        <v>1</v>
      </c>
      <c r="S267" s="85">
        <f t="shared" si="269"/>
        <v>0.6666666667</v>
      </c>
      <c r="T267" s="127">
        <f t="shared" si="3"/>
        <v>1</v>
      </c>
      <c r="U267" s="53">
        <f t="shared" si="4"/>
        <v>0</v>
      </c>
      <c r="V267" s="54">
        <f t="shared" si="5"/>
        <v>0</v>
      </c>
    </row>
    <row r="268" ht="16.5" customHeight="1">
      <c r="A268" s="55" t="str">
        <f>SiteAttendu!$A267</f>
        <v>C2037</v>
      </c>
      <c r="B268" s="56" t="str">
        <f>VLOOKUP($A268,SiteAttendu!$A$2:$C$366,2,0)</f>
        <v>DISTRICT SANITAIRE SINFRA</v>
      </c>
      <c r="C268" s="57" t="str">
        <f>VLOOKUP($A268,SiteAttendu!$A$2:$C$366,3,0)</f>
        <v>MARAHOUE</v>
      </c>
      <c r="D268" s="58">
        <f>IF(VLOOKUP(A268,SiteAttendu!$A$2:$P$366,4,0)="NA","NA",COUNTIFS(soccode,A268,socprog,"PNLS/ANTIRETROVIRAUX ET IO",socprompt,1))</f>
        <v>1</v>
      </c>
      <c r="E268" s="58">
        <f>IF(VLOOKUP($A268,SiteAttendu!$A$2:$O$366,5,0)="NA","NA",COUNTIFS(soccode,A268,socprog,"PNLS/TESTS RAPIDES ET CONSOMMABLES",socprompt,1))</f>
        <v>1</v>
      </c>
      <c r="F268" s="58">
        <f>IF(VLOOKUP($A268,SiteAttendu!$A$2:$O$366,6,0)="NA","NA",COUNTIFS(soccode,A268,socprog,"PNLS/PRODUITS DE LABORATOIRE",socprompt,1))</f>
        <v>1</v>
      </c>
      <c r="G268" s="58" t="str">
        <f>IF(VLOOKUP($A268,SiteAttendu!$A$2:$O$366,7,0)="NA","NA",COUNTIFS(soccode,A268,socprog,"PNLS/CHARGES VIRALES",socprompt,1))</f>
        <v>NA</v>
      </c>
      <c r="H268" s="58">
        <f>IF(VLOOKUP($A268,SiteAttendu!$A$2:$O$366,9,0)="NA","NA",COUNTIFS(soccode,A268,socprog,"PNLP/MEDICAMENTS ET INTRANTS",socprompt,1))</f>
        <v>1</v>
      </c>
      <c r="I268" s="58">
        <f>IF(VLOOKUP($A268,SiteAttendu!$A$2:$O$366,10,0)="NA","NA",COUNTIFS(soccode,$A268,socprog,"PNSME/MEDICAMENTS ET INTRANTS",socprompt,1))</f>
        <v>1</v>
      </c>
      <c r="J268" s="58">
        <f>IF(VLOOKUP($A268,SiteAttendu!$A$2:$O$366,11,0)="NA","NA",COUNTIFS(soccode,$A268,socprog,"PNN/MEDICAMENTS ET INTRANTS",socprompt,1))</f>
        <v>1</v>
      </c>
      <c r="K268" s="58">
        <f>IF(VLOOKUP($A268,SiteAttendu!$A$2:$O$366,15,0)="NA","NA",IF(COUNTIF(socprog,"PNLT/SENSIBLE MEDICAMENTS ET INTRANTS")=0,"NA",COUNTIFS(soccode,$A268,socprog,"PNLT/SENSIBLE MEDICAMENTS ET INTRANTS",socprompt,1)))</f>
        <v>0</v>
      </c>
      <c r="L268" s="60"/>
      <c r="M268" s="85">
        <f t="shared" ref="M268:S268" si="270">IFERROR(SUMIFS(E$2:E$364,$C$2:$C$364,$C268)/COUNTIFS(E$2:E$364,"&lt;&gt;NA",$C$2:$C$364,$C268),"")</f>
        <v>1</v>
      </c>
      <c r="N268" s="85">
        <f t="shared" si="270"/>
        <v>1</v>
      </c>
      <c r="O268" s="85">
        <f t="shared" si="270"/>
        <v>1</v>
      </c>
      <c r="P268" s="85">
        <f t="shared" si="270"/>
        <v>1</v>
      </c>
      <c r="Q268" s="85">
        <f t="shared" si="270"/>
        <v>1</v>
      </c>
      <c r="R268" s="85">
        <f t="shared" si="270"/>
        <v>1</v>
      </c>
      <c r="S268" s="85">
        <f t="shared" si="270"/>
        <v>0.6666666667</v>
      </c>
      <c r="T268" s="127">
        <f t="shared" si="3"/>
        <v>1</v>
      </c>
      <c r="U268" s="53">
        <f t="shared" si="4"/>
        <v>3</v>
      </c>
      <c r="V268" s="54">
        <f t="shared" si="5"/>
        <v>3</v>
      </c>
    </row>
    <row r="269" ht="16.5" customHeight="1">
      <c r="A269" s="55" t="str">
        <f>SiteAttendu!$A268</f>
        <v>C2063</v>
      </c>
      <c r="B269" s="56" t="str">
        <f>VLOOKUP($A269,SiteAttendu!$A$2:$C$366,2,0)</f>
        <v>HOPITAL GENERAL SINFRA</v>
      </c>
      <c r="C269" s="57" t="str">
        <f>VLOOKUP($A269,SiteAttendu!$A$2:$C$366,3,0)</f>
        <v>MARAHOUE</v>
      </c>
      <c r="D269" s="58">
        <f>IF(VLOOKUP(A269,SiteAttendu!$A$2:$P$366,4,0)="NA","NA",COUNTIFS(soccode,A269,socprog,"PNLS/ANTIRETROVIRAUX ET IO",socprompt,1))</f>
        <v>1</v>
      </c>
      <c r="E269" s="58">
        <f>IF(VLOOKUP($A269,SiteAttendu!$A$2:$O$366,5,0)="NA","NA",COUNTIFS(soccode,A269,socprog,"PNLS/TESTS RAPIDES ET CONSOMMABLES",socprompt,1))</f>
        <v>1</v>
      </c>
      <c r="F269" s="58">
        <f>IF(VLOOKUP($A269,SiteAttendu!$A$2:$O$366,6,0)="NA","NA",COUNTIFS(soccode,A269,socprog,"PNLS/PRODUITS DE LABORATOIRE",socprompt,1))</f>
        <v>1</v>
      </c>
      <c r="G269" s="58">
        <f>IF(VLOOKUP($A269,SiteAttendu!$A$2:$O$366,7,0)="NA","NA",COUNTIFS(soccode,A269,socprog,"PNLS/CHARGES VIRALES",socprompt,1))</f>
        <v>1</v>
      </c>
      <c r="H269" s="58">
        <f>IF(VLOOKUP($A269,SiteAttendu!$A$2:$O$366,9,0)="NA","NA",COUNTIFS(soccode,A269,socprog,"PNLP/MEDICAMENTS ET INTRANTS",socprompt,1))</f>
        <v>1</v>
      </c>
      <c r="I269" s="58">
        <f>IF(VLOOKUP($A269,SiteAttendu!$A$2:$O$366,10,0)="NA","NA",COUNTIFS(soccode,$A269,socprog,"PNSME/MEDICAMENTS ET INTRANTS",socprompt,1))</f>
        <v>1</v>
      </c>
      <c r="J269" s="58">
        <f>IF(VLOOKUP($A269,SiteAttendu!$A$2:$O$366,11,0)="NA","NA",COUNTIFS(soccode,$A269,socprog,"PNN/MEDICAMENTS ET INTRANTS",socprompt,1))</f>
        <v>1</v>
      </c>
      <c r="K269" s="58">
        <f>IF(VLOOKUP($A269,SiteAttendu!$A$2:$O$366,15,0)="NA","NA",IF(COUNTIF(socprog,"PNLT/SENSIBLE MEDICAMENTS ET INTRANTS")=0,"NA",COUNTIFS(soccode,$A269,socprog,"PNLT/SENSIBLE MEDICAMENTS ET INTRANTS",socprompt,1)))</f>
        <v>1</v>
      </c>
      <c r="L269" s="60"/>
      <c r="M269" s="85">
        <f t="shared" ref="M269:S269" si="271">IFERROR(SUMIFS(E$2:E$364,$C$2:$C$364,$C269)/COUNTIFS(E$2:E$364,"&lt;&gt;NA",$C$2:$C$364,$C269),"")</f>
        <v>1</v>
      </c>
      <c r="N269" s="85">
        <f t="shared" si="271"/>
        <v>1</v>
      </c>
      <c r="O269" s="85">
        <f t="shared" si="271"/>
        <v>1</v>
      </c>
      <c r="P269" s="85">
        <f t="shared" si="271"/>
        <v>1</v>
      </c>
      <c r="Q269" s="85">
        <f t="shared" si="271"/>
        <v>1</v>
      </c>
      <c r="R269" s="85">
        <f t="shared" si="271"/>
        <v>1</v>
      </c>
      <c r="S269" s="85">
        <f t="shared" si="271"/>
        <v>0.6666666667</v>
      </c>
      <c r="T269" s="127">
        <f t="shared" si="3"/>
        <v>1</v>
      </c>
      <c r="U269" s="53">
        <f t="shared" si="4"/>
        <v>4</v>
      </c>
      <c r="V269" s="54">
        <f t="shared" si="5"/>
        <v>4</v>
      </c>
    </row>
    <row r="270" ht="15.75" customHeight="1">
      <c r="A270" s="55" t="str">
        <f>SiteAttendu!$A269</f>
        <v>C2046</v>
      </c>
      <c r="B270" s="56" t="str">
        <f>VLOOKUP($A270,SiteAttendu!$A$2:$C$366,2,0)</f>
        <v>DISTRICT SANITAIRE ZUENOULA</v>
      </c>
      <c r="C270" s="57" t="str">
        <f>VLOOKUP($A270,SiteAttendu!$A$2:$C$366,3,0)</f>
        <v>MARAHOUE</v>
      </c>
      <c r="D270" s="58">
        <f>IF(VLOOKUP(A270,SiteAttendu!$A$2:$P$366,4,0)="NA","NA",COUNTIFS(soccode,A270,socprog,"PNLS/ANTIRETROVIRAUX ET IO",socprompt,1))</f>
        <v>1</v>
      </c>
      <c r="E270" s="58">
        <f>IF(VLOOKUP($A270,SiteAttendu!$A$2:$O$366,5,0)="NA","NA",COUNTIFS(soccode,A270,socprog,"PNLS/TESTS RAPIDES ET CONSOMMABLES",socprompt,1))</f>
        <v>1</v>
      </c>
      <c r="F270" s="58">
        <f>IF(VLOOKUP($A270,SiteAttendu!$A$2:$O$366,6,0)="NA","NA",COUNTIFS(soccode,A270,socprog,"PNLS/PRODUITS DE LABORATOIRE",socprompt,1))</f>
        <v>1</v>
      </c>
      <c r="G270" s="58" t="str">
        <f>IF(VLOOKUP($A270,SiteAttendu!$A$2:$O$366,7,0)="NA","NA",COUNTIFS(soccode,A270,socprog,"PNLS/CHARGES VIRALES",socprompt,1))</f>
        <v>NA</v>
      </c>
      <c r="H270" s="58">
        <f>IF(VLOOKUP($A270,SiteAttendu!$A$2:$O$366,9,0)="NA","NA",COUNTIFS(soccode,A270,socprog,"PNLP/MEDICAMENTS ET INTRANTS",socprompt,1))</f>
        <v>1</v>
      </c>
      <c r="I270" s="58">
        <f>IF(VLOOKUP($A270,SiteAttendu!$A$2:$O$366,10,0)="NA","NA",COUNTIFS(soccode,$A270,socprog,"PNSME/MEDICAMENTS ET INTRANTS",socprompt,1))</f>
        <v>1</v>
      </c>
      <c r="J270" s="58" t="str">
        <f>IF(VLOOKUP($A270,SiteAttendu!$A$2:$O$366,11,0)="NA","NA",COUNTIFS(soccode,$A270,socprog,"PNN/MEDICAMENTS ET INTRANTS",socprompt,1))</f>
        <v>NA</v>
      </c>
      <c r="K270" s="58">
        <f>IF(VLOOKUP($A270,SiteAttendu!$A$2:$O$366,15,0)="NA","NA",IF(COUNTIF(socprog,"PNLT/SENSIBLE MEDICAMENTS ET INTRANTS")=0,"NA",COUNTIFS(soccode,$A270,socprog,"PNLT/SENSIBLE MEDICAMENTS ET INTRANTS",socprompt,1)))</f>
        <v>1</v>
      </c>
      <c r="L270" s="60"/>
      <c r="M270" s="85">
        <f t="shared" ref="M270:S270" si="272">IFERROR(SUMIFS(E$2:E$364,$C$2:$C$364,$C270)/COUNTIFS(E$2:E$364,"&lt;&gt;NA",$C$2:$C$364,$C270),"")</f>
        <v>1</v>
      </c>
      <c r="N270" s="85">
        <f t="shared" si="272"/>
        <v>1</v>
      </c>
      <c r="O270" s="85">
        <f t="shared" si="272"/>
        <v>1</v>
      </c>
      <c r="P270" s="85">
        <f t="shared" si="272"/>
        <v>1</v>
      </c>
      <c r="Q270" s="85">
        <f t="shared" si="272"/>
        <v>1</v>
      </c>
      <c r="R270" s="85">
        <f t="shared" si="272"/>
        <v>1</v>
      </c>
      <c r="S270" s="85">
        <f t="shared" si="272"/>
        <v>0.6666666667</v>
      </c>
      <c r="T270" s="127">
        <f t="shared" si="3"/>
        <v>1</v>
      </c>
      <c r="U270" s="53">
        <f t="shared" si="4"/>
        <v>3</v>
      </c>
      <c r="V270" s="54">
        <f t="shared" si="5"/>
        <v>3</v>
      </c>
    </row>
    <row r="271" ht="15.75" customHeight="1">
      <c r="A271" s="55" t="str">
        <f>SiteAttendu!$A270</f>
        <v>C2071</v>
      </c>
      <c r="B271" s="56" t="str">
        <f>VLOOKUP($A271,SiteAttendu!$A$2:$C$366,2,0)</f>
        <v>HOPITAL GENERAL ZUENOULA</v>
      </c>
      <c r="C271" s="57" t="str">
        <f>VLOOKUP($A271,SiteAttendu!$A$2:$C$366,3,0)</f>
        <v>MARAHOUE</v>
      </c>
      <c r="D271" s="58">
        <f>IF(VLOOKUP(A271,SiteAttendu!$A$2:$P$366,4,0)="NA","NA",COUNTIFS(soccode,A271,socprog,"PNLS/ANTIRETROVIRAUX ET IO",socprompt,1))</f>
        <v>1</v>
      </c>
      <c r="E271" s="58">
        <f>IF(VLOOKUP($A271,SiteAttendu!$A$2:$O$366,5,0)="NA","NA",COUNTIFS(soccode,A271,socprog,"PNLS/TESTS RAPIDES ET CONSOMMABLES",socprompt,1))</f>
        <v>1</v>
      </c>
      <c r="F271" s="58">
        <f>IF(VLOOKUP($A271,SiteAttendu!$A$2:$O$366,6,0)="NA","NA",COUNTIFS(soccode,A271,socprog,"PNLS/PRODUITS DE LABORATOIRE",socprompt,1))</f>
        <v>1</v>
      </c>
      <c r="G271" s="58" t="str">
        <f>IF(VLOOKUP($A271,SiteAttendu!$A$2:$O$366,7,0)="NA","NA",COUNTIFS(soccode,A271,socprog,"PNLS/CHARGES VIRALES",socprompt,1))</f>
        <v>NA</v>
      </c>
      <c r="H271" s="58">
        <f>IF(VLOOKUP($A271,SiteAttendu!$A$2:$O$366,9,0)="NA","NA",COUNTIFS(soccode,A271,socprog,"PNLP/MEDICAMENTS ET INTRANTS",socprompt,1))</f>
        <v>1</v>
      </c>
      <c r="I271" s="58">
        <f>IF(VLOOKUP($A271,SiteAttendu!$A$2:$O$366,10,0)="NA","NA",COUNTIFS(soccode,$A271,socprog,"PNSME/MEDICAMENTS ET INTRANTS",socprompt,1))</f>
        <v>1</v>
      </c>
      <c r="J271" s="58" t="str">
        <f>IF(VLOOKUP($A271,SiteAttendu!$A$2:$O$366,11,0)="NA","NA",COUNTIFS(soccode,$A271,socprog,"PNN/MEDICAMENTS ET INTRANTS",socprompt,1))</f>
        <v>NA</v>
      </c>
      <c r="K271" s="58" t="str">
        <f>IF(VLOOKUP($A271,SiteAttendu!$A$2:$O$366,15,0)="NA","NA",IF(COUNTIF(socprog,"PNLT/SENSIBLE MEDICAMENTS ET INTRANTS")=0,"NA",COUNTIFS(soccode,$A271,socprog,"PNLT/SENSIBLE MEDICAMENTS ET INTRANTS",socprompt,1)))</f>
        <v>NA</v>
      </c>
      <c r="L271" s="60"/>
      <c r="M271" s="85">
        <f t="shared" ref="M271:S271" si="273">IFERROR(SUMIFS(E$2:E$364,$C$2:$C$364,$C271)/COUNTIFS(E$2:E$364,"&lt;&gt;NA",$C$2:$C$364,$C271),"")</f>
        <v>1</v>
      </c>
      <c r="N271" s="85">
        <f t="shared" si="273"/>
        <v>1</v>
      </c>
      <c r="O271" s="85">
        <f t="shared" si="273"/>
        <v>1</v>
      </c>
      <c r="P271" s="85">
        <f t="shared" si="273"/>
        <v>1</v>
      </c>
      <c r="Q271" s="85">
        <f t="shared" si="273"/>
        <v>1</v>
      </c>
      <c r="R271" s="85">
        <f t="shared" si="273"/>
        <v>1</v>
      </c>
      <c r="S271" s="85">
        <f t="shared" si="273"/>
        <v>0.6666666667</v>
      </c>
      <c r="T271" s="127">
        <f t="shared" si="3"/>
        <v>1</v>
      </c>
      <c r="U271" s="53">
        <f t="shared" si="4"/>
        <v>3</v>
      </c>
      <c r="V271" s="54">
        <f t="shared" si="5"/>
        <v>3</v>
      </c>
    </row>
    <row r="272" ht="15.75" customHeight="1">
      <c r="A272" s="62" t="str">
        <f>SiteAttendu!$A271</f>
        <v>C2014</v>
      </c>
      <c r="B272" s="63" t="str">
        <f>VLOOKUP($A272,SiteAttendu!$A$2:$C$366,2,0)</f>
        <v>CSU GOHITAFLA</v>
      </c>
      <c r="C272" s="64" t="str">
        <f>VLOOKUP($A272,SiteAttendu!$A$2:$C$366,3,0)</f>
        <v>MARAHOUE</v>
      </c>
      <c r="D272" s="65" t="str">
        <f>IF(VLOOKUP(A272,SiteAttendu!$A$2:$P$366,4,0)="NA","NA",COUNTIFS(soccode,A272,socprog,"PNLS/ANTIRETROVIRAUX ET IO",socprompt,1))</f>
        <v>NA</v>
      </c>
      <c r="E272" s="65" t="str">
        <f>IF(VLOOKUP($A272,SiteAttendu!$A$2:$O$366,5,0)="NA","NA",COUNTIFS(soccode,A272,socprog,"PNLS/TESTS RAPIDES ET CONSOMMABLES",socprompt,1))</f>
        <v>NA</v>
      </c>
      <c r="F272" s="65" t="str">
        <f>IF(VLOOKUP($A272,SiteAttendu!$A$2:$O$366,6,0)="NA","NA",COUNTIFS(soccode,A272,socprog,"PNLS/PRODUITS DE LABORATOIRE",socprompt,1))</f>
        <v>NA</v>
      </c>
      <c r="G272" s="65" t="str">
        <f>IF(VLOOKUP($A272,SiteAttendu!$A$2:$O$366,7,0)="NA","NA",COUNTIFS(soccode,A272,socprog,"PNLS/CHARGES VIRALES",socprompt,1))</f>
        <v>NA</v>
      </c>
      <c r="H272" s="65" t="str">
        <f>IF(VLOOKUP($A272,SiteAttendu!$A$2:$O$366,9,0)="NA","NA",COUNTIFS(soccode,A272,socprog,"PNLP/MEDICAMENTS ET INTRANTS",socprompt,1))</f>
        <v>NA</v>
      </c>
      <c r="I272" s="65">
        <f>IF(VLOOKUP($A272,SiteAttendu!$A$2:$O$366,10,0)="NA","NA",COUNTIFS(soccode,$A272,socprog,"PNSME/MEDICAMENTS ET INTRANTS",socprompt,1))</f>
        <v>1</v>
      </c>
      <c r="J272" s="65" t="str">
        <f>IF(VLOOKUP($A272,SiteAttendu!$A$2:$O$366,11,0)="NA","NA",COUNTIFS(soccode,$A272,socprog,"PNN/MEDICAMENTS ET INTRANTS",socprompt,1))</f>
        <v>NA</v>
      </c>
      <c r="K272" s="65" t="str">
        <f>IF(VLOOKUP($A272,SiteAttendu!$A$2:$O$366,15,0)="NA","NA",IF(COUNTIF(socprog,"PNLT/SENSIBLE MEDICAMENTS ET INTRANTS")=0,"NA",COUNTIFS(soccode,$A272,socprog,"PNLT/SENSIBLE MEDICAMENTS ET INTRANTS",socprompt,1)))</f>
        <v>NA</v>
      </c>
      <c r="L272" s="67"/>
      <c r="M272" s="86">
        <f t="shared" ref="M272:S272" si="274">IFERROR(SUMIFS(E$2:E$364,$C$2:$C$364,$C272)/COUNTIFS(E$2:E$364,"&lt;&gt;NA",$C$2:$C$364,$C272),"")</f>
        <v>1</v>
      </c>
      <c r="N272" s="86">
        <f t="shared" si="274"/>
        <v>1</v>
      </c>
      <c r="O272" s="86">
        <f t="shared" si="274"/>
        <v>1</v>
      </c>
      <c r="P272" s="86">
        <f t="shared" si="274"/>
        <v>1</v>
      </c>
      <c r="Q272" s="86">
        <f t="shared" si="274"/>
        <v>1</v>
      </c>
      <c r="R272" s="86">
        <f t="shared" si="274"/>
        <v>1</v>
      </c>
      <c r="S272" s="86">
        <f t="shared" si="274"/>
        <v>0.6666666667</v>
      </c>
      <c r="T272" s="128">
        <f t="shared" si="3"/>
        <v>1</v>
      </c>
      <c r="U272" s="53">
        <f t="shared" si="4"/>
        <v>0</v>
      </c>
      <c r="V272" s="54">
        <f t="shared" si="5"/>
        <v>0</v>
      </c>
    </row>
    <row r="273" ht="15.75" customHeight="1">
      <c r="A273" s="46" t="str">
        <f>SiteAttendu!$A272</f>
        <v>C1108</v>
      </c>
      <c r="B273" s="47" t="str">
        <f>VLOOKUP($A273,SiteAttendu!$A$2:$C$366,2,0)</f>
        <v>INSTITUT RAOUL FOLLEREAU ADZOPE</v>
      </c>
      <c r="C273" s="48" t="str">
        <f>VLOOKUP($A273,SiteAttendu!$A$2:$C$366,3,0)</f>
        <v>ME</v>
      </c>
      <c r="D273" s="49">
        <f>IF(VLOOKUP(A273,SiteAttendu!$A$2:$P$366,4,0)="NA","NA",COUNTIFS(soccode,A273,socprog,"PNLS/ANTIRETROVIRAUX ET IO",socprompt,1))</f>
        <v>0</v>
      </c>
      <c r="E273" s="49">
        <f>IF(VLOOKUP($A273,SiteAttendu!$A$2:$O$366,5,0)="NA","NA",COUNTIFS(soccode,A273,socprog,"PNLS/TESTS RAPIDES ET CONSOMMABLES",socprompt,1))</f>
        <v>0</v>
      </c>
      <c r="F273" s="49">
        <f>IF(VLOOKUP($A273,SiteAttendu!$A$2:$O$366,6,0)="NA","NA",COUNTIFS(soccode,A273,socprog,"PNLS/PRODUITS DE LABORATOIRE",socprompt,1))</f>
        <v>0</v>
      </c>
      <c r="G273" s="49" t="str">
        <f>IF(VLOOKUP($A273,SiteAttendu!$A$2:$O$366,7,0)="NA","NA",COUNTIFS(soccode,A273,socprog,"PNLS/CHARGES VIRALES",socprompt,1))</f>
        <v>NA</v>
      </c>
      <c r="H273" s="49">
        <f>IF(VLOOKUP($A273,SiteAttendu!$A$2:$O$366,9,0)="NA","NA",COUNTIFS(soccode,A273,socprog,"PNLP/MEDICAMENTS ET INTRANTS",socprompt,1))</f>
        <v>0</v>
      </c>
      <c r="I273" s="49" t="str">
        <f>IF(VLOOKUP($A273,SiteAttendu!$A$2:$O$366,10,0)="NA","NA",COUNTIFS(soccode,$A273,socprog,"PNSME/MEDICAMENTS ET INTRANTS",socprompt,1))</f>
        <v>NA</v>
      </c>
      <c r="J273" s="49" t="str">
        <f>IF(VLOOKUP($A273,SiteAttendu!$A$2:$O$366,11,0)="NA","NA",COUNTIFS(soccode,$A273,socprog,"PNN/MEDICAMENTS ET INTRANTS",socprompt,1))</f>
        <v>NA</v>
      </c>
      <c r="K273" s="49" t="str">
        <f>IF(VLOOKUP($A273,SiteAttendu!$A$2:$O$366,15,0)="NA","NA",IF(COUNTIF(socprog,"PNLT/SENSIBLE MEDICAMENTS ET INTRANTS")=0,"NA",COUNTIFS(soccode,$A273,socprog,"PNLT/SENSIBLE MEDICAMENTS ET INTRANTS",socprompt,1)))</f>
        <v>NA</v>
      </c>
      <c r="L273" s="51">
        <f t="shared" ref="L273:S273" si="275">IFERROR(SUMIFS(D$2:D$364,$C$2:$C$364,$C273)/COUNTIFS(D$2:D$364,"&lt;&gt;NA",$C$2:$C$364,$C273),"")</f>
        <v>0.9</v>
      </c>
      <c r="M273" s="125">
        <f t="shared" si="275"/>
        <v>0.9</v>
      </c>
      <c r="N273" s="125">
        <f t="shared" si="275"/>
        <v>0.8888888889</v>
      </c>
      <c r="O273" s="125">
        <f t="shared" si="275"/>
        <v>1</v>
      </c>
      <c r="P273" s="125">
        <f t="shared" si="275"/>
        <v>0.9090909091</v>
      </c>
      <c r="Q273" s="125">
        <f t="shared" si="275"/>
        <v>1</v>
      </c>
      <c r="R273" s="125" t="str">
        <f t="shared" si="275"/>
        <v/>
      </c>
      <c r="S273" s="125">
        <f t="shared" si="275"/>
        <v>0.8571428571</v>
      </c>
      <c r="T273" s="126">
        <f t="shared" si="3"/>
        <v>0.9</v>
      </c>
      <c r="U273" s="53">
        <f t="shared" si="4"/>
        <v>0</v>
      </c>
      <c r="V273" s="54">
        <f t="shared" si="5"/>
        <v>3</v>
      </c>
    </row>
    <row r="274" ht="15.75" customHeight="1">
      <c r="A274" s="55" t="str">
        <f>SiteAttendu!$A273</f>
        <v>C4036</v>
      </c>
      <c r="B274" s="56" t="str">
        <f>VLOOKUP($A274,SiteAttendu!$A$2:$C$366,2,0)</f>
        <v>DISTRICT SANITAIRE ADZOPE</v>
      </c>
      <c r="C274" s="57" t="str">
        <f>VLOOKUP($A274,SiteAttendu!$A$2:$C$366,3,0)</f>
        <v>ME</v>
      </c>
      <c r="D274" s="58">
        <f>IF(VLOOKUP(A274,SiteAttendu!$A$2:$P$366,4,0)="NA","NA",COUNTIFS(soccode,A274,socprog,"PNLS/ANTIRETROVIRAUX ET IO",socprompt,1))</f>
        <v>1</v>
      </c>
      <c r="E274" s="58">
        <f>IF(VLOOKUP($A274,SiteAttendu!$A$2:$O$366,5,0)="NA","NA",COUNTIFS(soccode,A274,socprog,"PNLS/TESTS RAPIDES ET CONSOMMABLES",socprompt,1))</f>
        <v>1</v>
      </c>
      <c r="F274" s="58">
        <f>IF(VLOOKUP($A274,SiteAttendu!$A$2:$O$366,6,0)="NA","NA",COUNTIFS(soccode,A274,socprog,"PNLS/PRODUITS DE LABORATOIRE",socprompt,1))</f>
        <v>1</v>
      </c>
      <c r="G274" s="58" t="str">
        <f>IF(VLOOKUP($A274,SiteAttendu!$A$2:$O$366,7,0)="NA","NA",COUNTIFS(soccode,A274,socprog,"PNLS/CHARGES VIRALES",socprompt,1))</f>
        <v>NA</v>
      </c>
      <c r="H274" s="58">
        <f>IF(VLOOKUP($A274,SiteAttendu!$A$2:$O$366,9,0)="NA","NA",COUNTIFS(soccode,A274,socprog,"PNLP/MEDICAMENTS ET INTRANTS",socprompt,1))</f>
        <v>1</v>
      </c>
      <c r="I274" s="58">
        <f>IF(VLOOKUP($A274,SiteAttendu!$A$2:$O$366,10,0)="NA","NA",COUNTIFS(soccode,$A274,socprog,"PNSME/MEDICAMENTS ET INTRANTS",socprompt,1))</f>
        <v>1</v>
      </c>
      <c r="J274" s="58" t="str">
        <f>IF(VLOOKUP($A274,SiteAttendu!$A$2:$O$366,11,0)="NA","NA",COUNTIFS(soccode,$A274,socprog,"PNN/MEDICAMENTS ET INTRANTS",socprompt,1))</f>
        <v>NA</v>
      </c>
      <c r="K274" s="58">
        <f>IF(VLOOKUP($A274,SiteAttendu!$A$2:$O$366,15,0)="NA","NA",IF(COUNTIF(socprog,"PNLT/SENSIBLE MEDICAMENTS ET INTRANTS")=0,"NA",COUNTIFS(soccode,$A274,socprog,"PNLT/SENSIBLE MEDICAMENTS ET INTRANTS",socprompt,1)))</f>
        <v>1</v>
      </c>
      <c r="L274" s="60"/>
      <c r="M274" s="85">
        <f t="shared" ref="M274:S274" si="276">IFERROR(SUMIFS(E$2:E$364,$C$2:$C$364,$C274)/COUNTIFS(E$2:E$364,"&lt;&gt;NA",$C$2:$C$364,$C274),"")</f>
        <v>0.9</v>
      </c>
      <c r="N274" s="85">
        <f t="shared" si="276"/>
        <v>0.8888888889</v>
      </c>
      <c r="O274" s="85">
        <f t="shared" si="276"/>
        <v>1</v>
      </c>
      <c r="P274" s="85">
        <f t="shared" si="276"/>
        <v>0.9090909091</v>
      </c>
      <c r="Q274" s="85">
        <f t="shared" si="276"/>
        <v>1</v>
      </c>
      <c r="R274" s="85" t="str">
        <f t="shared" si="276"/>
        <v/>
      </c>
      <c r="S274" s="85">
        <f t="shared" si="276"/>
        <v>0.8571428571</v>
      </c>
      <c r="T274" s="127">
        <f t="shared" si="3"/>
        <v>0.9</v>
      </c>
      <c r="U274" s="53">
        <f t="shared" si="4"/>
        <v>3</v>
      </c>
      <c r="V274" s="54">
        <f t="shared" si="5"/>
        <v>3</v>
      </c>
    </row>
    <row r="275" ht="15.75" customHeight="1">
      <c r="A275" s="55" t="str">
        <f>SiteAttendu!$A274</f>
        <v>C4090</v>
      </c>
      <c r="B275" s="56" t="str">
        <f>VLOOKUP($A275,SiteAttendu!$A$2:$C$366,2,0)</f>
        <v>CHR ADZOPE</v>
      </c>
      <c r="C275" s="57" t="str">
        <f>VLOOKUP($A275,SiteAttendu!$A$2:$C$366,3,0)</f>
        <v>ME</v>
      </c>
      <c r="D275" s="58" t="str">
        <f>IF(VLOOKUP(A275,SiteAttendu!$A$2:$P$366,4,0)="NA","NA",COUNTIFS(soccode,A275,socprog,"PNLS/ANTIRETROVIRAUX ET IO",socprompt,1))</f>
        <v>NA</v>
      </c>
      <c r="E275" s="58" t="str">
        <f>IF(VLOOKUP($A275,SiteAttendu!$A$2:$O$366,5,0)="NA","NA",COUNTIFS(soccode,A275,socprog,"PNLS/TESTS RAPIDES ET CONSOMMABLES",socprompt,1))</f>
        <v>NA</v>
      </c>
      <c r="F275" s="58" t="str">
        <f>IF(VLOOKUP($A275,SiteAttendu!$A$2:$O$366,6,0)="NA","NA",COUNTIFS(soccode,A275,socprog,"PNLS/PRODUITS DE LABORATOIRE",socprompt,1))</f>
        <v>NA</v>
      </c>
      <c r="G275" s="58" t="str">
        <f>IF(VLOOKUP($A275,SiteAttendu!$A$2:$O$366,7,0)="NA","NA",COUNTIFS(soccode,A275,socprog,"PNLS/CHARGES VIRALES",socprompt,1))</f>
        <v>NA</v>
      </c>
      <c r="H275" s="58">
        <f>IF(VLOOKUP($A275,SiteAttendu!$A$2:$O$366,9,0)="NA","NA",COUNTIFS(soccode,A275,socprog,"PNLP/MEDICAMENTS ET INTRANTS",socprompt,1))</f>
        <v>1</v>
      </c>
      <c r="I275" s="58" t="str">
        <f>IF(VLOOKUP($A275,SiteAttendu!$A$2:$O$366,10,0)="NA","NA",COUNTIFS(soccode,$A275,socprog,"PNSME/MEDICAMENTS ET INTRANTS",socprompt,1))</f>
        <v>NA</v>
      </c>
      <c r="J275" s="58" t="str">
        <f>IF(VLOOKUP($A275,SiteAttendu!$A$2:$O$366,11,0)="NA","NA",COUNTIFS(soccode,$A275,socprog,"PNN/MEDICAMENTS ET INTRANTS",socprompt,1))</f>
        <v>NA</v>
      </c>
      <c r="K275" s="58" t="str">
        <f>IF(VLOOKUP($A275,SiteAttendu!$A$2:$O$366,15,0)="NA","NA",IF(COUNTIF(socprog,"PNLT/SENSIBLE MEDICAMENTS ET INTRANTS")=0,"NA",COUNTIFS(soccode,$A275,socprog,"PNLT/SENSIBLE MEDICAMENTS ET INTRANTS",socprompt,1)))</f>
        <v>NA</v>
      </c>
      <c r="L275" s="60"/>
      <c r="M275" s="85">
        <f t="shared" ref="M275:S275" si="277">IFERROR(SUMIFS(E$2:E$364,$C$2:$C$364,$C275)/COUNTIFS(E$2:E$364,"&lt;&gt;NA",$C$2:$C$364,$C275),"")</f>
        <v>0.9</v>
      </c>
      <c r="N275" s="85">
        <f t="shared" si="277"/>
        <v>0.8888888889</v>
      </c>
      <c r="O275" s="85">
        <f t="shared" si="277"/>
        <v>1</v>
      </c>
      <c r="P275" s="85">
        <f t="shared" si="277"/>
        <v>0.9090909091</v>
      </c>
      <c r="Q275" s="85">
        <f t="shared" si="277"/>
        <v>1</v>
      </c>
      <c r="R275" s="85" t="str">
        <f t="shared" si="277"/>
        <v/>
      </c>
      <c r="S275" s="85">
        <f t="shared" si="277"/>
        <v>0.8571428571</v>
      </c>
      <c r="T275" s="127">
        <f t="shared" si="3"/>
        <v>0.9</v>
      </c>
      <c r="U275" s="53">
        <f t="shared" si="4"/>
        <v>0</v>
      </c>
      <c r="V275" s="54">
        <f t="shared" si="5"/>
        <v>0</v>
      </c>
    </row>
    <row r="276" ht="15.75" customHeight="1">
      <c r="A276" s="55" t="str">
        <f>SiteAttendu!$A275</f>
        <v>C4067</v>
      </c>
      <c r="B276" s="56" t="str">
        <f>VLOOKUP($A276,SiteAttendu!$A$2:$C$366,2,0)</f>
        <v>CENTRE ANTITUBERCULEUX ADZOPE</v>
      </c>
      <c r="C276" s="57" t="str">
        <f>VLOOKUP($A276,SiteAttendu!$A$2:$C$366,3,0)</f>
        <v>ME</v>
      </c>
      <c r="D276" s="58" t="str">
        <f>IF(VLOOKUP(A276,SiteAttendu!$A$2:$P$366,4,0)="NA","NA",COUNTIFS(soccode,A276,socprog,"PNLS/ANTIRETROVIRAUX ET IO",socprompt,1))</f>
        <v>NA</v>
      </c>
      <c r="E276" s="58" t="str">
        <f>IF(VLOOKUP($A276,SiteAttendu!$A$2:$O$366,5,0)="NA","NA",COUNTIFS(soccode,A276,socprog,"PNLS/TESTS RAPIDES ET CONSOMMABLES",socprompt,1))</f>
        <v>NA</v>
      </c>
      <c r="F276" s="58" t="str">
        <f>IF(VLOOKUP($A276,SiteAttendu!$A$2:$O$366,6,0)="NA","NA",COUNTIFS(soccode,A276,socprog,"PNLS/PRODUITS DE LABORATOIRE",socprompt,1))</f>
        <v>NA</v>
      </c>
      <c r="G276" s="58" t="str">
        <f>IF(VLOOKUP($A276,SiteAttendu!$A$2:$O$366,7,0)="NA","NA",COUNTIFS(soccode,A276,socprog,"PNLS/CHARGES VIRALES",socprompt,1))</f>
        <v>NA</v>
      </c>
      <c r="H276" s="58" t="str">
        <f>IF(VLOOKUP($A276,SiteAttendu!$A$2:$O$366,9,0)="NA","NA",COUNTIFS(soccode,A276,socprog,"PNLP/MEDICAMENTS ET INTRANTS",socprompt,1))</f>
        <v>NA</v>
      </c>
      <c r="I276" s="58" t="str">
        <f>IF(VLOOKUP($A276,SiteAttendu!$A$2:$O$366,10,0)="NA","NA",COUNTIFS(soccode,$A276,socprog,"PNSME/MEDICAMENTS ET INTRANTS",socprompt,1))</f>
        <v>NA</v>
      </c>
      <c r="J276" s="58" t="str">
        <f>IF(VLOOKUP($A276,SiteAttendu!$A$2:$O$366,11,0)="NA","NA",COUNTIFS(soccode,$A276,socprog,"PNN/MEDICAMENTS ET INTRANTS",socprompt,1))</f>
        <v>NA</v>
      </c>
      <c r="K276" s="58">
        <f>IF(VLOOKUP($A276,SiteAttendu!$A$2:$O$366,15,0)="NA","NA",IF(COUNTIF(socprog,"PNLT/SENSIBLE MEDICAMENTS ET INTRANTS")=0,"NA",COUNTIFS(soccode,$A276,socprog,"PNLT/SENSIBLE MEDICAMENTS ET INTRANTS",socprompt,1)))</f>
        <v>0</v>
      </c>
      <c r="L276" s="60"/>
      <c r="M276" s="85">
        <f t="shared" ref="M276:S276" si="278">IFERROR(SUMIFS(E$2:E$364,$C$2:$C$364,$C276)/COUNTIFS(E$2:E$364,"&lt;&gt;NA",$C$2:$C$364,$C276),"")</f>
        <v>0.9</v>
      </c>
      <c r="N276" s="85">
        <f t="shared" si="278"/>
        <v>0.8888888889</v>
      </c>
      <c r="O276" s="85">
        <f t="shared" si="278"/>
        <v>1</v>
      </c>
      <c r="P276" s="85">
        <f t="shared" si="278"/>
        <v>0.9090909091</v>
      </c>
      <c r="Q276" s="85">
        <f t="shared" si="278"/>
        <v>1</v>
      </c>
      <c r="R276" s="85" t="str">
        <f t="shared" si="278"/>
        <v/>
      </c>
      <c r="S276" s="85">
        <f t="shared" si="278"/>
        <v>0.8571428571</v>
      </c>
      <c r="T276" s="127">
        <f t="shared" si="3"/>
        <v>0.9</v>
      </c>
      <c r="U276" s="53">
        <f t="shared" si="4"/>
        <v>0</v>
      </c>
      <c r="V276" s="54">
        <f t="shared" si="5"/>
        <v>0</v>
      </c>
    </row>
    <row r="277" ht="15.75" customHeight="1">
      <c r="A277" s="55" t="str">
        <f>SiteAttendu!$A276</f>
        <v>C4006</v>
      </c>
      <c r="B277" s="56" t="str">
        <f>VLOOKUP($A277,SiteAttendu!$A$2:$C$366,2,0)</f>
        <v>DISTRICT SANITAIRE AKOUPE</v>
      </c>
      <c r="C277" s="57" t="str">
        <f>VLOOKUP($A277,SiteAttendu!$A$2:$C$366,3,0)</f>
        <v>ME</v>
      </c>
      <c r="D277" s="58">
        <f>IF(VLOOKUP(A277,SiteAttendu!$A$2:$P$366,4,0)="NA","NA",COUNTIFS(soccode,A277,socprog,"PNLS/ANTIRETROVIRAUX ET IO",socprompt,1))</f>
        <v>1</v>
      </c>
      <c r="E277" s="58">
        <f>IF(VLOOKUP($A277,SiteAttendu!$A$2:$O$366,5,0)="NA","NA",COUNTIFS(soccode,A277,socprog,"PNLS/TESTS RAPIDES ET CONSOMMABLES",socprompt,1))</f>
        <v>1</v>
      </c>
      <c r="F277" s="58">
        <f>IF(VLOOKUP($A277,SiteAttendu!$A$2:$O$366,6,0)="NA","NA",COUNTIFS(soccode,A277,socprog,"PNLS/PRODUITS DE LABORATOIRE",socprompt,1))</f>
        <v>1</v>
      </c>
      <c r="G277" s="58" t="str">
        <f>IF(VLOOKUP($A277,SiteAttendu!$A$2:$O$366,7,0)="NA","NA",COUNTIFS(soccode,A277,socprog,"PNLS/CHARGES VIRALES",socprompt,1))</f>
        <v>NA</v>
      </c>
      <c r="H277" s="58">
        <f>IF(VLOOKUP($A277,SiteAttendu!$A$2:$O$366,9,0)="NA","NA",COUNTIFS(soccode,A277,socprog,"PNLP/MEDICAMENTS ET INTRANTS",socprompt,1))</f>
        <v>1</v>
      </c>
      <c r="I277" s="58">
        <f>IF(VLOOKUP($A277,SiteAttendu!$A$2:$O$366,10,0)="NA","NA",COUNTIFS(soccode,$A277,socprog,"PNSME/MEDICAMENTS ET INTRANTS",socprompt,1))</f>
        <v>1</v>
      </c>
      <c r="J277" s="58" t="str">
        <f>IF(VLOOKUP($A277,SiteAttendu!$A$2:$O$366,11,0)="NA","NA",COUNTIFS(soccode,$A277,socprog,"PNN/MEDICAMENTS ET INTRANTS",socprompt,1))</f>
        <v>NA</v>
      </c>
      <c r="K277" s="58" t="str">
        <f>IF(VLOOKUP($A277,SiteAttendu!$A$2:$O$366,15,0)="NA","NA",IF(COUNTIF(socprog,"PNLT/SENSIBLE MEDICAMENTS ET INTRANTS")=0,"NA",COUNTIFS(soccode,$A277,socprog,"PNLT/SENSIBLE MEDICAMENTS ET INTRANTS",socprompt,1)))</f>
        <v>NA</v>
      </c>
      <c r="L277" s="60"/>
      <c r="M277" s="85">
        <f t="shared" ref="M277:S277" si="279">IFERROR(SUMIFS(E$2:E$364,$C$2:$C$364,$C277)/COUNTIFS(E$2:E$364,"&lt;&gt;NA",$C$2:$C$364,$C277),"")</f>
        <v>0.9</v>
      </c>
      <c r="N277" s="85">
        <f t="shared" si="279"/>
        <v>0.8888888889</v>
      </c>
      <c r="O277" s="85">
        <f t="shared" si="279"/>
        <v>1</v>
      </c>
      <c r="P277" s="85">
        <f t="shared" si="279"/>
        <v>0.9090909091</v>
      </c>
      <c r="Q277" s="85">
        <f t="shared" si="279"/>
        <v>1</v>
      </c>
      <c r="R277" s="85" t="str">
        <f t="shared" si="279"/>
        <v/>
      </c>
      <c r="S277" s="85">
        <f t="shared" si="279"/>
        <v>0.8571428571</v>
      </c>
      <c r="T277" s="127">
        <f t="shared" si="3"/>
        <v>0.9</v>
      </c>
      <c r="U277" s="53">
        <f t="shared" si="4"/>
        <v>3</v>
      </c>
      <c r="V277" s="54">
        <f t="shared" si="5"/>
        <v>3</v>
      </c>
    </row>
    <row r="278" ht="15.75" customHeight="1">
      <c r="A278" s="55" t="str">
        <f>SiteAttendu!$A277</f>
        <v>C4015</v>
      </c>
      <c r="B278" s="56" t="str">
        <f>VLOOKUP($A278,SiteAttendu!$A$2:$C$366,2,0)</f>
        <v>HOPITAL GENERAL AKOUPE</v>
      </c>
      <c r="C278" s="57" t="str">
        <f>VLOOKUP($A278,SiteAttendu!$A$2:$C$366,3,0)</f>
        <v>ME</v>
      </c>
      <c r="D278" s="58">
        <f>IF(VLOOKUP(A278,SiteAttendu!$A$2:$P$366,4,0)="NA","NA",COUNTIFS(soccode,A278,socprog,"PNLS/ANTIRETROVIRAUX ET IO",socprompt,1))</f>
        <v>1</v>
      </c>
      <c r="E278" s="58">
        <f>IF(VLOOKUP($A278,SiteAttendu!$A$2:$O$366,5,0)="NA","NA",COUNTIFS(soccode,A278,socprog,"PNLS/TESTS RAPIDES ET CONSOMMABLES",socprompt,1))</f>
        <v>1</v>
      </c>
      <c r="F278" s="58">
        <f>IF(VLOOKUP($A278,SiteAttendu!$A$2:$O$366,6,0)="NA","NA",COUNTIFS(soccode,A278,socprog,"PNLS/PRODUITS DE LABORATOIRE",socprompt,1))</f>
        <v>1</v>
      </c>
      <c r="G278" s="58">
        <f>IF(VLOOKUP($A278,SiteAttendu!$A$2:$O$366,7,0)="NA","NA",COUNTIFS(soccode,A278,socprog,"PNLS/CHARGES VIRALES",socprompt,1))</f>
        <v>1</v>
      </c>
      <c r="H278" s="58">
        <f>IF(VLOOKUP($A278,SiteAttendu!$A$2:$O$366,9,0)="NA","NA",COUNTIFS(soccode,A278,socprog,"PNLP/MEDICAMENTS ET INTRANTS",socprompt,1))</f>
        <v>1</v>
      </c>
      <c r="I278" s="58">
        <f>IF(VLOOKUP($A278,SiteAttendu!$A$2:$O$366,10,0)="NA","NA",COUNTIFS(soccode,$A278,socprog,"PNSME/MEDICAMENTS ET INTRANTS",socprompt,1))</f>
        <v>1</v>
      </c>
      <c r="J278" s="58" t="str">
        <f>IF(VLOOKUP($A278,SiteAttendu!$A$2:$O$366,11,0)="NA","NA",COUNTIFS(soccode,$A278,socprog,"PNN/MEDICAMENTS ET INTRANTS",socprompt,1))</f>
        <v>NA</v>
      </c>
      <c r="K278" s="58">
        <f>IF(VLOOKUP($A278,SiteAttendu!$A$2:$O$366,15,0)="NA","NA",IF(COUNTIF(socprog,"PNLT/SENSIBLE MEDICAMENTS ET INTRANTS")=0,"NA",COUNTIFS(soccode,$A278,socprog,"PNLT/SENSIBLE MEDICAMENTS ET INTRANTS",socprompt,1)))</f>
        <v>1</v>
      </c>
      <c r="L278" s="60"/>
      <c r="M278" s="85">
        <f t="shared" ref="M278:S278" si="280">IFERROR(SUMIFS(E$2:E$364,$C$2:$C$364,$C278)/COUNTIFS(E$2:E$364,"&lt;&gt;NA",$C$2:$C$364,$C278),"")</f>
        <v>0.9</v>
      </c>
      <c r="N278" s="85">
        <f t="shared" si="280"/>
        <v>0.8888888889</v>
      </c>
      <c r="O278" s="85">
        <f t="shared" si="280"/>
        <v>1</v>
      </c>
      <c r="P278" s="85">
        <f t="shared" si="280"/>
        <v>0.9090909091</v>
      </c>
      <c r="Q278" s="85">
        <f t="shared" si="280"/>
        <v>1</v>
      </c>
      <c r="R278" s="85" t="str">
        <f t="shared" si="280"/>
        <v/>
      </c>
      <c r="S278" s="85">
        <f t="shared" si="280"/>
        <v>0.8571428571</v>
      </c>
      <c r="T278" s="127">
        <f t="shared" si="3"/>
        <v>0.9</v>
      </c>
      <c r="U278" s="53">
        <f t="shared" si="4"/>
        <v>4</v>
      </c>
      <c r="V278" s="54">
        <f t="shared" si="5"/>
        <v>4</v>
      </c>
    </row>
    <row r="279" ht="15.75" customHeight="1">
      <c r="A279" s="55" t="str">
        <f>SiteAttendu!$A278</f>
        <v>C4038</v>
      </c>
      <c r="B279" s="56" t="str">
        <f>VLOOKUP($A279,SiteAttendu!$A$2:$C$366,2,0)</f>
        <v>HOPITAL GENERAL AFFERY</v>
      </c>
      <c r="C279" s="57" t="str">
        <f>VLOOKUP($A279,SiteAttendu!$A$2:$C$366,3,0)</f>
        <v>ME</v>
      </c>
      <c r="D279" s="58">
        <f>IF(VLOOKUP(A279,SiteAttendu!$A$2:$P$366,4,0)="NA","NA",COUNTIFS(soccode,A279,socprog,"PNLS/ANTIRETROVIRAUX ET IO",socprompt,1))</f>
        <v>1</v>
      </c>
      <c r="E279" s="58">
        <f>IF(VLOOKUP($A279,SiteAttendu!$A$2:$O$366,5,0)="NA","NA",COUNTIFS(soccode,A279,socprog,"PNLS/TESTS RAPIDES ET CONSOMMABLES",socprompt,1))</f>
        <v>1</v>
      </c>
      <c r="F279" s="58">
        <f>IF(VLOOKUP($A279,SiteAttendu!$A$2:$O$366,6,0)="NA","NA",COUNTIFS(soccode,A279,socprog,"PNLS/PRODUITS DE LABORATOIRE",socprompt,1))</f>
        <v>1</v>
      </c>
      <c r="G279" s="58" t="str">
        <f>IF(VLOOKUP($A279,SiteAttendu!$A$2:$O$366,7,0)="NA","NA",COUNTIFS(soccode,A279,socprog,"PNLS/CHARGES VIRALES",socprompt,1))</f>
        <v>NA</v>
      </c>
      <c r="H279" s="58">
        <f>IF(VLOOKUP($A279,SiteAttendu!$A$2:$O$366,9,0)="NA","NA",COUNTIFS(soccode,A279,socprog,"PNLP/MEDICAMENTS ET INTRANTS",socprompt,1))</f>
        <v>1</v>
      </c>
      <c r="I279" s="58">
        <f>IF(VLOOKUP($A279,SiteAttendu!$A$2:$O$366,10,0)="NA","NA",COUNTIFS(soccode,$A279,socprog,"PNSME/MEDICAMENTS ET INTRANTS",socprompt,1))</f>
        <v>1</v>
      </c>
      <c r="J279" s="58" t="str">
        <f>IF(VLOOKUP($A279,SiteAttendu!$A$2:$O$366,11,0)="NA","NA",COUNTIFS(soccode,$A279,socprog,"PNN/MEDICAMENTS ET INTRANTS",socprompt,1))</f>
        <v>NA</v>
      </c>
      <c r="K279" s="58">
        <f>IF(VLOOKUP($A279,SiteAttendu!$A$2:$O$366,15,0)="NA","NA",IF(COUNTIF(socprog,"PNLT/SENSIBLE MEDICAMENTS ET INTRANTS")=0,"NA",COUNTIFS(soccode,$A279,socprog,"PNLT/SENSIBLE MEDICAMENTS ET INTRANTS",socprompt,1)))</f>
        <v>1</v>
      </c>
      <c r="L279" s="60"/>
      <c r="M279" s="85">
        <f t="shared" ref="M279:S279" si="281">IFERROR(SUMIFS(E$2:E$364,$C$2:$C$364,$C279)/COUNTIFS(E$2:E$364,"&lt;&gt;NA",$C$2:$C$364,$C279),"")</f>
        <v>0.9</v>
      </c>
      <c r="N279" s="85">
        <f t="shared" si="281"/>
        <v>0.8888888889</v>
      </c>
      <c r="O279" s="85">
        <f t="shared" si="281"/>
        <v>1</v>
      </c>
      <c r="P279" s="85">
        <f t="shared" si="281"/>
        <v>0.9090909091</v>
      </c>
      <c r="Q279" s="85">
        <f t="shared" si="281"/>
        <v>1</v>
      </c>
      <c r="R279" s="85" t="str">
        <f t="shared" si="281"/>
        <v/>
      </c>
      <c r="S279" s="85">
        <f t="shared" si="281"/>
        <v>0.8571428571</v>
      </c>
      <c r="T279" s="127">
        <f t="shared" si="3"/>
        <v>0.9</v>
      </c>
      <c r="U279" s="53">
        <f t="shared" si="4"/>
        <v>3</v>
      </c>
      <c r="V279" s="54">
        <f t="shared" si="5"/>
        <v>3</v>
      </c>
    </row>
    <row r="280" ht="15.75" customHeight="1">
      <c r="A280" s="55" t="str">
        <f>SiteAttendu!$A279</f>
        <v>C1046</v>
      </c>
      <c r="B280" s="56" t="str">
        <f>VLOOKUP($A280,SiteAttendu!$A$2:$C$366,2,0)</f>
        <v>DISTRICT SANITAIRE ALEPE</v>
      </c>
      <c r="C280" s="57" t="str">
        <f>VLOOKUP($A280,SiteAttendu!$A$2:$C$366,3,0)</f>
        <v>ME</v>
      </c>
      <c r="D280" s="58">
        <f>IF(VLOOKUP(A280,SiteAttendu!$A$2:$P$366,4,0)="NA","NA",COUNTIFS(soccode,A280,socprog,"PNLS/ANTIRETROVIRAUX ET IO",socprompt,1))</f>
        <v>1</v>
      </c>
      <c r="E280" s="58">
        <f>IF(VLOOKUP($A280,SiteAttendu!$A$2:$O$366,5,0)="NA","NA",COUNTIFS(soccode,A280,socprog,"PNLS/TESTS RAPIDES ET CONSOMMABLES",socprompt,1))</f>
        <v>1</v>
      </c>
      <c r="F280" s="58">
        <f>IF(VLOOKUP($A280,SiteAttendu!$A$2:$O$366,6,0)="NA","NA",COUNTIFS(soccode,A280,socprog,"PNLS/PRODUITS DE LABORATOIRE",socprompt,1))</f>
        <v>1</v>
      </c>
      <c r="G280" s="58" t="str">
        <f>IF(VLOOKUP($A280,SiteAttendu!$A$2:$O$366,7,0)="NA","NA",COUNTIFS(soccode,A280,socprog,"PNLS/CHARGES VIRALES",socprompt,1))</f>
        <v>NA</v>
      </c>
      <c r="H280" s="58">
        <f>IF(VLOOKUP($A280,SiteAttendu!$A$2:$O$366,9,0)="NA","NA",COUNTIFS(soccode,A280,socprog,"PNLP/MEDICAMENTS ET INTRANTS",socprompt,1))</f>
        <v>1</v>
      </c>
      <c r="I280" s="58">
        <f>IF(VLOOKUP($A280,SiteAttendu!$A$2:$O$366,10,0)="NA","NA",COUNTIFS(soccode,$A280,socprog,"PNSME/MEDICAMENTS ET INTRANTS",socprompt,1))</f>
        <v>1</v>
      </c>
      <c r="J280" s="58" t="str">
        <f>IF(VLOOKUP($A280,SiteAttendu!$A$2:$O$366,11,0)="NA","NA",COUNTIFS(soccode,$A280,socprog,"PNN/MEDICAMENTS ET INTRANTS",socprompt,1))</f>
        <v>NA</v>
      </c>
      <c r="K280" s="58" t="str">
        <f>IF(VLOOKUP($A280,SiteAttendu!$A$2:$O$366,15,0)="NA","NA",IF(COUNTIF(socprog,"PNLT/SENSIBLE MEDICAMENTS ET INTRANTS")=0,"NA",COUNTIFS(soccode,$A280,socprog,"PNLT/SENSIBLE MEDICAMENTS ET INTRANTS",socprompt,1)))</f>
        <v>NA</v>
      </c>
      <c r="L280" s="60"/>
      <c r="M280" s="85">
        <f t="shared" ref="M280:S280" si="282">IFERROR(SUMIFS(E$2:E$364,$C$2:$C$364,$C280)/COUNTIFS(E$2:E$364,"&lt;&gt;NA",$C$2:$C$364,$C280),"")</f>
        <v>0.9</v>
      </c>
      <c r="N280" s="85">
        <f t="shared" si="282"/>
        <v>0.8888888889</v>
      </c>
      <c r="O280" s="85">
        <f t="shared" si="282"/>
        <v>1</v>
      </c>
      <c r="P280" s="85">
        <f t="shared" si="282"/>
        <v>0.9090909091</v>
      </c>
      <c r="Q280" s="85">
        <f t="shared" si="282"/>
        <v>1</v>
      </c>
      <c r="R280" s="85" t="str">
        <f t="shared" si="282"/>
        <v/>
      </c>
      <c r="S280" s="85">
        <f t="shared" si="282"/>
        <v>0.8571428571</v>
      </c>
      <c r="T280" s="127">
        <f t="shared" si="3"/>
        <v>0.9</v>
      </c>
      <c r="U280" s="53">
        <f t="shared" si="4"/>
        <v>3</v>
      </c>
      <c r="V280" s="54">
        <f t="shared" si="5"/>
        <v>3</v>
      </c>
    </row>
    <row r="281" ht="15.75" customHeight="1">
      <c r="A281" s="55" t="str">
        <f>SiteAttendu!$A280</f>
        <v>C1083</v>
      </c>
      <c r="B281" s="56" t="str">
        <f>VLOOKUP($A281,SiteAttendu!$A$2:$C$366,2,0)</f>
        <v>HOPITAL GENERAL ALEPE</v>
      </c>
      <c r="C281" s="57" t="str">
        <f>VLOOKUP($A281,SiteAttendu!$A$2:$C$366,3,0)</f>
        <v>ME</v>
      </c>
      <c r="D281" s="58">
        <f>IF(VLOOKUP(A281,SiteAttendu!$A$2:$P$366,4,0)="NA","NA",COUNTIFS(soccode,A281,socprog,"PNLS/ANTIRETROVIRAUX ET IO",socprompt,1))</f>
        <v>1</v>
      </c>
      <c r="E281" s="58">
        <f>IF(VLOOKUP($A281,SiteAttendu!$A$2:$O$366,5,0)="NA","NA",COUNTIFS(soccode,A281,socprog,"PNLS/TESTS RAPIDES ET CONSOMMABLES",socprompt,1))</f>
        <v>1</v>
      </c>
      <c r="F281" s="58">
        <f>IF(VLOOKUP($A281,SiteAttendu!$A$2:$O$366,6,0)="NA","NA",COUNTIFS(soccode,A281,socprog,"PNLS/PRODUITS DE LABORATOIRE",socprompt,1))</f>
        <v>1</v>
      </c>
      <c r="G281" s="58" t="str">
        <f>IF(VLOOKUP($A281,SiteAttendu!$A$2:$O$366,7,0)="NA","NA",COUNTIFS(soccode,A281,socprog,"PNLS/CHARGES VIRALES",socprompt,1))</f>
        <v>NA</v>
      </c>
      <c r="H281" s="58">
        <f>IF(VLOOKUP($A281,SiteAttendu!$A$2:$O$366,9,0)="NA","NA",COUNTIFS(soccode,A281,socprog,"PNLP/MEDICAMENTS ET INTRANTS",socprompt,1))</f>
        <v>1</v>
      </c>
      <c r="I281" s="58">
        <f>IF(VLOOKUP($A281,SiteAttendu!$A$2:$O$366,10,0)="NA","NA",COUNTIFS(soccode,$A281,socprog,"PNSME/MEDICAMENTS ET INTRANTS",socprompt,1))</f>
        <v>1</v>
      </c>
      <c r="J281" s="58" t="str">
        <f>IF(VLOOKUP($A281,SiteAttendu!$A$2:$O$366,11,0)="NA","NA",COUNTIFS(soccode,$A281,socprog,"PNN/MEDICAMENTS ET INTRANTS",socprompt,1))</f>
        <v>NA</v>
      </c>
      <c r="K281" s="58">
        <f>IF(VLOOKUP($A281,SiteAttendu!$A$2:$O$366,15,0)="NA","NA",IF(COUNTIF(socprog,"PNLT/SENSIBLE MEDICAMENTS ET INTRANTS")=0,"NA",COUNTIFS(soccode,$A281,socprog,"PNLT/SENSIBLE MEDICAMENTS ET INTRANTS",socprompt,1)))</f>
        <v>1</v>
      </c>
      <c r="L281" s="60"/>
      <c r="M281" s="85">
        <f t="shared" ref="M281:S281" si="283">IFERROR(SUMIFS(E$2:E$364,$C$2:$C$364,$C281)/COUNTIFS(E$2:E$364,"&lt;&gt;NA",$C$2:$C$364,$C281),"")</f>
        <v>0.9</v>
      </c>
      <c r="N281" s="85">
        <f t="shared" si="283"/>
        <v>0.8888888889</v>
      </c>
      <c r="O281" s="85">
        <f t="shared" si="283"/>
        <v>1</v>
      </c>
      <c r="P281" s="85">
        <f t="shared" si="283"/>
        <v>0.9090909091</v>
      </c>
      <c r="Q281" s="85">
        <f t="shared" si="283"/>
        <v>1</v>
      </c>
      <c r="R281" s="85" t="str">
        <f t="shared" si="283"/>
        <v/>
      </c>
      <c r="S281" s="85">
        <f t="shared" si="283"/>
        <v>0.8571428571</v>
      </c>
      <c r="T281" s="127">
        <f t="shared" si="3"/>
        <v>0.9</v>
      </c>
      <c r="U281" s="53">
        <f t="shared" si="4"/>
        <v>3</v>
      </c>
      <c r="V281" s="54">
        <f t="shared" si="5"/>
        <v>3</v>
      </c>
    </row>
    <row r="282" ht="16.5" customHeight="1">
      <c r="A282" s="55" t="str">
        <f>SiteAttendu!$A281</f>
        <v>C1093</v>
      </c>
      <c r="B282" s="56" t="str">
        <f>VLOOKUP($A282,SiteAttendu!$A$2:$C$366,2,0)</f>
        <v>HOPITAL GENERAL MEMNI</v>
      </c>
      <c r="C282" s="57" t="str">
        <f>VLOOKUP($A282,SiteAttendu!$A$2:$C$366,3,0)</f>
        <v>ME</v>
      </c>
      <c r="D282" s="58">
        <f>IF(VLOOKUP(A282,SiteAttendu!$A$2:$P$366,4,0)="NA","NA",COUNTIFS(soccode,A282,socprog,"PNLS/ANTIRETROVIRAUX ET IO",socprompt,1))</f>
        <v>1</v>
      </c>
      <c r="E282" s="58">
        <f>IF(VLOOKUP($A282,SiteAttendu!$A$2:$O$366,5,0)="NA","NA",COUNTIFS(soccode,A282,socprog,"PNLS/TESTS RAPIDES ET CONSOMMABLES",socprompt,1))</f>
        <v>1</v>
      </c>
      <c r="F282" s="58">
        <f>IF(VLOOKUP($A282,SiteAttendu!$A$2:$O$366,6,0)="NA","NA",COUNTIFS(soccode,A282,socprog,"PNLS/PRODUITS DE LABORATOIRE",socprompt,1))</f>
        <v>1</v>
      </c>
      <c r="G282" s="58" t="str">
        <f>IF(VLOOKUP($A282,SiteAttendu!$A$2:$O$366,7,0)="NA","NA",COUNTIFS(soccode,A282,socprog,"PNLS/CHARGES VIRALES",socprompt,1))</f>
        <v>NA</v>
      </c>
      <c r="H282" s="58">
        <f>IF(VLOOKUP($A282,SiteAttendu!$A$2:$O$366,9,0)="NA","NA",COUNTIFS(soccode,A282,socprog,"PNLP/MEDICAMENTS ET INTRANTS",socprompt,1))</f>
        <v>1</v>
      </c>
      <c r="I282" s="58">
        <f>IF(VLOOKUP($A282,SiteAttendu!$A$2:$O$366,10,0)="NA","NA",COUNTIFS(soccode,$A282,socprog,"PNSME/MEDICAMENTS ET INTRANTS",socprompt,1))</f>
        <v>1</v>
      </c>
      <c r="J282" s="58" t="str">
        <f>IF(VLOOKUP($A282,SiteAttendu!$A$2:$O$366,11,0)="NA","NA",COUNTIFS(soccode,$A282,socprog,"PNN/MEDICAMENTS ET INTRANTS",socprompt,1))</f>
        <v>NA</v>
      </c>
      <c r="K282" s="58">
        <f>IF(VLOOKUP($A282,SiteAttendu!$A$2:$O$366,15,0)="NA","NA",IF(COUNTIF(socprog,"PNLT/SENSIBLE MEDICAMENTS ET INTRANTS")=0,"NA",COUNTIFS(soccode,$A282,socprog,"PNLT/SENSIBLE MEDICAMENTS ET INTRANTS",socprompt,1)))</f>
        <v>1</v>
      </c>
      <c r="L282" s="60"/>
      <c r="M282" s="85">
        <f t="shared" ref="M282:S282" si="284">IFERROR(SUMIFS(E$2:E$364,$C$2:$C$364,$C282)/COUNTIFS(E$2:E$364,"&lt;&gt;NA",$C$2:$C$364,$C282),"")</f>
        <v>0.9</v>
      </c>
      <c r="N282" s="85">
        <f t="shared" si="284"/>
        <v>0.8888888889</v>
      </c>
      <c r="O282" s="85">
        <f t="shared" si="284"/>
        <v>1</v>
      </c>
      <c r="P282" s="85">
        <f t="shared" si="284"/>
        <v>0.9090909091</v>
      </c>
      <c r="Q282" s="85">
        <f t="shared" si="284"/>
        <v>1</v>
      </c>
      <c r="R282" s="85" t="str">
        <f t="shared" si="284"/>
        <v/>
      </c>
      <c r="S282" s="85">
        <f t="shared" si="284"/>
        <v>0.8571428571</v>
      </c>
      <c r="T282" s="127">
        <f t="shared" si="3"/>
        <v>0.9</v>
      </c>
      <c r="U282" s="53">
        <f t="shared" si="4"/>
        <v>3</v>
      </c>
      <c r="V282" s="54">
        <f t="shared" si="5"/>
        <v>3</v>
      </c>
    </row>
    <row r="283" ht="15.75" customHeight="1">
      <c r="A283" s="55" t="str">
        <f>SiteAttendu!$A282</f>
        <v>C4059</v>
      </c>
      <c r="B283" s="56" t="str">
        <f>VLOOKUP($A283,SiteAttendu!$A$2:$C$366,2,0)</f>
        <v>DISTRICT SANITAIRE YAKASSE-ATTOBROU</v>
      </c>
      <c r="C283" s="57" t="str">
        <f>VLOOKUP($A283,SiteAttendu!$A$2:$C$366,3,0)</f>
        <v>ME</v>
      </c>
      <c r="D283" s="58">
        <f>IF(VLOOKUP(A283,SiteAttendu!$A$2:$P$366,4,0)="NA","NA",COUNTIFS(soccode,A283,socprog,"PNLS/ANTIRETROVIRAUX ET IO",socprompt,1))</f>
        <v>1</v>
      </c>
      <c r="E283" s="58">
        <f>IF(VLOOKUP($A283,SiteAttendu!$A$2:$O$366,5,0)="NA","NA",COUNTIFS(soccode,A283,socprog,"PNLS/TESTS RAPIDES ET CONSOMMABLES",socprompt,1))</f>
        <v>1</v>
      </c>
      <c r="F283" s="58" t="str">
        <f>IF(VLOOKUP($A283,SiteAttendu!$A$2:$O$366,6,0)="NA","NA",COUNTIFS(soccode,A283,socprog,"PNLS/PRODUITS DE LABORATOIRE",socprompt,1))</f>
        <v>NA</v>
      </c>
      <c r="G283" s="58" t="str">
        <f>IF(VLOOKUP($A283,SiteAttendu!$A$2:$O$366,7,0)="NA","NA",COUNTIFS(soccode,A283,socprog,"PNLS/CHARGES VIRALES",socprompt,1))</f>
        <v>NA</v>
      </c>
      <c r="H283" s="58">
        <f>IF(VLOOKUP($A283,SiteAttendu!$A$2:$O$366,9,0)="NA","NA",COUNTIFS(soccode,A283,socprog,"PNLP/MEDICAMENTS ET INTRANTS",socprompt,1))</f>
        <v>1</v>
      </c>
      <c r="I283" s="58">
        <f>IF(VLOOKUP($A283,SiteAttendu!$A$2:$O$366,10,0)="NA","NA",COUNTIFS(soccode,$A283,socprog,"PNSME/MEDICAMENTS ET INTRANTS",socprompt,1))</f>
        <v>1</v>
      </c>
      <c r="J283" s="58" t="str">
        <f>IF(VLOOKUP($A283,SiteAttendu!$A$2:$O$366,11,0)="NA","NA",COUNTIFS(soccode,$A283,socprog,"PNN/MEDICAMENTS ET INTRANTS",socprompt,1))</f>
        <v>NA</v>
      </c>
      <c r="K283" s="58" t="str">
        <f>IF(VLOOKUP($A283,SiteAttendu!$A$2:$O$366,15,0)="NA","NA",IF(COUNTIF(socprog,"PNLT/SENSIBLE MEDICAMENTS ET INTRANTS")=0,"NA",COUNTIFS(soccode,$A283,socprog,"PNLT/SENSIBLE MEDICAMENTS ET INTRANTS",socprompt,1)))</f>
        <v>NA</v>
      </c>
      <c r="L283" s="60"/>
      <c r="M283" s="85">
        <f t="shared" ref="M283:S283" si="285">IFERROR(SUMIFS(E$2:E$364,$C$2:$C$364,$C283)/COUNTIFS(E$2:E$364,"&lt;&gt;NA",$C$2:$C$364,$C283),"")</f>
        <v>0.9</v>
      </c>
      <c r="N283" s="85">
        <f t="shared" si="285"/>
        <v>0.8888888889</v>
      </c>
      <c r="O283" s="85">
        <f t="shared" si="285"/>
        <v>1</v>
      </c>
      <c r="P283" s="85">
        <f t="shared" si="285"/>
        <v>0.9090909091</v>
      </c>
      <c r="Q283" s="85">
        <f t="shared" si="285"/>
        <v>1</v>
      </c>
      <c r="R283" s="85" t="str">
        <f t="shared" si="285"/>
        <v/>
      </c>
      <c r="S283" s="85">
        <f t="shared" si="285"/>
        <v>0.8571428571</v>
      </c>
      <c r="T283" s="127">
        <f t="shared" si="3"/>
        <v>0.9</v>
      </c>
      <c r="U283" s="53">
        <f t="shared" si="4"/>
        <v>2</v>
      </c>
      <c r="V283" s="54">
        <f t="shared" si="5"/>
        <v>2</v>
      </c>
    </row>
    <row r="284" ht="15.75" customHeight="1">
      <c r="A284" s="62" t="str">
        <f>SiteAttendu!$A283</f>
        <v>C4061</v>
      </c>
      <c r="B284" s="63" t="str">
        <f>VLOOKUP($A284,SiteAttendu!$A$2:$C$366,2,0)</f>
        <v>HOPITAL GENERAL YAKASSE ATTOBROU</v>
      </c>
      <c r="C284" s="64" t="str">
        <f>VLOOKUP($A284,SiteAttendu!$A$2:$C$366,3,0)</f>
        <v>ME</v>
      </c>
      <c r="D284" s="65">
        <f>IF(VLOOKUP(A284,SiteAttendu!$A$2:$P$366,4,0)="NA","NA",COUNTIFS(soccode,A284,socprog,"PNLS/ANTIRETROVIRAUX ET IO",socprompt,1))</f>
        <v>1</v>
      </c>
      <c r="E284" s="65">
        <f>IF(VLOOKUP($A284,SiteAttendu!$A$2:$O$366,5,0)="NA","NA",COUNTIFS(soccode,A284,socprog,"PNLS/TESTS RAPIDES ET CONSOMMABLES",socprompt,1))</f>
        <v>1</v>
      </c>
      <c r="F284" s="65">
        <f>IF(VLOOKUP($A284,SiteAttendu!$A$2:$O$366,6,0)="NA","NA",COUNTIFS(soccode,A284,socprog,"PNLS/PRODUITS DE LABORATOIRE",socprompt,1))</f>
        <v>1</v>
      </c>
      <c r="G284" s="65" t="str">
        <f>IF(VLOOKUP($A284,SiteAttendu!$A$2:$O$366,7,0)="NA","NA",COUNTIFS(soccode,A284,socprog,"PNLS/CHARGES VIRALES",socprompt,1))</f>
        <v>NA</v>
      </c>
      <c r="H284" s="65">
        <f>IF(VLOOKUP($A284,SiteAttendu!$A$2:$O$366,9,0)="NA","NA",COUNTIFS(soccode,A284,socprog,"PNLP/MEDICAMENTS ET INTRANTS",socprompt,1))</f>
        <v>1</v>
      </c>
      <c r="I284" s="65">
        <f>IF(VLOOKUP($A284,SiteAttendu!$A$2:$O$366,10,0)="NA","NA",COUNTIFS(soccode,$A284,socprog,"PNSME/MEDICAMENTS ET INTRANTS",socprompt,1))</f>
        <v>1</v>
      </c>
      <c r="J284" s="65" t="str">
        <f>IF(VLOOKUP($A284,SiteAttendu!$A$2:$O$366,11,0)="NA","NA",COUNTIFS(soccode,$A284,socprog,"PNN/MEDICAMENTS ET INTRANTS",socprompt,1))</f>
        <v>NA</v>
      </c>
      <c r="K284" s="65">
        <f>IF(VLOOKUP($A284,SiteAttendu!$A$2:$O$366,15,0)="NA","NA",IF(COUNTIF(socprog,"PNLT/SENSIBLE MEDICAMENTS ET INTRANTS")=0,"NA",COUNTIFS(soccode,$A284,socprog,"PNLT/SENSIBLE MEDICAMENTS ET INTRANTS",socprompt,1)))</f>
        <v>1</v>
      </c>
      <c r="L284" s="67"/>
      <c r="M284" s="86">
        <f t="shared" ref="M284:S284" si="286">IFERROR(SUMIFS(E$2:E$364,$C$2:$C$364,$C284)/COUNTIFS(E$2:E$364,"&lt;&gt;NA",$C$2:$C$364,$C284),"")</f>
        <v>0.9</v>
      </c>
      <c r="N284" s="86">
        <f t="shared" si="286"/>
        <v>0.8888888889</v>
      </c>
      <c r="O284" s="86">
        <f t="shared" si="286"/>
        <v>1</v>
      </c>
      <c r="P284" s="86">
        <f t="shared" si="286"/>
        <v>0.9090909091</v>
      </c>
      <c r="Q284" s="86">
        <f t="shared" si="286"/>
        <v>1</v>
      </c>
      <c r="R284" s="86" t="str">
        <f t="shared" si="286"/>
        <v/>
      </c>
      <c r="S284" s="86">
        <f t="shared" si="286"/>
        <v>0.8571428571</v>
      </c>
      <c r="T284" s="128">
        <f t="shared" si="3"/>
        <v>0.9</v>
      </c>
      <c r="U284" s="53">
        <f t="shared" si="4"/>
        <v>3</v>
      </c>
      <c r="V284" s="54">
        <f t="shared" si="5"/>
        <v>3</v>
      </c>
    </row>
    <row r="285" ht="15.75" customHeight="1">
      <c r="A285" s="46" t="str">
        <f>SiteAttendu!$A284</f>
        <v>C4016</v>
      </c>
      <c r="B285" s="47" t="str">
        <f>VLOOKUP($A285,SiteAttendu!$A$2:$C$366,2,0)</f>
        <v>HOPITAL GENERAL ARRAH</v>
      </c>
      <c r="C285" s="48" t="str">
        <f>VLOOKUP($A285,SiteAttendu!$A$2:$C$366,3,0)</f>
        <v>MORONOU</v>
      </c>
      <c r="D285" s="49">
        <f>IF(VLOOKUP(A285,SiteAttendu!$A$2:$P$366,4,0)="NA","NA",COUNTIFS(soccode,A285,socprog,"PNLS/ANTIRETROVIRAUX ET IO",socprompt,1))</f>
        <v>1</v>
      </c>
      <c r="E285" s="49">
        <f>IF(VLOOKUP($A285,SiteAttendu!$A$2:$O$366,5,0)="NA","NA",COUNTIFS(soccode,A285,socprog,"PNLS/TESTS RAPIDES ET CONSOMMABLES",socprompt,1))</f>
        <v>1</v>
      </c>
      <c r="F285" s="49">
        <f>IF(VLOOKUP($A285,SiteAttendu!$A$2:$O$366,6,0)="NA","NA",COUNTIFS(soccode,A285,socprog,"PNLS/PRODUITS DE LABORATOIRE",socprompt,1))</f>
        <v>1</v>
      </c>
      <c r="G285" s="49" t="str">
        <f>IF(VLOOKUP($A285,SiteAttendu!$A$2:$O$366,7,0)="NA","NA",COUNTIFS(soccode,A285,socprog,"PNLS/CHARGES VIRALES",socprompt,1))</f>
        <v>NA</v>
      </c>
      <c r="H285" s="49">
        <f>IF(VLOOKUP($A285,SiteAttendu!$A$2:$O$366,9,0)="NA","NA",COUNTIFS(soccode,A285,socprog,"PNLP/MEDICAMENTS ET INTRANTS",socprompt,1))</f>
        <v>1</v>
      </c>
      <c r="I285" s="49">
        <f>IF(VLOOKUP($A285,SiteAttendu!$A$2:$O$366,10,0)="NA","NA",COUNTIFS(soccode,$A285,socprog,"PNSME/MEDICAMENTS ET INTRANTS",socprompt,1))</f>
        <v>1</v>
      </c>
      <c r="J285" s="49">
        <f>IF(VLOOKUP($A285,SiteAttendu!$A$2:$O$366,11,0)="NA","NA",COUNTIFS(soccode,$A285,socprog,"PNN/MEDICAMENTS ET INTRANTS",socprompt,1))</f>
        <v>1</v>
      </c>
      <c r="K285" s="49">
        <f>IF(VLOOKUP($A285,SiteAttendu!$A$2:$O$366,15,0)="NA","NA",IF(COUNTIF(socprog,"PNLT/SENSIBLE MEDICAMENTS ET INTRANTS")=0,"NA",COUNTIFS(soccode,$A285,socprog,"PNLT/SENSIBLE MEDICAMENTS ET INTRANTS",socprompt,1)))</f>
        <v>1</v>
      </c>
      <c r="L285" s="51">
        <f t="shared" ref="L285:S285" si="287">IFERROR(SUMIFS(D$2:D$364,$C$2:$C$364,$C285)/COUNTIFS(D$2:D$364,"&lt;&gt;NA",$C$2:$C$364,$C285),"")</f>
        <v>1</v>
      </c>
      <c r="M285" s="125">
        <f t="shared" si="287"/>
        <v>1</v>
      </c>
      <c r="N285" s="125">
        <f t="shared" si="287"/>
        <v>1</v>
      </c>
      <c r="O285" s="125">
        <f t="shared" si="287"/>
        <v>1</v>
      </c>
      <c r="P285" s="125">
        <f t="shared" si="287"/>
        <v>0.8333333333</v>
      </c>
      <c r="Q285" s="125">
        <f t="shared" si="287"/>
        <v>1</v>
      </c>
      <c r="R285" s="125">
        <f t="shared" si="287"/>
        <v>1</v>
      </c>
      <c r="S285" s="125">
        <f t="shared" si="287"/>
        <v>0.8</v>
      </c>
      <c r="T285" s="126">
        <f t="shared" si="3"/>
        <v>1</v>
      </c>
      <c r="U285" s="53">
        <f t="shared" si="4"/>
        <v>3</v>
      </c>
      <c r="V285" s="54">
        <f t="shared" si="5"/>
        <v>3</v>
      </c>
    </row>
    <row r="286" ht="15.75" customHeight="1">
      <c r="A286" s="55" t="str">
        <f>SiteAttendu!$A285</f>
        <v>C4073</v>
      </c>
      <c r="B286" s="56" t="str">
        <f>VLOOKUP($A286,SiteAttendu!$A$2:$C$366,2,0)</f>
        <v>DISTRICT SANITAIRE ARRAH</v>
      </c>
      <c r="C286" s="57" t="str">
        <f>VLOOKUP($A286,SiteAttendu!$A$2:$C$366,3,0)</f>
        <v>MORONOU</v>
      </c>
      <c r="D286" s="58">
        <f>IF(VLOOKUP(A286,SiteAttendu!$A$2:$P$366,4,0)="NA","NA",COUNTIFS(soccode,A286,socprog,"PNLS/ANTIRETROVIRAUX ET IO",socprompt,1))</f>
        <v>1</v>
      </c>
      <c r="E286" s="58">
        <f>IF(VLOOKUP($A286,SiteAttendu!$A$2:$O$366,5,0)="NA","NA",COUNTIFS(soccode,A286,socprog,"PNLS/TESTS RAPIDES ET CONSOMMABLES",socprompt,1))</f>
        <v>1</v>
      </c>
      <c r="F286" s="58">
        <f>IF(VLOOKUP($A286,SiteAttendu!$A$2:$O$366,6,0)="NA","NA",COUNTIFS(soccode,A286,socprog,"PNLS/PRODUITS DE LABORATOIRE",socprompt,1))</f>
        <v>1</v>
      </c>
      <c r="G286" s="58" t="str">
        <f>IF(VLOOKUP($A286,SiteAttendu!$A$2:$O$366,7,0)="NA","NA",COUNTIFS(soccode,A286,socprog,"PNLS/CHARGES VIRALES",socprompt,1))</f>
        <v>NA</v>
      </c>
      <c r="H286" s="58">
        <f>IF(VLOOKUP($A286,SiteAttendu!$A$2:$O$366,9,0)="NA","NA",COUNTIFS(soccode,A286,socprog,"PNLP/MEDICAMENTS ET INTRANTS",socprompt,1))</f>
        <v>1</v>
      </c>
      <c r="I286" s="58">
        <f>IF(VLOOKUP($A286,SiteAttendu!$A$2:$O$366,10,0)="NA","NA",COUNTIFS(soccode,$A286,socprog,"PNSME/MEDICAMENTS ET INTRANTS",socprompt,1))</f>
        <v>1</v>
      </c>
      <c r="J286" s="58">
        <f>IF(VLOOKUP($A286,SiteAttendu!$A$2:$O$366,11,0)="NA","NA",COUNTIFS(soccode,$A286,socprog,"PNN/MEDICAMENTS ET INTRANTS",socprompt,1))</f>
        <v>1</v>
      </c>
      <c r="K286" s="58">
        <f>IF(VLOOKUP($A286,SiteAttendu!$A$2:$O$366,15,0)="NA","NA",IF(COUNTIF(socprog,"PNLT/SENSIBLE MEDICAMENTS ET INTRANTS")=0,"NA",COUNTIFS(soccode,$A286,socprog,"PNLT/SENSIBLE MEDICAMENTS ET INTRANTS",socprompt,1)))</f>
        <v>1</v>
      </c>
      <c r="L286" s="60"/>
      <c r="M286" s="85">
        <f t="shared" ref="M286:S286" si="288">IFERROR(SUMIFS(E$2:E$364,$C$2:$C$364,$C286)/COUNTIFS(E$2:E$364,"&lt;&gt;NA",$C$2:$C$364,$C286),"")</f>
        <v>1</v>
      </c>
      <c r="N286" s="85">
        <f t="shared" si="288"/>
        <v>1</v>
      </c>
      <c r="O286" s="85">
        <f t="shared" si="288"/>
        <v>1</v>
      </c>
      <c r="P286" s="85">
        <f t="shared" si="288"/>
        <v>0.8333333333</v>
      </c>
      <c r="Q286" s="85">
        <f t="shared" si="288"/>
        <v>1</v>
      </c>
      <c r="R286" s="85">
        <f t="shared" si="288"/>
        <v>1</v>
      </c>
      <c r="S286" s="85">
        <f t="shared" si="288"/>
        <v>0.8</v>
      </c>
      <c r="T286" s="127">
        <f t="shared" si="3"/>
        <v>1</v>
      </c>
      <c r="U286" s="53">
        <f t="shared" si="4"/>
        <v>3</v>
      </c>
      <c r="V286" s="54">
        <f t="shared" si="5"/>
        <v>3</v>
      </c>
    </row>
    <row r="287" ht="15.75" customHeight="1">
      <c r="A287" s="55" t="str">
        <f>SiteAttendu!$A286</f>
        <v>C4009</v>
      </c>
      <c r="B287" s="56" t="str">
        <f>VLOOKUP($A287,SiteAttendu!$A$2:$C$366,2,0)</f>
        <v>DISTRICT SANITAIRE BONGOUANOU</v>
      </c>
      <c r="C287" s="57" t="str">
        <f>VLOOKUP($A287,SiteAttendu!$A$2:$C$366,3,0)</f>
        <v>MORONOU</v>
      </c>
      <c r="D287" s="58">
        <f>IF(VLOOKUP(A287,SiteAttendu!$A$2:$P$366,4,0)="NA","NA",COUNTIFS(soccode,A287,socprog,"PNLS/ANTIRETROVIRAUX ET IO",socprompt,1))</f>
        <v>1</v>
      </c>
      <c r="E287" s="58">
        <f>IF(VLOOKUP($A287,SiteAttendu!$A$2:$O$366,5,0)="NA","NA",COUNTIFS(soccode,A287,socprog,"PNLS/TESTS RAPIDES ET CONSOMMABLES",socprompt,1))</f>
        <v>1</v>
      </c>
      <c r="F287" s="58">
        <f>IF(VLOOKUP($A287,SiteAttendu!$A$2:$O$366,6,0)="NA","NA",COUNTIFS(soccode,A287,socprog,"PNLS/PRODUITS DE LABORATOIRE",socprompt,1))</f>
        <v>1</v>
      </c>
      <c r="G287" s="58" t="str">
        <f>IF(VLOOKUP($A287,SiteAttendu!$A$2:$O$366,7,0)="NA","NA",COUNTIFS(soccode,A287,socprog,"PNLS/CHARGES VIRALES",socprompt,1))</f>
        <v>NA</v>
      </c>
      <c r="H287" s="58">
        <f>IF(VLOOKUP($A287,SiteAttendu!$A$2:$O$366,9,0)="NA","NA",COUNTIFS(soccode,A287,socprog,"PNLP/MEDICAMENTS ET INTRANTS",socprompt,1))</f>
        <v>1</v>
      </c>
      <c r="I287" s="58">
        <f>IF(VLOOKUP($A287,SiteAttendu!$A$2:$O$366,10,0)="NA","NA",COUNTIFS(soccode,$A287,socprog,"PNSME/MEDICAMENTS ET INTRANTS",socprompt,1))</f>
        <v>1</v>
      </c>
      <c r="J287" s="58">
        <f>IF(VLOOKUP($A287,SiteAttendu!$A$2:$O$366,11,0)="NA","NA",COUNTIFS(soccode,$A287,socprog,"PNN/MEDICAMENTS ET INTRANTS",socprompt,1))</f>
        <v>1</v>
      </c>
      <c r="K287" s="58">
        <f>IF(VLOOKUP($A287,SiteAttendu!$A$2:$O$366,15,0)="NA","NA",IF(COUNTIF(socprog,"PNLT/SENSIBLE MEDICAMENTS ET INTRANTS")=0,"NA",COUNTIFS(soccode,$A287,socprog,"PNLT/SENSIBLE MEDICAMENTS ET INTRANTS",socprompt,1)))</f>
        <v>1</v>
      </c>
      <c r="L287" s="60"/>
      <c r="M287" s="85">
        <f t="shared" ref="M287:S287" si="289">IFERROR(SUMIFS(E$2:E$364,$C$2:$C$364,$C287)/COUNTIFS(E$2:E$364,"&lt;&gt;NA",$C$2:$C$364,$C287),"")</f>
        <v>1</v>
      </c>
      <c r="N287" s="85">
        <f t="shared" si="289"/>
        <v>1</v>
      </c>
      <c r="O287" s="85">
        <f t="shared" si="289"/>
        <v>1</v>
      </c>
      <c r="P287" s="85">
        <f t="shared" si="289"/>
        <v>0.8333333333</v>
      </c>
      <c r="Q287" s="85">
        <f t="shared" si="289"/>
        <v>1</v>
      </c>
      <c r="R287" s="85">
        <f t="shared" si="289"/>
        <v>1</v>
      </c>
      <c r="S287" s="85">
        <f t="shared" si="289"/>
        <v>0.8</v>
      </c>
      <c r="T287" s="127">
        <f t="shared" si="3"/>
        <v>1</v>
      </c>
      <c r="U287" s="53">
        <f t="shared" si="4"/>
        <v>3</v>
      </c>
      <c r="V287" s="54">
        <f t="shared" si="5"/>
        <v>3</v>
      </c>
    </row>
    <row r="288" ht="15.75" customHeight="1">
      <c r="A288" s="55" t="str">
        <f>SiteAttendu!$A287</f>
        <v>C4017</v>
      </c>
      <c r="B288" s="56" t="str">
        <f>VLOOKUP($A288,SiteAttendu!$A$2:$C$366,2,0)</f>
        <v>HOPITAL GENERAL BONGOUANOU</v>
      </c>
      <c r="C288" s="57" t="str">
        <f>VLOOKUP($A288,SiteAttendu!$A$2:$C$366,3,0)</f>
        <v>MORONOU</v>
      </c>
      <c r="D288" s="58">
        <f>IF(VLOOKUP(A288,SiteAttendu!$A$2:$P$366,4,0)="NA","NA",COUNTIFS(soccode,A288,socprog,"PNLS/ANTIRETROVIRAUX ET IO",socprompt,1))</f>
        <v>1</v>
      </c>
      <c r="E288" s="58">
        <f>IF(VLOOKUP($A288,SiteAttendu!$A$2:$O$366,5,0)="NA","NA",COUNTIFS(soccode,A288,socprog,"PNLS/TESTS RAPIDES ET CONSOMMABLES",socprompt,1))</f>
        <v>1</v>
      </c>
      <c r="F288" s="58">
        <f>IF(VLOOKUP($A288,SiteAttendu!$A$2:$O$366,6,0)="NA","NA",COUNTIFS(soccode,A288,socprog,"PNLS/PRODUITS DE LABORATOIRE",socprompt,1))</f>
        <v>1</v>
      </c>
      <c r="G288" s="58">
        <f>IF(VLOOKUP($A288,SiteAttendu!$A$2:$O$366,7,0)="NA","NA",COUNTIFS(soccode,A288,socprog,"PNLS/CHARGES VIRALES",socprompt,1))</f>
        <v>1</v>
      </c>
      <c r="H288" s="58">
        <f>IF(VLOOKUP($A288,SiteAttendu!$A$2:$O$366,9,0)="NA","NA",COUNTIFS(soccode,A288,socprog,"PNLP/MEDICAMENTS ET INTRANTS",socprompt,1))</f>
        <v>1</v>
      </c>
      <c r="I288" s="58">
        <f>IF(VLOOKUP($A288,SiteAttendu!$A$2:$O$366,10,0)="NA","NA",COUNTIFS(soccode,$A288,socprog,"PNSME/MEDICAMENTS ET INTRANTS",socprompt,1))</f>
        <v>1</v>
      </c>
      <c r="J288" s="58">
        <f>IF(VLOOKUP($A288,SiteAttendu!$A$2:$O$366,11,0)="NA","NA",COUNTIFS(soccode,$A288,socprog,"PNN/MEDICAMENTS ET INTRANTS",socprompt,1))</f>
        <v>1</v>
      </c>
      <c r="K288" s="58" t="str">
        <f>IF(VLOOKUP($A288,SiteAttendu!$A$2:$O$366,15,0)="NA","NA",IF(COUNTIF(socprog,"PNLT/SENSIBLE MEDICAMENTS ET INTRANTS")=0,"NA",COUNTIFS(soccode,$A288,socprog,"PNLT/SENSIBLE MEDICAMENTS ET INTRANTS",socprompt,1)))</f>
        <v>NA</v>
      </c>
      <c r="L288" s="60"/>
      <c r="M288" s="85">
        <f t="shared" ref="M288:S288" si="290">IFERROR(SUMIFS(E$2:E$364,$C$2:$C$364,$C288)/COUNTIFS(E$2:E$364,"&lt;&gt;NA",$C$2:$C$364,$C288),"")</f>
        <v>1</v>
      </c>
      <c r="N288" s="85">
        <f t="shared" si="290"/>
        <v>1</v>
      </c>
      <c r="O288" s="85">
        <f t="shared" si="290"/>
        <v>1</v>
      </c>
      <c r="P288" s="85">
        <f t="shared" si="290"/>
        <v>0.8333333333</v>
      </c>
      <c r="Q288" s="85">
        <f t="shared" si="290"/>
        <v>1</v>
      </c>
      <c r="R288" s="85">
        <f t="shared" si="290"/>
        <v>1</v>
      </c>
      <c r="S288" s="85">
        <f t="shared" si="290"/>
        <v>0.8</v>
      </c>
      <c r="T288" s="127">
        <f t="shared" si="3"/>
        <v>1</v>
      </c>
      <c r="U288" s="53">
        <f t="shared" si="4"/>
        <v>4</v>
      </c>
      <c r="V288" s="54">
        <f t="shared" si="5"/>
        <v>4</v>
      </c>
    </row>
    <row r="289" ht="15.75" customHeight="1">
      <c r="A289" s="55" t="str">
        <f>SiteAttendu!$A288</f>
        <v>C4092</v>
      </c>
      <c r="B289" s="56" t="str">
        <f>VLOOKUP($A289,SiteAttendu!$A$2:$C$366,2,0)</f>
        <v>CENTRE ANTITUBERCULEUX BONGOUANOU</v>
      </c>
      <c r="C289" s="57" t="str">
        <f>VLOOKUP($A289,SiteAttendu!$A$2:$C$366,3,0)</f>
        <v>MORONOU</v>
      </c>
      <c r="D289" s="58" t="str">
        <f>IF(VLOOKUP(A289,SiteAttendu!$A$2:$P$366,4,0)="NA","NA",COUNTIFS(soccode,A289,socprog,"PNLS/ANTIRETROVIRAUX ET IO",socprompt,1))</f>
        <v>NA</v>
      </c>
      <c r="E289" s="58" t="str">
        <f>IF(VLOOKUP($A289,SiteAttendu!$A$2:$O$366,5,0)="NA","NA",COUNTIFS(soccode,A289,socprog,"PNLS/TESTS RAPIDES ET CONSOMMABLES",socprompt,1))</f>
        <v>NA</v>
      </c>
      <c r="F289" s="58" t="str">
        <f>IF(VLOOKUP($A289,SiteAttendu!$A$2:$O$366,6,0)="NA","NA",COUNTIFS(soccode,A289,socprog,"PNLS/PRODUITS DE LABORATOIRE",socprompt,1))</f>
        <v>NA</v>
      </c>
      <c r="G289" s="58" t="str">
        <f>IF(VLOOKUP($A289,SiteAttendu!$A$2:$O$366,7,0)="NA","NA",COUNTIFS(soccode,A289,socprog,"PNLS/CHARGES VIRALES",socprompt,1))</f>
        <v>NA</v>
      </c>
      <c r="H289" s="58" t="str">
        <f>IF(VLOOKUP($A289,SiteAttendu!$A$2:$O$366,9,0)="NA","NA",COUNTIFS(soccode,A289,socprog,"PNLP/MEDICAMENTS ET INTRANTS",socprompt,1))</f>
        <v>NA</v>
      </c>
      <c r="I289" s="58" t="str">
        <f>IF(VLOOKUP($A289,SiteAttendu!$A$2:$O$366,10,0)="NA","NA",COUNTIFS(soccode,$A289,socprog,"PNSME/MEDICAMENTS ET INTRANTS",socprompt,1))</f>
        <v>NA</v>
      </c>
      <c r="J289" s="58" t="str">
        <f>IF(VLOOKUP($A289,SiteAttendu!$A$2:$O$366,11,0)="NA","NA",COUNTIFS(soccode,$A289,socprog,"PNN/MEDICAMENTS ET INTRANTS",socprompt,1))</f>
        <v>NA</v>
      </c>
      <c r="K289" s="58" t="str">
        <f>IF(VLOOKUP($A289,SiteAttendu!$A$2:$O$366,15,0)="NA","NA",IF(COUNTIF(socprog,"PNLT/SENSIBLE MEDICAMENTS ET INTRANTS")=0,"NA",COUNTIFS(soccode,$A289,socprog,"PNLT/SENSIBLE MEDICAMENTS ET INTRANTS",socprompt,1)))</f>
        <v>NA</v>
      </c>
      <c r="L289" s="60"/>
      <c r="M289" s="85">
        <f t="shared" ref="M289:S289" si="291">IFERROR(SUMIFS(E$2:E$364,$C$2:$C$364,$C289)/COUNTIFS(E$2:E$364,"&lt;&gt;NA",$C$2:$C$364,$C289),"")</f>
        <v>1</v>
      </c>
      <c r="N289" s="85">
        <f t="shared" si="291"/>
        <v>1</v>
      </c>
      <c r="O289" s="85">
        <f t="shared" si="291"/>
        <v>1</v>
      </c>
      <c r="P289" s="85">
        <f t="shared" si="291"/>
        <v>0.8333333333</v>
      </c>
      <c r="Q289" s="85">
        <f t="shared" si="291"/>
        <v>1</v>
      </c>
      <c r="R289" s="85">
        <f t="shared" si="291"/>
        <v>1</v>
      </c>
      <c r="S289" s="85">
        <f t="shared" si="291"/>
        <v>0.8</v>
      </c>
      <c r="T289" s="127">
        <f t="shared" si="3"/>
        <v>1</v>
      </c>
      <c r="U289" s="53">
        <f t="shared" si="4"/>
        <v>0</v>
      </c>
      <c r="V289" s="54">
        <f t="shared" si="5"/>
        <v>0</v>
      </c>
    </row>
    <row r="290" ht="16.5" customHeight="1">
      <c r="A290" s="55" t="str">
        <f>SiteAttendu!$A289</f>
        <v>C4054</v>
      </c>
      <c r="B290" s="56" t="str">
        <f>VLOOKUP($A290,SiteAttendu!$A$2:$C$366,2,0)</f>
        <v>HOPITAL GENERAL M'BATTO</v>
      </c>
      <c r="C290" s="57" t="str">
        <f>VLOOKUP($A290,SiteAttendu!$A$2:$C$366,3,0)</f>
        <v>MORONOU</v>
      </c>
      <c r="D290" s="58">
        <f>IF(VLOOKUP(A290,SiteAttendu!$A$2:$P$366,4,0)="NA","NA",COUNTIFS(soccode,A290,socprog,"PNLS/ANTIRETROVIRAUX ET IO",socprompt,1))</f>
        <v>1</v>
      </c>
      <c r="E290" s="58">
        <f>IF(VLOOKUP($A290,SiteAttendu!$A$2:$O$366,5,0)="NA","NA",COUNTIFS(soccode,A290,socprog,"PNLS/TESTS RAPIDES ET CONSOMMABLES",socprompt,1))</f>
        <v>1</v>
      </c>
      <c r="F290" s="58">
        <f>IF(VLOOKUP($A290,SiteAttendu!$A$2:$O$366,6,0)="NA","NA",COUNTIFS(soccode,A290,socprog,"PNLS/PRODUITS DE LABORATOIRE",socprompt,1))</f>
        <v>1</v>
      </c>
      <c r="G290" s="58" t="str">
        <f>IF(VLOOKUP($A290,SiteAttendu!$A$2:$O$366,7,0)="NA","NA",COUNTIFS(soccode,A290,socprog,"PNLS/CHARGES VIRALES",socprompt,1))</f>
        <v>NA</v>
      </c>
      <c r="H290" s="58">
        <f>IF(VLOOKUP($A290,SiteAttendu!$A$2:$O$366,9,0)="NA","NA",COUNTIFS(soccode,A290,socprog,"PNLP/MEDICAMENTS ET INTRANTS",socprompt,1))</f>
        <v>0</v>
      </c>
      <c r="I290" s="58">
        <f>IF(VLOOKUP($A290,SiteAttendu!$A$2:$O$366,10,0)="NA","NA",COUNTIFS(soccode,$A290,socprog,"PNSME/MEDICAMENTS ET INTRANTS",socprompt,1))</f>
        <v>1</v>
      </c>
      <c r="J290" s="58" t="str">
        <f>IF(VLOOKUP($A290,SiteAttendu!$A$2:$O$366,11,0)="NA","NA",COUNTIFS(soccode,$A290,socprog,"PNN/MEDICAMENTS ET INTRANTS",socprompt,1))</f>
        <v>NA</v>
      </c>
      <c r="K290" s="58">
        <f>IF(VLOOKUP($A290,SiteAttendu!$A$2:$O$366,15,0)="NA","NA",IF(COUNTIF(socprog,"PNLT/SENSIBLE MEDICAMENTS ET INTRANTS")=0,"NA",COUNTIFS(soccode,$A290,socprog,"PNLT/SENSIBLE MEDICAMENTS ET INTRANTS",socprompt,1)))</f>
        <v>1</v>
      </c>
      <c r="L290" s="60"/>
      <c r="M290" s="85">
        <f t="shared" ref="M290:S290" si="292">IFERROR(SUMIFS(E$2:E$364,$C$2:$C$364,$C290)/COUNTIFS(E$2:E$364,"&lt;&gt;NA",$C$2:$C$364,$C290),"")</f>
        <v>1</v>
      </c>
      <c r="N290" s="85">
        <f t="shared" si="292"/>
        <v>1</v>
      </c>
      <c r="O290" s="85">
        <f t="shared" si="292"/>
        <v>1</v>
      </c>
      <c r="P290" s="85">
        <f t="shared" si="292"/>
        <v>0.8333333333</v>
      </c>
      <c r="Q290" s="85">
        <f t="shared" si="292"/>
        <v>1</v>
      </c>
      <c r="R290" s="85">
        <f t="shared" si="292"/>
        <v>1</v>
      </c>
      <c r="S290" s="85">
        <f t="shared" si="292"/>
        <v>0.8</v>
      </c>
      <c r="T290" s="127">
        <f t="shared" si="3"/>
        <v>1</v>
      </c>
      <c r="U290" s="53">
        <f t="shared" si="4"/>
        <v>3</v>
      </c>
      <c r="V290" s="54">
        <f t="shared" si="5"/>
        <v>3</v>
      </c>
    </row>
    <row r="291" ht="15.75" customHeight="1">
      <c r="A291" s="62" t="str">
        <f>SiteAttendu!$A290</f>
        <v>C4071</v>
      </c>
      <c r="B291" s="63" t="str">
        <f>VLOOKUP($A291,SiteAttendu!$A$2:$C$366,2,0)</f>
        <v>DISTRICT SANITAIRE MBATTO</v>
      </c>
      <c r="C291" s="64" t="str">
        <f>VLOOKUP($A291,SiteAttendu!$A$2:$C$366,3,0)</f>
        <v>MORONOU</v>
      </c>
      <c r="D291" s="65">
        <f>IF(VLOOKUP(A291,SiteAttendu!$A$2:$P$366,4,0)="NA","NA",COUNTIFS(soccode,A291,socprog,"PNLS/ANTIRETROVIRAUX ET IO",socprompt,1))</f>
        <v>1</v>
      </c>
      <c r="E291" s="65">
        <f>IF(VLOOKUP($A291,SiteAttendu!$A$2:$O$366,5,0)="NA","NA",COUNTIFS(soccode,A291,socprog,"PNLS/TESTS RAPIDES ET CONSOMMABLES",socprompt,1))</f>
        <v>1</v>
      </c>
      <c r="F291" s="65" t="str">
        <f>IF(VLOOKUP($A291,SiteAttendu!$A$2:$O$366,6,0)="NA","NA",COUNTIFS(soccode,A291,socprog,"PNLS/PRODUITS DE LABORATOIRE",socprompt,1))</f>
        <v>NA</v>
      </c>
      <c r="G291" s="65" t="str">
        <f>IF(VLOOKUP($A291,SiteAttendu!$A$2:$O$366,7,0)="NA","NA",COUNTIFS(soccode,A291,socprog,"PNLS/CHARGES VIRALES",socprompt,1))</f>
        <v>NA</v>
      </c>
      <c r="H291" s="65">
        <f>IF(VLOOKUP($A291,SiteAttendu!$A$2:$O$366,9,0)="NA","NA",COUNTIFS(soccode,A291,socprog,"PNLP/MEDICAMENTS ET INTRANTS",socprompt,1))</f>
        <v>1</v>
      </c>
      <c r="I291" s="65">
        <f>IF(VLOOKUP($A291,SiteAttendu!$A$2:$O$366,10,0)="NA","NA",COUNTIFS(soccode,$A291,socprog,"PNSME/MEDICAMENTS ET INTRANTS",socprompt,1))</f>
        <v>1</v>
      </c>
      <c r="J291" s="65">
        <f>IF(VLOOKUP($A291,SiteAttendu!$A$2:$O$366,11,0)="NA","NA",COUNTIFS(soccode,$A291,socprog,"PNN/MEDICAMENTS ET INTRANTS",socprompt,1))</f>
        <v>1</v>
      </c>
      <c r="K291" s="65">
        <f>IF(VLOOKUP($A291,SiteAttendu!$A$2:$O$366,15,0)="NA","NA",IF(COUNTIF(socprog,"PNLT/SENSIBLE MEDICAMENTS ET INTRANTS")=0,"NA",COUNTIFS(soccode,$A291,socprog,"PNLT/SENSIBLE MEDICAMENTS ET INTRANTS",socprompt,1)))</f>
        <v>0</v>
      </c>
      <c r="L291" s="67"/>
      <c r="M291" s="86">
        <f t="shared" ref="M291:S291" si="293">IFERROR(SUMIFS(E$2:E$364,$C$2:$C$364,$C291)/COUNTIFS(E$2:E$364,"&lt;&gt;NA",$C$2:$C$364,$C291),"")</f>
        <v>1</v>
      </c>
      <c r="N291" s="86">
        <f t="shared" si="293"/>
        <v>1</v>
      </c>
      <c r="O291" s="86">
        <f t="shared" si="293"/>
        <v>1</v>
      </c>
      <c r="P291" s="86">
        <f t="shared" si="293"/>
        <v>0.8333333333</v>
      </c>
      <c r="Q291" s="86">
        <f t="shared" si="293"/>
        <v>1</v>
      </c>
      <c r="R291" s="86">
        <f t="shared" si="293"/>
        <v>1</v>
      </c>
      <c r="S291" s="86">
        <f t="shared" si="293"/>
        <v>0.8</v>
      </c>
      <c r="T291" s="128">
        <f t="shared" si="3"/>
        <v>1</v>
      </c>
      <c r="U291" s="53">
        <f t="shared" si="4"/>
        <v>2</v>
      </c>
      <c r="V291" s="54">
        <f t="shared" si="5"/>
        <v>2</v>
      </c>
    </row>
    <row r="292" ht="15.75" customHeight="1">
      <c r="A292" s="46" t="str">
        <f>SiteAttendu!$A291</f>
        <v>C2050</v>
      </c>
      <c r="B292" s="47" t="str">
        <f>VLOOKUP($A292,SiteAttendu!$A$2:$C$366,2,0)</f>
        <v>HOPITAL GENERAL BUYO</v>
      </c>
      <c r="C292" s="48" t="str">
        <f>VLOOKUP($A292,SiteAttendu!$A$2:$C$366,3,0)</f>
        <v>NAWA</v>
      </c>
      <c r="D292" s="49">
        <f>IF(VLOOKUP(A292,SiteAttendu!$A$2:$P$366,4,0)="NA","NA",COUNTIFS(soccode,A292,socprog,"PNLS/ANTIRETROVIRAUX ET IO",socprompt,1))</f>
        <v>1</v>
      </c>
      <c r="E292" s="49">
        <f>IF(VLOOKUP($A292,SiteAttendu!$A$2:$O$366,5,0)="NA","NA",COUNTIFS(soccode,A292,socprog,"PNLS/TESTS RAPIDES ET CONSOMMABLES",socprompt,1))</f>
        <v>1</v>
      </c>
      <c r="F292" s="49">
        <f>IF(VLOOKUP($A292,SiteAttendu!$A$2:$O$366,6,0)="NA","NA",COUNTIFS(soccode,A292,socprog,"PNLS/PRODUITS DE LABORATOIRE",socprompt,1))</f>
        <v>1</v>
      </c>
      <c r="G292" s="49" t="str">
        <f>IF(VLOOKUP($A292,SiteAttendu!$A$2:$O$366,7,0)="NA","NA",COUNTIFS(soccode,A292,socprog,"PNLS/CHARGES VIRALES",socprompt,1))</f>
        <v>NA</v>
      </c>
      <c r="H292" s="49">
        <f>IF(VLOOKUP($A292,SiteAttendu!$A$2:$O$366,9,0)="NA","NA",COUNTIFS(soccode,A292,socprog,"PNLP/MEDICAMENTS ET INTRANTS",socprompt,1))</f>
        <v>1</v>
      </c>
      <c r="I292" s="49">
        <f>IF(VLOOKUP($A292,SiteAttendu!$A$2:$O$366,10,0)="NA","NA",COUNTIFS(soccode,$A292,socprog,"PNSME/MEDICAMENTS ET INTRANTS",socprompt,1))</f>
        <v>1</v>
      </c>
      <c r="J292" s="49">
        <f>IF(VLOOKUP($A292,SiteAttendu!$A$2:$O$366,11,0)="NA","NA",COUNTIFS(soccode,$A292,socprog,"PNN/MEDICAMENTS ET INTRANTS",socprompt,1))</f>
        <v>1</v>
      </c>
      <c r="K292" s="49">
        <f>IF(VLOOKUP($A292,SiteAttendu!$A$2:$O$366,15,0)="NA","NA",IF(COUNTIF(socprog,"PNLT/SENSIBLE MEDICAMENTS ET INTRANTS")=0,"NA",COUNTIFS(soccode,$A292,socprog,"PNLT/SENSIBLE MEDICAMENTS ET INTRANTS",socprompt,1)))</f>
        <v>1</v>
      </c>
      <c r="L292" s="51">
        <f t="shared" ref="L292:S292" si="294">IFERROR(SUMIFS(D$2:D$364,$C$2:$C$364,$C292)/COUNTIFS(D$2:D$364,"&lt;&gt;NA",$C$2:$C$364,$C292),"")</f>
        <v>1</v>
      </c>
      <c r="M292" s="125">
        <f t="shared" si="294"/>
        <v>1</v>
      </c>
      <c r="N292" s="125">
        <f t="shared" si="294"/>
        <v>1</v>
      </c>
      <c r="O292" s="125">
        <f t="shared" si="294"/>
        <v>1</v>
      </c>
      <c r="P292" s="125">
        <f t="shared" si="294"/>
        <v>1</v>
      </c>
      <c r="Q292" s="125">
        <f t="shared" si="294"/>
        <v>0.9</v>
      </c>
      <c r="R292" s="125">
        <f t="shared" si="294"/>
        <v>1</v>
      </c>
      <c r="S292" s="125">
        <f t="shared" si="294"/>
        <v>1</v>
      </c>
      <c r="T292" s="126">
        <f t="shared" si="3"/>
        <v>1</v>
      </c>
      <c r="U292" s="53">
        <f t="shared" si="4"/>
        <v>3</v>
      </c>
      <c r="V292" s="54">
        <f t="shared" si="5"/>
        <v>3</v>
      </c>
    </row>
    <row r="293" ht="15.75" customHeight="1">
      <c r="A293" s="55" t="str">
        <f>SiteAttendu!$A292</f>
        <v>C2213</v>
      </c>
      <c r="B293" s="56" t="str">
        <f>VLOOKUP($A293,SiteAttendu!$A$2:$C$366,2,0)</f>
        <v>DISTRICT SANITAIRE BUYO</v>
      </c>
      <c r="C293" s="57" t="str">
        <f>VLOOKUP($A293,SiteAttendu!$A$2:$C$366,3,0)</f>
        <v>NAWA</v>
      </c>
      <c r="D293" s="58">
        <f>IF(VLOOKUP(A293,SiteAttendu!$A$2:$P$366,4,0)="NA","NA",COUNTIFS(soccode,A293,socprog,"PNLS/ANTIRETROVIRAUX ET IO",socprompt,1))</f>
        <v>1</v>
      </c>
      <c r="E293" s="58">
        <f>IF(VLOOKUP($A293,SiteAttendu!$A$2:$O$366,5,0)="NA","NA",COUNTIFS(soccode,A293,socprog,"PNLS/TESTS RAPIDES ET CONSOMMABLES",socprompt,1))</f>
        <v>1</v>
      </c>
      <c r="F293" s="58" t="str">
        <f>IF(VLOOKUP($A293,SiteAttendu!$A$2:$O$366,6,0)="NA","NA",COUNTIFS(soccode,A293,socprog,"PNLS/PRODUITS DE LABORATOIRE",socprompt,1))</f>
        <v>NA</v>
      </c>
      <c r="G293" s="58" t="str">
        <f>IF(VLOOKUP($A293,SiteAttendu!$A$2:$O$366,7,0)="NA","NA",COUNTIFS(soccode,A293,socprog,"PNLS/CHARGES VIRALES",socprompt,1))</f>
        <v>NA</v>
      </c>
      <c r="H293" s="58">
        <f>IF(VLOOKUP($A293,SiteAttendu!$A$2:$O$366,9,0)="NA","NA",COUNTIFS(soccode,A293,socprog,"PNLP/MEDICAMENTS ET INTRANTS",socprompt,1))</f>
        <v>1</v>
      </c>
      <c r="I293" s="58">
        <f>IF(VLOOKUP($A293,SiteAttendu!$A$2:$O$366,10,0)="NA","NA",COUNTIFS(soccode,$A293,socprog,"PNSME/MEDICAMENTS ET INTRANTS",socprompt,1))</f>
        <v>1</v>
      </c>
      <c r="J293" s="58">
        <f>IF(VLOOKUP($A293,SiteAttendu!$A$2:$O$366,11,0)="NA","NA",COUNTIFS(soccode,$A293,socprog,"PNN/MEDICAMENTS ET INTRANTS",socprompt,1))</f>
        <v>1</v>
      </c>
      <c r="K293" s="58">
        <f>IF(VLOOKUP($A293,SiteAttendu!$A$2:$O$366,15,0)="NA","NA",IF(COUNTIF(socprog,"PNLT/SENSIBLE MEDICAMENTS ET INTRANTS")=0,"NA",COUNTIFS(soccode,$A293,socprog,"PNLT/SENSIBLE MEDICAMENTS ET INTRANTS",socprompt,1)))</f>
        <v>1</v>
      </c>
      <c r="L293" s="60"/>
      <c r="M293" s="85">
        <f t="shared" ref="M293:S293" si="295">IFERROR(SUMIFS(E$2:E$364,$C$2:$C$364,$C293)/COUNTIFS(E$2:E$364,"&lt;&gt;NA",$C$2:$C$364,$C293),"")</f>
        <v>1</v>
      </c>
      <c r="N293" s="85">
        <f t="shared" si="295"/>
        <v>1</v>
      </c>
      <c r="O293" s="85">
        <f t="shared" si="295"/>
        <v>1</v>
      </c>
      <c r="P293" s="85">
        <f t="shared" si="295"/>
        <v>1</v>
      </c>
      <c r="Q293" s="85">
        <f t="shared" si="295"/>
        <v>0.9</v>
      </c>
      <c r="R293" s="85">
        <f t="shared" si="295"/>
        <v>1</v>
      </c>
      <c r="S293" s="85">
        <f t="shared" si="295"/>
        <v>1</v>
      </c>
      <c r="T293" s="127">
        <f t="shared" si="3"/>
        <v>1</v>
      </c>
      <c r="U293" s="53">
        <f t="shared" si="4"/>
        <v>2</v>
      </c>
      <c r="V293" s="54">
        <f t="shared" si="5"/>
        <v>2</v>
      </c>
    </row>
    <row r="294" ht="15.75" customHeight="1">
      <c r="A294" s="55" t="str">
        <f>SiteAttendu!$A293</f>
        <v>C2131</v>
      </c>
      <c r="B294" s="56" t="str">
        <f>VLOOKUP($A294,SiteAttendu!$A$2:$C$366,2,0)</f>
        <v>HOPITAL GENERAL GUEYO</v>
      </c>
      <c r="C294" s="57" t="str">
        <f>VLOOKUP($A294,SiteAttendu!$A$2:$C$366,3,0)</f>
        <v>NAWA</v>
      </c>
      <c r="D294" s="58">
        <f>IF(VLOOKUP(A294,SiteAttendu!$A$2:$P$366,4,0)="NA","NA",COUNTIFS(soccode,A294,socprog,"PNLS/ANTIRETROVIRAUX ET IO",socprompt,1))</f>
        <v>1</v>
      </c>
      <c r="E294" s="58">
        <f>IF(VLOOKUP($A294,SiteAttendu!$A$2:$O$366,5,0)="NA","NA",COUNTIFS(soccode,A294,socprog,"PNLS/TESTS RAPIDES ET CONSOMMABLES",socprompt,1))</f>
        <v>1</v>
      </c>
      <c r="F294" s="58">
        <f>IF(VLOOKUP($A294,SiteAttendu!$A$2:$O$366,6,0)="NA","NA",COUNTIFS(soccode,A294,socprog,"PNLS/PRODUITS DE LABORATOIRE",socprompt,1))</f>
        <v>1</v>
      </c>
      <c r="G294" s="58" t="str">
        <f>IF(VLOOKUP($A294,SiteAttendu!$A$2:$O$366,7,0)="NA","NA",COUNTIFS(soccode,A294,socprog,"PNLS/CHARGES VIRALES",socprompt,1))</f>
        <v>NA</v>
      </c>
      <c r="H294" s="58">
        <f>IF(VLOOKUP($A294,SiteAttendu!$A$2:$O$366,9,0)="NA","NA",COUNTIFS(soccode,A294,socprog,"PNLP/MEDICAMENTS ET INTRANTS",socprompt,1))</f>
        <v>1</v>
      </c>
      <c r="I294" s="58">
        <f>IF(VLOOKUP($A294,SiteAttendu!$A$2:$O$366,10,0)="NA","NA",COUNTIFS(soccode,$A294,socprog,"PNSME/MEDICAMENTS ET INTRANTS",socprompt,1))</f>
        <v>1</v>
      </c>
      <c r="J294" s="58">
        <f>IF(VLOOKUP($A294,SiteAttendu!$A$2:$O$366,11,0)="NA","NA",COUNTIFS(soccode,$A294,socprog,"PNN/MEDICAMENTS ET INTRANTS",socprompt,1))</f>
        <v>1</v>
      </c>
      <c r="K294" s="58">
        <f>IF(VLOOKUP($A294,SiteAttendu!$A$2:$O$366,15,0)="NA","NA",IF(COUNTIF(socprog,"PNLT/SENSIBLE MEDICAMENTS ET INTRANTS")=0,"NA",COUNTIFS(soccode,$A294,socprog,"PNLT/SENSIBLE MEDICAMENTS ET INTRANTS",socprompt,1)))</f>
        <v>1</v>
      </c>
      <c r="L294" s="60"/>
      <c r="M294" s="85">
        <f t="shared" ref="M294:S294" si="296">IFERROR(SUMIFS(E$2:E$364,$C$2:$C$364,$C294)/COUNTIFS(E$2:E$364,"&lt;&gt;NA",$C$2:$C$364,$C294),"")</f>
        <v>1</v>
      </c>
      <c r="N294" s="85">
        <f t="shared" si="296"/>
        <v>1</v>
      </c>
      <c r="O294" s="85">
        <f t="shared" si="296"/>
        <v>1</v>
      </c>
      <c r="P294" s="85">
        <f t="shared" si="296"/>
        <v>1</v>
      </c>
      <c r="Q294" s="85">
        <f t="shared" si="296"/>
        <v>0.9</v>
      </c>
      <c r="R294" s="85">
        <f t="shared" si="296"/>
        <v>1</v>
      </c>
      <c r="S294" s="85">
        <f t="shared" si="296"/>
        <v>1</v>
      </c>
      <c r="T294" s="127">
        <f t="shared" si="3"/>
        <v>1</v>
      </c>
      <c r="U294" s="53">
        <f t="shared" si="4"/>
        <v>3</v>
      </c>
      <c r="V294" s="54">
        <f t="shared" si="5"/>
        <v>3</v>
      </c>
    </row>
    <row r="295" ht="15.75" customHeight="1">
      <c r="A295" s="55" t="str">
        <f>SiteAttendu!$A294</f>
        <v>C2167</v>
      </c>
      <c r="B295" s="56" t="str">
        <f>VLOOKUP($A295,SiteAttendu!$A$2:$C$366,2,0)</f>
        <v>DISTRICT SANITAIRE GUEYO</v>
      </c>
      <c r="C295" s="57" t="str">
        <f>VLOOKUP($A295,SiteAttendu!$A$2:$C$366,3,0)</f>
        <v>NAWA</v>
      </c>
      <c r="D295" s="58">
        <f>IF(VLOOKUP(A295,SiteAttendu!$A$2:$P$366,4,0)="NA","NA",COUNTIFS(soccode,A295,socprog,"PNLS/ANTIRETROVIRAUX ET IO",socprompt,1))</f>
        <v>1</v>
      </c>
      <c r="E295" s="58">
        <f>IF(VLOOKUP($A295,SiteAttendu!$A$2:$O$366,5,0)="NA","NA",COUNTIFS(soccode,A295,socprog,"PNLS/TESTS RAPIDES ET CONSOMMABLES",socprompt,1))</f>
        <v>1</v>
      </c>
      <c r="F295" s="58" t="str">
        <f>IF(VLOOKUP($A295,SiteAttendu!$A$2:$O$366,6,0)="NA","NA",COUNTIFS(soccode,A295,socprog,"PNLS/PRODUITS DE LABORATOIRE",socprompt,1))</f>
        <v>NA</v>
      </c>
      <c r="G295" s="58" t="str">
        <f>IF(VLOOKUP($A295,SiteAttendu!$A$2:$O$366,7,0)="NA","NA",COUNTIFS(soccode,A295,socprog,"PNLS/CHARGES VIRALES",socprompt,1))</f>
        <v>NA</v>
      </c>
      <c r="H295" s="58">
        <f>IF(VLOOKUP($A295,SiteAttendu!$A$2:$O$366,9,0)="NA","NA",COUNTIFS(soccode,A295,socprog,"PNLP/MEDICAMENTS ET INTRANTS",socprompt,1))</f>
        <v>1</v>
      </c>
      <c r="I295" s="58">
        <f>IF(VLOOKUP($A295,SiteAttendu!$A$2:$O$366,10,0)="NA","NA",COUNTIFS(soccode,$A295,socprog,"PNSME/MEDICAMENTS ET INTRANTS",socprompt,1))</f>
        <v>1</v>
      </c>
      <c r="J295" s="58">
        <f>IF(VLOOKUP($A295,SiteAttendu!$A$2:$O$366,11,0)="NA","NA",COUNTIFS(soccode,$A295,socprog,"PNN/MEDICAMENTS ET INTRANTS",socprompt,1))</f>
        <v>1</v>
      </c>
      <c r="K295" s="58">
        <f>IF(VLOOKUP($A295,SiteAttendu!$A$2:$O$366,15,0)="NA","NA",IF(COUNTIF(socprog,"PNLT/SENSIBLE MEDICAMENTS ET INTRANTS")=0,"NA",COUNTIFS(soccode,$A295,socprog,"PNLT/SENSIBLE MEDICAMENTS ET INTRANTS",socprompt,1)))</f>
        <v>1</v>
      </c>
      <c r="L295" s="60"/>
      <c r="M295" s="85">
        <f t="shared" ref="M295:S295" si="297">IFERROR(SUMIFS(E$2:E$364,$C$2:$C$364,$C295)/COUNTIFS(E$2:E$364,"&lt;&gt;NA",$C$2:$C$364,$C295),"")</f>
        <v>1</v>
      </c>
      <c r="N295" s="85">
        <f t="shared" si="297"/>
        <v>1</v>
      </c>
      <c r="O295" s="85">
        <f t="shared" si="297"/>
        <v>1</v>
      </c>
      <c r="P295" s="85">
        <f t="shared" si="297"/>
        <v>1</v>
      </c>
      <c r="Q295" s="85">
        <f t="shared" si="297"/>
        <v>0.9</v>
      </c>
      <c r="R295" s="85">
        <f t="shared" si="297"/>
        <v>1</v>
      </c>
      <c r="S295" s="85">
        <f t="shared" si="297"/>
        <v>1</v>
      </c>
      <c r="T295" s="127">
        <f t="shared" si="3"/>
        <v>1</v>
      </c>
      <c r="U295" s="53">
        <f t="shared" si="4"/>
        <v>2</v>
      </c>
      <c r="V295" s="54">
        <f t="shared" si="5"/>
        <v>2</v>
      </c>
    </row>
    <row r="296" ht="16.5" customHeight="1">
      <c r="A296" s="55" t="str">
        <f>SiteAttendu!$A295</f>
        <v>C2211</v>
      </c>
      <c r="B296" s="56" t="str">
        <f>VLOOKUP($A296,SiteAttendu!$A$2:$C$366,2,0)</f>
        <v>DISTRICT SANITAIRE MEAGUI</v>
      </c>
      <c r="C296" s="57" t="str">
        <f>VLOOKUP($A296,SiteAttendu!$A$2:$C$366,3,0)</f>
        <v>NAWA</v>
      </c>
      <c r="D296" s="58">
        <f>IF(VLOOKUP(A296,SiteAttendu!$A$2:$P$366,4,0)="NA","NA",COUNTIFS(soccode,A296,socprog,"PNLS/ANTIRETROVIRAUX ET IO",socprompt,1))</f>
        <v>1</v>
      </c>
      <c r="E296" s="58">
        <f>IF(VLOOKUP($A296,SiteAttendu!$A$2:$O$366,5,0)="NA","NA",COUNTIFS(soccode,A296,socprog,"PNLS/TESTS RAPIDES ET CONSOMMABLES",socprompt,1))</f>
        <v>1</v>
      </c>
      <c r="F296" s="58">
        <f>IF(VLOOKUP($A296,SiteAttendu!$A$2:$O$366,6,0)="NA","NA",COUNTIFS(soccode,A296,socprog,"PNLS/PRODUITS DE LABORATOIRE",socprompt,1))</f>
        <v>1</v>
      </c>
      <c r="G296" s="58" t="str">
        <f>IF(VLOOKUP($A296,SiteAttendu!$A$2:$O$366,7,0)="NA","NA",COUNTIFS(soccode,A296,socprog,"PNLS/CHARGES VIRALES",socprompt,1))</f>
        <v>NA</v>
      </c>
      <c r="H296" s="58">
        <f>IF(VLOOKUP($A296,SiteAttendu!$A$2:$O$366,9,0)="NA","NA",COUNTIFS(soccode,A296,socprog,"PNLP/MEDICAMENTS ET INTRANTS",socprompt,1))</f>
        <v>1</v>
      </c>
      <c r="I296" s="58">
        <f>IF(VLOOKUP($A296,SiteAttendu!$A$2:$O$366,10,0)="NA","NA",COUNTIFS(soccode,$A296,socprog,"PNSME/MEDICAMENTS ET INTRANTS",socprompt,1))</f>
        <v>1</v>
      </c>
      <c r="J296" s="58">
        <f>IF(VLOOKUP($A296,SiteAttendu!$A$2:$O$366,11,0)="NA","NA",COUNTIFS(soccode,$A296,socprog,"PNN/MEDICAMENTS ET INTRANTS",socprompt,1))</f>
        <v>1</v>
      </c>
      <c r="K296" s="58">
        <f>IF(VLOOKUP($A296,SiteAttendu!$A$2:$O$366,15,0)="NA","NA",IF(COUNTIF(socprog,"PNLT/SENSIBLE MEDICAMENTS ET INTRANTS")=0,"NA",COUNTIFS(soccode,$A296,socprog,"PNLT/SENSIBLE MEDICAMENTS ET INTRANTS",socprompt,1)))</f>
        <v>1</v>
      </c>
      <c r="L296" s="60"/>
      <c r="M296" s="85">
        <f t="shared" ref="M296:S296" si="298">IFERROR(SUMIFS(E$2:E$364,$C$2:$C$364,$C296)/COUNTIFS(E$2:E$364,"&lt;&gt;NA",$C$2:$C$364,$C296),"")</f>
        <v>1</v>
      </c>
      <c r="N296" s="85">
        <f t="shared" si="298"/>
        <v>1</v>
      </c>
      <c r="O296" s="85">
        <f t="shared" si="298"/>
        <v>1</v>
      </c>
      <c r="P296" s="85">
        <f t="shared" si="298"/>
        <v>1</v>
      </c>
      <c r="Q296" s="85">
        <f t="shared" si="298"/>
        <v>0.9</v>
      </c>
      <c r="R296" s="85">
        <f t="shared" si="298"/>
        <v>1</v>
      </c>
      <c r="S296" s="85">
        <f t="shared" si="298"/>
        <v>1</v>
      </c>
      <c r="T296" s="127">
        <f t="shared" si="3"/>
        <v>1</v>
      </c>
      <c r="U296" s="53">
        <f t="shared" si="4"/>
        <v>3</v>
      </c>
      <c r="V296" s="54">
        <f t="shared" si="5"/>
        <v>3</v>
      </c>
    </row>
    <row r="297" ht="15.0" customHeight="1">
      <c r="A297" s="55" t="str">
        <f>SiteAttendu!$A296</f>
        <v>C2230</v>
      </c>
      <c r="B297" s="56" t="str">
        <f>VLOOKUP($A297,SiteAttendu!$A$2:$C$366,2,0)</f>
        <v>HOPITAL GENERAL DE MEAGUI</v>
      </c>
      <c r="C297" s="57" t="str">
        <f>VLOOKUP($A297,SiteAttendu!$A$2:$C$366,3,0)</f>
        <v>NAWA</v>
      </c>
      <c r="D297" s="58" t="str">
        <f>IF(VLOOKUP(A297,SiteAttendu!$A$2:$P$366,4,0)="NA","NA",COUNTIFS(soccode,A297,socprog,"PNLS/ANTIRETROVIRAUX ET IO",socprompt,1))</f>
        <v>NA</v>
      </c>
      <c r="E297" s="58" t="str">
        <f>IF(VLOOKUP($A297,SiteAttendu!$A$2:$O$366,5,0)="NA","NA",COUNTIFS(soccode,A297,socprog,"PNLS/TESTS RAPIDES ET CONSOMMABLES",socprompt,1))</f>
        <v>NA</v>
      </c>
      <c r="F297" s="58" t="str">
        <f>IF(VLOOKUP($A297,SiteAttendu!$A$2:$O$366,6,0)="NA","NA",COUNTIFS(soccode,A297,socprog,"PNLS/PRODUITS DE LABORATOIRE",socprompt,1))</f>
        <v>NA</v>
      </c>
      <c r="G297" s="58" t="str">
        <f>IF(VLOOKUP($A297,SiteAttendu!$A$2:$O$366,7,0)="NA","NA",COUNTIFS(soccode,A297,socprog,"PNLS/CHARGES VIRALES",socprompt,1))</f>
        <v>NA</v>
      </c>
      <c r="H297" s="58">
        <f>IF(VLOOKUP($A297,SiteAttendu!$A$2:$O$366,9,0)="NA","NA",COUNTIFS(soccode,A297,socprog,"PNLP/MEDICAMENTS ET INTRANTS",socprompt,1))</f>
        <v>1</v>
      </c>
      <c r="I297" s="58">
        <f>IF(VLOOKUP($A297,SiteAttendu!$A$2:$O$366,10,0)="NA","NA",COUNTIFS(soccode,$A297,socprog,"PNSME/MEDICAMENTS ET INTRANTS",socprompt,1))</f>
        <v>0</v>
      </c>
      <c r="J297" s="58" t="str">
        <f>IF(VLOOKUP($A297,SiteAttendu!$A$2:$O$366,11,0)="NA","NA",COUNTIFS(soccode,$A297,socprog,"PNN/MEDICAMENTS ET INTRANTS",socprompt,1))</f>
        <v>NA</v>
      </c>
      <c r="K297" s="58" t="str">
        <f>IF(VLOOKUP($A297,SiteAttendu!$A$2:$O$366,15,0)="NA","NA",IF(COUNTIF(socprog,"PNLT/SENSIBLE MEDICAMENTS ET INTRANTS")=0,"NA",COUNTIFS(soccode,$A297,socprog,"PNLT/SENSIBLE MEDICAMENTS ET INTRANTS",socprompt,1)))</f>
        <v>NA</v>
      </c>
      <c r="L297" s="60"/>
      <c r="M297" s="85">
        <f t="shared" ref="M297:S297" si="299">IFERROR(SUMIFS(E$2:E$364,$C$2:$C$364,$C297)/COUNTIFS(E$2:E$364,"&lt;&gt;NA",$C$2:$C$364,$C297),"")</f>
        <v>1</v>
      </c>
      <c r="N297" s="85">
        <f t="shared" si="299"/>
        <v>1</v>
      </c>
      <c r="O297" s="85">
        <f t="shared" si="299"/>
        <v>1</v>
      </c>
      <c r="P297" s="85">
        <f t="shared" si="299"/>
        <v>1</v>
      </c>
      <c r="Q297" s="85">
        <f t="shared" si="299"/>
        <v>0.9</v>
      </c>
      <c r="R297" s="85">
        <f t="shared" si="299"/>
        <v>1</v>
      </c>
      <c r="S297" s="85">
        <f t="shared" si="299"/>
        <v>1</v>
      </c>
      <c r="T297" s="127">
        <f t="shared" si="3"/>
        <v>1</v>
      </c>
      <c r="U297" s="53">
        <f t="shared" si="4"/>
        <v>0</v>
      </c>
      <c r="V297" s="54">
        <f t="shared" si="5"/>
        <v>0</v>
      </c>
    </row>
    <row r="298" ht="15.0" customHeight="1">
      <c r="A298" s="55" t="str">
        <f>SiteAttendu!$A297</f>
        <v>C1411</v>
      </c>
      <c r="B298" s="56" t="str">
        <f>VLOOKUP($A298,SiteAttendu!$A$2:$C$366,2,0)</f>
        <v>FSU MEAGUI</v>
      </c>
      <c r="C298" s="57" t="str">
        <f>VLOOKUP($A298,SiteAttendu!$A$2:$C$366,3,0)</f>
        <v>NAWA</v>
      </c>
      <c r="D298" s="58">
        <f>IF(VLOOKUP(A298,SiteAttendu!$A$2:$P$366,4,0)="NA","NA",COUNTIFS(soccode,A298,socprog,"PNLS/ANTIRETROVIRAUX ET IO",socprompt,1))</f>
        <v>1</v>
      </c>
      <c r="E298" s="58">
        <f>IF(VLOOKUP($A298,SiteAttendu!$A$2:$O$366,5,0)="NA","NA",COUNTIFS(soccode,A298,socprog,"PNLS/TESTS RAPIDES ET CONSOMMABLES",socprompt,1))</f>
        <v>1</v>
      </c>
      <c r="F298" s="58">
        <f>IF(VLOOKUP($A298,SiteAttendu!$A$2:$O$366,6,0)="NA","NA",COUNTIFS(soccode,A298,socprog,"PNLS/PRODUITS DE LABORATOIRE",socprompt,1))</f>
        <v>1</v>
      </c>
      <c r="G298" s="58">
        <f>IF(VLOOKUP($A298,SiteAttendu!$A$2:$O$366,7,0)="NA","NA",COUNTIFS(soccode,A298,socprog,"PNLS/CHARGES VIRALES",socprompt,1))</f>
        <v>1</v>
      </c>
      <c r="H298" s="58">
        <f>IF(VLOOKUP($A298,SiteAttendu!$A$2:$O$366,9,0)="NA","NA",COUNTIFS(soccode,A298,socprog,"PNLP/MEDICAMENTS ET INTRANTS",socprompt,1))</f>
        <v>1</v>
      </c>
      <c r="I298" s="58">
        <f>IF(VLOOKUP($A298,SiteAttendu!$A$2:$O$366,10,0)="NA","NA",COUNTIFS(soccode,$A298,socprog,"PNSME/MEDICAMENTS ET INTRANTS",socprompt,1))</f>
        <v>1</v>
      </c>
      <c r="J298" s="58" t="str">
        <f>IF(VLOOKUP($A298,SiteAttendu!$A$2:$O$366,11,0)="NA","NA",COUNTIFS(soccode,$A298,socprog,"PNN/MEDICAMENTS ET INTRANTS",socprompt,1))</f>
        <v>NA</v>
      </c>
      <c r="K298" s="58">
        <f>IF(VLOOKUP($A298,SiteAttendu!$A$2:$O$366,15,0)="NA","NA",IF(COUNTIF(socprog,"PNLT/SENSIBLE MEDICAMENTS ET INTRANTS")=0,"NA",COUNTIFS(soccode,$A298,socprog,"PNLT/SENSIBLE MEDICAMENTS ET INTRANTS",socprompt,1)))</f>
        <v>1</v>
      </c>
      <c r="L298" s="60"/>
      <c r="M298" s="85">
        <f t="shared" ref="M298:S298" si="300">IFERROR(SUMIFS(E$2:E$364,$C$2:$C$364,$C298)/COUNTIFS(E$2:E$364,"&lt;&gt;NA",$C$2:$C$364,$C298),"")</f>
        <v>1</v>
      </c>
      <c r="N298" s="85">
        <f t="shared" si="300"/>
        <v>1</v>
      </c>
      <c r="O298" s="85">
        <f t="shared" si="300"/>
        <v>1</v>
      </c>
      <c r="P298" s="85">
        <f t="shared" si="300"/>
        <v>1</v>
      </c>
      <c r="Q298" s="85">
        <f t="shared" si="300"/>
        <v>0.9</v>
      </c>
      <c r="R298" s="85">
        <f t="shared" si="300"/>
        <v>1</v>
      </c>
      <c r="S298" s="85">
        <f t="shared" si="300"/>
        <v>1</v>
      </c>
      <c r="T298" s="127">
        <f t="shared" si="3"/>
        <v>1</v>
      </c>
      <c r="U298" s="53">
        <f t="shared" si="4"/>
        <v>4</v>
      </c>
      <c r="V298" s="54">
        <f t="shared" si="5"/>
        <v>4</v>
      </c>
    </row>
    <row r="299" ht="15.0" customHeight="1">
      <c r="A299" s="55" t="str">
        <f>SiteAttendu!$A298</f>
        <v>C2015</v>
      </c>
      <c r="B299" s="56" t="str">
        <f>VLOOKUP($A299,SiteAttendu!$A$2:$C$366,2,0)</f>
        <v>CSU GRAND ZATTRY</v>
      </c>
      <c r="C299" s="57" t="str">
        <f>VLOOKUP($A299,SiteAttendu!$A$2:$C$366,3,0)</f>
        <v>NAWA</v>
      </c>
      <c r="D299" s="58" t="str">
        <f>IF(VLOOKUP(A299,SiteAttendu!$A$2:$P$366,4,0)="NA","NA",COUNTIFS(soccode,A299,socprog,"PNLS/ANTIRETROVIRAUX ET IO",socprompt,1))</f>
        <v>NA</v>
      </c>
      <c r="E299" s="58" t="str">
        <f>IF(VLOOKUP($A299,SiteAttendu!$A$2:$O$366,5,0)="NA","NA",COUNTIFS(soccode,A299,socprog,"PNLS/TESTS RAPIDES ET CONSOMMABLES",socprompt,1))</f>
        <v>NA</v>
      </c>
      <c r="F299" s="58" t="str">
        <f>IF(VLOOKUP($A299,SiteAttendu!$A$2:$O$366,6,0)="NA","NA",COUNTIFS(soccode,A299,socprog,"PNLS/PRODUITS DE LABORATOIRE",socprompt,1))</f>
        <v>NA</v>
      </c>
      <c r="G299" s="58" t="str">
        <f>IF(VLOOKUP($A299,SiteAttendu!$A$2:$O$366,7,0)="NA","NA",COUNTIFS(soccode,A299,socprog,"PNLS/CHARGES VIRALES",socprompt,1))</f>
        <v>NA</v>
      </c>
      <c r="H299" s="58">
        <f>IF(VLOOKUP($A299,SiteAttendu!$A$2:$O$366,9,0)="NA","NA",COUNTIFS(soccode,A299,socprog,"PNLP/MEDICAMENTS ET INTRANTS",socprompt,1))</f>
        <v>1</v>
      </c>
      <c r="I299" s="58">
        <f>IF(VLOOKUP($A299,SiteAttendu!$A$2:$O$366,10,0)="NA","NA",COUNTIFS(soccode,$A299,socprog,"PNSME/MEDICAMENTS ET INTRANTS",socprompt,1))</f>
        <v>1</v>
      </c>
      <c r="J299" s="58" t="str">
        <f>IF(VLOOKUP($A299,SiteAttendu!$A$2:$O$366,11,0)="NA","NA",COUNTIFS(soccode,$A299,socprog,"PNN/MEDICAMENTS ET INTRANTS",socprompt,1))</f>
        <v>NA</v>
      </c>
      <c r="K299" s="58">
        <f>IF(VLOOKUP($A299,SiteAttendu!$A$2:$O$366,15,0)="NA","NA",IF(COUNTIF(socprog,"PNLT/SENSIBLE MEDICAMENTS ET INTRANTS")=0,"NA",COUNTIFS(soccode,$A299,socprog,"PNLT/SENSIBLE MEDICAMENTS ET INTRANTS",socprompt,1)))</f>
        <v>1</v>
      </c>
      <c r="L299" s="60"/>
      <c r="M299" s="85">
        <f t="shared" ref="M299:S299" si="301">IFERROR(SUMIFS(E$2:E$364,$C$2:$C$364,$C299)/COUNTIFS(E$2:E$364,"&lt;&gt;NA",$C$2:$C$364,$C299),"")</f>
        <v>1</v>
      </c>
      <c r="N299" s="85">
        <f t="shared" si="301"/>
        <v>1</v>
      </c>
      <c r="O299" s="85">
        <f t="shared" si="301"/>
        <v>1</v>
      </c>
      <c r="P299" s="85">
        <f t="shared" si="301"/>
        <v>1</v>
      </c>
      <c r="Q299" s="85">
        <f t="shared" si="301"/>
        <v>0.9</v>
      </c>
      <c r="R299" s="85">
        <f t="shared" si="301"/>
        <v>1</v>
      </c>
      <c r="S299" s="85">
        <f t="shared" si="301"/>
        <v>1</v>
      </c>
      <c r="T299" s="127">
        <f t="shared" si="3"/>
        <v>1</v>
      </c>
      <c r="U299" s="53">
        <f t="shared" si="4"/>
        <v>0</v>
      </c>
      <c r="V299" s="54">
        <f t="shared" si="5"/>
        <v>0</v>
      </c>
    </row>
    <row r="300" ht="15.0" customHeight="1">
      <c r="A300" s="55" t="str">
        <f>SiteAttendu!$A299</f>
        <v>C2039</v>
      </c>
      <c r="B300" s="56" t="str">
        <f>VLOOKUP($A300,SiteAttendu!$A$2:$C$366,2,0)</f>
        <v>DISTRICT SANITAIRE SOUBRE</v>
      </c>
      <c r="C300" s="57" t="str">
        <f>VLOOKUP($A300,SiteAttendu!$A$2:$C$366,3,0)</f>
        <v>NAWA</v>
      </c>
      <c r="D300" s="58">
        <f>IF(VLOOKUP(A300,SiteAttendu!$A$2:$P$366,4,0)="NA","NA",COUNTIFS(soccode,A300,socprog,"PNLS/ANTIRETROVIRAUX ET IO",socprompt,1))</f>
        <v>1</v>
      </c>
      <c r="E300" s="58">
        <f>IF(VLOOKUP($A300,SiteAttendu!$A$2:$O$366,5,0)="NA","NA",COUNTIFS(soccode,A300,socprog,"PNLS/TESTS RAPIDES ET CONSOMMABLES",socprompt,1))</f>
        <v>1</v>
      </c>
      <c r="F300" s="58">
        <f>IF(VLOOKUP($A300,SiteAttendu!$A$2:$O$366,6,0)="NA","NA",COUNTIFS(soccode,A300,socprog,"PNLS/PRODUITS DE LABORATOIRE",socprompt,1))</f>
        <v>1</v>
      </c>
      <c r="G300" s="58" t="str">
        <f>IF(VLOOKUP($A300,SiteAttendu!$A$2:$O$366,7,0)="NA","NA",COUNTIFS(soccode,A300,socprog,"PNLS/CHARGES VIRALES",socprompt,1))</f>
        <v>NA</v>
      </c>
      <c r="H300" s="58">
        <f>IF(VLOOKUP($A300,SiteAttendu!$A$2:$O$366,9,0)="NA","NA",COUNTIFS(soccode,A300,socprog,"PNLP/MEDICAMENTS ET INTRANTS",socprompt,1))</f>
        <v>1</v>
      </c>
      <c r="I300" s="58">
        <f>IF(VLOOKUP($A300,SiteAttendu!$A$2:$O$366,10,0)="NA","NA",COUNTIFS(soccode,$A300,socprog,"PNSME/MEDICAMENTS ET INTRANTS",socprompt,1))</f>
        <v>1</v>
      </c>
      <c r="J300" s="58">
        <f>IF(VLOOKUP($A300,SiteAttendu!$A$2:$O$366,11,0)="NA","NA",COUNTIFS(soccode,$A300,socprog,"PNN/MEDICAMENTS ET INTRANTS",socprompt,1))</f>
        <v>1</v>
      </c>
      <c r="K300" s="58" t="str">
        <f>IF(VLOOKUP($A300,SiteAttendu!$A$2:$O$366,15,0)="NA","NA",IF(COUNTIF(socprog,"PNLT/SENSIBLE MEDICAMENTS ET INTRANTS")=0,"NA",COUNTIFS(soccode,$A300,socprog,"PNLT/SENSIBLE MEDICAMENTS ET INTRANTS",socprompt,1)))</f>
        <v>NA</v>
      </c>
      <c r="L300" s="60"/>
      <c r="M300" s="85">
        <f t="shared" ref="M300:S300" si="302">IFERROR(SUMIFS(E$2:E$364,$C$2:$C$364,$C300)/COUNTIFS(E$2:E$364,"&lt;&gt;NA",$C$2:$C$364,$C300),"")</f>
        <v>1</v>
      </c>
      <c r="N300" s="85">
        <f t="shared" si="302"/>
        <v>1</v>
      </c>
      <c r="O300" s="85">
        <f t="shared" si="302"/>
        <v>1</v>
      </c>
      <c r="P300" s="85">
        <f t="shared" si="302"/>
        <v>1</v>
      </c>
      <c r="Q300" s="85">
        <f t="shared" si="302"/>
        <v>0.9</v>
      </c>
      <c r="R300" s="85">
        <f t="shared" si="302"/>
        <v>1</v>
      </c>
      <c r="S300" s="85">
        <f t="shared" si="302"/>
        <v>1</v>
      </c>
      <c r="T300" s="127">
        <f t="shared" si="3"/>
        <v>1</v>
      </c>
      <c r="U300" s="53">
        <f t="shared" si="4"/>
        <v>3</v>
      </c>
      <c r="V300" s="54">
        <f t="shared" si="5"/>
        <v>3</v>
      </c>
    </row>
    <row r="301" ht="15.0" customHeight="1">
      <c r="A301" s="55" t="str">
        <f>SiteAttendu!$A300</f>
        <v>C2064</v>
      </c>
      <c r="B301" s="56" t="str">
        <f>VLOOKUP($A301,SiteAttendu!$A$2:$C$366,2,0)</f>
        <v>HOPITAL GENERAL SOUBRE</v>
      </c>
      <c r="C301" s="57" t="str">
        <f>VLOOKUP($A301,SiteAttendu!$A$2:$C$366,3,0)</f>
        <v>NAWA</v>
      </c>
      <c r="D301" s="58">
        <f>IF(VLOOKUP(A301,SiteAttendu!$A$2:$P$366,4,0)="NA","NA",COUNTIFS(soccode,A301,socprog,"PNLS/ANTIRETROVIRAUX ET IO",socprompt,1))</f>
        <v>1</v>
      </c>
      <c r="E301" s="58">
        <f>IF(VLOOKUP($A301,SiteAttendu!$A$2:$O$366,5,0)="NA","NA",COUNTIFS(soccode,A301,socprog,"PNLS/TESTS RAPIDES ET CONSOMMABLES",socprompt,1))</f>
        <v>1</v>
      </c>
      <c r="F301" s="58">
        <f>IF(VLOOKUP($A301,SiteAttendu!$A$2:$O$366,6,0)="NA","NA",COUNTIFS(soccode,A301,socprog,"PNLS/PRODUITS DE LABORATOIRE",socprompt,1))</f>
        <v>1</v>
      </c>
      <c r="G301" s="58">
        <f>IF(VLOOKUP($A301,SiteAttendu!$A$2:$O$366,7,0)="NA","NA",COUNTIFS(soccode,A301,socprog,"PNLS/CHARGES VIRALES",socprompt,1))</f>
        <v>1</v>
      </c>
      <c r="H301" s="58">
        <f>IF(VLOOKUP($A301,SiteAttendu!$A$2:$O$366,9,0)="NA","NA",COUNTIFS(soccode,A301,socprog,"PNLP/MEDICAMENTS ET INTRANTS",socprompt,1))</f>
        <v>1</v>
      </c>
      <c r="I301" s="58">
        <f>IF(VLOOKUP($A301,SiteAttendu!$A$2:$O$366,10,0)="NA","NA",COUNTIFS(soccode,$A301,socprog,"PNSME/MEDICAMENTS ET INTRANTS",socprompt,1))</f>
        <v>1</v>
      </c>
      <c r="J301" s="58">
        <f>IF(VLOOKUP($A301,SiteAttendu!$A$2:$O$366,11,0)="NA","NA",COUNTIFS(soccode,$A301,socprog,"PNN/MEDICAMENTS ET INTRANTS",socprompt,1))</f>
        <v>1</v>
      </c>
      <c r="K301" s="58" t="str">
        <f>IF(VLOOKUP($A301,SiteAttendu!$A$2:$O$366,15,0)="NA","NA",IF(COUNTIF(socprog,"PNLT/SENSIBLE MEDICAMENTS ET INTRANTS")=0,"NA",COUNTIFS(soccode,$A301,socprog,"PNLT/SENSIBLE MEDICAMENTS ET INTRANTS",socprompt,1)))</f>
        <v>NA</v>
      </c>
      <c r="L301" s="60"/>
      <c r="M301" s="85">
        <f t="shared" ref="M301:S301" si="303">IFERROR(SUMIFS(E$2:E$364,$C$2:$C$364,$C301)/COUNTIFS(E$2:E$364,"&lt;&gt;NA",$C$2:$C$364,$C301),"")</f>
        <v>1</v>
      </c>
      <c r="N301" s="85">
        <f t="shared" si="303"/>
        <v>1</v>
      </c>
      <c r="O301" s="85">
        <f t="shared" si="303"/>
        <v>1</v>
      </c>
      <c r="P301" s="85">
        <f t="shared" si="303"/>
        <v>1</v>
      </c>
      <c r="Q301" s="85">
        <f t="shared" si="303"/>
        <v>0.9</v>
      </c>
      <c r="R301" s="85">
        <f t="shared" si="303"/>
        <v>1</v>
      </c>
      <c r="S301" s="85">
        <f t="shared" si="303"/>
        <v>1</v>
      </c>
      <c r="T301" s="127">
        <f t="shared" si="3"/>
        <v>1</v>
      </c>
      <c r="U301" s="53">
        <f t="shared" si="4"/>
        <v>4</v>
      </c>
      <c r="V301" s="54">
        <f t="shared" si="5"/>
        <v>4</v>
      </c>
    </row>
    <row r="302" ht="15.0" customHeight="1">
      <c r="A302" s="62" t="str">
        <f>SiteAttendu!$A301</f>
        <v>C2190</v>
      </c>
      <c r="B302" s="63" t="str">
        <f>VLOOKUP($A302,SiteAttendu!$A$2:$C$366,2,0)</f>
        <v>CENTRE ANTITUBERCULEUX SOUBRE</v>
      </c>
      <c r="C302" s="64" t="str">
        <f>VLOOKUP($A302,SiteAttendu!$A$2:$C$366,3,0)</f>
        <v>NAWA</v>
      </c>
      <c r="D302" s="65" t="str">
        <f>IF(VLOOKUP(A302,SiteAttendu!$A$2:$P$366,4,0)="NA","NA",COUNTIFS(soccode,A302,socprog,"PNLS/ANTIRETROVIRAUX ET IO",socprompt,1))</f>
        <v>NA</v>
      </c>
      <c r="E302" s="65" t="str">
        <f>IF(VLOOKUP($A302,SiteAttendu!$A$2:$O$366,5,0)="NA","NA",COUNTIFS(soccode,A302,socprog,"PNLS/TESTS RAPIDES ET CONSOMMABLES",socprompt,1))</f>
        <v>NA</v>
      </c>
      <c r="F302" s="65" t="str">
        <f>IF(VLOOKUP($A302,SiteAttendu!$A$2:$O$366,6,0)="NA","NA",COUNTIFS(soccode,A302,socprog,"PNLS/PRODUITS DE LABORATOIRE",socprompt,1))</f>
        <v>NA</v>
      </c>
      <c r="G302" s="65" t="str">
        <f>IF(VLOOKUP($A302,SiteAttendu!$A$2:$O$366,7,0)="NA","NA",COUNTIFS(soccode,A302,socprog,"PNLS/CHARGES VIRALES",socprompt,1))</f>
        <v>NA</v>
      </c>
      <c r="H302" s="65" t="str">
        <f>IF(VLOOKUP($A302,SiteAttendu!$A$2:$O$366,9,0)="NA","NA",COUNTIFS(soccode,A302,socprog,"PNLP/MEDICAMENTS ET INTRANTS",socprompt,1))</f>
        <v>NA</v>
      </c>
      <c r="I302" s="65" t="str">
        <f>IF(VLOOKUP($A302,SiteAttendu!$A$2:$O$366,10,0)="NA","NA",COUNTIFS(soccode,$A302,socprog,"PNSME/MEDICAMENTS ET INTRANTS",socprompt,1))</f>
        <v>NA</v>
      </c>
      <c r="J302" s="65" t="str">
        <f>IF(VLOOKUP($A302,SiteAttendu!$A$2:$O$366,11,0)="NA","NA",COUNTIFS(soccode,$A302,socprog,"PNN/MEDICAMENTS ET INTRANTS",socprompt,1))</f>
        <v>NA</v>
      </c>
      <c r="K302" s="65">
        <f>IF(VLOOKUP($A302,SiteAttendu!$A$2:$O$366,15,0)="NA","NA",IF(COUNTIF(socprog,"PNLT/SENSIBLE MEDICAMENTS ET INTRANTS")=0,"NA",COUNTIFS(soccode,$A302,socprog,"PNLT/SENSIBLE MEDICAMENTS ET INTRANTS",socprompt,1)))</f>
        <v>1</v>
      </c>
      <c r="L302" s="67"/>
      <c r="M302" s="86">
        <f t="shared" ref="M302:S302" si="304">IFERROR(SUMIFS(E$2:E$364,$C$2:$C$364,$C302)/COUNTIFS(E$2:E$364,"&lt;&gt;NA",$C$2:$C$364,$C302),"")</f>
        <v>1</v>
      </c>
      <c r="N302" s="86">
        <f t="shared" si="304"/>
        <v>1</v>
      </c>
      <c r="O302" s="86">
        <f t="shared" si="304"/>
        <v>1</v>
      </c>
      <c r="P302" s="86">
        <f t="shared" si="304"/>
        <v>1</v>
      </c>
      <c r="Q302" s="86">
        <f t="shared" si="304"/>
        <v>0.9</v>
      </c>
      <c r="R302" s="86">
        <f t="shared" si="304"/>
        <v>1</v>
      </c>
      <c r="S302" s="86">
        <f t="shared" si="304"/>
        <v>1</v>
      </c>
      <c r="T302" s="128">
        <f t="shared" si="3"/>
        <v>1</v>
      </c>
      <c r="U302" s="53">
        <f t="shared" si="4"/>
        <v>0</v>
      </c>
      <c r="V302" s="54">
        <f t="shared" si="5"/>
        <v>0</v>
      </c>
    </row>
    <row r="303" ht="15.0" customHeight="1">
      <c r="A303" s="46" t="str">
        <f>SiteAttendu!$A302</f>
        <v>C2019</v>
      </c>
      <c r="B303" s="47" t="str">
        <f>VLOOKUP($A303,SiteAttendu!$A$2:$C$366,2,0)</f>
        <v>DISTRICT SANITAIRE BOCANDA</v>
      </c>
      <c r="C303" s="48" t="str">
        <f>VLOOKUP($A303,SiteAttendu!$A$2:$C$366,3,0)</f>
        <v>N'ZI</v>
      </c>
      <c r="D303" s="49">
        <f>IF(VLOOKUP(A303,SiteAttendu!$A$2:$P$366,4,0)="NA","NA",COUNTIFS(soccode,A303,socprog,"PNLS/ANTIRETROVIRAUX ET IO",socprompt,1))</f>
        <v>1</v>
      </c>
      <c r="E303" s="49">
        <f>IF(VLOOKUP($A303,SiteAttendu!$A$2:$O$366,5,0)="NA","NA",COUNTIFS(soccode,A303,socprog,"PNLS/TESTS RAPIDES ET CONSOMMABLES",socprompt,1))</f>
        <v>1</v>
      </c>
      <c r="F303" s="49" t="str">
        <f>IF(VLOOKUP($A303,SiteAttendu!$A$2:$O$366,6,0)="NA","NA",COUNTIFS(soccode,A303,socprog,"PNLS/PRODUITS DE LABORATOIRE",socprompt,1))</f>
        <v>NA</v>
      </c>
      <c r="G303" s="49" t="str">
        <f>IF(VLOOKUP($A303,SiteAttendu!$A$2:$O$366,7,0)="NA","NA",COUNTIFS(soccode,A303,socprog,"PNLS/CHARGES VIRALES",socprompt,1))</f>
        <v>NA</v>
      </c>
      <c r="H303" s="49">
        <f>IF(VLOOKUP($A303,SiteAttendu!$A$2:$O$366,9,0)="NA","NA",COUNTIFS(soccode,A303,socprog,"PNLP/MEDICAMENTS ET INTRANTS",socprompt,1))</f>
        <v>1</v>
      </c>
      <c r="I303" s="49">
        <f>IF(VLOOKUP($A303,SiteAttendu!$A$2:$O$366,10,0)="NA","NA",COUNTIFS(soccode,$A303,socprog,"PNSME/MEDICAMENTS ET INTRANTS",socprompt,1))</f>
        <v>1</v>
      </c>
      <c r="J303" s="49" t="str">
        <f>IF(VLOOKUP($A303,SiteAttendu!$A$2:$O$366,11,0)="NA","NA",COUNTIFS(soccode,$A303,socprog,"PNN/MEDICAMENTS ET INTRANTS",socprompt,1))</f>
        <v>NA</v>
      </c>
      <c r="K303" s="49" t="str">
        <f>IF(VLOOKUP($A303,SiteAttendu!$A$2:$O$366,15,0)="NA","NA",IF(COUNTIF(socprog,"PNLT/SENSIBLE MEDICAMENTS ET INTRANTS")=0,"NA",COUNTIFS(soccode,$A303,socprog,"PNLT/SENSIBLE MEDICAMENTS ET INTRANTS",socprompt,1)))</f>
        <v>NA</v>
      </c>
      <c r="L303" s="51">
        <f t="shared" ref="L303:S303" si="305">IFERROR(SUMIFS(D$2:D$364,$C$2:$C$364,$C303)/COUNTIFS(D$2:D$364,"&lt;&gt;NA",$C$2:$C$364,$C303),"")</f>
        <v>0.8333333333</v>
      </c>
      <c r="M303" s="125">
        <f t="shared" si="305"/>
        <v>0.8333333333</v>
      </c>
      <c r="N303" s="125">
        <f t="shared" si="305"/>
        <v>1</v>
      </c>
      <c r="O303" s="125">
        <f t="shared" si="305"/>
        <v>1</v>
      </c>
      <c r="P303" s="125">
        <f t="shared" si="305"/>
        <v>0.8333333333</v>
      </c>
      <c r="Q303" s="125">
        <f t="shared" si="305"/>
        <v>0.8333333333</v>
      </c>
      <c r="R303" s="125" t="str">
        <f t="shared" si="305"/>
        <v/>
      </c>
      <c r="S303" s="125">
        <f t="shared" si="305"/>
        <v>0.6</v>
      </c>
      <c r="T303" s="126">
        <f t="shared" si="3"/>
        <v>0.875</v>
      </c>
      <c r="U303" s="53">
        <f t="shared" si="4"/>
        <v>2</v>
      </c>
      <c r="V303" s="54">
        <f t="shared" si="5"/>
        <v>2</v>
      </c>
    </row>
    <row r="304" ht="15.75" customHeight="1">
      <c r="A304" s="55" t="str">
        <f>SiteAttendu!$A303</f>
        <v>C2049</v>
      </c>
      <c r="B304" s="56" t="str">
        <f>VLOOKUP($A304,SiteAttendu!$A$2:$C$366,2,0)</f>
        <v>HOPITAL GENERAL BOCANDA</v>
      </c>
      <c r="C304" s="57" t="str">
        <f>VLOOKUP($A304,SiteAttendu!$A$2:$C$366,3,0)</f>
        <v>N'ZI</v>
      </c>
      <c r="D304" s="58">
        <f>IF(VLOOKUP(A304,SiteAttendu!$A$2:$P$366,4,0)="NA","NA",COUNTIFS(soccode,A304,socprog,"PNLS/ANTIRETROVIRAUX ET IO",socprompt,1))</f>
        <v>1</v>
      </c>
      <c r="E304" s="58">
        <f>IF(VLOOKUP($A304,SiteAttendu!$A$2:$O$366,5,0)="NA","NA",COUNTIFS(soccode,A304,socprog,"PNLS/TESTS RAPIDES ET CONSOMMABLES",socprompt,1))</f>
        <v>1</v>
      </c>
      <c r="F304" s="58">
        <f>IF(VLOOKUP($A304,SiteAttendu!$A$2:$O$366,6,0)="NA","NA",COUNTIFS(soccode,A304,socprog,"PNLS/PRODUITS DE LABORATOIRE",socprompt,1))</f>
        <v>1</v>
      </c>
      <c r="G304" s="58" t="str">
        <f>IF(VLOOKUP($A304,SiteAttendu!$A$2:$O$366,7,0)="NA","NA",COUNTIFS(soccode,A304,socprog,"PNLS/CHARGES VIRALES",socprompt,1))</f>
        <v>NA</v>
      </c>
      <c r="H304" s="58">
        <f>IF(VLOOKUP($A304,SiteAttendu!$A$2:$O$366,9,0)="NA","NA",COUNTIFS(soccode,A304,socprog,"PNLP/MEDICAMENTS ET INTRANTS",socprompt,1))</f>
        <v>1</v>
      </c>
      <c r="I304" s="58">
        <f>IF(VLOOKUP($A304,SiteAttendu!$A$2:$O$366,10,0)="NA","NA",COUNTIFS(soccode,$A304,socprog,"PNSME/MEDICAMENTS ET INTRANTS",socprompt,1))</f>
        <v>1</v>
      </c>
      <c r="J304" s="58" t="str">
        <f>IF(VLOOKUP($A304,SiteAttendu!$A$2:$O$366,11,0)="NA","NA",COUNTIFS(soccode,$A304,socprog,"PNN/MEDICAMENTS ET INTRANTS",socprompt,1))</f>
        <v>NA</v>
      </c>
      <c r="K304" s="58">
        <f>IF(VLOOKUP($A304,SiteAttendu!$A$2:$O$366,15,0)="NA","NA",IF(COUNTIF(socprog,"PNLT/SENSIBLE MEDICAMENTS ET INTRANTS")=0,"NA",COUNTIFS(soccode,$A304,socprog,"PNLT/SENSIBLE MEDICAMENTS ET INTRANTS",socprompt,1)))</f>
        <v>1</v>
      </c>
      <c r="L304" s="60"/>
      <c r="M304" s="85">
        <f t="shared" ref="M304:S304" si="306">IFERROR(SUMIFS(E$2:E$364,$C$2:$C$364,$C304)/COUNTIFS(E$2:E$364,"&lt;&gt;NA",$C$2:$C$364,$C304),"")</f>
        <v>0.8333333333</v>
      </c>
      <c r="N304" s="85">
        <f t="shared" si="306"/>
        <v>1</v>
      </c>
      <c r="O304" s="85">
        <f t="shared" si="306"/>
        <v>1</v>
      </c>
      <c r="P304" s="85">
        <f t="shared" si="306"/>
        <v>0.8333333333</v>
      </c>
      <c r="Q304" s="85">
        <f t="shared" si="306"/>
        <v>0.8333333333</v>
      </c>
      <c r="R304" s="85" t="str">
        <f t="shared" si="306"/>
        <v/>
      </c>
      <c r="S304" s="85">
        <f t="shared" si="306"/>
        <v>0.6</v>
      </c>
      <c r="T304" s="127">
        <f t="shared" si="3"/>
        <v>0.875</v>
      </c>
      <c r="U304" s="53">
        <f t="shared" si="4"/>
        <v>3</v>
      </c>
      <c r="V304" s="54">
        <f t="shared" si="5"/>
        <v>3</v>
      </c>
    </row>
    <row r="305" ht="15.0" customHeight="1">
      <c r="A305" s="55" t="str">
        <f>SiteAttendu!$A304</f>
        <v>C2004</v>
      </c>
      <c r="B305" s="56" t="str">
        <f>VLOOKUP($A305,SiteAttendu!$A$2:$C$366,2,0)</f>
        <v>CHR DIMBOKRO</v>
      </c>
      <c r="C305" s="57" t="str">
        <f>VLOOKUP($A305,SiteAttendu!$A$2:$C$366,3,0)</f>
        <v>N'ZI</v>
      </c>
      <c r="D305" s="58">
        <f>IF(VLOOKUP(A305,SiteAttendu!$A$2:$P$366,4,0)="NA","NA",COUNTIFS(soccode,A305,socprog,"PNLS/ANTIRETROVIRAUX ET IO",socprompt,1))</f>
        <v>1</v>
      </c>
      <c r="E305" s="58">
        <f>IF(VLOOKUP($A305,SiteAttendu!$A$2:$O$366,5,0)="NA","NA",COUNTIFS(soccode,A305,socprog,"PNLS/TESTS RAPIDES ET CONSOMMABLES",socprompt,1))</f>
        <v>1</v>
      </c>
      <c r="F305" s="58">
        <f>IF(VLOOKUP($A305,SiteAttendu!$A$2:$O$366,6,0)="NA","NA",COUNTIFS(soccode,A305,socprog,"PNLS/PRODUITS DE LABORATOIRE",socprompt,1))</f>
        <v>1</v>
      </c>
      <c r="G305" s="58">
        <f>IF(VLOOKUP($A305,SiteAttendu!$A$2:$O$366,7,0)="NA","NA",COUNTIFS(soccode,A305,socprog,"PNLS/CHARGES VIRALES",socprompt,1))</f>
        <v>1</v>
      </c>
      <c r="H305" s="58">
        <f>IF(VLOOKUP($A305,SiteAttendu!$A$2:$O$366,9,0)="NA","NA",COUNTIFS(soccode,A305,socprog,"PNLP/MEDICAMENTS ET INTRANTS",socprompt,1))</f>
        <v>1</v>
      </c>
      <c r="I305" s="58">
        <f>IF(VLOOKUP($A305,SiteAttendu!$A$2:$O$366,10,0)="NA","NA",COUNTIFS(soccode,$A305,socprog,"PNSME/MEDICAMENTS ET INTRANTS",socprompt,1))</f>
        <v>1</v>
      </c>
      <c r="J305" s="58" t="str">
        <f>IF(VLOOKUP($A305,SiteAttendu!$A$2:$O$366,11,0)="NA","NA",COUNTIFS(soccode,$A305,socprog,"PNN/MEDICAMENTS ET INTRANTS",socprompt,1))</f>
        <v>NA</v>
      </c>
      <c r="K305" s="58" t="str">
        <f>IF(VLOOKUP($A305,SiteAttendu!$A$2:$O$366,15,0)="NA","NA",IF(COUNTIF(socprog,"PNLT/SENSIBLE MEDICAMENTS ET INTRANTS")=0,"NA",COUNTIFS(soccode,$A305,socprog,"PNLT/SENSIBLE MEDICAMENTS ET INTRANTS",socprompt,1)))</f>
        <v>NA</v>
      </c>
      <c r="L305" s="60"/>
      <c r="M305" s="85">
        <f t="shared" ref="M305:S305" si="307">IFERROR(SUMIFS(E$2:E$364,$C$2:$C$364,$C305)/COUNTIFS(E$2:E$364,"&lt;&gt;NA",$C$2:$C$364,$C305),"")</f>
        <v>0.8333333333</v>
      </c>
      <c r="N305" s="85">
        <f t="shared" si="307"/>
        <v>1</v>
      </c>
      <c r="O305" s="85">
        <f t="shared" si="307"/>
        <v>1</v>
      </c>
      <c r="P305" s="85">
        <f t="shared" si="307"/>
        <v>0.8333333333</v>
      </c>
      <c r="Q305" s="85">
        <f t="shared" si="307"/>
        <v>0.8333333333</v>
      </c>
      <c r="R305" s="85" t="str">
        <f t="shared" si="307"/>
        <v/>
      </c>
      <c r="S305" s="85">
        <f t="shared" si="307"/>
        <v>0.6</v>
      </c>
      <c r="T305" s="127">
        <f t="shared" si="3"/>
        <v>0.875</v>
      </c>
      <c r="U305" s="53">
        <f t="shared" si="4"/>
        <v>4</v>
      </c>
      <c r="V305" s="54">
        <f t="shared" si="5"/>
        <v>4</v>
      </c>
    </row>
    <row r="306" ht="15.0" customHeight="1">
      <c r="A306" s="55" t="str">
        <f>SiteAttendu!$A305</f>
        <v>C2027</v>
      </c>
      <c r="B306" s="56" t="str">
        <f>VLOOKUP($A306,SiteAttendu!$A$2:$C$366,2,0)</f>
        <v>DISTRICT SANITAIRE DIMBOKRO</v>
      </c>
      <c r="C306" s="57" t="str">
        <f>VLOOKUP($A306,SiteAttendu!$A$2:$C$366,3,0)</f>
        <v>N'ZI</v>
      </c>
      <c r="D306" s="58">
        <f>IF(VLOOKUP(A306,SiteAttendu!$A$2:$P$366,4,0)="NA","NA",COUNTIFS(soccode,A306,socprog,"PNLS/ANTIRETROVIRAUX ET IO",socprompt,1))</f>
        <v>0</v>
      </c>
      <c r="E306" s="58">
        <f>IF(VLOOKUP($A306,SiteAttendu!$A$2:$O$366,5,0)="NA","NA",COUNTIFS(soccode,A306,socprog,"PNLS/TESTS RAPIDES ET CONSOMMABLES",socprompt,1))</f>
        <v>0</v>
      </c>
      <c r="F306" s="58" t="str">
        <f>IF(VLOOKUP($A306,SiteAttendu!$A$2:$O$366,6,0)="NA","NA",COUNTIFS(soccode,A306,socprog,"PNLS/PRODUITS DE LABORATOIRE",socprompt,1))</f>
        <v>NA</v>
      </c>
      <c r="G306" s="58" t="str">
        <f>IF(VLOOKUP($A306,SiteAttendu!$A$2:$O$366,7,0)="NA","NA",COUNTIFS(soccode,A306,socprog,"PNLS/CHARGES VIRALES",socprompt,1))</f>
        <v>NA</v>
      </c>
      <c r="H306" s="58">
        <f>IF(VLOOKUP($A306,SiteAttendu!$A$2:$O$366,9,0)="NA","NA",COUNTIFS(soccode,A306,socprog,"PNLP/MEDICAMENTS ET INTRANTS",socprompt,1))</f>
        <v>0</v>
      </c>
      <c r="I306" s="58">
        <f>IF(VLOOKUP($A306,SiteAttendu!$A$2:$O$366,10,0)="NA","NA",COUNTIFS(soccode,$A306,socprog,"PNSME/MEDICAMENTS ET INTRANTS",socprompt,1))</f>
        <v>0</v>
      </c>
      <c r="J306" s="58" t="str">
        <f>IF(VLOOKUP($A306,SiteAttendu!$A$2:$O$366,11,0)="NA","NA",COUNTIFS(soccode,$A306,socprog,"PNN/MEDICAMENTS ET INTRANTS",socprompt,1))</f>
        <v>NA</v>
      </c>
      <c r="K306" s="58">
        <f>IF(VLOOKUP($A306,SiteAttendu!$A$2:$O$366,15,0)="NA","NA",IF(COUNTIF(socprog,"PNLT/SENSIBLE MEDICAMENTS ET INTRANTS")=0,"NA",COUNTIFS(soccode,$A306,socprog,"PNLT/SENSIBLE MEDICAMENTS ET INTRANTS",socprompt,1)))</f>
        <v>0</v>
      </c>
      <c r="L306" s="60"/>
      <c r="M306" s="85">
        <f t="shared" ref="M306:S306" si="308">IFERROR(SUMIFS(E$2:E$364,$C$2:$C$364,$C306)/COUNTIFS(E$2:E$364,"&lt;&gt;NA",$C$2:$C$364,$C306),"")</f>
        <v>0.8333333333</v>
      </c>
      <c r="N306" s="85">
        <f t="shared" si="308"/>
        <v>1</v>
      </c>
      <c r="O306" s="85">
        <f t="shared" si="308"/>
        <v>1</v>
      </c>
      <c r="P306" s="85">
        <f t="shared" si="308"/>
        <v>0.8333333333</v>
      </c>
      <c r="Q306" s="85">
        <f t="shared" si="308"/>
        <v>0.8333333333</v>
      </c>
      <c r="R306" s="85" t="str">
        <f t="shared" si="308"/>
        <v/>
      </c>
      <c r="S306" s="85">
        <f t="shared" si="308"/>
        <v>0.6</v>
      </c>
      <c r="T306" s="127">
        <f t="shared" si="3"/>
        <v>0.875</v>
      </c>
      <c r="U306" s="53">
        <f t="shared" si="4"/>
        <v>0</v>
      </c>
      <c r="V306" s="54">
        <f t="shared" si="5"/>
        <v>2</v>
      </c>
    </row>
    <row r="307" ht="15.0" customHeight="1">
      <c r="A307" s="55" t="str">
        <f>SiteAttendu!$A306</f>
        <v>C2192</v>
      </c>
      <c r="B307" s="56" t="str">
        <f>VLOOKUP($A307,SiteAttendu!$A$2:$C$366,2,0)</f>
        <v>CENTRE ANTITUBERCULEUX DIMBOKRO</v>
      </c>
      <c r="C307" s="57" t="str">
        <f>VLOOKUP($A307,SiteAttendu!$A$2:$C$366,3,0)</f>
        <v>N'ZI</v>
      </c>
      <c r="D307" s="58" t="str">
        <f>IF(VLOOKUP(A307,SiteAttendu!$A$2:$P$366,4,0)="NA","NA",COUNTIFS(soccode,A307,socprog,"PNLS/ANTIRETROVIRAUX ET IO",socprompt,1))</f>
        <v>NA</v>
      </c>
      <c r="E307" s="58" t="str">
        <f>IF(VLOOKUP($A307,SiteAttendu!$A$2:$O$366,5,0)="NA","NA",COUNTIFS(soccode,A307,socprog,"PNLS/TESTS RAPIDES ET CONSOMMABLES",socprompt,1))</f>
        <v>NA</v>
      </c>
      <c r="F307" s="58" t="str">
        <f>IF(VLOOKUP($A307,SiteAttendu!$A$2:$O$366,6,0)="NA","NA",COUNTIFS(soccode,A307,socprog,"PNLS/PRODUITS DE LABORATOIRE",socprompt,1))</f>
        <v>NA</v>
      </c>
      <c r="G307" s="58" t="str">
        <f>IF(VLOOKUP($A307,SiteAttendu!$A$2:$O$366,7,0)="NA","NA",COUNTIFS(soccode,A307,socprog,"PNLS/CHARGES VIRALES",socprompt,1))</f>
        <v>NA</v>
      </c>
      <c r="H307" s="58" t="str">
        <f>IF(VLOOKUP($A307,SiteAttendu!$A$2:$O$366,9,0)="NA","NA",COUNTIFS(soccode,A307,socprog,"PNLP/MEDICAMENTS ET INTRANTS",socprompt,1))</f>
        <v>NA</v>
      </c>
      <c r="I307" s="58" t="str">
        <f>IF(VLOOKUP($A307,SiteAttendu!$A$2:$O$366,10,0)="NA","NA",COUNTIFS(soccode,$A307,socprog,"PNSME/MEDICAMENTS ET INTRANTS",socprompt,1))</f>
        <v>NA</v>
      </c>
      <c r="J307" s="58" t="str">
        <f>IF(VLOOKUP($A307,SiteAttendu!$A$2:$O$366,11,0)="NA","NA",COUNTIFS(soccode,$A307,socprog,"PNN/MEDICAMENTS ET INTRANTS",socprompt,1))</f>
        <v>NA</v>
      </c>
      <c r="K307" s="58">
        <f>IF(VLOOKUP($A307,SiteAttendu!$A$2:$O$366,15,0)="NA","NA",IF(COUNTIF(socprog,"PNLT/SENSIBLE MEDICAMENTS ET INTRANTS")=0,"NA",COUNTIFS(soccode,$A307,socprog,"PNLT/SENSIBLE MEDICAMENTS ET INTRANTS",socprompt,1)))</f>
        <v>1</v>
      </c>
      <c r="L307" s="60"/>
      <c r="M307" s="85">
        <f t="shared" ref="M307:S307" si="309">IFERROR(SUMIFS(E$2:E$364,$C$2:$C$364,$C307)/COUNTIFS(E$2:E$364,"&lt;&gt;NA",$C$2:$C$364,$C307),"")</f>
        <v>0.8333333333</v>
      </c>
      <c r="N307" s="85">
        <f t="shared" si="309"/>
        <v>1</v>
      </c>
      <c r="O307" s="85">
        <f t="shared" si="309"/>
        <v>1</v>
      </c>
      <c r="P307" s="85">
        <f t="shared" si="309"/>
        <v>0.8333333333</v>
      </c>
      <c r="Q307" s="85">
        <f t="shared" si="309"/>
        <v>0.8333333333</v>
      </c>
      <c r="R307" s="85" t="str">
        <f t="shared" si="309"/>
        <v/>
      </c>
      <c r="S307" s="85">
        <f t="shared" si="309"/>
        <v>0.6</v>
      </c>
      <c r="T307" s="127">
        <f t="shared" si="3"/>
        <v>0.875</v>
      </c>
      <c r="U307" s="53">
        <f t="shared" si="4"/>
        <v>0</v>
      </c>
      <c r="V307" s="54">
        <f t="shared" si="5"/>
        <v>0</v>
      </c>
    </row>
    <row r="308" ht="15.0" customHeight="1">
      <c r="A308" s="55" t="str">
        <f>SiteAttendu!$A307</f>
        <v>C4083</v>
      </c>
      <c r="B308" s="56" t="str">
        <f>VLOOKUP($A308,SiteAttendu!$A$2:$C$366,2,0)</f>
        <v>DISTRICT SANITAIRE KOUASSI KOUASSIKRO</v>
      </c>
      <c r="C308" s="57" t="str">
        <f>VLOOKUP($A308,SiteAttendu!$A$2:$C$366,3,0)</f>
        <v>N'ZI</v>
      </c>
      <c r="D308" s="58">
        <f>IF(VLOOKUP(A308,SiteAttendu!$A$2:$P$366,4,0)="NA","NA",COUNTIFS(soccode,A308,socprog,"PNLS/ANTIRETROVIRAUX ET IO",socprompt,1))</f>
        <v>1</v>
      </c>
      <c r="E308" s="58">
        <f>IF(VLOOKUP($A308,SiteAttendu!$A$2:$O$366,5,0)="NA","NA",COUNTIFS(soccode,A308,socprog,"PNLS/TESTS RAPIDES ET CONSOMMABLES",socprompt,1))</f>
        <v>1</v>
      </c>
      <c r="F308" s="58" t="str">
        <f>IF(VLOOKUP($A308,SiteAttendu!$A$2:$O$366,6,0)="NA","NA",COUNTIFS(soccode,A308,socprog,"PNLS/PRODUITS DE LABORATOIRE",socprompt,1))</f>
        <v>NA</v>
      </c>
      <c r="G308" s="58" t="str">
        <f>IF(VLOOKUP($A308,SiteAttendu!$A$2:$O$366,7,0)="NA","NA",COUNTIFS(soccode,A308,socprog,"PNLS/CHARGES VIRALES",socprompt,1))</f>
        <v>NA</v>
      </c>
      <c r="H308" s="58">
        <f>IF(VLOOKUP($A308,SiteAttendu!$A$2:$O$366,9,0)="NA","NA",COUNTIFS(soccode,A308,socprog,"PNLP/MEDICAMENTS ET INTRANTS",socprompt,1))</f>
        <v>1</v>
      </c>
      <c r="I308" s="58">
        <f>IF(VLOOKUP($A308,SiteAttendu!$A$2:$O$366,10,0)="NA","NA",COUNTIFS(soccode,$A308,socprog,"PNSME/MEDICAMENTS ET INTRANTS",socprompt,1))</f>
        <v>1</v>
      </c>
      <c r="J308" s="58" t="str">
        <f>IF(VLOOKUP($A308,SiteAttendu!$A$2:$O$366,11,0)="NA","NA",COUNTIFS(soccode,$A308,socprog,"PNN/MEDICAMENTS ET INTRANTS",socprompt,1))</f>
        <v>NA</v>
      </c>
      <c r="K308" s="58">
        <f>IF(VLOOKUP($A308,SiteAttendu!$A$2:$O$366,15,0)="NA","NA",IF(COUNTIF(socprog,"PNLT/SENSIBLE MEDICAMENTS ET INTRANTS")=0,"NA",COUNTIFS(soccode,$A308,socprog,"PNLT/SENSIBLE MEDICAMENTS ET INTRANTS",socprompt,1)))</f>
        <v>0</v>
      </c>
      <c r="L308" s="60"/>
      <c r="M308" s="85">
        <f t="shared" ref="M308:S308" si="310">IFERROR(SUMIFS(E$2:E$364,$C$2:$C$364,$C308)/COUNTIFS(E$2:E$364,"&lt;&gt;NA",$C$2:$C$364,$C308),"")</f>
        <v>0.8333333333</v>
      </c>
      <c r="N308" s="85">
        <f t="shared" si="310"/>
        <v>1</v>
      </c>
      <c r="O308" s="85">
        <f t="shared" si="310"/>
        <v>1</v>
      </c>
      <c r="P308" s="85">
        <f t="shared" si="310"/>
        <v>0.8333333333</v>
      </c>
      <c r="Q308" s="85">
        <f t="shared" si="310"/>
        <v>0.8333333333</v>
      </c>
      <c r="R308" s="85" t="str">
        <f t="shared" si="310"/>
        <v/>
      </c>
      <c r="S308" s="85">
        <f t="shared" si="310"/>
        <v>0.6</v>
      </c>
      <c r="T308" s="127">
        <f t="shared" si="3"/>
        <v>0.875</v>
      </c>
      <c r="U308" s="53">
        <f t="shared" si="4"/>
        <v>2</v>
      </c>
      <c r="V308" s="54">
        <f t="shared" si="5"/>
        <v>2</v>
      </c>
    </row>
    <row r="309" ht="15.0" customHeight="1">
      <c r="A309" s="62" t="str">
        <f>SiteAttendu!$A308</f>
        <v>C4087</v>
      </c>
      <c r="B309" s="63" t="str">
        <f>VLOOKUP($A309,SiteAttendu!$A$2:$C$366,2,0)</f>
        <v>HOPITAL GENERAL KOUASSI-KOUASSIKRO</v>
      </c>
      <c r="C309" s="64" t="str">
        <f>VLOOKUP($A309,SiteAttendu!$A$2:$C$366,3,0)</f>
        <v>N'ZI</v>
      </c>
      <c r="D309" s="65">
        <f>IF(VLOOKUP(A309,SiteAttendu!$A$2:$P$366,4,0)="NA","NA",COUNTIFS(soccode,A309,socprog,"PNLS/ANTIRETROVIRAUX ET IO",socprompt,1))</f>
        <v>1</v>
      </c>
      <c r="E309" s="65">
        <f>IF(VLOOKUP($A309,SiteAttendu!$A$2:$O$366,5,0)="NA","NA",COUNTIFS(soccode,A309,socprog,"PNLS/TESTS RAPIDES ET CONSOMMABLES",socprompt,1))</f>
        <v>1</v>
      </c>
      <c r="F309" s="65">
        <f>IF(VLOOKUP($A309,SiteAttendu!$A$2:$O$366,6,0)="NA","NA",COUNTIFS(soccode,A309,socprog,"PNLS/PRODUITS DE LABORATOIRE",socprompt,1))</f>
        <v>1</v>
      </c>
      <c r="G309" s="65" t="str">
        <f>IF(VLOOKUP($A309,SiteAttendu!$A$2:$O$366,7,0)="NA","NA",COUNTIFS(soccode,A309,socprog,"PNLS/CHARGES VIRALES",socprompt,1))</f>
        <v>NA</v>
      </c>
      <c r="H309" s="65">
        <f>IF(VLOOKUP($A309,SiteAttendu!$A$2:$O$366,9,0)="NA","NA",COUNTIFS(soccode,A309,socprog,"PNLP/MEDICAMENTS ET INTRANTS",socprompt,1))</f>
        <v>1</v>
      </c>
      <c r="I309" s="65">
        <f>IF(VLOOKUP($A309,SiteAttendu!$A$2:$O$366,10,0)="NA","NA",COUNTIFS(soccode,$A309,socprog,"PNSME/MEDICAMENTS ET INTRANTS",socprompt,1))</f>
        <v>1</v>
      </c>
      <c r="J309" s="65" t="str">
        <f>IF(VLOOKUP($A309,SiteAttendu!$A$2:$O$366,11,0)="NA","NA",COUNTIFS(soccode,$A309,socprog,"PNN/MEDICAMENTS ET INTRANTS",socprompt,1))</f>
        <v>NA</v>
      </c>
      <c r="K309" s="65">
        <f>IF(VLOOKUP($A309,SiteAttendu!$A$2:$O$366,15,0)="NA","NA",IF(COUNTIF(socprog,"PNLT/SENSIBLE MEDICAMENTS ET INTRANTS")=0,"NA",COUNTIFS(soccode,$A309,socprog,"PNLT/SENSIBLE MEDICAMENTS ET INTRANTS",socprompt,1)))</f>
        <v>1</v>
      </c>
      <c r="L309" s="67"/>
      <c r="M309" s="86">
        <f t="shared" ref="M309:S309" si="311">IFERROR(SUMIFS(E$2:E$364,$C$2:$C$364,$C309)/COUNTIFS(E$2:E$364,"&lt;&gt;NA",$C$2:$C$364,$C309),"")</f>
        <v>0.8333333333</v>
      </c>
      <c r="N309" s="86">
        <f t="shared" si="311"/>
        <v>1</v>
      </c>
      <c r="O309" s="86">
        <f t="shared" si="311"/>
        <v>1</v>
      </c>
      <c r="P309" s="86">
        <f t="shared" si="311"/>
        <v>0.8333333333</v>
      </c>
      <c r="Q309" s="86">
        <f t="shared" si="311"/>
        <v>0.8333333333</v>
      </c>
      <c r="R309" s="86" t="str">
        <f t="shared" si="311"/>
        <v/>
      </c>
      <c r="S309" s="86">
        <f t="shared" si="311"/>
        <v>0.6</v>
      </c>
      <c r="T309" s="128">
        <f t="shared" si="3"/>
        <v>0.875</v>
      </c>
      <c r="U309" s="53">
        <f t="shared" si="4"/>
        <v>3</v>
      </c>
      <c r="V309" s="54">
        <f t="shared" si="5"/>
        <v>3</v>
      </c>
    </row>
    <row r="310" ht="15.0" customHeight="1">
      <c r="A310" s="46" t="str">
        <f>SiteAttendu!$A309</f>
        <v>C3043</v>
      </c>
      <c r="B310" s="47" t="str">
        <f>VLOOKUP($A310,SiteAttendu!$A$2:$C$366,2,0)</f>
        <v>HOPITAL GENERAL DIKODOUGOU</v>
      </c>
      <c r="C310" s="48" t="str">
        <f>VLOOKUP($A310,SiteAttendu!$A$2:$C$366,3,0)</f>
        <v>PORO</v>
      </c>
      <c r="D310" s="49">
        <f>IF(VLOOKUP(A310,SiteAttendu!$A$2:$P$366,4,0)="NA","NA",COUNTIFS(soccode,A310,socprog,"PNLS/ANTIRETROVIRAUX ET IO",socprompt,1))</f>
        <v>1</v>
      </c>
      <c r="E310" s="49">
        <f>IF(VLOOKUP($A310,SiteAttendu!$A$2:$O$366,5,0)="NA","NA",COUNTIFS(soccode,A310,socprog,"PNLS/TESTS RAPIDES ET CONSOMMABLES",socprompt,1))</f>
        <v>1</v>
      </c>
      <c r="F310" s="49">
        <f>IF(VLOOKUP($A310,SiteAttendu!$A$2:$O$366,6,0)="NA","NA",COUNTIFS(soccode,A310,socprog,"PNLS/PRODUITS DE LABORATOIRE",socprompt,1))</f>
        <v>1</v>
      </c>
      <c r="G310" s="49" t="str">
        <f>IF(VLOOKUP($A310,SiteAttendu!$A$2:$O$366,7,0)="NA","NA",COUNTIFS(soccode,A310,socprog,"PNLS/CHARGES VIRALES",socprompt,1))</f>
        <v>NA</v>
      </c>
      <c r="H310" s="49">
        <f>IF(VLOOKUP($A310,SiteAttendu!$A$2:$O$366,9,0)="NA","NA",COUNTIFS(soccode,A310,socprog,"PNLP/MEDICAMENTS ET INTRANTS",socprompt,1))</f>
        <v>1</v>
      </c>
      <c r="I310" s="49">
        <f>IF(VLOOKUP($A310,SiteAttendu!$A$2:$O$366,10,0)="NA","NA",COUNTIFS(soccode,$A310,socprog,"PNSME/MEDICAMENTS ET INTRANTS",socprompt,1))</f>
        <v>1</v>
      </c>
      <c r="J310" s="49">
        <f>IF(VLOOKUP($A310,SiteAttendu!$A$2:$O$366,11,0)="NA","NA",COUNTIFS(soccode,$A310,socprog,"PNN/MEDICAMENTS ET INTRANTS",socprompt,1))</f>
        <v>1</v>
      </c>
      <c r="K310" s="49">
        <f>IF(VLOOKUP($A310,SiteAttendu!$A$2:$O$366,15,0)="NA","NA",IF(COUNTIF(socprog,"PNLT/SENSIBLE MEDICAMENTS ET INTRANTS")=0,"NA",COUNTIFS(soccode,$A310,socprog,"PNLT/SENSIBLE MEDICAMENTS ET INTRANTS",socprompt,1)))</f>
        <v>0</v>
      </c>
      <c r="L310" s="51">
        <f t="shared" ref="L310:S310" si="312">IFERROR(SUMIFS(D$2:D$364,$C$2:$C$364,$C310)/COUNTIFS(D$2:D$364,"&lt;&gt;NA",$C$2:$C$364,$C310),"")</f>
        <v>0.8888888889</v>
      </c>
      <c r="M310" s="125">
        <f t="shared" si="312"/>
        <v>0.8888888889</v>
      </c>
      <c r="N310" s="125">
        <f t="shared" si="312"/>
        <v>1</v>
      </c>
      <c r="O310" s="125">
        <f t="shared" si="312"/>
        <v>1</v>
      </c>
      <c r="P310" s="125">
        <f t="shared" si="312"/>
        <v>0.8181818182</v>
      </c>
      <c r="Q310" s="125">
        <f t="shared" si="312"/>
        <v>0.7272727273</v>
      </c>
      <c r="R310" s="125">
        <f t="shared" si="312"/>
        <v>0.7777777778</v>
      </c>
      <c r="S310" s="125">
        <f t="shared" si="312"/>
        <v>0.25</v>
      </c>
      <c r="T310" s="126">
        <f t="shared" si="3"/>
        <v>0.9166666667</v>
      </c>
      <c r="U310" s="53">
        <f t="shared" si="4"/>
        <v>3</v>
      </c>
      <c r="V310" s="54">
        <f t="shared" si="5"/>
        <v>3</v>
      </c>
    </row>
    <row r="311" ht="15.0" customHeight="1">
      <c r="A311" s="55" t="str">
        <f>SiteAttendu!$A310</f>
        <v>C3058</v>
      </c>
      <c r="B311" s="56" t="str">
        <f>VLOOKUP($A311,SiteAttendu!$A$2:$C$366,2,0)</f>
        <v>DISTRICT SANITAIRE DIKODOUGOU</v>
      </c>
      <c r="C311" s="57" t="str">
        <f>VLOOKUP($A311,SiteAttendu!$A$2:$C$366,3,0)</f>
        <v>PORO</v>
      </c>
      <c r="D311" s="58">
        <f>IF(VLOOKUP(A311,SiteAttendu!$A$2:$P$366,4,0)="NA","NA",COUNTIFS(soccode,A311,socprog,"PNLS/ANTIRETROVIRAUX ET IO",socprompt,1))</f>
        <v>0</v>
      </c>
      <c r="E311" s="58">
        <f>IF(VLOOKUP($A311,SiteAttendu!$A$2:$O$366,5,0)="NA","NA",COUNTIFS(soccode,A311,socprog,"PNLS/TESTS RAPIDES ET CONSOMMABLES",socprompt,1))</f>
        <v>0</v>
      </c>
      <c r="F311" s="58" t="str">
        <f>IF(VLOOKUP($A311,SiteAttendu!$A$2:$O$366,6,0)="NA","NA",COUNTIFS(soccode,A311,socprog,"PNLS/PRODUITS DE LABORATOIRE",socprompt,1))</f>
        <v>NA</v>
      </c>
      <c r="G311" s="58" t="str">
        <f>IF(VLOOKUP($A311,SiteAttendu!$A$2:$O$366,7,0)="NA","NA",COUNTIFS(soccode,A311,socprog,"PNLS/CHARGES VIRALES",socprompt,1))</f>
        <v>NA</v>
      </c>
      <c r="H311" s="58">
        <f>IF(VLOOKUP($A311,SiteAttendu!$A$2:$O$366,9,0)="NA","NA",COUNTIFS(soccode,A311,socprog,"PNLP/MEDICAMENTS ET INTRANTS",socprompt,1))</f>
        <v>0</v>
      </c>
      <c r="I311" s="58">
        <f>IF(VLOOKUP($A311,SiteAttendu!$A$2:$O$366,10,0)="NA","NA",COUNTIFS(soccode,$A311,socprog,"PNSME/MEDICAMENTS ET INTRANTS",socprompt,1))</f>
        <v>0</v>
      </c>
      <c r="J311" s="58">
        <f>IF(VLOOKUP($A311,SiteAttendu!$A$2:$O$366,11,0)="NA","NA",COUNTIFS(soccode,$A311,socprog,"PNN/MEDICAMENTS ET INTRANTS",socprompt,1))</f>
        <v>0</v>
      </c>
      <c r="K311" s="58">
        <f>IF(VLOOKUP($A311,SiteAttendu!$A$2:$O$366,15,0)="NA","NA",IF(COUNTIF(socprog,"PNLT/SENSIBLE MEDICAMENTS ET INTRANTS")=0,"NA",COUNTIFS(soccode,$A311,socprog,"PNLT/SENSIBLE MEDICAMENTS ET INTRANTS",socprompt,1)))</f>
        <v>0</v>
      </c>
      <c r="L311" s="60"/>
      <c r="M311" s="85">
        <f t="shared" ref="M311:S311" si="313">IFERROR(SUMIFS(E$2:E$364,$C$2:$C$364,$C311)/COUNTIFS(E$2:E$364,"&lt;&gt;NA",$C$2:$C$364,$C311),"")</f>
        <v>0.8888888889</v>
      </c>
      <c r="N311" s="85">
        <f t="shared" si="313"/>
        <v>1</v>
      </c>
      <c r="O311" s="85">
        <f t="shared" si="313"/>
        <v>1</v>
      </c>
      <c r="P311" s="85">
        <f t="shared" si="313"/>
        <v>0.8181818182</v>
      </c>
      <c r="Q311" s="85">
        <f t="shared" si="313"/>
        <v>0.7272727273</v>
      </c>
      <c r="R311" s="85">
        <f t="shared" si="313"/>
        <v>0.7777777778</v>
      </c>
      <c r="S311" s="85">
        <f t="shared" si="313"/>
        <v>0.25</v>
      </c>
      <c r="T311" s="127">
        <f t="shared" si="3"/>
        <v>0.9166666667</v>
      </c>
      <c r="U311" s="53">
        <f t="shared" si="4"/>
        <v>0</v>
      </c>
      <c r="V311" s="54">
        <f t="shared" si="5"/>
        <v>2</v>
      </c>
    </row>
    <row r="312" ht="15.0" customHeight="1">
      <c r="A312" s="55" t="str">
        <f>SiteAttendu!$A311</f>
        <v>C2127</v>
      </c>
      <c r="B312" s="56" t="str">
        <f>VLOOKUP($A312,SiteAttendu!$A$2:$C$366,2,0)</f>
        <v>CHR KORHOGO</v>
      </c>
      <c r="C312" s="57" t="str">
        <f>VLOOKUP($A312,SiteAttendu!$A$2:$C$366,3,0)</f>
        <v>PORO</v>
      </c>
      <c r="D312" s="58">
        <f>IF(VLOOKUP(A312,SiteAttendu!$A$2:$P$366,4,0)="NA","NA",COUNTIFS(soccode,A312,socprog,"PNLS/ANTIRETROVIRAUX ET IO",socprompt,1))</f>
        <v>1</v>
      </c>
      <c r="E312" s="58">
        <f>IF(VLOOKUP($A312,SiteAttendu!$A$2:$O$366,5,0)="NA","NA",COUNTIFS(soccode,A312,socprog,"PNLS/TESTS RAPIDES ET CONSOMMABLES",socprompt,1))</f>
        <v>1</v>
      </c>
      <c r="F312" s="58">
        <f>IF(VLOOKUP($A312,SiteAttendu!$A$2:$O$366,6,0)="NA","NA",COUNTIFS(soccode,A312,socprog,"PNLS/PRODUITS DE LABORATOIRE",socprompt,1))</f>
        <v>1</v>
      </c>
      <c r="G312" s="58">
        <f>IF(VLOOKUP($A312,SiteAttendu!$A$2:$O$366,7,0)="NA","NA",COUNTIFS(soccode,A312,socprog,"PNLS/CHARGES VIRALES",socprompt,1))</f>
        <v>1</v>
      </c>
      <c r="H312" s="58">
        <f>IF(VLOOKUP($A312,SiteAttendu!$A$2:$O$366,9,0)="NA","NA",COUNTIFS(soccode,A312,socprog,"PNLP/MEDICAMENTS ET INTRANTS",socprompt,1))</f>
        <v>1</v>
      </c>
      <c r="I312" s="58">
        <f>IF(VLOOKUP($A312,SiteAttendu!$A$2:$O$366,10,0)="NA","NA",COUNTIFS(soccode,$A312,socprog,"PNSME/MEDICAMENTS ET INTRANTS",socprompt,1))</f>
        <v>1</v>
      </c>
      <c r="J312" s="58">
        <f>IF(VLOOKUP($A312,SiteAttendu!$A$2:$O$366,11,0)="NA","NA",COUNTIFS(soccode,$A312,socprog,"PNN/MEDICAMENTS ET INTRANTS",socprompt,1))</f>
        <v>1</v>
      </c>
      <c r="K312" s="58" t="str">
        <f>IF(VLOOKUP($A312,SiteAttendu!$A$2:$O$366,15,0)="NA","NA",IF(COUNTIF(socprog,"PNLT/SENSIBLE MEDICAMENTS ET INTRANTS")=0,"NA",COUNTIFS(soccode,$A312,socprog,"PNLT/SENSIBLE MEDICAMENTS ET INTRANTS",socprompt,1)))</f>
        <v>NA</v>
      </c>
      <c r="L312" s="60"/>
      <c r="M312" s="85">
        <f t="shared" ref="M312:S312" si="314">IFERROR(SUMIFS(E$2:E$364,$C$2:$C$364,$C312)/COUNTIFS(E$2:E$364,"&lt;&gt;NA",$C$2:$C$364,$C312),"")</f>
        <v>0.8888888889</v>
      </c>
      <c r="N312" s="85">
        <f t="shared" si="314"/>
        <v>1</v>
      </c>
      <c r="O312" s="85">
        <f t="shared" si="314"/>
        <v>1</v>
      </c>
      <c r="P312" s="85">
        <f t="shared" si="314"/>
        <v>0.8181818182</v>
      </c>
      <c r="Q312" s="85">
        <f t="shared" si="314"/>
        <v>0.7272727273</v>
      </c>
      <c r="R312" s="85">
        <f t="shared" si="314"/>
        <v>0.7777777778</v>
      </c>
      <c r="S312" s="85">
        <f t="shared" si="314"/>
        <v>0.25</v>
      </c>
      <c r="T312" s="127">
        <f t="shared" si="3"/>
        <v>0.9166666667</v>
      </c>
      <c r="U312" s="53">
        <f t="shared" si="4"/>
        <v>4</v>
      </c>
      <c r="V312" s="54">
        <f t="shared" si="5"/>
        <v>4</v>
      </c>
    </row>
    <row r="313" ht="15.0" customHeight="1">
      <c r="A313" s="55" t="str">
        <f>SiteAttendu!$A312</f>
        <v>C3006</v>
      </c>
      <c r="B313" s="56" t="str">
        <f>VLOOKUP($A313,SiteAttendu!$A$2:$C$366,2,0)</f>
        <v>DISTRICT SANITAIRE KORHOGO 1</v>
      </c>
      <c r="C313" s="57" t="str">
        <f>VLOOKUP($A313,SiteAttendu!$A$2:$C$366,3,0)</f>
        <v>PORO</v>
      </c>
      <c r="D313" s="58">
        <f>IF(VLOOKUP(A313,SiteAttendu!$A$2:$P$366,4,0)="NA","NA",COUNTIFS(soccode,A313,socprog,"PNLS/ANTIRETROVIRAUX ET IO",socprompt,1))</f>
        <v>1</v>
      </c>
      <c r="E313" s="58">
        <f>IF(VLOOKUP($A313,SiteAttendu!$A$2:$O$366,5,0)="NA","NA",COUNTIFS(soccode,A313,socprog,"PNLS/TESTS RAPIDES ET CONSOMMABLES",socprompt,1))</f>
        <v>1</v>
      </c>
      <c r="F313" s="58">
        <f>IF(VLOOKUP($A313,SiteAttendu!$A$2:$O$366,6,0)="NA","NA",COUNTIFS(soccode,A313,socprog,"PNLS/PRODUITS DE LABORATOIRE",socprompt,1))</f>
        <v>1</v>
      </c>
      <c r="G313" s="58" t="str">
        <f>IF(VLOOKUP($A313,SiteAttendu!$A$2:$O$366,7,0)="NA","NA",COUNTIFS(soccode,A313,socprog,"PNLS/CHARGES VIRALES",socprompt,1))</f>
        <v>NA</v>
      </c>
      <c r="H313" s="58">
        <f>IF(VLOOKUP($A313,SiteAttendu!$A$2:$O$366,9,0)="NA","NA",COUNTIFS(soccode,A313,socprog,"PNLP/MEDICAMENTS ET INTRANTS",socprompt,1))</f>
        <v>1</v>
      </c>
      <c r="I313" s="58">
        <f>IF(VLOOKUP($A313,SiteAttendu!$A$2:$O$366,10,0)="NA","NA",COUNTIFS(soccode,$A313,socprog,"PNSME/MEDICAMENTS ET INTRANTS",socprompt,1))</f>
        <v>1</v>
      </c>
      <c r="J313" s="58">
        <f>IF(VLOOKUP($A313,SiteAttendu!$A$2:$O$366,11,0)="NA","NA",COUNTIFS(soccode,$A313,socprog,"PNN/MEDICAMENTS ET INTRANTS",socprompt,1))</f>
        <v>1</v>
      </c>
      <c r="K313" s="58" t="str">
        <f>IF(VLOOKUP($A313,SiteAttendu!$A$2:$O$366,15,0)="NA","NA",IF(COUNTIF(socprog,"PNLT/SENSIBLE MEDICAMENTS ET INTRANTS")=0,"NA",COUNTIFS(soccode,$A313,socprog,"PNLT/SENSIBLE MEDICAMENTS ET INTRANTS",socprompt,1)))</f>
        <v>NA</v>
      </c>
      <c r="L313" s="60"/>
      <c r="M313" s="85">
        <f t="shared" ref="M313:S313" si="315">IFERROR(SUMIFS(E$2:E$364,$C$2:$C$364,$C313)/COUNTIFS(E$2:E$364,"&lt;&gt;NA",$C$2:$C$364,$C313),"")</f>
        <v>0.8888888889</v>
      </c>
      <c r="N313" s="85">
        <f t="shared" si="315"/>
        <v>1</v>
      </c>
      <c r="O313" s="85">
        <f t="shared" si="315"/>
        <v>1</v>
      </c>
      <c r="P313" s="85">
        <f t="shared" si="315"/>
        <v>0.8181818182</v>
      </c>
      <c r="Q313" s="85">
        <f t="shared" si="315"/>
        <v>0.7272727273</v>
      </c>
      <c r="R313" s="85">
        <f t="shared" si="315"/>
        <v>0.7777777778</v>
      </c>
      <c r="S313" s="85">
        <f t="shared" si="315"/>
        <v>0.25</v>
      </c>
      <c r="T313" s="127">
        <f t="shared" si="3"/>
        <v>0.9166666667</v>
      </c>
      <c r="U313" s="53">
        <f t="shared" si="4"/>
        <v>3</v>
      </c>
      <c r="V313" s="54">
        <f t="shared" si="5"/>
        <v>3</v>
      </c>
    </row>
    <row r="314" ht="15.0" customHeight="1">
      <c r="A314" s="55" t="str">
        <f>SiteAttendu!$A313</f>
        <v>C3016</v>
      </c>
      <c r="B314" s="56" t="str">
        <f>VLOOKUP($A314,SiteAttendu!$A$2:$C$366,2,0)</f>
        <v>HOPITAL GENERAL MBENGUE</v>
      </c>
      <c r="C314" s="57" t="str">
        <f>VLOOKUP($A314,SiteAttendu!$A$2:$C$366,3,0)</f>
        <v>PORO</v>
      </c>
      <c r="D314" s="58">
        <f>IF(VLOOKUP(A314,SiteAttendu!$A$2:$P$366,4,0)="NA","NA",COUNTIFS(soccode,A314,socprog,"PNLS/ANTIRETROVIRAUX ET IO",socprompt,1))</f>
        <v>1</v>
      </c>
      <c r="E314" s="58">
        <f>IF(VLOOKUP($A314,SiteAttendu!$A$2:$O$366,5,0)="NA","NA",COUNTIFS(soccode,A314,socprog,"PNLS/TESTS RAPIDES ET CONSOMMABLES",socprompt,1))</f>
        <v>1</v>
      </c>
      <c r="F314" s="58">
        <f>IF(VLOOKUP($A314,SiteAttendu!$A$2:$O$366,6,0)="NA","NA",COUNTIFS(soccode,A314,socprog,"PNLS/PRODUITS DE LABORATOIRE",socprompt,1))</f>
        <v>1</v>
      </c>
      <c r="G314" s="58" t="str">
        <f>IF(VLOOKUP($A314,SiteAttendu!$A$2:$O$366,7,0)="NA","NA",COUNTIFS(soccode,A314,socprog,"PNLS/CHARGES VIRALES",socprompt,1))</f>
        <v>NA</v>
      </c>
      <c r="H314" s="58">
        <f>IF(VLOOKUP($A314,SiteAttendu!$A$2:$O$366,9,0)="NA","NA",COUNTIFS(soccode,A314,socprog,"PNLP/MEDICAMENTS ET INTRANTS",socprompt,1))</f>
        <v>1</v>
      </c>
      <c r="I314" s="58">
        <f>IF(VLOOKUP($A314,SiteAttendu!$A$2:$O$366,10,0)="NA","NA",COUNTIFS(soccode,$A314,socprog,"PNSME/MEDICAMENTS ET INTRANTS",socprompt,1))</f>
        <v>1</v>
      </c>
      <c r="J314" s="58">
        <f>IF(VLOOKUP($A314,SiteAttendu!$A$2:$O$366,11,0)="NA","NA",COUNTIFS(soccode,$A314,socprog,"PNN/MEDICAMENTS ET INTRANTS",socprompt,1))</f>
        <v>1</v>
      </c>
      <c r="K314" s="58" t="str">
        <f>IF(VLOOKUP($A314,SiteAttendu!$A$2:$O$366,15,0)="NA","NA",IF(COUNTIF(socprog,"PNLT/SENSIBLE MEDICAMENTS ET INTRANTS")=0,"NA",COUNTIFS(soccode,$A314,socprog,"PNLT/SENSIBLE MEDICAMENTS ET INTRANTS",socprompt,1)))</f>
        <v>NA</v>
      </c>
      <c r="L314" s="60"/>
      <c r="M314" s="85">
        <f t="shared" ref="M314:S314" si="316">IFERROR(SUMIFS(E$2:E$364,$C$2:$C$364,$C314)/COUNTIFS(E$2:E$364,"&lt;&gt;NA",$C$2:$C$364,$C314),"")</f>
        <v>0.8888888889</v>
      </c>
      <c r="N314" s="85">
        <f t="shared" si="316"/>
        <v>1</v>
      </c>
      <c r="O314" s="85">
        <f t="shared" si="316"/>
        <v>1</v>
      </c>
      <c r="P314" s="85">
        <f t="shared" si="316"/>
        <v>0.8181818182</v>
      </c>
      <c r="Q314" s="85">
        <f t="shared" si="316"/>
        <v>0.7272727273</v>
      </c>
      <c r="R314" s="85">
        <f t="shared" si="316"/>
        <v>0.7777777778</v>
      </c>
      <c r="S314" s="85">
        <f t="shared" si="316"/>
        <v>0.25</v>
      </c>
      <c r="T314" s="127">
        <f t="shared" si="3"/>
        <v>0.9166666667</v>
      </c>
      <c r="U314" s="53">
        <f t="shared" si="4"/>
        <v>3</v>
      </c>
      <c r="V314" s="54">
        <f t="shared" si="5"/>
        <v>3</v>
      </c>
    </row>
    <row r="315" ht="15.0" customHeight="1">
      <c r="A315" s="55" t="str">
        <f>SiteAttendu!$A314</f>
        <v>C3018</v>
      </c>
      <c r="B315" s="56" t="str">
        <f>VLOOKUP($A315,SiteAttendu!$A$2:$C$366,2,0)</f>
        <v>CSU NAPIE</v>
      </c>
      <c r="C315" s="57" t="str">
        <f>VLOOKUP($A315,SiteAttendu!$A$2:$C$366,3,0)</f>
        <v>PORO</v>
      </c>
      <c r="D315" s="58" t="str">
        <f>IF(VLOOKUP(A315,SiteAttendu!$A$2:$P$366,4,0)="NA","NA",COUNTIFS(soccode,A315,socprog,"PNLS/ANTIRETROVIRAUX ET IO",socprompt,1))</f>
        <v>NA</v>
      </c>
      <c r="E315" s="58" t="str">
        <f>IF(VLOOKUP($A315,SiteAttendu!$A$2:$O$366,5,0)="NA","NA",COUNTIFS(soccode,A315,socprog,"PNLS/TESTS RAPIDES ET CONSOMMABLES",socprompt,1))</f>
        <v>NA</v>
      </c>
      <c r="F315" s="58" t="str">
        <f>IF(VLOOKUP($A315,SiteAttendu!$A$2:$O$366,6,0)="NA","NA",COUNTIFS(soccode,A315,socprog,"PNLS/PRODUITS DE LABORATOIRE",socprompt,1))</f>
        <v>NA</v>
      </c>
      <c r="G315" s="58" t="str">
        <f>IF(VLOOKUP($A315,SiteAttendu!$A$2:$O$366,7,0)="NA","NA",COUNTIFS(soccode,A315,socprog,"PNLS/CHARGES VIRALES",socprompt,1))</f>
        <v>NA</v>
      </c>
      <c r="H315" s="58">
        <f>IF(VLOOKUP($A315,SiteAttendu!$A$2:$O$366,9,0)="NA","NA",COUNTIFS(soccode,A315,socprog,"PNLP/MEDICAMENTS ET INTRANTS",socprompt,1))</f>
        <v>1</v>
      </c>
      <c r="I315" s="58">
        <f>IF(VLOOKUP($A315,SiteAttendu!$A$2:$O$366,10,0)="NA","NA",COUNTIFS(soccode,$A315,socprog,"PNSME/MEDICAMENTS ET INTRANTS",socprompt,1))</f>
        <v>1</v>
      </c>
      <c r="J315" s="58" t="str">
        <f>IF(VLOOKUP($A315,SiteAttendu!$A$2:$O$366,11,0)="NA","NA",COUNTIFS(soccode,$A315,socprog,"PNN/MEDICAMENTS ET INTRANTS",socprompt,1))</f>
        <v>NA</v>
      </c>
      <c r="K315" s="58" t="str">
        <f>IF(VLOOKUP($A315,SiteAttendu!$A$2:$O$366,15,0)="NA","NA",IF(COUNTIF(socprog,"PNLT/SENSIBLE MEDICAMENTS ET INTRANTS")=0,"NA",COUNTIFS(soccode,$A315,socprog,"PNLT/SENSIBLE MEDICAMENTS ET INTRANTS",socprompt,1)))</f>
        <v>NA</v>
      </c>
      <c r="L315" s="60"/>
      <c r="M315" s="85">
        <f t="shared" ref="M315:S315" si="317">IFERROR(SUMIFS(E$2:E$364,$C$2:$C$364,$C315)/COUNTIFS(E$2:E$364,"&lt;&gt;NA",$C$2:$C$364,$C315),"")</f>
        <v>0.8888888889</v>
      </c>
      <c r="N315" s="85">
        <f t="shared" si="317"/>
        <v>1</v>
      </c>
      <c r="O315" s="85">
        <f t="shared" si="317"/>
        <v>1</v>
      </c>
      <c r="P315" s="85">
        <f t="shared" si="317"/>
        <v>0.8181818182</v>
      </c>
      <c r="Q315" s="85">
        <f t="shared" si="317"/>
        <v>0.7272727273</v>
      </c>
      <c r="R315" s="85">
        <f t="shared" si="317"/>
        <v>0.7777777778</v>
      </c>
      <c r="S315" s="85">
        <f t="shared" si="317"/>
        <v>0.25</v>
      </c>
      <c r="T315" s="127">
        <f t="shared" si="3"/>
        <v>0.9166666667</v>
      </c>
      <c r="U315" s="53">
        <f t="shared" si="4"/>
        <v>0</v>
      </c>
      <c r="V315" s="54">
        <f t="shared" si="5"/>
        <v>0</v>
      </c>
    </row>
    <row r="316" ht="15.0" customHeight="1">
      <c r="A316" s="55" t="str">
        <f>SiteAttendu!$A315</f>
        <v>C3059</v>
      </c>
      <c r="B316" s="56" t="str">
        <f>VLOOKUP($A316,SiteAttendu!$A$2:$C$366,2,0)</f>
        <v>CSU DELAFOSSE KORHOGO</v>
      </c>
      <c r="C316" s="57" t="str">
        <f>VLOOKUP($A316,SiteAttendu!$A$2:$C$366,3,0)</f>
        <v>PORO</v>
      </c>
      <c r="D316" s="58" t="str">
        <f>IF(VLOOKUP(A316,SiteAttendu!$A$2:$P$366,4,0)="NA","NA",COUNTIFS(soccode,A316,socprog,"PNLS/ANTIRETROVIRAUX ET IO",socprompt,1))</f>
        <v>NA</v>
      </c>
      <c r="E316" s="58" t="str">
        <f>IF(VLOOKUP($A316,SiteAttendu!$A$2:$O$366,5,0)="NA","NA",COUNTIFS(soccode,A316,socprog,"PNLS/TESTS RAPIDES ET CONSOMMABLES",socprompt,1))</f>
        <v>NA</v>
      </c>
      <c r="F316" s="58" t="str">
        <f>IF(VLOOKUP($A316,SiteAttendu!$A$2:$O$366,6,0)="NA","NA",COUNTIFS(soccode,A316,socprog,"PNLS/PRODUITS DE LABORATOIRE",socprompt,1))</f>
        <v>NA</v>
      </c>
      <c r="G316" s="58" t="str">
        <f>IF(VLOOKUP($A316,SiteAttendu!$A$2:$O$366,7,0)="NA","NA",COUNTIFS(soccode,A316,socprog,"PNLS/CHARGES VIRALES",socprompt,1))</f>
        <v>NA</v>
      </c>
      <c r="H316" s="58">
        <f>IF(VLOOKUP($A316,SiteAttendu!$A$2:$O$366,9,0)="NA","NA",COUNTIFS(soccode,A316,socprog,"PNLP/MEDICAMENTS ET INTRANTS",socprompt,1))</f>
        <v>1</v>
      </c>
      <c r="I316" s="58">
        <f>IF(VLOOKUP($A316,SiteAttendu!$A$2:$O$366,10,0)="NA","NA",COUNTIFS(soccode,$A316,socprog,"PNSME/MEDICAMENTS ET INTRANTS",socprompt,1))</f>
        <v>1</v>
      </c>
      <c r="J316" s="58" t="str">
        <f>IF(VLOOKUP($A316,SiteAttendu!$A$2:$O$366,11,0)="NA","NA",COUNTIFS(soccode,$A316,socprog,"PNN/MEDICAMENTS ET INTRANTS",socprompt,1))</f>
        <v>NA</v>
      </c>
      <c r="K316" s="58" t="str">
        <f>IF(VLOOKUP($A316,SiteAttendu!$A$2:$O$366,15,0)="NA","NA",IF(COUNTIF(socprog,"PNLT/SENSIBLE MEDICAMENTS ET INTRANTS")=0,"NA",COUNTIFS(soccode,$A316,socprog,"PNLT/SENSIBLE MEDICAMENTS ET INTRANTS",socprompt,1)))</f>
        <v>NA</v>
      </c>
      <c r="L316" s="60"/>
      <c r="M316" s="85">
        <f t="shared" ref="M316:S316" si="318">IFERROR(SUMIFS(E$2:E$364,$C$2:$C$364,$C316)/COUNTIFS(E$2:E$364,"&lt;&gt;NA",$C$2:$C$364,$C316),"")</f>
        <v>0.8888888889</v>
      </c>
      <c r="N316" s="85">
        <f t="shared" si="318"/>
        <v>1</v>
      </c>
      <c r="O316" s="85">
        <f t="shared" si="318"/>
        <v>1</v>
      </c>
      <c r="P316" s="85">
        <f t="shared" si="318"/>
        <v>0.8181818182</v>
      </c>
      <c r="Q316" s="85">
        <f t="shared" si="318"/>
        <v>0.7272727273</v>
      </c>
      <c r="R316" s="85">
        <f t="shared" si="318"/>
        <v>0.7777777778</v>
      </c>
      <c r="S316" s="85">
        <f t="shared" si="318"/>
        <v>0.25</v>
      </c>
      <c r="T316" s="127">
        <f t="shared" si="3"/>
        <v>0.9166666667</v>
      </c>
      <c r="U316" s="53">
        <f t="shared" si="4"/>
        <v>0</v>
      </c>
      <c r="V316" s="54">
        <f t="shared" si="5"/>
        <v>0</v>
      </c>
    </row>
    <row r="317" ht="15.0" customHeight="1">
      <c r="A317" s="55" t="str">
        <f>SiteAttendu!$A316</f>
        <v>C2175</v>
      </c>
      <c r="B317" s="56" t="str">
        <f>VLOOKUP($A317,SiteAttendu!$A$2:$C$366,2,0)</f>
        <v>CENTRE ANTITUBERCULEUX KORHOGO</v>
      </c>
      <c r="C317" s="57" t="str">
        <f>VLOOKUP($A317,SiteAttendu!$A$2:$C$366,3,0)</f>
        <v>PORO</v>
      </c>
      <c r="D317" s="58" t="str">
        <f>IF(VLOOKUP(A317,SiteAttendu!$A$2:$P$366,4,0)="NA","NA",COUNTIFS(soccode,A317,socprog,"PNLS/ANTIRETROVIRAUX ET IO",socprompt,1))</f>
        <v>NA</v>
      </c>
      <c r="E317" s="58" t="str">
        <f>IF(VLOOKUP($A317,SiteAttendu!$A$2:$O$366,5,0)="NA","NA",COUNTIFS(soccode,A317,socprog,"PNLS/TESTS RAPIDES ET CONSOMMABLES",socprompt,1))</f>
        <v>NA</v>
      </c>
      <c r="F317" s="58" t="str">
        <f>IF(VLOOKUP($A317,SiteAttendu!$A$2:$O$366,6,0)="NA","NA",COUNTIFS(soccode,A317,socprog,"PNLS/PRODUITS DE LABORATOIRE",socprompt,1))</f>
        <v>NA</v>
      </c>
      <c r="G317" s="58" t="str">
        <f>IF(VLOOKUP($A317,SiteAttendu!$A$2:$O$366,7,0)="NA","NA",COUNTIFS(soccode,A317,socprog,"PNLS/CHARGES VIRALES",socprompt,1))</f>
        <v>NA</v>
      </c>
      <c r="H317" s="58" t="str">
        <f>IF(VLOOKUP($A317,SiteAttendu!$A$2:$O$366,9,0)="NA","NA",COUNTIFS(soccode,A317,socprog,"PNLP/MEDICAMENTS ET INTRANTS",socprompt,1))</f>
        <v>NA</v>
      </c>
      <c r="I317" s="58" t="str">
        <f>IF(VLOOKUP($A317,SiteAttendu!$A$2:$O$366,10,0)="NA","NA",COUNTIFS(soccode,$A317,socprog,"PNSME/MEDICAMENTS ET INTRANTS",socprompt,1))</f>
        <v>NA</v>
      </c>
      <c r="J317" s="58" t="str">
        <f>IF(VLOOKUP($A317,SiteAttendu!$A$2:$O$366,11,0)="NA","NA",COUNTIFS(soccode,$A317,socprog,"PNN/MEDICAMENTS ET INTRANTS",socprompt,1))</f>
        <v>NA</v>
      </c>
      <c r="K317" s="58">
        <f>IF(VLOOKUP($A317,SiteAttendu!$A$2:$O$366,15,0)="NA","NA",IF(COUNTIF(socprog,"PNLT/SENSIBLE MEDICAMENTS ET INTRANTS")=0,"NA",COUNTIFS(soccode,$A317,socprog,"PNLT/SENSIBLE MEDICAMENTS ET INTRANTS",socprompt,1)))</f>
        <v>0</v>
      </c>
      <c r="L317" s="60"/>
      <c r="M317" s="85">
        <f t="shared" ref="M317:S317" si="319">IFERROR(SUMIFS(E$2:E$364,$C$2:$C$364,$C317)/COUNTIFS(E$2:E$364,"&lt;&gt;NA",$C$2:$C$364,$C317),"")</f>
        <v>0.8888888889</v>
      </c>
      <c r="N317" s="85">
        <f t="shared" si="319"/>
        <v>1</v>
      </c>
      <c r="O317" s="85">
        <f t="shared" si="319"/>
        <v>1</v>
      </c>
      <c r="P317" s="85">
        <f t="shared" si="319"/>
        <v>0.8181818182</v>
      </c>
      <c r="Q317" s="85">
        <f t="shared" si="319"/>
        <v>0.7272727273</v>
      </c>
      <c r="R317" s="85">
        <f t="shared" si="319"/>
        <v>0.7777777778</v>
      </c>
      <c r="S317" s="85">
        <f t="shared" si="319"/>
        <v>0.25</v>
      </c>
      <c r="T317" s="127">
        <f t="shared" si="3"/>
        <v>0.9166666667</v>
      </c>
      <c r="U317" s="53">
        <f t="shared" si="4"/>
        <v>0</v>
      </c>
      <c r="V317" s="54">
        <f t="shared" si="5"/>
        <v>0</v>
      </c>
    </row>
    <row r="318" ht="15.0" customHeight="1">
      <c r="A318" s="55" t="str">
        <f>SiteAttendu!$A317</f>
        <v>C2218</v>
      </c>
      <c r="B318" s="56" t="str">
        <f>VLOOKUP($A318,SiteAttendu!$A$2:$C$366,2,0)</f>
        <v>DISTRICT SANITAIRE KORHOGO 2</v>
      </c>
      <c r="C318" s="57" t="str">
        <f>VLOOKUP($A318,SiteAttendu!$A$2:$C$366,3,0)</f>
        <v>PORO</v>
      </c>
      <c r="D318" s="58">
        <f>IF(VLOOKUP(A318,SiteAttendu!$A$2:$P$366,4,0)="NA","NA",COUNTIFS(soccode,A318,socprog,"PNLS/ANTIRETROVIRAUX ET IO",socprompt,1))</f>
        <v>1</v>
      </c>
      <c r="E318" s="58">
        <f>IF(VLOOKUP($A318,SiteAttendu!$A$2:$O$366,5,0)="NA","NA",COUNTIFS(soccode,A318,socprog,"PNLS/TESTS RAPIDES ET CONSOMMABLES",socprompt,1))</f>
        <v>1</v>
      </c>
      <c r="F318" s="58" t="str">
        <f>IF(VLOOKUP($A318,SiteAttendu!$A$2:$O$366,6,0)="NA","NA",COUNTIFS(soccode,A318,socprog,"PNLS/PRODUITS DE LABORATOIRE",socprompt,1))</f>
        <v>NA</v>
      </c>
      <c r="G318" s="58" t="str">
        <f>IF(VLOOKUP($A318,SiteAttendu!$A$2:$O$366,7,0)="NA","NA",COUNTIFS(soccode,A318,socprog,"PNLS/CHARGES VIRALES",socprompt,1))</f>
        <v>NA</v>
      </c>
      <c r="H318" s="58">
        <f>IF(VLOOKUP($A318,SiteAttendu!$A$2:$O$366,9,0)="NA","NA",COUNTIFS(soccode,A318,socprog,"PNLP/MEDICAMENTS ET INTRANTS",socprompt,1))</f>
        <v>0</v>
      </c>
      <c r="I318" s="58">
        <f>IF(VLOOKUP($A318,SiteAttendu!$A$2:$O$366,10,0)="NA","NA",COUNTIFS(soccode,$A318,socprog,"PNSME/MEDICAMENTS ET INTRANTS",socprompt,1))</f>
        <v>0</v>
      </c>
      <c r="J318" s="58">
        <f>IF(VLOOKUP($A318,SiteAttendu!$A$2:$O$366,11,0)="NA","NA",COUNTIFS(soccode,$A318,socprog,"PNN/MEDICAMENTS ET INTRANTS",socprompt,1))</f>
        <v>0</v>
      </c>
      <c r="K318" s="58">
        <f>IF(VLOOKUP($A318,SiteAttendu!$A$2:$O$366,15,0)="NA","NA",IF(COUNTIF(socprog,"PNLT/SENSIBLE MEDICAMENTS ET INTRANTS")=0,"NA",COUNTIFS(soccode,$A318,socprog,"PNLT/SENSIBLE MEDICAMENTS ET INTRANTS",socprompt,1)))</f>
        <v>1</v>
      </c>
      <c r="L318" s="60"/>
      <c r="M318" s="85">
        <f t="shared" ref="M318:S318" si="320">IFERROR(SUMIFS(E$2:E$364,$C$2:$C$364,$C318)/COUNTIFS(E$2:E$364,"&lt;&gt;NA",$C$2:$C$364,$C318),"")</f>
        <v>0.8888888889</v>
      </c>
      <c r="N318" s="85">
        <f t="shared" si="320"/>
        <v>1</v>
      </c>
      <c r="O318" s="85">
        <f t="shared" si="320"/>
        <v>1</v>
      </c>
      <c r="P318" s="85">
        <f t="shared" si="320"/>
        <v>0.8181818182</v>
      </c>
      <c r="Q318" s="85">
        <f t="shared" si="320"/>
        <v>0.7272727273</v>
      </c>
      <c r="R318" s="85">
        <f t="shared" si="320"/>
        <v>0.7777777778</v>
      </c>
      <c r="S318" s="85">
        <f t="shared" si="320"/>
        <v>0.25</v>
      </c>
      <c r="T318" s="127">
        <f t="shared" si="3"/>
        <v>0.9166666667</v>
      </c>
      <c r="U318" s="53">
        <f t="shared" si="4"/>
        <v>2</v>
      </c>
      <c r="V318" s="54">
        <f t="shared" si="5"/>
        <v>2</v>
      </c>
    </row>
    <row r="319" ht="15.0" customHeight="1">
      <c r="A319" s="55" t="str">
        <f>SiteAttendu!$A318</f>
        <v>C3056</v>
      </c>
      <c r="B319" s="56" t="str">
        <f>VLOOKUP($A319,SiteAttendu!$A$2:$C$366,2,0)</f>
        <v>DISTRICT SANITAIRE M'BENGUE</v>
      </c>
      <c r="C319" s="57" t="str">
        <f>VLOOKUP($A319,SiteAttendu!$A$2:$C$366,3,0)</f>
        <v>PORO</v>
      </c>
      <c r="D319" s="58">
        <f>IF(VLOOKUP(A319,SiteAttendu!$A$2:$P$366,4,0)="NA","NA",COUNTIFS(soccode,A319,socprog,"PNLS/ANTIRETROVIRAUX ET IO",socprompt,1))</f>
        <v>1</v>
      </c>
      <c r="E319" s="58">
        <f>IF(VLOOKUP($A319,SiteAttendu!$A$2:$O$366,5,0)="NA","NA",COUNTIFS(soccode,A319,socprog,"PNLS/TESTS RAPIDES ET CONSOMMABLES",socprompt,1))</f>
        <v>1</v>
      </c>
      <c r="F319" s="58" t="str">
        <f>IF(VLOOKUP($A319,SiteAttendu!$A$2:$O$366,6,0)="NA","NA",COUNTIFS(soccode,A319,socprog,"PNLS/PRODUITS DE LABORATOIRE",socprompt,1))</f>
        <v>NA</v>
      </c>
      <c r="G319" s="58" t="str">
        <f>IF(VLOOKUP($A319,SiteAttendu!$A$2:$O$366,7,0)="NA","NA",COUNTIFS(soccode,A319,socprog,"PNLS/CHARGES VIRALES",socprompt,1))</f>
        <v>NA</v>
      </c>
      <c r="H319" s="58">
        <f>IF(VLOOKUP($A319,SiteAttendu!$A$2:$O$366,9,0)="NA","NA",COUNTIFS(soccode,A319,socprog,"PNLP/MEDICAMENTS ET INTRANTS",socprompt,1))</f>
        <v>1</v>
      </c>
      <c r="I319" s="58">
        <f>IF(VLOOKUP($A319,SiteAttendu!$A$2:$O$366,10,0)="NA","NA",COUNTIFS(soccode,$A319,socprog,"PNSME/MEDICAMENTS ET INTRANTS",socprompt,1))</f>
        <v>0</v>
      </c>
      <c r="J319" s="58">
        <f>IF(VLOOKUP($A319,SiteAttendu!$A$2:$O$366,11,0)="NA","NA",COUNTIFS(soccode,$A319,socprog,"PNN/MEDICAMENTS ET INTRANTS",socprompt,1))</f>
        <v>1</v>
      </c>
      <c r="K319" s="58" t="str">
        <f>IF(VLOOKUP($A319,SiteAttendu!$A$2:$O$366,15,0)="NA","NA",IF(COUNTIF(socprog,"PNLT/SENSIBLE MEDICAMENTS ET INTRANTS")=0,"NA",COUNTIFS(soccode,$A319,socprog,"PNLT/SENSIBLE MEDICAMENTS ET INTRANTS",socprompt,1)))</f>
        <v>NA</v>
      </c>
      <c r="L319" s="60"/>
      <c r="M319" s="85">
        <f t="shared" ref="M319:S319" si="321">IFERROR(SUMIFS(E$2:E$364,$C$2:$C$364,$C319)/COUNTIFS(E$2:E$364,"&lt;&gt;NA",$C$2:$C$364,$C319),"")</f>
        <v>0.8888888889</v>
      </c>
      <c r="N319" s="85">
        <f t="shared" si="321"/>
        <v>1</v>
      </c>
      <c r="O319" s="85">
        <f t="shared" si="321"/>
        <v>1</v>
      </c>
      <c r="P319" s="85">
        <f t="shared" si="321"/>
        <v>0.8181818182</v>
      </c>
      <c r="Q319" s="85">
        <f t="shared" si="321"/>
        <v>0.7272727273</v>
      </c>
      <c r="R319" s="85">
        <f t="shared" si="321"/>
        <v>0.7777777778</v>
      </c>
      <c r="S319" s="85">
        <f t="shared" si="321"/>
        <v>0.25</v>
      </c>
      <c r="T319" s="127">
        <f t="shared" si="3"/>
        <v>0.9166666667</v>
      </c>
      <c r="U319" s="53">
        <f t="shared" si="4"/>
        <v>2</v>
      </c>
      <c r="V319" s="54">
        <f t="shared" si="5"/>
        <v>2</v>
      </c>
    </row>
    <row r="320" ht="15.0" customHeight="1">
      <c r="A320" s="55" t="str">
        <f>SiteAttendu!$A319</f>
        <v>C3021</v>
      </c>
      <c r="B320" s="56" t="str">
        <f>VLOOKUP($A320,SiteAttendu!$A$2:$C$366,2,0)</f>
        <v>HOPITAL GENERAL SINEMATIALI</v>
      </c>
      <c r="C320" s="57" t="str">
        <f>VLOOKUP($A320,SiteAttendu!$A$2:$C$366,3,0)</f>
        <v>PORO</v>
      </c>
      <c r="D320" s="58">
        <f>IF(VLOOKUP(A320,SiteAttendu!$A$2:$P$366,4,0)="NA","NA",COUNTIFS(soccode,A320,socprog,"PNLS/ANTIRETROVIRAUX ET IO",socprompt,1))</f>
        <v>1</v>
      </c>
      <c r="E320" s="58">
        <f>IF(VLOOKUP($A320,SiteAttendu!$A$2:$O$366,5,0)="NA","NA",COUNTIFS(soccode,A320,socprog,"PNLS/TESTS RAPIDES ET CONSOMMABLES",socprompt,1))</f>
        <v>1</v>
      </c>
      <c r="F320" s="58">
        <f>IF(VLOOKUP($A320,SiteAttendu!$A$2:$O$366,6,0)="NA","NA",COUNTIFS(soccode,A320,socprog,"PNLS/PRODUITS DE LABORATOIRE",socprompt,1))</f>
        <v>1</v>
      </c>
      <c r="G320" s="58" t="str">
        <f>IF(VLOOKUP($A320,SiteAttendu!$A$2:$O$366,7,0)="NA","NA",COUNTIFS(soccode,A320,socprog,"PNLS/CHARGES VIRALES",socprompt,1))</f>
        <v>NA</v>
      </c>
      <c r="H320" s="58">
        <f>IF(VLOOKUP($A320,SiteAttendu!$A$2:$O$366,9,0)="NA","NA",COUNTIFS(soccode,A320,socprog,"PNLP/MEDICAMENTS ET INTRANTS",socprompt,1))</f>
        <v>1</v>
      </c>
      <c r="I320" s="58">
        <f>IF(VLOOKUP($A320,SiteAttendu!$A$2:$O$366,10,0)="NA","NA",COUNTIFS(soccode,$A320,socprog,"PNSME/MEDICAMENTS ET INTRANTS",socprompt,1))</f>
        <v>1</v>
      </c>
      <c r="J320" s="58">
        <f>IF(VLOOKUP($A320,SiteAttendu!$A$2:$O$366,11,0)="NA","NA",COUNTIFS(soccode,$A320,socprog,"PNN/MEDICAMENTS ET INTRANTS",socprompt,1))</f>
        <v>1</v>
      </c>
      <c r="K320" s="58" t="str">
        <f>IF(VLOOKUP($A320,SiteAttendu!$A$2:$O$366,15,0)="NA","NA",IF(COUNTIF(socprog,"PNLT/SENSIBLE MEDICAMENTS ET INTRANTS")=0,"NA",COUNTIFS(soccode,$A320,socprog,"PNLT/SENSIBLE MEDICAMENTS ET INTRANTS",socprompt,1)))</f>
        <v>NA</v>
      </c>
      <c r="L320" s="60"/>
      <c r="M320" s="85">
        <f t="shared" ref="M320:S320" si="322">IFERROR(SUMIFS(E$2:E$364,$C$2:$C$364,$C320)/COUNTIFS(E$2:E$364,"&lt;&gt;NA",$C$2:$C$364,$C320),"")</f>
        <v>0.8888888889</v>
      </c>
      <c r="N320" s="85">
        <f t="shared" si="322"/>
        <v>1</v>
      </c>
      <c r="O320" s="85">
        <f t="shared" si="322"/>
        <v>1</v>
      </c>
      <c r="P320" s="85">
        <f t="shared" si="322"/>
        <v>0.8181818182</v>
      </c>
      <c r="Q320" s="85">
        <f t="shared" si="322"/>
        <v>0.7272727273</v>
      </c>
      <c r="R320" s="85">
        <f t="shared" si="322"/>
        <v>0.7777777778</v>
      </c>
      <c r="S320" s="85">
        <f t="shared" si="322"/>
        <v>0.25</v>
      </c>
      <c r="T320" s="127">
        <f t="shared" si="3"/>
        <v>0.9166666667</v>
      </c>
      <c r="U320" s="53">
        <f t="shared" si="4"/>
        <v>3</v>
      </c>
      <c r="V320" s="54">
        <f t="shared" si="5"/>
        <v>3</v>
      </c>
    </row>
    <row r="321" ht="15.0" customHeight="1">
      <c r="A321" s="62" t="str">
        <f>SiteAttendu!$A320</f>
        <v>C3057</v>
      </c>
      <c r="B321" s="63" t="str">
        <f>VLOOKUP($A321,SiteAttendu!$A$2:$C$366,2,0)</f>
        <v>DISTRICT SANITAIRE SINEMATIALI</v>
      </c>
      <c r="C321" s="64" t="str">
        <f>VLOOKUP($A321,SiteAttendu!$A$2:$C$366,3,0)</f>
        <v>PORO</v>
      </c>
      <c r="D321" s="65">
        <f>IF(VLOOKUP(A321,SiteAttendu!$A$2:$P$366,4,0)="NA","NA",COUNTIFS(soccode,A321,socprog,"PNLS/ANTIRETROVIRAUX ET IO",socprompt,1))</f>
        <v>1</v>
      </c>
      <c r="E321" s="65">
        <f>IF(VLOOKUP($A321,SiteAttendu!$A$2:$O$366,5,0)="NA","NA",COUNTIFS(soccode,A321,socprog,"PNLS/TESTS RAPIDES ET CONSOMMABLES",socprompt,1))</f>
        <v>1</v>
      </c>
      <c r="F321" s="65" t="str">
        <f>IF(VLOOKUP($A321,SiteAttendu!$A$2:$O$366,6,0)="NA","NA",COUNTIFS(soccode,A321,socprog,"PNLS/PRODUITS DE LABORATOIRE",socprompt,1))</f>
        <v>NA</v>
      </c>
      <c r="G321" s="65" t="str">
        <f>IF(VLOOKUP($A321,SiteAttendu!$A$2:$O$366,7,0)="NA","NA",COUNTIFS(soccode,A321,socprog,"PNLS/CHARGES VIRALES",socprompt,1))</f>
        <v>NA</v>
      </c>
      <c r="H321" s="65">
        <f>IF(VLOOKUP($A321,SiteAttendu!$A$2:$O$366,9,0)="NA","NA",COUNTIFS(soccode,A321,socprog,"PNLP/MEDICAMENTS ET INTRANTS",socprompt,1))</f>
        <v>1</v>
      </c>
      <c r="I321" s="65">
        <f>IF(VLOOKUP($A321,SiteAttendu!$A$2:$O$366,10,0)="NA","NA",COUNTIFS(soccode,$A321,socprog,"PNSME/MEDICAMENTS ET INTRANTS",socprompt,1))</f>
        <v>1</v>
      </c>
      <c r="J321" s="65">
        <f>IF(VLOOKUP($A321,SiteAttendu!$A$2:$O$366,11,0)="NA","NA",COUNTIFS(soccode,$A321,socprog,"PNN/MEDICAMENTS ET INTRANTS",socprompt,1))</f>
        <v>1</v>
      </c>
      <c r="K321" s="65" t="str">
        <f>IF(VLOOKUP($A321,SiteAttendu!$A$2:$O$366,15,0)="NA","NA",IF(COUNTIF(socprog,"PNLT/SENSIBLE MEDICAMENTS ET INTRANTS")=0,"NA",COUNTIFS(soccode,$A321,socprog,"PNLT/SENSIBLE MEDICAMENTS ET INTRANTS",socprompt,1)))</f>
        <v>NA</v>
      </c>
      <c r="L321" s="67"/>
      <c r="M321" s="86">
        <f t="shared" ref="M321:S321" si="323">IFERROR(SUMIFS(E$2:E$364,$C$2:$C$364,$C321)/COUNTIFS(E$2:E$364,"&lt;&gt;NA",$C$2:$C$364,$C321),"")</f>
        <v>0.8888888889</v>
      </c>
      <c r="N321" s="86">
        <f t="shared" si="323"/>
        <v>1</v>
      </c>
      <c r="O321" s="86">
        <f t="shared" si="323"/>
        <v>1</v>
      </c>
      <c r="P321" s="86">
        <f t="shared" si="323"/>
        <v>0.8181818182</v>
      </c>
      <c r="Q321" s="86">
        <f t="shared" si="323"/>
        <v>0.7272727273</v>
      </c>
      <c r="R321" s="86">
        <f t="shared" si="323"/>
        <v>0.7777777778</v>
      </c>
      <c r="S321" s="86">
        <f t="shared" si="323"/>
        <v>0.25</v>
      </c>
      <c r="T321" s="128">
        <f t="shared" si="3"/>
        <v>0.9166666667</v>
      </c>
      <c r="U321" s="53">
        <f t="shared" si="4"/>
        <v>2</v>
      </c>
      <c r="V321" s="54">
        <f t="shared" si="5"/>
        <v>2</v>
      </c>
    </row>
    <row r="322" ht="15.0" customHeight="1">
      <c r="A322" s="46" t="str">
        <f>SiteAttendu!$A321</f>
        <v>C2007</v>
      </c>
      <c r="B322" s="47" t="str">
        <f>VLOOKUP($A322,SiteAttendu!$A$2:$C$366,2,0)</f>
        <v>CHR SAN PEDRO</v>
      </c>
      <c r="C322" s="48" t="str">
        <f>VLOOKUP($A322,SiteAttendu!$A$2:$C$366,3,0)</f>
        <v>SAN PEDRO</v>
      </c>
      <c r="D322" s="49">
        <f>IF(VLOOKUP(A322,SiteAttendu!$A$2:$P$366,4,0)="NA","NA",COUNTIFS(soccode,A322,socprog,"PNLS/ANTIRETROVIRAUX ET IO",socprompt,1))</f>
        <v>0</v>
      </c>
      <c r="E322" s="49">
        <f>IF(VLOOKUP($A322,SiteAttendu!$A$2:$O$366,5,0)="NA","NA",COUNTIFS(soccode,A322,socprog,"PNLS/TESTS RAPIDES ET CONSOMMABLES",socprompt,1))</f>
        <v>1</v>
      </c>
      <c r="F322" s="49">
        <f>IF(VLOOKUP($A322,SiteAttendu!$A$2:$O$366,6,0)="NA","NA",COUNTIFS(soccode,A322,socprog,"PNLS/PRODUITS DE LABORATOIRE",socprompt,1))</f>
        <v>1</v>
      </c>
      <c r="G322" s="49">
        <f>IF(VLOOKUP($A322,SiteAttendu!$A$2:$O$366,7,0)="NA","NA",COUNTIFS(soccode,A322,socprog,"PNLS/CHARGES VIRALES",socprompt,1))</f>
        <v>1</v>
      </c>
      <c r="H322" s="49">
        <f>IF(VLOOKUP($A322,SiteAttendu!$A$2:$O$366,9,0)="NA","NA",COUNTIFS(soccode,A322,socprog,"PNLP/MEDICAMENTS ET INTRANTS",socprompt,1))</f>
        <v>0</v>
      </c>
      <c r="I322" s="49">
        <f>IF(VLOOKUP($A322,SiteAttendu!$A$2:$O$366,10,0)="NA","NA",COUNTIFS(soccode,$A322,socprog,"PNSME/MEDICAMENTS ET INTRANTS",socprompt,1))</f>
        <v>0</v>
      </c>
      <c r="J322" s="49">
        <f>IF(VLOOKUP($A322,SiteAttendu!$A$2:$O$366,11,0)="NA","NA",COUNTIFS(soccode,$A322,socprog,"PNN/MEDICAMENTS ET INTRANTS",socprompt,1))</f>
        <v>0</v>
      </c>
      <c r="K322" s="49" t="str">
        <f>IF(VLOOKUP($A322,SiteAttendu!$A$2:$O$366,15,0)="NA","NA",IF(COUNTIF(socprog,"PNLT/SENSIBLE MEDICAMENTS ET INTRANTS")=0,"NA",COUNTIFS(soccode,$A322,socprog,"PNLT/SENSIBLE MEDICAMENTS ET INTRANTS",socprompt,1)))</f>
        <v>NA</v>
      </c>
      <c r="L322" s="51">
        <f t="shared" ref="L322:S322" si="324">IFERROR(SUMIFS(D$2:D$364,$C$2:$C$364,$C322)/COUNTIFS(D$2:D$364,"&lt;&gt;NA",$C$2:$C$364,$C322),"")</f>
        <v>0.75</v>
      </c>
      <c r="M322" s="125">
        <f t="shared" si="324"/>
        <v>1</v>
      </c>
      <c r="N322" s="125">
        <f t="shared" si="324"/>
        <v>1</v>
      </c>
      <c r="O322" s="125">
        <f t="shared" si="324"/>
        <v>1</v>
      </c>
      <c r="P322" s="125">
        <f t="shared" si="324"/>
        <v>0.8</v>
      </c>
      <c r="Q322" s="125">
        <f t="shared" si="324"/>
        <v>0.7142857143</v>
      </c>
      <c r="R322" s="125">
        <f t="shared" si="324"/>
        <v>0.75</v>
      </c>
      <c r="S322" s="125">
        <f t="shared" si="324"/>
        <v>0.5</v>
      </c>
      <c r="T322" s="125">
        <f t="shared" si="3"/>
        <v>0.9333333333</v>
      </c>
      <c r="U322" s="53">
        <f t="shared" si="4"/>
        <v>3</v>
      </c>
      <c r="V322" s="54">
        <f t="shared" si="5"/>
        <v>4</v>
      </c>
    </row>
    <row r="323" ht="15.0" customHeight="1">
      <c r="A323" s="55" t="str">
        <f>SiteAttendu!$A322</f>
        <v>C2018</v>
      </c>
      <c r="B323" s="56" t="str">
        <f>VLOOKUP($A323,SiteAttendu!$A$2:$C$366,2,0)</f>
        <v>CSU SAN-PEDRO</v>
      </c>
      <c r="C323" s="57" t="str">
        <f>VLOOKUP($A323,SiteAttendu!$A$2:$C$366,3,0)</f>
        <v>SAN PEDRO</v>
      </c>
      <c r="D323" s="58" t="str">
        <f>IF(VLOOKUP(A323,SiteAttendu!$A$2:$P$366,4,0)="NA","NA",COUNTIFS(soccode,A323,socprog,"PNLS/ANTIRETROVIRAUX ET IO",socprompt,1))</f>
        <v>NA</v>
      </c>
      <c r="E323" s="58" t="str">
        <f>IF(VLOOKUP($A323,SiteAttendu!$A$2:$O$366,5,0)="NA","NA",COUNTIFS(soccode,A323,socprog,"PNLS/TESTS RAPIDES ET CONSOMMABLES",socprompt,1))</f>
        <v>NA</v>
      </c>
      <c r="F323" s="58" t="str">
        <f>IF(VLOOKUP($A323,SiteAttendu!$A$2:$O$366,6,0)="NA","NA",COUNTIFS(soccode,A323,socprog,"PNLS/PRODUITS DE LABORATOIRE",socprompt,1))</f>
        <v>NA</v>
      </c>
      <c r="G323" s="58" t="str">
        <f>IF(VLOOKUP($A323,SiteAttendu!$A$2:$O$366,7,0)="NA","NA",COUNTIFS(soccode,A323,socprog,"PNLS/CHARGES VIRALES",socprompt,1))</f>
        <v>NA</v>
      </c>
      <c r="H323" s="58">
        <f>IF(VLOOKUP($A323,SiteAttendu!$A$2:$O$366,9,0)="NA","NA",COUNTIFS(soccode,A323,socprog,"PNLP/MEDICAMENTS ET INTRANTS",socprompt,1))</f>
        <v>1</v>
      </c>
      <c r="I323" s="58">
        <f>IF(VLOOKUP($A323,SiteAttendu!$A$2:$O$366,10,0)="NA","NA",COUNTIFS(soccode,$A323,socprog,"PNSME/MEDICAMENTS ET INTRANTS",socprompt,1))</f>
        <v>0</v>
      </c>
      <c r="J323" s="58" t="str">
        <f>IF(VLOOKUP($A323,SiteAttendu!$A$2:$O$366,11,0)="NA","NA",COUNTIFS(soccode,$A323,socprog,"PNN/MEDICAMENTS ET INTRANTS",socprompt,1))</f>
        <v>NA</v>
      </c>
      <c r="K323" s="58" t="str">
        <f>IF(VLOOKUP($A323,SiteAttendu!$A$2:$O$366,15,0)="NA","NA",IF(COUNTIF(socprog,"PNLT/SENSIBLE MEDICAMENTS ET INTRANTS")=0,"NA",COUNTIFS(soccode,$A323,socprog,"PNLT/SENSIBLE MEDICAMENTS ET INTRANTS",socprompt,1)))</f>
        <v>NA</v>
      </c>
      <c r="L323" s="60"/>
      <c r="M323" s="85"/>
      <c r="N323" s="85"/>
      <c r="O323" s="85"/>
      <c r="P323" s="85"/>
      <c r="Q323" s="85">
        <f t="shared" ref="Q323:S323" si="325">IFERROR(SUMIFS(I$2:I$364,$C$2:$C$364,$C323)/COUNTIFS(I$2:I$364,"&lt;&gt;NA",$C$2:$C$364,$C323),"")</f>
        <v>0.7142857143</v>
      </c>
      <c r="R323" s="85">
        <f t="shared" si="325"/>
        <v>0.75</v>
      </c>
      <c r="S323" s="85">
        <f t="shared" si="325"/>
        <v>0.5</v>
      </c>
      <c r="T323" s="85">
        <f t="shared" si="3"/>
        <v>0.9333333333</v>
      </c>
      <c r="U323" s="53">
        <f t="shared" si="4"/>
        <v>0</v>
      </c>
      <c r="V323" s="54">
        <f t="shared" si="5"/>
        <v>0</v>
      </c>
    </row>
    <row r="324" ht="15.0" customHeight="1">
      <c r="A324" s="55" t="str">
        <f>SiteAttendu!$A323</f>
        <v>C2035</v>
      </c>
      <c r="B324" s="56" t="str">
        <f>VLOOKUP($A324,SiteAttendu!$A$2:$C$366,2,0)</f>
        <v>DISTRICT SANITAIRE SAN-PEDRO</v>
      </c>
      <c r="C324" s="57" t="str">
        <f>VLOOKUP($A324,SiteAttendu!$A$2:$C$366,3,0)</f>
        <v>SAN PEDRO</v>
      </c>
      <c r="D324" s="58">
        <f>IF(VLOOKUP(A324,SiteAttendu!$A$2:$P$366,4,0)="NA","NA",COUNTIFS(soccode,A324,socprog,"PNLS/ANTIRETROVIRAUX ET IO",socprompt,1))</f>
        <v>1</v>
      </c>
      <c r="E324" s="58">
        <f>IF(VLOOKUP($A324,SiteAttendu!$A$2:$O$366,5,0)="NA","NA",COUNTIFS(soccode,A324,socprog,"PNLS/TESTS RAPIDES ET CONSOMMABLES",socprompt,1))</f>
        <v>1</v>
      </c>
      <c r="F324" s="58">
        <f>IF(VLOOKUP($A324,SiteAttendu!$A$2:$O$366,6,0)="NA","NA",COUNTIFS(soccode,A324,socprog,"PNLS/PRODUITS DE LABORATOIRE",socprompt,1))</f>
        <v>1</v>
      </c>
      <c r="G324" s="58">
        <f>IF(VLOOKUP($A324,SiteAttendu!$A$2:$O$366,7,0)="NA","NA",COUNTIFS(soccode,A324,socprog,"PNLS/CHARGES VIRALES",socprompt,1))</f>
        <v>1</v>
      </c>
      <c r="H324" s="58">
        <f>IF(VLOOKUP($A324,SiteAttendu!$A$2:$O$366,9,0)="NA","NA",COUNTIFS(soccode,A324,socprog,"PNLP/MEDICAMENTS ET INTRANTS",socprompt,1))</f>
        <v>1</v>
      </c>
      <c r="I324" s="58">
        <f>IF(VLOOKUP($A324,SiteAttendu!$A$2:$O$366,10,0)="NA","NA",COUNTIFS(soccode,$A324,socprog,"PNSME/MEDICAMENTS ET INTRANTS",socprompt,1))</f>
        <v>1</v>
      </c>
      <c r="J324" s="58">
        <f>IF(VLOOKUP($A324,SiteAttendu!$A$2:$O$366,11,0)="NA","NA",COUNTIFS(soccode,$A324,socprog,"PNN/MEDICAMENTS ET INTRANTS",socprompt,1))</f>
        <v>1</v>
      </c>
      <c r="K324" s="58">
        <f>IF(VLOOKUP($A324,SiteAttendu!$A$2:$O$366,15,0)="NA","NA",IF(COUNTIF(socprog,"PNLT/SENSIBLE MEDICAMENTS ET INTRANTS")=0,"NA",COUNTIFS(soccode,$A324,socprog,"PNLT/SENSIBLE MEDICAMENTS ET INTRANTS",socprompt,1)))</f>
        <v>0</v>
      </c>
      <c r="L324" s="60"/>
      <c r="M324" s="85"/>
      <c r="N324" s="85"/>
      <c r="O324" s="85"/>
      <c r="P324" s="85"/>
      <c r="Q324" s="85">
        <f t="shared" ref="Q324:S324" si="326">IFERROR(SUMIFS(I$2:I$364,$C$2:$C$364,$C324)/COUNTIFS(I$2:I$364,"&lt;&gt;NA",$C$2:$C$364,$C324),"")</f>
        <v>0.7142857143</v>
      </c>
      <c r="R324" s="85">
        <f t="shared" si="326"/>
        <v>0.75</v>
      </c>
      <c r="S324" s="85">
        <f t="shared" si="326"/>
        <v>0.5</v>
      </c>
      <c r="T324" s="85">
        <f t="shared" si="3"/>
        <v>0.9333333333</v>
      </c>
      <c r="U324" s="53">
        <f t="shared" si="4"/>
        <v>4</v>
      </c>
      <c r="V324" s="54">
        <f t="shared" si="5"/>
        <v>4</v>
      </c>
    </row>
    <row r="325" ht="15.0" customHeight="1">
      <c r="A325" s="55" t="str">
        <f>SiteAttendu!$A324</f>
        <v>C2171</v>
      </c>
      <c r="B325" s="56" t="str">
        <f>VLOOKUP($A325,SiteAttendu!$A$2:$C$366,2,0)</f>
        <v>CENTRE ANTI-TUBERCULEUX SAN-PEDRO</v>
      </c>
      <c r="C325" s="57" t="str">
        <f>VLOOKUP($A325,SiteAttendu!$A$2:$C$366,3,0)</f>
        <v>SAN PEDRO</v>
      </c>
      <c r="D325" s="58" t="str">
        <f>IF(VLOOKUP(A325,SiteAttendu!$A$2:$P$366,4,0)="NA","NA",COUNTIFS(soccode,A325,socprog,"PNLS/ANTIRETROVIRAUX ET IO",socprompt,1))</f>
        <v>NA</v>
      </c>
      <c r="E325" s="58" t="str">
        <f>IF(VLOOKUP($A325,SiteAttendu!$A$2:$O$366,5,0)="NA","NA",COUNTIFS(soccode,A325,socprog,"PNLS/TESTS RAPIDES ET CONSOMMABLES",socprompt,1))</f>
        <v>NA</v>
      </c>
      <c r="F325" s="58" t="str">
        <f>IF(VLOOKUP($A325,SiteAttendu!$A$2:$O$366,6,0)="NA","NA",COUNTIFS(soccode,A325,socprog,"PNLS/PRODUITS DE LABORATOIRE",socprompt,1))</f>
        <v>NA</v>
      </c>
      <c r="G325" s="58" t="str">
        <f>IF(VLOOKUP($A325,SiteAttendu!$A$2:$O$366,7,0)="NA","NA",COUNTIFS(soccode,A325,socprog,"PNLS/CHARGES VIRALES",socprompt,1))</f>
        <v>NA</v>
      </c>
      <c r="H325" s="58" t="str">
        <f>IF(VLOOKUP($A325,SiteAttendu!$A$2:$O$366,9,0)="NA","NA",COUNTIFS(soccode,A325,socprog,"PNLP/MEDICAMENTS ET INTRANTS",socprompt,1))</f>
        <v>NA</v>
      </c>
      <c r="I325" s="58" t="str">
        <f>IF(VLOOKUP($A325,SiteAttendu!$A$2:$O$366,10,0)="NA","NA",COUNTIFS(soccode,$A325,socprog,"PNSME/MEDICAMENTS ET INTRANTS",socprompt,1))</f>
        <v>NA</v>
      </c>
      <c r="J325" s="58" t="str">
        <f>IF(VLOOKUP($A325,SiteAttendu!$A$2:$O$366,11,0)="NA","NA",COUNTIFS(soccode,$A325,socprog,"PNN/MEDICAMENTS ET INTRANTS",socprompt,1))</f>
        <v>NA</v>
      </c>
      <c r="K325" s="58">
        <f>IF(VLOOKUP($A325,SiteAttendu!$A$2:$O$366,15,0)="NA","NA",IF(COUNTIF(socprog,"PNLT/SENSIBLE MEDICAMENTS ET INTRANTS")=0,"NA",COUNTIFS(soccode,$A325,socprog,"PNLT/SENSIBLE MEDICAMENTS ET INTRANTS",socprompt,1)))</f>
        <v>1</v>
      </c>
      <c r="L325" s="60"/>
      <c r="M325" s="85"/>
      <c r="N325" s="85"/>
      <c r="O325" s="85"/>
      <c r="P325" s="85"/>
      <c r="Q325" s="85">
        <f t="shared" ref="Q325:S325" si="327">IFERROR(SUMIFS(I$2:I$364,$C$2:$C$364,$C325)/COUNTIFS(I$2:I$364,"&lt;&gt;NA",$C$2:$C$364,$C325),"")</f>
        <v>0.7142857143</v>
      </c>
      <c r="R325" s="85">
        <f t="shared" si="327"/>
        <v>0.75</v>
      </c>
      <c r="S325" s="85">
        <f t="shared" si="327"/>
        <v>0.5</v>
      </c>
      <c r="T325" s="85">
        <f t="shared" si="3"/>
        <v>0.9333333333</v>
      </c>
      <c r="U325" s="53">
        <f t="shared" si="4"/>
        <v>0</v>
      </c>
      <c r="V325" s="54">
        <f t="shared" si="5"/>
        <v>0</v>
      </c>
    </row>
    <row r="326" ht="16.5" customHeight="1">
      <c r="A326" s="55" t="str">
        <f>SiteAttendu!$A182</f>
        <v>C2194</v>
      </c>
      <c r="B326" s="56" t="str">
        <f>VLOOKUP($A326,SiteAttendu!$A$2:$C$366,2,0)</f>
        <v>CSU TOUIH</v>
      </c>
      <c r="C326" s="57" t="str">
        <f>VLOOKUP($A326,SiteAttendu!$A$2:$C$366,3,0)</f>
        <v>SAN PEDRO</v>
      </c>
      <c r="D326" s="58" t="str">
        <f>IF(VLOOKUP(A326,SiteAttendu!$A$2:$P$366,4,0)="NA","NA",COUNTIFS(soccode,A326,socprog,"PNLS/ANTIRETROVIRAUX ET IO",socprompt,1))</f>
        <v>NA</v>
      </c>
      <c r="E326" s="58" t="str">
        <f>IF(VLOOKUP($A326,SiteAttendu!$A$2:$O$366,5,0)="NA","NA",COUNTIFS(soccode,A326,socprog,"PNLS/TESTS RAPIDES ET CONSOMMABLES",socprompt,1))</f>
        <v>NA</v>
      </c>
      <c r="F326" s="58" t="str">
        <f>IF(VLOOKUP($A326,SiteAttendu!$A$2:$O$366,6,0)="NA","NA",COUNTIFS(soccode,A326,socprog,"PNLS/PRODUITS DE LABORATOIRE",socprompt,1))</f>
        <v>NA</v>
      </c>
      <c r="G326" s="58" t="str">
        <f>IF(VLOOKUP($A326,SiteAttendu!$A$2:$O$366,7,0)="NA","NA",COUNTIFS(soccode,A326,socprog,"PNLS/CHARGES VIRALES",socprompt,1))</f>
        <v>NA</v>
      </c>
      <c r="H326" s="58" t="str">
        <f>IF(VLOOKUP($A326,SiteAttendu!$A$2:$O$366,9,0)="NA","NA",COUNTIFS(soccode,A326,socprog,"PNLP/MEDICAMENTS ET INTRANTS",socprompt,1))</f>
        <v>NA</v>
      </c>
      <c r="I326" s="58">
        <f>IF(VLOOKUP($A326,SiteAttendu!$A$2:$O$366,10,0)="NA","NA",COUNTIFS(soccode,$A326,socprog,"PNSME/MEDICAMENTS ET INTRANTS",socprompt,1))</f>
        <v>1</v>
      </c>
      <c r="J326" s="58" t="str">
        <f>IF(VLOOKUP($A326,SiteAttendu!$A$2:$O$366,11,0)="NA","NA",COUNTIFS(soccode,$A326,socprog,"PNN/MEDICAMENTS ET INTRANTS",socprompt,1))</f>
        <v>NA</v>
      </c>
      <c r="K326" s="58" t="str">
        <f>IF(VLOOKUP($A326,SiteAttendu!$A$2:$O$366,15,0)="NA","NA",IF(COUNTIF(socprog,"PNLT/SENSIBLE MEDICAMENTS ET INTRANTS")=0,"NA",COUNTIFS(soccode,$A326,socprog,"PNLT/SENSIBLE MEDICAMENTS ET INTRANTS",socprompt,1)))</f>
        <v>NA</v>
      </c>
      <c r="L326" s="60"/>
      <c r="M326" s="85"/>
      <c r="N326" s="85"/>
      <c r="O326" s="85"/>
      <c r="P326" s="85"/>
      <c r="Q326" s="85">
        <f t="shared" ref="Q326:S326" si="328">IFERROR(SUMIFS(I$2:I$364,$C$2:$C$364,$C326)/COUNTIFS(I$2:I$364,"&lt;&gt;NA",$C$2:$C$364,$C326),"")</f>
        <v>0.7142857143</v>
      </c>
      <c r="R326" s="85">
        <f t="shared" si="328"/>
        <v>0.75</v>
      </c>
      <c r="S326" s="85">
        <f t="shared" si="328"/>
        <v>0.5</v>
      </c>
      <c r="T326" s="85">
        <f t="shared" si="3"/>
        <v>0.9333333333</v>
      </c>
      <c r="U326" s="53">
        <f t="shared" si="4"/>
        <v>0</v>
      </c>
      <c r="V326" s="54">
        <f t="shared" si="5"/>
        <v>0</v>
      </c>
    </row>
    <row r="327" ht="15.0" customHeight="1">
      <c r="A327" s="55" t="str">
        <f>SiteAttendu!$A325</f>
        <v>C2214</v>
      </c>
      <c r="B327" s="56" t="str">
        <f>VLOOKUP($A327,SiteAttendu!$A$2:$C$366,2,0)</f>
        <v>CSU GABIADJI</v>
      </c>
      <c r="C327" s="57" t="str">
        <f>VLOOKUP($A327,SiteAttendu!$A$2:$C$366,3,0)</f>
        <v>SAN PEDRO</v>
      </c>
      <c r="D327" s="58" t="str">
        <f>IF(VLOOKUP(A327,SiteAttendu!$A$2:$P$366,4,0)="NA","NA",COUNTIFS(soccode,A327,socprog,"PNLS/ANTIRETROVIRAUX ET IO",socprompt,1))</f>
        <v>NA</v>
      </c>
      <c r="E327" s="58" t="str">
        <f>IF(VLOOKUP($A327,SiteAttendu!$A$2:$O$366,5,0)="NA","NA",COUNTIFS(soccode,A327,socprog,"PNLS/TESTS RAPIDES ET CONSOMMABLES",socprompt,1))</f>
        <v>NA</v>
      </c>
      <c r="F327" s="58" t="str">
        <f>IF(VLOOKUP($A327,SiteAttendu!$A$2:$O$366,6,0)="NA","NA",COUNTIFS(soccode,A327,socprog,"PNLS/PRODUITS DE LABORATOIRE",socprompt,1))</f>
        <v>NA</v>
      </c>
      <c r="G327" s="58" t="str">
        <f>IF(VLOOKUP($A327,SiteAttendu!$A$2:$O$366,7,0)="NA","NA",COUNTIFS(soccode,A327,socprog,"PNLS/CHARGES VIRALES",socprompt,1))</f>
        <v>NA</v>
      </c>
      <c r="H327" s="58" t="str">
        <f>IF(VLOOKUP($A327,SiteAttendu!$A$2:$O$366,9,0)="NA","NA",COUNTIFS(soccode,A327,socprog,"PNLP/MEDICAMENTS ET INTRANTS",socprompt,1))</f>
        <v>NA</v>
      </c>
      <c r="I327" s="58">
        <f>IF(VLOOKUP($A327,SiteAttendu!$A$2:$O$366,10,0)="NA","NA",COUNTIFS(soccode,$A327,socprog,"PNSME/MEDICAMENTS ET INTRANTS",socprompt,1))</f>
        <v>1</v>
      </c>
      <c r="J327" s="58" t="str">
        <f>IF(VLOOKUP($A327,SiteAttendu!$A$2:$O$366,11,0)="NA","NA",COUNTIFS(soccode,$A327,socprog,"PNN/MEDICAMENTS ET INTRANTS",socprompt,1))</f>
        <v>NA</v>
      </c>
      <c r="K327" s="58" t="str">
        <f>IF(VLOOKUP($A327,SiteAttendu!$A$2:$O$366,15,0)="NA","NA",IF(COUNTIF(socprog,"PNLT/SENSIBLE MEDICAMENTS ET INTRANTS")=0,"NA",COUNTIFS(soccode,$A327,socprog,"PNLT/SENSIBLE MEDICAMENTS ET INTRANTS",socprompt,1)))</f>
        <v>NA</v>
      </c>
      <c r="L327" s="60"/>
      <c r="M327" s="85"/>
      <c r="N327" s="85"/>
      <c r="O327" s="85"/>
      <c r="P327" s="85"/>
      <c r="Q327" s="85">
        <f t="shared" ref="Q327:S327" si="329">IFERROR(SUMIFS(I$2:I$364,$C$2:$C$364,$C327)/COUNTIFS(I$2:I$364,"&lt;&gt;NA",$C$2:$C$364,$C327),"")</f>
        <v>0.7142857143</v>
      </c>
      <c r="R327" s="85">
        <f t="shared" si="329"/>
        <v>0.75</v>
      </c>
      <c r="S327" s="85">
        <f t="shared" si="329"/>
        <v>0.5</v>
      </c>
      <c r="T327" s="85">
        <f t="shared" si="3"/>
        <v>0.9333333333</v>
      </c>
      <c r="U327" s="53">
        <f t="shared" si="4"/>
        <v>0</v>
      </c>
      <c r="V327" s="54">
        <f t="shared" si="5"/>
        <v>0</v>
      </c>
    </row>
    <row r="328" ht="15.0" customHeight="1">
      <c r="A328" s="55" t="str">
        <f>SiteAttendu!$A326</f>
        <v>C2040</v>
      </c>
      <c r="B328" s="56" t="str">
        <f>VLOOKUP($A328,SiteAttendu!$A$2:$C$366,2,0)</f>
        <v>DISTRICT SANITAIRE TABOU</v>
      </c>
      <c r="C328" s="57" t="str">
        <f>VLOOKUP($A328,SiteAttendu!$A$2:$C$366,3,0)</f>
        <v>SAN PEDRO</v>
      </c>
      <c r="D328" s="58">
        <f>IF(VLOOKUP(A328,SiteAttendu!$A$2:$P$366,4,0)="NA","NA",COUNTIFS(soccode,A328,socprog,"PNLS/ANTIRETROVIRAUX ET IO",socprompt,1))</f>
        <v>1</v>
      </c>
      <c r="E328" s="58">
        <f>IF(VLOOKUP($A328,SiteAttendu!$A$2:$O$366,5,0)="NA","NA",COUNTIFS(soccode,A328,socprog,"PNLS/TESTS RAPIDES ET CONSOMMABLES",socprompt,1))</f>
        <v>1</v>
      </c>
      <c r="F328" s="58">
        <f>IF(VLOOKUP($A328,SiteAttendu!$A$2:$O$366,6,0)="NA","NA",COUNTIFS(soccode,A328,socprog,"PNLS/PRODUITS DE LABORATOIRE",socprompt,1))</f>
        <v>1</v>
      </c>
      <c r="G328" s="58" t="str">
        <f>IF(VLOOKUP($A328,SiteAttendu!$A$2:$O$366,7,0)="NA","NA",COUNTIFS(soccode,A328,socprog,"PNLS/CHARGES VIRALES",socprompt,1))</f>
        <v>NA</v>
      </c>
      <c r="H328" s="58">
        <f>IF(VLOOKUP($A328,SiteAttendu!$A$2:$O$366,9,0)="NA","NA",COUNTIFS(soccode,A328,socprog,"PNLP/MEDICAMENTS ET INTRANTS",socprompt,1))</f>
        <v>1</v>
      </c>
      <c r="I328" s="58">
        <f>IF(VLOOKUP($A328,SiteAttendu!$A$2:$O$366,10,0)="NA","NA",COUNTIFS(soccode,$A328,socprog,"PNSME/MEDICAMENTS ET INTRANTS",socprompt,1))</f>
        <v>1</v>
      </c>
      <c r="J328" s="58">
        <f>IF(VLOOKUP($A328,SiteAttendu!$A$2:$O$366,11,0)="NA","NA",COUNTIFS(soccode,$A328,socprog,"PNN/MEDICAMENTS ET INTRANTS",socprompt,1))</f>
        <v>1</v>
      </c>
      <c r="K328" s="58">
        <f>IF(VLOOKUP($A328,SiteAttendu!$A$2:$O$366,15,0)="NA","NA",IF(COUNTIF(socprog,"PNLT/SENSIBLE MEDICAMENTS ET INTRANTS")=0,"NA",COUNTIFS(soccode,$A328,socprog,"PNLT/SENSIBLE MEDICAMENTS ET INTRANTS",socprompt,1)))</f>
        <v>0</v>
      </c>
      <c r="L328" s="60"/>
      <c r="M328" s="85"/>
      <c r="N328" s="85"/>
      <c r="O328" s="85"/>
      <c r="P328" s="85"/>
      <c r="Q328" s="85">
        <f t="shared" ref="Q328:S328" si="330">IFERROR(SUMIFS(I$2:I$364,$C$2:$C$364,$C328)/COUNTIFS(I$2:I$364,"&lt;&gt;NA",$C$2:$C$364,$C328),"")</f>
        <v>0.7142857143</v>
      </c>
      <c r="R328" s="85">
        <f t="shared" si="330"/>
        <v>0.75</v>
      </c>
      <c r="S328" s="85">
        <f t="shared" si="330"/>
        <v>0.5</v>
      </c>
      <c r="T328" s="85">
        <f t="shared" si="3"/>
        <v>0.9333333333</v>
      </c>
      <c r="U328" s="53">
        <f t="shared" si="4"/>
        <v>3</v>
      </c>
      <c r="V328" s="54">
        <f t="shared" si="5"/>
        <v>3</v>
      </c>
    </row>
    <row r="329" ht="15.0" customHeight="1">
      <c r="A329" s="62" t="str">
        <f>SiteAttendu!$A327</f>
        <v>C2066</v>
      </c>
      <c r="B329" s="63" t="str">
        <f>VLOOKUP($A329,SiteAttendu!$A$2:$C$366,2,0)</f>
        <v>HOPITAL GENERAL TABOU</v>
      </c>
      <c r="C329" s="64" t="str">
        <f>VLOOKUP($A329,SiteAttendu!$A$2:$C$366,3,0)</f>
        <v>SAN PEDRO</v>
      </c>
      <c r="D329" s="65">
        <f>IF(VLOOKUP(A329,SiteAttendu!$A$2:$P$366,4,0)="NA","NA",COUNTIFS(soccode,A329,socprog,"PNLS/ANTIRETROVIRAUX ET IO",socprompt,1))</f>
        <v>1</v>
      </c>
      <c r="E329" s="65">
        <f>IF(VLOOKUP($A329,SiteAttendu!$A$2:$O$366,5,0)="NA","NA",COUNTIFS(soccode,A329,socprog,"PNLS/TESTS RAPIDES ET CONSOMMABLES",socprompt,1))</f>
        <v>1</v>
      </c>
      <c r="F329" s="65">
        <f>IF(VLOOKUP($A329,SiteAttendu!$A$2:$O$366,6,0)="NA","NA",COUNTIFS(soccode,A329,socprog,"PNLS/PRODUITS DE LABORATOIRE",socprompt,1))</f>
        <v>1</v>
      </c>
      <c r="G329" s="65">
        <f>IF(VLOOKUP($A329,SiteAttendu!$A$2:$O$366,7,0)="NA","NA",COUNTIFS(soccode,A329,socprog,"PNLS/CHARGES VIRALES",socprompt,1))</f>
        <v>1</v>
      </c>
      <c r="H329" s="65">
        <f>IF(VLOOKUP($A329,SiteAttendu!$A$2:$O$366,9,0)="NA","NA",COUNTIFS(soccode,A329,socprog,"PNLP/MEDICAMENTS ET INTRANTS",socprompt,1))</f>
        <v>1</v>
      </c>
      <c r="I329" s="65">
        <f>IF(VLOOKUP($A329,SiteAttendu!$A$2:$O$366,10,0)="NA","NA",COUNTIFS(soccode,$A329,socprog,"PNSME/MEDICAMENTS ET INTRANTS",socprompt,1))</f>
        <v>1</v>
      </c>
      <c r="J329" s="65">
        <f>IF(VLOOKUP($A329,SiteAttendu!$A$2:$O$366,11,0)="NA","NA",COUNTIFS(soccode,$A329,socprog,"PNN/MEDICAMENTS ET INTRANTS",socprompt,1))</f>
        <v>1</v>
      </c>
      <c r="K329" s="65">
        <f>IF(VLOOKUP($A329,SiteAttendu!$A$2:$O$366,15,0)="NA","NA",IF(COUNTIF(socprog,"PNLT/SENSIBLE MEDICAMENTS ET INTRANTS")=0,"NA",COUNTIFS(soccode,$A329,socprog,"PNLT/SENSIBLE MEDICAMENTS ET INTRANTS",socprompt,1)))</f>
        <v>1</v>
      </c>
      <c r="L329" s="67"/>
      <c r="M329" s="86"/>
      <c r="N329" s="86"/>
      <c r="O329" s="86"/>
      <c r="P329" s="86"/>
      <c r="Q329" s="86">
        <f t="shared" ref="Q329:S329" si="331">IFERROR(SUMIFS(I$2:I$364,$C$2:$C$364,$C329)/COUNTIFS(I$2:I$364,"&lt;&gt;NA",$C$2:$C$364,$C329),"")</f>
        <v>0.7142857143</v>
      </c>
      <c r="R329" s="86">
        <f t="shared" si="331"/>
        <v>0.75</v>
      </c>
      <c r="S329" s="86">
        <f t="shared" si="331"/>
        <v>0.5</v>
      </c>
      <c r="T329" s="86">
        <f t="shared" si="3"/>
        <v>0.9333333333</v>
      </c>
      <c r="U329" s="53">
        <f t="shared" si="4"/>
        <v>4</v>
      </c>
      <c r="V329" s="54">
        <f t="shared" si="5"/>
        <v>4</v>
      </c>
    </row>
    <row r="330" ht="15.0" customHeight="1">
      <c r="A330" s="46" t="str">
        <f>SiteAttendu!$A328</f>
        <v>C1003</v>
      </c>
      <c r="B330" s="47" t="str">
        <f>VLOOKUP($A330,SiteAttendu!$A$2:$C$366,2,0)</f>
        <v>CHR ABOISSO</v>
      </c>
      <c r="C330" s="48" t="str">
        <f>VLOOKUP($A330,SiteAttendu!$A$2:$C$366,3,0)</f>
        <v>SUD-COMOE</v>
      </c>
      <c r="D330" s="49">
        <f>IF(VLOOKUP(A330,SiteAttendu!$A$2:$P$366,4,0)="NA","NA",COUNTIFS(soccode,A330,socprog,"PNLS/ANTIRETROVIRAUX ET IO",socprompt,1))</f>
        <v>1</v>
      </c>
      <c r="E330" s="49">
        <f>IF(VLOOKUP($A330,SiteAttendu!$A$2:$O$366,5,0)="NA","NA",COUNTIFS(soccode,A330,socprog,"PNLS/TESTS RAPIDES ET CONSOMMABLES",socprompt,1))</f>
        <v>1</v>
      </c>
      <c r="F330" s="49">
        <f>IF(VLOOKUP($A330,SiteAttendu!$A$2:$O$366,6,0)="NA","NA",COUNTIFS(soccode,A330,socprog,"PNLS/PRODUITS DE LABORATOIRE",socprompt,1))</f>
        <v>1</v>
      </c>
      <c r="G330" s="49">
        <f>IF(VLOOKUP($A330,SiteAttendu!$A$2:$O$366,7,0)="NA","NA",COUNTIFS(soccode,A330,socprog,"PNLS/CHARGES VIRALES",socprompt,1))</f>
        <v>1</v>
      </c>
      <c r="H330" s="49">
        <f>IF(VLOOKUP($A330,SiteAttendu!$A$2:$O$366,9,0)="NA","NA",COUNTIFS(soccode,A330,socprog,"PNLP/MEDICAMENTS ET INTRANTS",socprompt,1))</f>
        <v>1</v>
      </c>
      <c r="I330" s="49">
        <f>IF(VLOOKUP($A330,SiteAttendu!$A$2:$O$366,10,0)="NA","NA",COUNTIFS(soccode,$A330,socprog,"PNSME/MEDICAMENTS ET INTRANTS",socprompt,1))</f>
        <v>0</v>
      </c>
      <c r="J330" s="49" t="str">
        <f>IF(VLOOKUP($A330,SiteAttendu!$A$2:$O$366,11,0)="NA","NA",COUNTIFS(soccode,$A330,socprog,"PNN/MEDICAMENTS ET INTRANTS",socprompt,1))</f>
        <v>NA</v>
      </c>
      <c r="K330" s="49" t="str">
        <f>IF(VLOOKUP($A330,SiteAttendu!$A$2:$O$366,15,0)="NA","NA",IF(COUNTIF(socprog,"PNLT/SENSIBLE MEDICAMENTS ET INTRANTS")=0,"NA",COUNTIFS(soccode,$A330,socprog,"PNLT/SENSIBLE MEDICAMENTS ET INTRANTS",socprompt,1)))</f>
        <v>NA</v>
      </c>
      <c r="L330" s="51">
        <f t="shared" ref="L330:S330" si="332">IFERROR(SUMIFS(D$2:D$364,$C$2:$C$364,$C330)/COUNTIFS(D$2:D$364,"&lt;&gt;NA",$C$2:$C$364,$C330),"")</f>
        <v>0.9090909091</v>
      </c>
      <c r="M330" s="51">
        <f t="shared" si="332"/>
        <v>0.9090909091</v>
      </c>
      <c r="N330" s="51">
        <f t="shared" si="332"/>
        <v>1</v>
      </c>
      <c r="O330" s="51">
        <f t="shared" si="332"/>
        <v>1</v>
      </c>
      <c r="P330" s="51">
        <f t="shared" si="332"/>
        <v>0.9090909091</v>
      </c>
      <c r="Q330" s="51">
        <f t="shared" si="332"/>
        <v>0.7272727273</v>
      </c>
      <c r="R330" s="51">
        <f t="shared" si="332"/>
        <v>1</v>
      </c>
      <c r="S330" s="51">
        <f t="shared" si="332"/>
        <v>0.5714285714</v>
      </c>
      <c r="T330" s="51">
        <f t="shared" si="3"/>
        <v>0.9375</v>
      </c>
      <c r="U330" s="53">
        <f t="shared" si="4"/>
        <v>4</v>
      </c>
      <c r="V330" s="54">
        <f t="shared" si="5"/>
        <v>4</v>
      </c>
    </row>
    <row r="331" ht="15.0" customHeight="1">
      <c r="A331" s="55" t="str">
        <f>SiteAttendu!$A329</f>
        <v>C1008</v>
      </c>
      <c r="B331" s="56" t="str">
        <f>VLOOKUP($A331,SiteAttendu!$A$2:$C$366,2,0)</f>
        <v>HOPITAL GENERAL MAFERE</v>
      </c>
      <c r="C331" s="57" t="str">
        <f>VLOOKUP($A331,SiteAttendu!$A$2:$C$366,3,0)</f>
        <v>SUD-COMOE</v>
      </c>
      <c r="D331" s="58">
        <f>IF(VLOOKUP(A331,SiteAttendu!$A$2:$P$366,4,0)="NA","NA",COUNTIFS(soccode,A331,socprog,"PNLS/ANTIRETROVIRAUX ET IO",socprompt,1))</f>
        <v>1</v>
      </c>
      <c r="E331" s="58">
        <f>IF(VLOOKUP($A331,SiteAttendu!$A$2:$O$366,5,0)="NA","NA",COUNTIFS(soccode,A331,socprog,"PNLS/TESTS RAPIDES ET CONSOMMABLES",socprompt,1))</f>
        <v>1</v>
      </c>
      <c r="F331" s="58">
        <f>IF(VLOOKUP($A331,SiteAttendu!$A$2:$O$366,6,0)="NA","NA",COUNTIFS(soccode,A331,socprog,"PNLS/PRODUITS DE LABORATOIRE",socprompt,1))</f>
        <v>1</v>
      </c>
      <c r="G331" s="58" t="str">
        <f>IF(VLOOKUP($A331,SiteAttendu!$A$2:$O$366,7,0)="NA","NA",COUNTIFS(soccode,A331,socprog,"PNLS/CHARGES VIRALES",socprompt,1))</f>
        <v>NA</v>
      </c>
      <c r="H331" s="58">
        <f>IF(VLOOKUP($A331,SiteAttendu!$A$2:$O$366,9,0)="NA","NA",COUNTIFS(soccode,A331,socprog,"PNLP/MEDICAMENTS ET INTRANTS",socprompt,1))</f>
        <v>1</v>
      </c>
      <c r="I331" s="58">
        <f>IF(VLOOKUP($A331,SiteAttendu!$A$2:$O$366,10,0)="NA","NA",COUNTIFS(soccode,$A331,socprog,"PNSME/MEDICAMENTS ET INTRANTS",socprompt,1))</f>
        <v>0</v>
      </c>
      <c r="J331" s="58" t="str">
        <f>IF(VLOOKUP($A331,SiteAttendu!$A$2:$O$366,11,0)="NA","NA",COUNTIFS(soccode,$A331,socprog,"PNN/MEDICAMENTS ET INTRANTS",socprompt,1))</f>
        <v>NA</v>
      </c>
      <c r="K331" s="58">
        <f>IF(VLOOKUP($A331,SiteAttendu!$A$2:$O$366,15,0)="NA","NA",IF(COUNTIF(socprog,"PNLT/SENSIBLE MEDICAMENTS ET INTRANTS")=0,"NA",COUNTIFS(soccode,$A331,socprog,"PNLT/SENSIBLE MEDICAMENTS ET INTRANTS",socprompt,1)))</f>
        <v>1</v>
      </c>
      <c r="L331" s="60"/>
      <c r="M331" s="60">
        <f t="shared" ref="M331:S331" si="333">IFERROR(SUMIFS(E$2:E$364,$C$2:$C$364,$C331)/COUNTIFS(E$2:E$364,"&lt;&gt;NA",$C$2:$C$364,$C331),"")</f>
        <v>0.9090909091</v>
      </c>
      <c r="N331" s="60">
        <f t="shared" si="333"/>
        <v>1</v>
      </c>
      <c r="O331" s="60">
        <f t="shared" si="333"/>
        <v>1</v>
      </c>
      <c r="P331" s="60">
        <f t="shared" si="333"/>
        <v>0.9090909091</v>
      </c>
      <c r="Q331" s="60">
        <f t="shared" si="333"/>
        <v>0.7272727273</v>
      </c>
      <c r="R331" s="60">
        <f t="shared" si="333"/>
        <v>1</v>
      </c>
      <c r="S331" s="60">
        <f t="shared" si="333"/>
        <v>0.5714285714</v>
      </c>
      <c r="T331" s="60">
        <f t="shared" si="3"/>
        <v>0.9375</v>
      </c>
      <c r="U331" s="53">
        <f t="shared" si="4"/>
        <v>3</v>
      </c>
      <c r="V331" s="54">
        <f t="shared" si="5"/>
        <v>3</v>
      </c>
    </row>
    <row r="332" ht="15.0" customHeight="1">
      <c r="A332" s="55" t="str">
        <f>SiteAttendu!$A330</f>
        <v>C1043</v>
      </c>
      <c r="B332" s="56" t="str">
        <f>VLOOKUP($A332,SiteAttendu!$A$2:$C$366,2,0)</f>
        <v>DISTRICT SANITAIRE ABOISSO</v>
      </c>
      <c r="C332" s="57" t="str">
        <f>VLOOKUP($A332,SiteAttendu!$A$2:$C$366,3,0)</f>
        <v>SUD-COMOE</v>
      </c>
      <c r="D332" s="58">
        <f>IF(VLOOKUP(A332,SiteAttendu!$A$2:$P$366,4,0)="NA","NA",COUNTIFS(soccode,A332,socprog,"PNLS/ANTIRETROVIRAUX ET IO",socprompt,1))</f>
        <v>0</v>
      </c>
      <c r="E332" s="58">
        <f>IF(VLOOKUP($A332,SiteAttendu!$A$2:$O$366,5,0)="NA","NA",COUNTIFS(soccode,A332,socprog,"PNLS/TESTS RAPIDES ET CONSOMMABLES",socprompt,1))</f>
        <v>0</v>
      </c>
      <c r="F332" s="58" t="str">
        <f>IF(VLOOKUP($A332,SiteAttendu!$A$2:$O$366,6,0)="NA","NA",COUNTIFS(soccode,A332,socprog,"PNLS/PRODUITS DE LABORATOIRE",socprompt,1))</f>
        <v>NA</v>
      </c>
      <c r="G332" s="58" t="str">
        <f>IF(VLOOKUP($A332,SiteAttendu!$A$2:$O$366,7,0)="NA","NA",COUNTIFS(soccode,A332,socprog,"PNLS/CHARGES VIRALES",socprompt,1))</f>
        <v>NA</v>
      </c>
      <c r="H332" s="58">
        <f>IF(VLOOKUP($A332,SiteAttendu!$A$2:$O$366,9,0)="NA","NA",COUNTIFS(soccode,A332,socprog,"PNLP/MEDICAMENTS ET INTRANTS",socprompt,1))</f>
        <v>0</v>
      </c>
      <c r="I332" s="58">
        <f>IF(VLOOKUP($A332,SiteAttendu!$A$2:$O$366,10,0)="NA","NA",COUNTIFS(soccode,$A332,socprog,"PNSME/MEDICAMENTS ET INTRANTS",socprompt,1))</f>
        <v>0</v>
      </c>
      <c r="J332" s="58" t="str">
        <f>IF(VLOOKUP($A332,SiteAttendu!$A$2:$O$366,11,0)="NA","NA",COUNTIFS(soccode,$A332,socprog,"PNN/MEDICAMENTS ET INTRANTS",socprompt,1))</f>
        <v>NA</v>
      </c>
      <c r="K332" s="58">
        <f>IF(VLOOKUP($A332,SiteAttendu!$A$2:$O$366,15,0)="NA","NA",IF(COUNTIF(socprog,"PNLT/SENSIBLE MEDICAMENTS ET INTRANTS")=0,"NA",COUNTIFS(soccode,$A332,socprog,"PNLT/SENSIBLE MEDICAMENTS ET INTRANTS",socprompt,1)))</f>
        <v>0</v>
      </c>
      <c r="L332" s="60"/>
      <c r="M332" s="60">
        <f t="shared" ref="M332:S332" si="334">IFERROR(SUMIFS(E$2:E$364,$C$2:$C$364,$C332)/COUNTIFS(E$2:E$364,"&lt;&gt;NA",$C$2:$C$364,$C332),"")</f>
        <v>0.9090909091</v>
      </c>
      <c r="N332" s="60">
        <f t="shared" si="334"/>
        <v>1</v>
      </c>
      <c r="O332" s="60">
        <f t="shared" si="334"/>
        <v>1</v>
      </c>
      <c r="P332" s="60">
        <f t="shared" si="334"/>
        <v>0.9090909091</v>
      </c>
      <c r="Q332" s="60">
        <f t="shared" si="334"/>
        <v>0.7272727273</v>
      </c>
      <c r="R332" s="60">
        <f t="shared" si="334"/>
        <v>1</v>
      </c>
      <c r="S332" s="60">
        <f t="shared" si="334"/>
        <v>0.5714285714</v>
      </c>
      <c r="T332" s="60">
        <f t="shared" si="3"/>
        <v>0.9375</v>
      </c>
      <c r="U332" s="53">
        <f t="shared" si="4"/>
        <v>0</v>
      </c>
      <c r="V332" s="54">
        <f t="shared" si="5"/>
        <v>2</v>
      </c>
    </row>
    <row r="333" ht="15.0" customHeight="1">
      <c r="A333" s="55" t="str">
        <f>SiteAttendu!$A331</f>
        <v>C1085</v>
      </c>
      <c r="B333" s="56" t="str">
        <f>VLOOKUP($A333,SiteAttendu!$A$2:$C$366,2,0)</f>
        <v>HOPITAL GENERAL AYAME</v>
      </c>
      <c r="C333" s="57" t="str">
        <f>VLOOKUP($A333,SiteAttendu!$A$2:$C$366,3,0)</f>
        <v>SUD-COMOE</v>
      </c>
      <c r="D333" s="58">
        <f>IF(VLOOKUP(A333,SiteAttendu!$A$2:$P$366,4,0)="NA","NA",COUNTIFS(soccode,A333,socprog,"PNLS/ANTIRETROVIRAUX ET IO",socprompt,1))</f>
        <v>1</v>
      </c>
      <c r="E333" s="58">
        <f>IF(VLOOKUP($A333,SiteAttendu!$A$2:$O$366,5,0)="NA","NA",COUNTIFS(soccode,A333,socprog,"PNLS/TESTS RAPIDES ET CONSOMMABLES",socprompt,1))</f>
        <v>1</v>
      </c>
      <c r="F333" s="58">
        <f>IF(VLOOKUP($A333,SiteAttendu!$A$2:$O$366,6,0)="NA","NA",COUNTIFS(soccode,A333,socprog,"PNLS/PRODUITS DE LABORATOIRE",socprompt,1))</f>
        <v>1</v>
      </c>
      <c r="G333" s="58" t="str">
        <f>IF(VLOOKUP($A333,SiteAttendu!$A$2:$O$366,7,0)="NA","NA",COUNTIFS(soccode,A333,socprog,"PNLS/CHARGES VIRALES",socprompt,1))</f>
        <v>NA</v>
      </c>
      <c r="H333" s="58">
        <f>IF(VLOOKUP($A333,SiteAttendu!$A$2:$O$366,9,0)="NA","NA",COUNTIFS(soccode,A333,socprog,"PNLP/MEDICAMENTS ET INTRANTS",socprompt,1))</f>
        <v>1</v>
      </c>
      <c r="I333" s="58">
        <f>IF(VLOOKUP($A333,SiteAttendu!$A$2:$O$366,10,0)="NA","NA",COUNTIFS(soccode,$A333,socprog,"PNSME/MEDICAMENTS ET INTRANTS",socprompt,1))</f>
        <v>1</v>
      </c>
      <c r="J333" s="58" t="str">
        <f>IF(VLOOKUP($A333,SiteAttendu!$A$2:$O$366,11,0)="NA","NA",COUNTIFS(soccode,$A333,socprog,"PNN/MEDICAMENTS ET INTRANTS",socprompt,1))</f>
        <v>NA</v>
      </c>
      <c r="K333" s="58">
        <f>IF(VLOOKUP($A333,SiteAttendu!$A$2:$O$366,15,0)="NA","NA",IF(COUNTIF(socprog,"PNLT/SENSIBLE MEDICAMENTS ET INTRANTS")=0,"NA",COUNTIFS(soccode,$A333,socprog,"PNLT/SENSIBLE MEDICAMENTS ET INTRANTS",socprompt,1)))</f>
        <v>1</v>
      </c>
      <c r="L333" s="60"/>
      <c r="M333" s="60">
        <f t="shared" ref="M333:S333" si="335">IFERROR(SUMIFS(E$2:E$364,$C$2:$C$364,$C333)/COUNTIFS(E$2:E$364,"&lt;&gt;NA",$C$2:$C$364,$C333),"")</f>
        <v>0.9090909091</v>
      </c>
      <c r="N333" s="60">
        <f t="shared" si="335"/>
        <v>1</v>
      </c>
      <c r="O333" s="60">
        <f t="shared" si="335"/>
        <v>1</v>
      </c>
      <c r="P333" s="60">
        <f t="shared" si="335"/>
        <v>0.9090909091</v>
      </c>
      <c r="Q333" s="60">
        <f t="shared" si="335"/>
        <v>0.7272727273</v>
      </c>
      <c r="R333" s="60">
        <f t="shared" si="335"/>
        <v>1</v>
      </c>
      <c r="S333" s="60">
        <f t="shared" si="335"/>
        <v>0.5714285714</v>
      </c>
      <c r="T333" s="60">
        <f t="shared" si="3"/>
        <v>0.9375</v>
      </c>
      <c r="U333" s="53">
        <f t="shared" si="4"/>
        <v>3</v>
      </c>
      <c r="V333" s="54">
        <f t="shared" si="5"/>
        <v>3</v>
      </c>
    </row>
    <row r="334" ht="15.0" customHeight="1">
      <c r="A334" s="55" t="str">
        <f>SiteAttendu!$A332</f>
        <v>C1750</v>
      </c>
      <c r="B334" s="56" t="str">
        <f>VLOOKUP($A334,SiteAttendu!$A$2:$C$366,2,0)</f>
        <v>CENTRE ANTITUBERCULEUX ABOISSO</v>
      </c>
      <c r="C334" s="57" t="str">
        <f>VLOOKUP($A334,SiteAttendu!$A$2:$C$366,3,0)</f>
        <v>SUD-COMOE</v>
      </c>
      <c r="D334" s="58" t="str">
        <f>IF(VLOOKUP(A334,SiteAttendu!$A$2:$P$366,4,0)="NA","NA",COUNTIFS(soccode,A334,socprog,"PNLS/ANTIRETROVIRAUX ET IO",socprompt,1))</f>
        <v>NA</v>
      </c>
      <c r="E334" s="58" t="str">
        <f>IF(VLOOKUP($A334,SiteAttendu!$A$2:$O$366,5,0)="NA","NA",COUNTIFS(soccode,A334,socprog,"PNLS/TESTS RAPIDES ET CONSOMMABLES",socprompt,1))</f>
        <v>NA</v>
      </c>
      <c r="F334" s="58" t="str">
        <f>IF(VLOOKUP($A334,SiteAttendu!$A$2:$O$366,6,0)="NA","NA",COUNTIFS(soccode,A334,socprog,"PNLS/PRODUITS DE LABORATOIRE",socprompt,1))</f>
        <v>NA</v>
      </c>
      <c r="G334" s="58" t="str">
        <f>IF(VLOOKUP($A334,SiteAttendu!$A$2:$O$366,7,0)="NA","NA",COUNTIFS(soccode,A334,socprog,"PNLS/CHARGES VIRALES",socprompt,1))</f>
        <v>NA</v>
      </c>
      <c r="H334" s="58" t="str">
        <f>IF(VLOOKUP($A334,SiteAttendu!$A$2:$O$366,9,0)="NA","NA",COUNTIFS(soccode,A334,socprog,"PNLP/MEDICAMENTS ET INTRANTS",socprompt,1))</f>
        <v>NA</v>
      </c>
      <c r="I334" s="58" t="str">
        <f>IF(VLOOKUP($A334,SiteAttendu!$A$2:$O$366,10,0)="NA","NA",COUNTIFS(soccode,$A334,socprog,"PNSME/MEDICAMENTS ET INTRANTS",socprompt,1))</f>
        <v>NA</v>
      </c>
      <c r="J334" s="58" t="str">
        <f>IF(VLOOKUP($A334,SiteAttendu!$A$2:$O$366,11,0)="NA","NA",COUNTIFS(soccode,$A334,socprog,"PNN/MEDICAMENTS ET INTRANTS",socprompt,1))</f>
        <v>NA</v>
      </c>
      <c r="K334" s="58">
        <f>IF(VLOOKUP($A334,SiteAttendu!$A$2:$O$366,15,0)="NA","NA",IF(COUNTIF(socprog,"PNLT/SENSIBLE MEDICAMENTS ET INTRANTS")=0,"NA",COUNTIFS(soccode,$A334,socprog,"PNLT/SENSIBLE MEDICAMENTS ET INTRANTS",socprompt,1)))</f>
        <v>0</v>
      </c>
      <c r="L334" s="60"/>
      <c r="M334" s="60">
        <f t="shared" ref="M334:S334" si="336">IFERROR(SUMIFS(E$2:E$364,$C$2:$C$364,$C334)/COUNTIFS(E$2:E$364,"&lt;&gt;NA",$C$2:$C$364,$C334),"")</f>
        <v>0.9090909091</v>
      </c>
      <c r="N334" s="60">
        <f t="shared" si="336"/>
        <v>1</v>
      </c>
      <c r="O334" s="60">
        <f t="shared" si="336"/>
        <v>1</v>
      </c>
      <c r="P334" s="60">
        <f t="shared" si="336"/>
        <v>0.9090909091</v>
      </c>
      <c r="Q334" s="60">
        <f t="shared" si="336"/>
        <v>0.7272727273</v>
      </c>
      <c r="R334" s="60">
        <f t="shared" si="336"/>
        <v>1</v>
      </c>
      <c r="S334" s="60">
        <f t="shared" si="336"/>
        <v>0.5714285714</v>
      </c>
      <c r="T334" s="60">
        <f t="shared" si="3"/>
        <v>0.9375</v>
      </c>
      <c r="U334" s="53">
        <f t="shared" si="4"/>
        <v>0</v>
      </c>
      <c r="V334" s="54">
        <f t="shared" si="5"/>
        <v>0</v>
      </c>
    </row>
    <row r="335" ht="15.0" customHeight="1">
      <c r="A335" s="55" t="str">
        <f>SiteAttendu!$A333</f>
        <v>C1044</v>
      </c>
      <c r="B335" s="56" t="str">
        <f>VLOOKUP($A335,SiteAttendu!$A$2:$C$366,2,0)</f>
        <v>DISTRICT SANITAIRE ADIAKE</v>
      </c>
      <c r="C335" s="57" t="str">
        <f>VLOOKUP($A335,SiteAttendu!$A$2:$C$366,3,0)</f>
        <v>SUD-COMOE</v>
      </c>
      <c r="D335" s="58">
        <f>IF(VLOOKUP(A335,SiteAttendu!$A$2:$P$366,4,0)="NA","NA",COUNTIFS(soccode,A335,socprog,"PNLS/ANTIRETROVIRAUX ET IO",socprompt,1))</f>
        <v>1</v>
      </c>
      <c r="E335" s="58">
        <f>IF(VLOOKUP($A335,SiteAttendu!$A$2:$O$366,5,0)="NA","NA",COUNTIFS(soccode,A335,socprog,"PNLS/TESTS RAPIDES ET CONSOMMABLES",socprompt,1))</f>
        <v>1</v>
      </c>
      <c r="F335" s="58" t="str">
        <f>IF(VLOOKUP($A335,SiteAttendu!$A$2:$O$366,6,0)="NA","NA",COUNTIFS(soccode,A335,socprog,"PNLS/PRODUITS DE LABORATOIRE",socprompt,1))</f>
        <v>NA</v>
      </c>
      <c r="G335" s="58" t="str">
        <f>IF(VLOOKUP($A335,SiteAttendu!$A$2:$O$366,7,0)="NA","NA",COUNTIFS(soccode,A335,socprog,"PNLS/CHARGES VIRALES",socprompt,1))</f>
        <v>NA</v>
      </c>
      <c r="H335" s="58">
        <f>IF(VLOOKUP($A335,SiteAttendu!$A$2:$O$366,9,0)="NA","NA",COUNTIFS(soccode,A335,socprog,"PNLP/MEDICAMENTS ET INTRANTS",socprompt,1))</f>
        <v>1</v>
      </c>
      <c r="I335" s="58">
        <f>IF(VLOOKUP($A335,SiteAttendu!$A$2:$O$366,10,0)="NA","NA",COUNTIFS(soccode,$A335,socprog,"PNSME/MEDICAMENTS ET INTRANTS",socprompt,1))</f>
        <v>1</v>
      </c>
      <c r="J335" s="58" t="str">
        <f>IF(VLOOKUP($A335,SiteAttendu!$A$2:$O$366,11,0)="NA","NA",COUNTIFS(soccode,$A335,socprog,"PNN/MEDICAMENTS ET INTRANTS",socprompt,1))</f>
        <v>NA</v>
      </c>
      <c r="K335" s="58" t="str">
        <f>IF(VLOOKUP($A335,SiteAttendu!$A$2:$O$366,15,0)="NA","NA",IF(COUNTIF(socprog,"PNLT/SENSIBLE MEDICAMENTS ET INTRANTS")=0,"NA",COUNTIFS(soccode,$A335,socprog,"PNLT/SENSIBLE MEDICAMENTS ET INTRANTS",socprompt,1)))</f>
        <v>NA</v>
      </c>
      <c r="L335" s="60"/>
      <c r="M335" s="60">
        <f t="shared" ref="M335:S335" si="337">IFERROR(SUMIFS(E$2:E$364,$C$2:$C$364,$C335)/COUNTIFS(E$2:E$364,"&lt;&gt;NA",$C$2:$C$364,$C335),"")</f>
        <v>0.9090909091</v>
      </c>
      <c r="N335" s="60">
        <f t="shared" si="337"/>
        <v>1</v>
      </c>
      <c r="O335" s="60">
        <f t="shared" si="337"/>
        <v>1</v>
      </c>
      <c r="P335" s="60">
        <f t="shared" si="337"/>
        <v>0.9090909091</v>
      </c>
      <c r="Q335" s="60">
        <f t="shared" si="337"/>
        <v>0.7272727273</v>
      </c>
      <c r="R335" s="60">
        <f t="shared" si="337"/>
        <v>1</v>
      </c>
      <c r="S335" s="60">
        <f t="shared" si="337"/>
        <v>0.5714285714</v>
      </c>
      <c r="T335" s="60">
        <f t="shared" si="3"/>
        <v>0.9375</v>
      </c>
      <c r="U335" s="53">
        <f t="shared" si="4"/>
        <v>2</v>
      </c>
      <c r="V335" s="54">
        <f t="shared" si="5"/>
        <v>2</v>
      </c>
    </row>
    <row r="336" ht="15.0" customHeight="1">
      <c r="A336" s="55" t="str">
        <f>SiteAttendu!$A334</f>
        <v>C1082</v>
      </c>
      <c r="B336" s="56" t="str">
        <f>VLOOKUP($A336,SiteAttendu!$A$2:$C$366,2,0)</f>
        <v>HOPITAL GENERAL ADIAKE</v>
      </c>
      <c r="C336" s="57" t="str">
        <f>VLOOKUP($A336,SiteAttendu!$A$2:$C$366,3,0)</f>
        <v>SUD-COMOE</v>
      </c>
      <c r="D336" s="58">
        <f>IF(VLOOKUP(A336,SiteAttendu!$A$2:$P$366,4,0)="NA","NA",COUNTIFS(soccode,A336,socprog,"PNLS/ANTIRETROVIRAUX ET IO",socprompt,1))</f>
        <v>1</v>
      </c>
      <c r="E336" s="58">
        <f>IF(VLOOKUP($A336,SiteAttendu!$A$2:$O$366,5,0)="NA","NA",COUNTIFS(soccode,A336,socprog,"PNLS/TESTS RAPIDES ET CONSOMMABLES",socprompt,1))</f>
        <v>1</v>
      </c>
      <c r="F336" s="58">
        <f>IF(VLOOKUP($A336,SiteAttendu!$A$2:$O$366,6,0)="NA","NA",COUNTIFS(soccode,A336,socprog,"PNLS/PRODUITS DE LABORATOIRE",socprompt,1))</f>
        <v>1</v>
      </c>
      <c r="G336" s="58" t="str">
        <f>IF(VLOOKUP($A336,SiteAttendu!$A$2:$O$366,7,0)="NA","NA",COUNTIFS(soccode,A336,socprog,"PNLS/CHARGES VIRALES",socprompt,1))</f>
        <v>NA</v>
      </c>
      <c r="H336" s="58">
        <f>IF(VLOOKUP($A336,SiteAttendu!$A$2:$O$366,9,0)="NA","NA",COUNTIFS(soccode,A336,socprog,"PNLP/MEDICAMENTS ET INTRANTS",socprompt,1))</f>
        <v>1</v>
      </c>
      <c r="I336" s="58">
        <f>IF(VLOOKUP($A336,SiteAttendu!$A$2:$O$366,10,0)="NA","NA",COUNTIFS(soccode,$A336,socprog,"PNSME/MEDICAMENTS ET INTRANTS",socprompt,1))</f>
        <v>1</v>
      </c>
      <c r="J336" s="58" t="str">
        <f>IF(VLOOKUP($A336,SiteAttendu!$A$2:$O$366,11,0)="NA","NA",COUNTIFS(soccode,$A336,socprog,"PNN/MEDICAMENTS ET INTRANTS",socprompt,1))</f>
        <v>NA</v>
      </c>
      <c r="K336" s="58">
        <f>IF(VLOOKUP($A336,SiteAttendu!$A$2:$O$366,15,0)="NA","NA",IF(COUNTIF(socprog,"PNLT/SENSIBLE MEDICAMENTS ET INTRANTS")=0,"NA",COUNTIFS(soccode,$A336,socprog,"PNLT/SENSIBLE MEDICAMENTS ET INTRANTS",socprompt,1)))</f>
        <v>1</v>
      </c>
      <c r="L336" s="60"/>
      <c r="M336" s="60">
        <f t="shared" ref="M336:S336" si="338">IFERROR(SUMIFS(E$2:E$364,$C$2:$C$364,$C336)/COUNTIFS(E$2:E$364,"&lt;&gt;NA",$C$2:$C$364,$C336),"")</f>
        <v>0.9090909091</v>
      </c>
      <c r="N336" s="60">
        <f t="shared" si="338"/>
        <v>1</v>
      </c>
      <c r="O336" s="60">
        <f t="shared" si="338"/>
        <v>1</v>
      </c>
      <c r="P336" s="60">
        <f t="shared" si="338"/>
        <v>0.9090909091</v>
      </c>
      <c r="Q336" s="60">
        <f t="shared" si="338"/>
        <v>0.7272727273</v>
      </c>
      <c r="R336" s="60">
        <f t="shared" si="338"/>
        <v>1</v>
      </c>
      <c r="S336" s="60">
        <f t="shared" si="338"/>
        <v>0.5714285714</v>
      </c>
      <c r="T336" s="60">
        <f t="shared" si="3"/>
        <v>0.9375</v>
      </c>
      <c r="U336" s="53">
        <f t="shared" si="4"/>
        <v>3</v>
      </c>
      <c r="V336" s="54">
        <f t="shared" si="5"/>
        <v>3</v>
      </c>
    </row>
    <row r="337" ht="15.0" customHeight="1">
      <c r="A337" s="55" t="str">
        <f>SiteAttendu!$A335</f>
        <v>C1679</v>
      </c>
      <c r="B337" s="56" t="str">
        <f>VLOOKUP($A337,SiteAttendu!$A$2:$C$366,2,0)</f>
        <v>HOPITAL GENERAL TIAPOUM</v>
      </c>
      <c r="C337" s="57" t="str">
        <f>VLOOKUP($A337,SiteAttendu!$A$2:$C$366,3,0)</f>
        <v>SUD-COMOE</v>
      </c>
      <c r="D337" s="58">
        <f>IF(VLOOKUP(A337,SiteAttendu!$A$2:$P$366,4,0)="NA","NA",COUNTIFS(soccode,A337,socprog,"PNLS/ANTIRETROVIRAUX ET IO",socprompt,1))</f>
        <v>1</v>
      </c>
      <c r="E337" s="58">
        <f>IF(VLOOKUP($A337,SiteAttendu!$A$2:$O$366,5,0)="NA","NA",COUNTIFS(soccode,A337,socprog,"PNLS/TESTS RAPIDES ET CONSOMMABLES",socprompt,1))</f>
        <v>1</v>
      </c>
      <c r="F337" s="58">
        <f>IF(VLOOKUP($A337,SiteAttendu!$A$2:$O$366,6,0)="NA","NA",COUNTIFS(soccode,A337,socprog,"PNLS/PRODUITS DE LABORATOIRE",socprompt,1))</f>
        <v>1</v>
      </c>
      <c r="G337" s="58" t="str">
        <f>IF(VLOOKUP($A337,SiteAttendu!$A$2:$O$366,7,0)="NA","NA",COUNTIFS(soccode,A337,socprog,"PNLS/CHARGES VIRALES",socprompt,1))</f>
        <v>NA</v>
      </c>
      <c r="H337" s="58">
        <f>IF(VLOOKUP($A337,SiteAttendu!$A$2:$O$366,9,0)="NA","NA",COUNTIFS(soccode,A337,socprog,"PNLP/MEDICAMENTS ET INTRANTS",socprompt,1))</f>
        <v>1</v>
      </c>
      <c r="I337" s="58">
        <f>IF(VLOOKUP($A337,SiteAttendu!$A$2:$O$366,10,0)="NA","NA",COUNTIFS(soccode,$A337,socprog,"PNSME/MEDICAMENTS ET INTRANTS",socprompt,1))</f>
        <v>1</v>
      </c>
      <c r="J337" s="58" t="str">
        <f>IF(VLOOKUP($A337,SiteAttendu!$A$2:$O$366,11,0)="NA","NA",COUNTIFS(soccode,$A337,socprog,"PNN/MEDICAMENTS ET INTRANTS",socprompt,1))</f>
        <v>NA</v>
      </c>
      <c r="K337" s="58" t="str">
        <f>IF(VLOOKUP($A337,SiteAttendu!$A$2:$O$366,15,0)="NA","NA",IF(COUNTIF(socprog,"PNLT/SENSIBLE MEDICAMENTS ET INTRANTS")=0,"NA",COUNTIFS(soccode,$A337,socprog,"PNLT/SENSIBLE MEDICAMENTS ET INTRANTS",socprompt,1)))</f>
        <v>NA</v>
      </c>
      <c r="L337" s="60"/>
      <c r="M337" s="60">
        <f t="shared" ref="M337:S337" si="339">IFERROR(SUMIFS(E$2:E$364,$C$2:$C$364,$C337)/COUNTIFS(E$2:E$364,"&lt;&gt;NA",$C$2:$C$364,$C337),"")</f>
        <v>0.9090909091</v>
      </c>
      <c r="N337" s="60">
        <f t="shared" si="339"/>
        <v>1</v>
      </c>
      <c r="O337" s="60">
        <f t="shared" si="339"/>
        <v>1</v>
      </c>
      <c r="P337" s="60">
        <f t="shared" si="339"/>
        <v>0.9090909091</v>
      </c>
      <c r="Q337" s="60">
        <f t="shared" si="339"/>
        <v>0.7272727273</v>
      </c>
      <c r="R337" s="60">
        <f t="shared" si="339"/>
        <v>1</v>
      </c>
      <c r="S337" s="60">
        <f t="shared" si="339"/>
        <v>0.5714285714</v>
      </c>
      <c r="T337" s="60">
        <f t="shared" si="3"/>
        <v>0.9375</v>
      </c>
      <c r="U337" s="53">
        <f t="shared" si="4"/>
        <v>3</v>
      </c>
      <c r="V337" s="54">
        <f t="shared" si="5"/>
        <v>3</v>
      </c>
    </row>
    <row r="338" ht="15.0" customHeight="1">
      <c r="A338" s="55" t="str">
        <f>SiteAttendu!$A336</f>
        <v>C1048</v>
      </c>
      <c r="B338" s="56" t="str">
        <f>VLOOKUP($A338,SiteAttendu!$A$2:$C$366,2,0)</f>
        <v>DISTRICT SANITAIRE GRAND-BASSAM</v>
      </c>
      <c r="C338" s="57" t="str">
        <f>VLOOKUP($A338,SiteAttendu!$A$2:$C$366,3,0)</f>
        <v>SUD-COMOE</v>
      </c>
      <c r="D338" s="58">
        <f>IF(VLOOKUP(A338,SiteAttendu!$A$2:$P$366,4,0)="NA","NA",COUNTIFS(soccode,A338,socprog,"PNLS/ANTIRETROVIRAUX ET IO",socprompt,1))</f>
        <v>1</v>
      </c>
      <c r="E338" s="58">
        <f>IF(VLOOKUP($A338,SiteAttendu!$A$2:$O$366,5,0)="NA","NA",COUNTIFS(soccode,A338,socprog,"PNLS/TESTS RAPIDES ET CONSOMMABLES",socprompt,1))</f>
        <v>1</v>
      </c>
      <c r="F338" s="58">
        <f>IF(VLOOKUP($A338,SiteAttendu!$A$2:$O$366,6,0)="NA","NA",COUNTIFS(soccode,A338,socprog,"PNLS/PRODUITS DE LABORATOIRE",socprompt,1))</f>
        <v>1</v>
      </c>
      <c r="G338" s="58" t="str">
        <f>IF(VLOOKUP($A338,SiteAttendu!$A$2:$O$366,7,0)="NA","NA",COUNTIFS(soccode,A338,socprog,"PNLS/CHARGES VIRALES",socprompt,1))</f>
        <v>NA</v>
      </c>
      <c r="H338" s="58">
        <f>IF(VLOOKUP($A338,SiteAttendu!$A$2:$O$366,9,0)="NA","NA",COUNTIFS(soccode,A338,socprog,"PNLP/MEDICAMENTS ET INTRANTS",socprompt,1))</f>
        <v>1</v>
      </c>
      <c r="I338" s="58">
        <f>IF(VLOOKUP($A338,SiteAttendu!$A$2:$O$366,10,0)="NA","NA",COUNTIFS(soccode,$A338,socprog,"PNSME/MEDICAMENTS ET INTRANTS",socprompt,1))</f>
        <v>1</v>
      </c>
      <c r="J338" s="58">
        <f>IF(VLOOKUP($A338,SiteAttendu!$A$2:$O$366,11,0)="NA","NA",COUNTIFS(soccode,$A338,socprog,"PNN/MEDICAMENTS ET INTRANTS",socprompt,1))</f>
        <v>1</v>
      </c>
      <c r="K338" s="58" t="str">
        <f>IF(VLOOKUP($A338,SiteAttendu!$A$2:$O$366,15,0)="NA","NA",IF(COUNTIF(socprog,"PNLT/SENSIBLE MEDICAMENTS ET INTRANTS")=0,"NA",COUNTIFS(soccode,$A338,socprog,"PNLT/SENSIBLE MEDICAMENTS ET INTRANTS",socprompt,1)))</f>
        <v>NA</v>
      </c>
      <c r="L338" s="60"/>
      <c r="M338" s="60">
        <f t="shared" ref="M338:S338" si="340">IFERROR(SUMIFS(E$2:E$364,$C$2:$C$364,$C338)/COUNTIFS(E$2:E$364,"&lt;&gt;NA",$C$2:$C$364,$C338),"")</f>
        <v>0.9090909091</v>
      </c>
      <c r="N338" s="60">
        <f t="shared" si="340"/>
        <v>1</v>
      </c>
      <c r="O338" s="60">
        <f t="shared" si="340"/>
        <v>1</v>
      </c>
      <c r="P338" s="60">
        <f t="shared" si="340"/>
        <v>0.9090909091</v>
      </c>
      <c r="Q338" s="60">
        <f t="shared" si="340"/>
        <v>0.7272727273</v>
      </c>
      <c r="R338" s="60">
        <f t="shared" si="340"/>
        <v>1</v>
      </c>
      <c r="S338" s="60">
        <f t="shared" si="340"/>
        <v>0.5714285714</v>
      </c>
      <c r="T338" s="60">
        <f t="shared" si="3"/>
        <v>0.9375</v>
      </c>
      <c r="U338" s="53">
        <f t="shared" si="4"/>
        <v>3</v>
      </c>
      <c r="V338" s="54">
        <f t="shared" si="5"/>
        <v>3</v>
      </c>
    </row>
    <row r="339" ht="15.0" customHeight="1">
      <c r="A339" s="55" t="str">
        <f>SiteAttendu!$A337</f>
        <v>C1087</v>
      </c>
      <c r="B339" s="56" t="str">
        <f>VLOOKUP($A339,SiteAttendu!$A$2:$C$366,2,0)</f>
        <v>HOPITAL GENERAL BONOUA</v>
      </c>
      <c r="C339" s="57" t="str">
        <f>VLOOKUP($A339,SiteAttendu!$A$2:$C$366,3,0)</f>
        <v>SUD-COMOE</v>
      </c>
      <c r="D339" s="58">
        <f>IF(VLOOKUP(A339,SiteAttendu!$A$2:$P$366,4,0)="NA","NA",COUNTIFS(soccode,A339,socprog,"PNLS/ANTIRETROVIRAUX ET IO",socprompt,1))</f>
        <v>1</v>
      </c>
      <c r="E339" s="58">
        <f>IF(VLOOKUP($A339,SiteAttendu!$A$2:$O$366,5,0)="NA","NA",COUNTIFS(soccode,A339,socprog,"PNLS/TESTS RAPIDES ET CONSOMMABLES",socprompt,1))</f>
        <v>1</v>
      </c>
      <c r="F339" s="58">
        <f>IF(VLOOKUP($A339,SiteAttendu!$A$2:$O$366,6,0)="NA","NA",COUNTIFS(soccode,A339,socprog,"PNLS/PRODUITS DE LABORATOIRE",socprompt,1))</f>
        <v>1</v>
      </c>
      <c r="G339" s="58" t="str">
        <f>IF(VLOOKUP($A339,SiteAttendu!$A$2:$O$366,7,0)="NA","NA",COUNTIFS(soccode,A339,socprog,"PNLS/CHARGES VIRALES",socprompt,1))</f>
        <v>NA</v>
      </c>
      <c r="H339" s="58">
        <f>IF(VLOOKUP($A339,SiteAttendu!$A$2:$O$366,9,0)="NA","NA",COUNTIFS(soccode,A339,socprog,"PNLP/MEDICAMENTS ET INTRANTS",socprompt,1))</f>
        <v>1</v>
      </c>
      <c r="I339" s="58">
        <f>IF(VLOOKUP($A339,SiteAttendu!$A$2:$O$366,10,0)="NA","NA",COUNTIFS(soccode,$A339,socprog,"PNSME/MEDICAMENTS ET INTRANTS",socprompt,1))</f>
        <v>1</v>
      </c>
      <c r="J339" s="58" t="str">
        <f>IF(VLOOKUP($A339,SiteAttendu!$A$2:$O$366,11,0)="NA","NA",COUNTIFS(soccode,$A339,socprog,"PNN/MEDICAMENTS ET INTRANTS",socprompt,1))</f>
        <v>NA</v>
      </c>
      <c r="K339" s="58">
        <f>IF(VLOOKUP($A339,SiteAttendu!$A$2:$O$366,15,0)="NA","NA",IF(COUNTIF(socprog,"PNLT/SENSIBLE MEDICAMENTS ET INTRANTS")=0,"NA",COUNTIFS(soccode,$A339,socprog,"PNLT/SENSIBLE MEDICAMENTS ET INTRANTS",socprompt,1)))</f>
        <v>0</v>
      </c>
      <c r="L339" s="60"/>
      <c r="M339" s="60">
        <f t="shared" ref="M339:S339" si="341">IFERROR(SUMIFS(E$2:E$364,$C$2:$C$364,$C339)/COUNTIFS(E$2:E$364,"&lt;&gt;NA",$C$2:$C$364,$C339),"")</f>
        <v>0.9090909091</v>
      </c>
      <c r="N339" s="60">
        <f t="shared" si="341"/>
        <v>1</v>
      </c>
      <c r="O339" s="60">
        <f t="shared" si="341"/>
        <v>1</v>
      </c>
      <c r="P339" s="60">
        <f t="shared" si="341"/>
        <v>0.9090909091</v>
      </c>
      <c r="Q339" s="60">
        <f t="shared" si="341"/>
        <v>0.7272727273</v>
      </c>
      <c r="R339" s="60">
        <f t="shared" si="341"/>
        <v>1</v>
      </c>
      <c r="S339" s="60">
        <f t="shared" si="341"/>
        <v>0.5714285714</v>
      </c>
      <c r="T339" s="60">
        <f t="shared" si="3"/>
        <v>0.9375</v>
      </c>
      <c r="U339" s="53">
        <f t="shared" si="4"/>
        <v>3</v>
      </c>
      <c r="V339" s="54">
        <f t="shared" si="5"/>
        <v>3</v>
      </c>
    </row>
    <row r="340" ht="15.0" customHeight="1">
      <c r="A340" s="55" t="str">
        <f>SiteAttendu!$A338</f>
        <v>C1090</v>
      </c>
      <c r="B340" s="56" t="str">
        <f>VLOOKUP($A340,SiteAttendu!$A$2:$C$366,2,0)</f>
        <v>HOPITAL GENERAL GRAND-BASSAM</v>
      </c>
      <c r="C340" s="57" t="str">
        <f>VLOOKUP($A340,SiteAttendu!$A$2:$C$366,3,0)</f>
        <v>SUD-COMOE</v>
      </c>
      <c r="D340" s="58">
        <f>IF(VLOOKUP(A340,SiteAttendu!$A$2:$P$366,4,0)="NA","NA",COUNTIFS(soccode,A340,socprog,"PNLS/ANTIRETROVIRAUX ET IO",socprompt,1))</f>
        <v>1</v>
      </c>
      <c r="E340" s="58">
        <f>IF(VLOOKUP($A340,SiteAttendu!$A$2:$O$366,5,0)="NA","NA",COUNTIFS(soccode,A340,socprog,"PNLS/TESTS RAPIDES ET CONSOMMABLES",socprompt,1))</f>
        <v>1</v>
      </c>
      <c r="F340" s="58">
        <f>IF(VLOOKUP($A340,SiteAttendu!$A$2:$O$366,6,0)="NA","NA",COUNTIFS(soccode,A340,socprog,"PNLS/PRODUITS DE LABORATOIRE",socprompt,1))</f>
        <v>1</v>
      </c>
      <c r="G340" s="58">
        <f>IF(VLOOKUP($A340,SiteAttendu!$A$2:$O$366,7,0)="NA","NA",COUNTIFS(soccode,A340,socprog,"PNLS/CHARGES VIRALES",socprompt,1))</f>
        <v>1</v>
      </c>
      <c r="H340" s="58">
        <f>IF(VLOOKUP($A340,SiteAttendu!$A$2:$O$366,9,0)="NA","NA",COUNTIFS(soccode,A340,socprog,"PNLP/MEDICAMENTS ET INTRANTS",socprompt,1))</f>
        <v>1</v>
      </c>
      <c r="I340" s="58">
        <f>IF(VLOOKUP($A340,SiteAttendu!$A$2:$O$366,10,0)="NA","NA",COUNTIFS(soccode,$A340,socprog,"PNSME/MEDICAMENTS ET INTRANTS",socprompt,1))</f>
        <v>1</v>
      </c>
      <c r="J340" s="58">
        <f>IF(VLOOKUP($A340,SiteAttendu!$A$2:$O$366,11,0)="NA","NA",COUNTIFS(soccode,$A340,socprog,"PNN/MEDICAMENTS ET INTRANTS",socprompt,1))</f>
        <v>1</v>
      </c>
      <c r="K340" s="58">
        <f>IF(VLOOKUP($A340,SiteAttendu!$A$2:$O$366,15,0)="NA","NA",IF(COUNTIF(socprog,"PNLT/SENSIBLE MEDICAMENTS ET INTRANTS")=0,"NA",COUNTIFS(soccode,$A340,socprog,"PNLT/SENSIBLE MEDICAMENTS ET INTRANTS",socprompt,1)))</f>
        <v>1</v>
      </c>
      <c r="L340" s="60"/>
      <c r="M340" s="60">
        <f t="shared" ref="M340:S340" si="342">IFERROR(SUMIFS(E$2:E$364,$C$2:$C$364,$C340)/COUNTIFS(E$2:E$364,"&lt;&gt;NA",$C$2:$C$364,$C340),"")</f>
        <v>0.9090909091</v>
      </c>
      <c r="N340" s="60">
        <f t="shared" si="342"/>
        <v>1</v>
      </c>
      <c r="O340" s="60">
        <f t="shared" si="342"/>
        <v>1</v>
      </c>
      <c r="P340" s="60">
        <f t="shared" si="342"/>
        <v>0.9090909091</v>
      </c>
      <c r="Q340" s="60">
        <f t="shared" si="342"/>
        <v>0.7272727273</v>
      </c>
      <c r="R340" s="60">
        <f t="shared" si="342"/>
        <v>1</v>
      </c>
      <c r="S340" s="60">
        <f t="shared" si="342"/>
        <v>0.5714285714</v>
      </c>
      <c r="T340" s="60">
        <f t="shared" si="3"/>
        <v>0.9375</v>
      </c>
      <c r="U340" s="53">
        <f t="shared" si="4"/>
        <v>4</v>
      </c>
      <c r="V340" s="54">
        <f t="shared" si="5"/>
        <v>4</v>
      </c>
    </row>
    <row r="341" ht="15.0" customHeight="1">
      <c r="A341" s="62" t="str">
        <f>SiteAttendu!$A339</f>
        <v>C1764</v>
      </c>
      <c r="B341" s="63" t="str">
        <f>VLOOKUP($A341,SiteAttendu!$A$2:$C$366,2,0)</f>
        <v>DISTRICT SANITAIRE TIAPOUM</v>
      </c>
      <c r="C341" s="64" t="str">
        <f>VLOOKUP($A341,SiteAttendu!$A$2:$C$366,3,0)</f>
        <v>SUD-COMOE</v>
      </c>
      <c r="D341" s="65">
        <f>IF(VLOOKUP(A341,SiteAttendu!$A$2:$P$366,4,0)="NA","NA",COUNTIFS(soccode,A341,socprog,"PNLS/ANTIRETROVIRAUX ET IO",socprompt,1))</f>
        <v>1</v>
      </c>
      <c r="E341" s="65">
        <f>IF(VLOOKUP($A341,SiteAttendu!$A$2:$O$366,5,0)="NA","NA",COUNTIFS(soccode,A341,socprog,"PNLS/TESTS RAPIDES ET CONSOMMABLES",socprompt,1))</f>
        <v>1</v>
      </c>
      <c r="F341" s="65" t="str">
        <f>IF(VLOOKUP($A341,SiteAttendu!$A$2:$O$366,6,0)="NA","NA",COUNTIFS(soccode,A341,socprog,"PNLS/PRODUITS DE LABORATOIRE",socprompt,1))</f>
        <v>NA</v>
      </c>
      <c r="G341" s="65" t="str">
        <f>IF(VLOOKUP($A341,SiteAttendu!$A$2:$O$366,7,0)="NA","NA",COUNTIFS(soccode,A341,socprog,"PNLS/CHARGES VIRALES",socprompt,1))</f>
        <v>NA</v>
      </c>
      <c r="H341" s="65">
        <f>IF(VLOOKUP($A341,SiteAttendu!$A$2:$O$366,9,0)="NA","NA",COUNTIFS(soccode,A341,socprog,"PNLP/MEDICAMENTS ET INTRANTS",socprompt,1))</f>
        <v>1</v>
      </c>
      <c r="I341" s="65">
        <f>IF(VLOOKUP($A341,SiteAttendu!$A$2:$O$366,10,0)="NA","NA",COUNTIFS(soccode,$A341,socprog,"PNSME/MEDICAMENTS ET INTRANTS",socprompt,1))</f>
        <v>1</v>
      </c>
      <c r="J341" s="65" t="str">
        <f>IF(VLOOKUP($A341,SiteAttendu!$A$2:$O$366,11,0)="NA","NA",COUNTIFS(soccode,$A341,socprog,"PNN/MEDICAMENTS ET INTRANTS",socprompt,1))</f>
        <v>NA</v>
      </c>
      <c r="K341" s="65" t="str">
        <f>IF(VLOOKUP($A341,SiteAttendu!$A$2:$O$366,15,0)="NA","NA",IF(COUNTIF(socprog,"PNLT/SENSIBLE MEDICAMENTS ET INTRANTS")=0,"NA",COUNTIFS(soccode,$A341,socprog,"PNLT/SENSIBLE MEDICAMENTS ET INTRANTS",socprompt,1)))</f>
        <v>NA</v>
      </c>
      <c r="L341" s="67"/>
      <c r="M341" s="67">
        <f t="shared" ref="M341:S341" si="343">IFERROR(SUMIFS(E$2:E$364,$C$2:$C$364,$C341)/COUNTIFS(E$2:E$364,"&lt;&gt;NA",$C$2:$C$364,$C341),"")</f>
        <v>0.9090909091</v>
      </c>
      <c r="N341" s="67">
        <f t="shared" si="343"/>
        <v>1</v>
      </c>
      <c r="O341" s="67">
        <f t="shared" si="343"/>
        <v>1</v>
      </c>
      <c r="P341" s="67">
        <f t="shared" si="343"/>
        <v>0.9090909091</v>
      </c>
      <c r="Q341" s="67">
        <f t="shared" si="343"/>
        <v>0.7272727273</v>
      </c>
      <c r="R341" s="67">
        <f t="shared" si="343"/>
        <v>1</v>
      </c>
      <c r="S341" s="67">
        <f t="shared" si="343"/>
        <v>0.5714285714</v>
      </c>
      <c r="T341" s="67">
        <f t="shared" si="3"/>
        <v>0.9375</v>
      </c>
      <c r="U341" s="53">
        <f t="shared" si="4"/>
        <v>2</v>
      </c>
      <c r="V341" s="54">
        <f t="shared" si="5"/>
        <v>2</v>
      </c>
    </row>
    <row r="342" ht="15.0" customHeight="1">
      <c r="A342" s="81" t="str">
        <f>SiteAttendu!$A340</f>
        <v>C3004</v>
      </c>
      <c r="B342" s="82" t="str">
        <f>VLOOKUP($A342,SiteAttendu!$A$2:$C$366,2,0)</f>
        <v>DISTRICT SANITAIRE FERKESSEDOUGOU</v>
      </c>
      <c r="C342" s="88" t="str">
        <f>VLOOKUP($A342,SiteAttendu!$A$2:$C$366,3,0)</f>
        <v>TCHOLOGO</v>
      </c>
      <c r="D342" s="84">
        <f>IF(VLOOKUP(A342,SiteAttendu!$A$2:$P$366,4,0)="NA","NA",COUNTIFS(soccode,A342,socprog,"PNLS/ANTIRETROVIRAUX ET IO",socprompt,1))</f>
        <v>0</v>
      </c>
      <c r="E342" s="84">
        <f>IF(VLOOKUP($A342,SiteAttendu!$A$2:$O$366,5,0)="NA","NA",COUNTIFS(soccode,A342,socprog,"PNLS/TESTS RAPIDES ET CONSOMMABLES",socprompt,1))</f>
        <v>0</v>
      </c>
      <c r="F342" s="84">
        <f>IF(VLOOKUP($A342,SiteAttendu!$A$2:$O$366,6,0)="NA","NA",COUNTIFS(soccode,A342,socprog,"PNLS/PRODUITS DE LABORATOIRE",socprompt,1))</f>
        <v>0</v>
      </c>
      <c r="G342" s="84" t="str">
        <f>IF(VLOOKUP($A342,SiteAttendu!$A$2:$O$366,7,0)="NA","NA",COUNTIFS(soccode,A342,socprog,"PNLS/CHARGES VIRALES",socprompt,1))</f>
        <v>NA</v>
      </c>
      <c r="H342" s="84">
        <f>IF(VLOOKUP($A342,SiteAttendu!$A$2:$O$366,9,0)="NA","NA",COUNTIFS(soccode,A342,socprog,"PNLP/MEDICAMENTS ET INTRANTS",socprompt,1))</f>
        <v>0</v>
      </c>
      <c r="I342" s="84">
        <f>IF(VLOOKUP($A342,SiteAttendu!$A$2:$O$366,10,0)="NA","NA",COUNTIFS(soccode,$A342,socprog,"PNSME/MEDICAMENTS ET INTRANTS",socprompt,1))</f>
        <v>0</v>
      </c>
      <c r="J342" s="84">
        <f>IF(VLOOKUP($A342,SiteAttendu!$A$2:$O$366,11,0)="NA","NA",COUNTIFS(soccode,$A342,socprog,"PNN/MEDICAMENTS ET INTRANTS",socprompt,1))</f>
        <v>0</v>
      </c>
      <c r="K342" s="84" t="str">
        <f>IF(VLOOKUP($A342,SiteAttendu!$A$2:$O$366,15,0)="NA","NA",IF(COUNTIF(socprog,"PNLT/SENSIBLE MEDICAMENTS ET INTRANTS")=0,"NA",COUNTIFS(soccode,$A342,socprog,"PNLT/SENSIBLE MEDICAMENTS ET INTRANTS",socprompt,1)))</f>
        <v>NA</v>
      </c>
      <c r="L342" s="60">
        <f t="shared" ref="L342:S342" si="344">IFERROR(SUMIFS(D$2:D$364,$C$2:$C$364,$C342)/COUNTIFS(D$2:D$364,"&lt;&gt;NA",$C$2:$C$364,$C342),"")</f>
        <v>0.6666666667</v>
      </c>
      <c r="M342" s="60">
        <f t="shared" si="344"/>
        <v>0.6666666667</v>
      </c>
      <c r="N342" s="60">
        <f t="shared" si="344"/>
        <v>0.8</v>
      </c>
      <c r="O342" s="60">
        <f t="shared" si="344"/>
        <v>1</v>
      </c>
      <c r="P342" s="60">
        <f t="shared" si="344"/>
        <v>0.75</v>
      </c>
      <c r="Q342" s="60">
        <f t="shared" si="344"/>
        <v>0.75</v>
      </c>
      <c r="R342" s="60">
        <f t="shared" si="344"/>
        <v>0.7142857143</v>
      </c>
      <c r="S342" s="60">
        <f t="shared" si="344"/>
        <v>0.8</v>
      </c>
      <c r="T342" s="60">
        <f t="shared" si="3"/>
        <v>0.7222222222</v>
      </c>
      <c r="U342" s="53">
        <f t="shared" si="4"/>
        <v>0</v>
      </c>
      <c r="V342" s="54">
        <f t="shared" si="5"/>
        <v>3</v>
      </c>
    </row>
    <row r="343" ht="15.0" customHeight="1">
      <c r="A343" s="55" t="str">
        <f>SiteAttendu!$A341</f>
        <v>C3012</v>
      </c>
      <c r="B343" s="56" t="str">
        <f>VLOOKUP($A343,SiteAttendu!$A$2:$C$366,2,0)</f>
        <v>HOPITAL GENERAL FERKESEDOUGOU</v>
      </c>
      <c r="C343" s="57" t="str">
        <f>VLOOKUP($A343,SiteAttendu!$A$2:$C$366,3,0)</f>
        <v>TCHOLOGO</v>
      </c>
      <c r="D343" s="58">
        <f>IF(VLOOKUP(A343,SiteAttendu!$A$2:$P$366,4,0)="NA","NA",COUNTIFS(soccode,A343,socprog,"PNLS/ANTIRETROVIRAUX ET IO",socprompt,1))</f>
        <v>1</v>
      </c>
      <c r="E343" s="58">
        <f>IF(VLOOKUP($A343,SiteAttendu!$A$2:$O$366,5,0)="NA","NA",COUNTIFS(soccode,A343,socprog,"PNLS/TESTS RAPIDES ET CONSOMMABLES",socprompt,1))</f>
        <v>1</v>
      </c>
      <c r="F343" s="58">
        <f>IF(VLOOKUP($A343,SiteAttendu!$A$2:$O$366,6,0)="NA","NA",COUNTIFS(soccode,A343,socprog,"PNLS/PRODUITS DE LABORATOIRE",socprompt,1))</f>
        <v>1</v>
      </c>
      <c r="G343" s="58">
        <f>IF(VLOOKUP($A343,SiteAttendu!$A$2:$O$366,7,0)="NA","NA",COUNTIFS(soccode,A343,socprog,"PNLS/CHARGES VIRALES",socprompt,1))</f>
        <v>1</v>
      </c>
      <c r="H343" s="58">
        <f>IF(VLOOKUP($A343,SiteAttendu!$A$2:$O$366,9,0)="NA","NA",COUNTIFS(soccode,A343,socprog,"PNLP/MEDICAMENTS ET INTRANTS",socprompt,1))</f>
        <v>1</v>
      </c>
      <c r="I343" s="58">
        <f>IF(VLOOKUP($A343,SiteAttendu!$A$2:$O$366,10,0)="NA","NA",COUNTIFS(soccode,$A343,socprog,"PNSME/MEDICAMENTS ET INTRANTS",socprompt,1))</f>
        <v>1</v>
      </c>
      <c r="J343" s="58">
        <f>IF(VLOOKUP($A343,SiteAttendu!$A$2:$O$366,11,0)="NA","NA",COUNTIFS(soccode,$A343,socprog,"PNN/MEDICAMENTS ET INTRANTS",socprompt,1))</f>
        <v>1</v>
      </c>
      <c r="K343" s="58" t="str">
        <f>IF(VLOOKUP($A343,SiteAttendu!$A$2:$O$366,15,0)="NA","NA",IF(COUNTIF(socprog,"PNLT/SENSIBLE MEDICAMENTS ET INTRANTS")=0,"NA",COUNTIFS(soccode,$A343,socprog,"PNLT/SENSIBLE MEDICAMENTS ET INTRANTS",socprompt,1)))</f>
        <v>NA</v>
      </c>
      <c r="L343" s="60"/>
      <c r="M343" s="60">
        <f t="shared" ref="M343:S343" si="345">IFERROR(SUMIFS(E$2:E$364,$C$2:$C$364,$C343)/COUNTIFS(E$2:E$364,"&lt;&gt;NA",$C$2:$C$364,$C343),"")</f>
        <v>0.6666666667</v>
      </c>
      <c r="N343" s="60">
        <f t="shared" si="345"/>
        <v>0.8</v>
      </c>
      <c r="O343" s="60">
        <f t="shared" si="345"/>
        <v>1</v>
      </c>
      <c r="P343" s="60">
        <f t="shared" si="345"/>
        <v>0.75</v>
      </c>
      <c r="Q343" s="60">
        <f t="shared" si="345"/>
        <v>0.75</v>
      </c>
      <c r="R343" s="60">
        <f t="shared" si="345"/>
        <v>0.7142857143</v>
      </c>
      <c r="S343" s="60">
        <f t="shared" si="345"/>
        <v>0.8</v>
      </c>
      <c r="T343" s="60">
        <f t="shared" si="3"/>
        <v>0.7222222222</v>
      </c>
      <c r="U343" s="53">
        <f t="shared" si="4"/>
        <v>4</v>
      </c>
      <c r="V343" s="54">
        <f t="shared" si="5"/>
        <v>4</v>
      </c>
    </row>
    <row r="344" ht="15.0" customHeight="1">
      <c r="A344" s="55" t="str">
        <f>SiteAttendu!$A342</f>
        <v>C3063</v>
      </c>
      <c r="B344" s="56" t="str">
        <f>VLOOKUP($A344,SiteAttendu!$A$2:$C$366,2,0)</f>
        <v>CENTRE ANTITUBERCULEUX FERKESSEDOUGOU</v>
      </c>
      <c r="C344" s="57" t="str">
        <f>VLOOKUP($A344,SiteAttendu!$A$2:$C$366,3,0)</f>
        <v>TCHOLOGO</v>
      </c>
      <c r="D344" s="58" t="str">
        <f>IF(VLOOKUP(A344,SiteAttendu!$A$2:$P$366,4,0)="NA","NA",COUNTIFS(soccode,A344,socprog,"PNLS/ANTIRETROVIRAUX ET IO",socprompt,1))</f>
        <v>NA</v>
      </c>
      <c r="E344" s="58" t="str">
        <f>IF(VLOOKUP($A344,SiteAttendu!$A$2:$O$366,5,0)="NA","NA",COUNTIFS(soccode,A344,socprog,"PNLS/TESTS RAPIDES ET CONSOMMABLES",socprompt,1))</f>
        <v>NA</v>
      </c>
      <c r="F344" s="58" t="str">
        <f>IF(VLOOKUP($A344,SiteAttendu!$A$2:$O$366,6,0)="NA","NA",COUNTIFS(soccode,A344,socprog,"PNLS/PRODUITS DE LABORATOIRE",socprompt,1))</f>
        <v>NA</v>
      </c>
      <c r="G344" s="58" t="str">
        <f>IF(VLOOKUP($A344,SiteAttendu!$A$2:$O$366,7,0)="NA","NA",COUNTIFS(soccode,A344,socprog,"PNLS/CHARGES VIRALES",socprompt,1))</f>
        <v>NA</v>
      </c>
      <c r="H344" s="58" t="str">
        <f>IF(VLOOKUP($A344,SiteAttendu!$A$2:$O$366,9,0)="NA","NA",COUNTIFS(soccode,A344,socprog,"PNLP/MEDICAMENTS ET INTRANTS",socprompt,1))</f>
        <v>NA</v>
      </c>
      <c r="I344" s="58" t="str">
        <f>IF(VLOOKUP($A344,SiteAttendu!$A$2:$O$366,10,0)="NA","NA",COUNTIFS(soccode,$A344,socprog,"PNSME/MEDICAMENTS ET INTRANTS",socprompt,1))</f>
        <v>NA</v>
      </c>
      <c r="J344" s="58" t="str">
        <f>IF(VLOOKUP($A344,SiteAttendu!$A$2:$O$366,11,0)="NA","NA",COUNTIFS(soccode,$A344,socprog,"PNN/MEDICAMENTS ET INTRANTS",socprompt,1))</f>
        <v>NA</v>
      </c>
      <c r="K344" s="58" t="str">
        <f>IF(VLOOKUP($A344,SiteAttendu!$A$2:$O$366,15,0)="NA","NA",IF(COUNTIF(socprog,"PNLT/SENSIBLE MEDICAMENTS ET INTRANTS")=0,"NA",COUNTIFS(soccode,$A344,socprog,"PNLT/SENSIBLE MEDICAMENTS ET INTRANTS",socprompt,1)))</f>
        <v>NA</v>
      </c>
      <c r="L344" s="60"/>
      <c r="M344" s="60">
        <f t="shared" ref="M344:S344" si="346">IFERROR(SUMIFS(E$2:E$364,$C$2:$C$364,$C344)/COUNTIFS(E$2:E$364,"&lt;&gt;NA",$C$2:$C$364,$C344),"")</f>
        <v>0.6666666667</v>
      </c>
      <c r="N344" s="60">
        <f t="shared" si="346"/>
        <v>0.8</v>
      </c>
      <c r="O344" s="60">
        <f t="shared" si="346"/>
        <v>1</v>
      </c>
      <c r="P344" s="60">
        <f t="shared" si="346"/>
        <v>0.75</v>
      </c>
      <c r="Q344" s="60">
        <f t="shared" si="346"/>
        <v>0.75</v>
      </c>
      <c r="R344" s="60">
        <f t="shared" si="346"/>
        <v>0.7142857143</v>
      </c>
      <c r="S344" s="60">
        <f t="shared" si="346"/>
        <v>0.8</v>
      </c>
      <c r="T344" s="60">
        <f t="shared" si="3"/>
        <v>0.7222222222</v>
      </c>
      <c r="U344" s="53">
        <f t="shared" si="4"/>
        <v>0</v>
      </c>
      <c r="V344" s="54">
        <f t="shared" si="5"/>
        <v>0</v>
      </c>
    </row>
    <row r="345" ht="15.0" customHeight="1">
      <c r="A345" s="55" t="str">
        <f>SiteAttendu!$A343</f>
        <v>C2219</v>
      </c>
      <c r="B345" s="56" t="str">
        <f>VLOOKUP($A345,SiteAttendu!$A$2:$C$366,2,0)</f>
        <v>DISTRICT SANITAIRE KONG</v>
      </c>
      <c r="C345" s="57" t="str">
        <f>VLOOKUP($A345,SiteAttendu!$A$2:$C$366,3,0)</f>
        <v>TCHOLOGO</v>
      </c>
      <c r="D345" s="58">
        <f>IF(VLOOKUP(A345,SiteAttendu!$A$2:$P$366,4,0)="NA","NA",COUNTIFS(soccode,A345,socprog,"PNLS/ANTIRETROVIRAUX ET IO",socprompt,1))</f>
        <v>0</v>
      </c>
      <c r="E345" s="58">
        <f>IF(VLOOKUP($A345,SiteAttendu!$A$2:$O$366,5,0)="NA","NA",COUNTIFS(soccode,A345,socprog,"PNLS/TESTS RAPIDES ET CONSOMMABLES",socprompt,1))</f>
        <v>0</v>
      </c>
      <c r="F345" s="58" t="str">
        <f>IF(VLOOKUP($A345,SiteAttendu!$A$2:$O$366,6,0)="NA","NA",COUNTIFS(soccode,A345,socprog,"PNLS/PRODUITS DE LABORATOIRE",socprompt,1))</f>
        <v>NA</v>
      </c>
      <c r="G345" s="58" t="str">
        <f>IF(VLOOKUP($A345,SiteAttendu!$A$2:$O$366,7,0)="NA","NA",COUNTIFS(soccode,A345,socprog,"PNLS/CHARGES VIRALES",socprompt,1))</f>
        <v>NA</v>
      </c>
      <c r="H345" s="58">
        <f>IF(VLOOKUP($A345,SiteAttendu!$A$2:$O$366,9,0)="NA","NA",COUNTIFS(soccode,A345,socprog,"PNLP/MEDICAMENTS ET INTRANTS",socprompt,1))</f>
        <v>0</v>
      </c>
      <c r="I345" s="58">
        <f>IF(VLOOKUP($A345,SiteAttendu!$A$2:$O$366,10,0)="NA","NA",COUNTIFS(soccode,$A345,socprog,"PNSME/MEDICAMENTS ET INTRANTS",socprompt,1))</f>
        <v>0</v>
      </c>
      <c r="J345" s="58">
        <f>IF(VLOOKUP($A345,SiteAttendu!$A$2:$O$366,11,0)="NA","NA",COUNTIFS(soccode,$A345,socprog,"PNN/MEDICAMENTS ET INTRANTS",socprompt,1))</f>
        <v>0</v>
      </c>
      <c r="K345" s="58">
        <f>IF(VLOOKUP($A345,SiteAttendu!$A$2:$O$366,15,0)="NA","NA",IF(COUNTIF(socprog,"PNLT/SENSIBLE MEDICAMENTS ET INTRANTS")=0,"NA",COUNTIFS(soccode,$A345,socprog,"PNLT/SENSIBLE MEDICAMENTS ET INTRANTS",socprompt,1)))</f>
        <v>0</v>
      </c>
      <c r="L345" s="60"/>
      <c r="M345" s="60">
        <f t="shared" ref="M345:S345" si="347">IFERROR(SUMIFS(E$2:E$364,$C$2:$C$364,$C345)/COUNTIFS(E$2:E$364,"&lt;&gt;NA",$C$2:$C$364,$C345),"")</f>
        <v>0.6666666667</v>
      </c>
      <c r="N345" s="60">
        <f t="shared" si="347"/>
        <v>0.8</v>
      </c>
      <c r="O345" s="60">
        <f t="shared" si="347"/>
        <v>1</v>
      </c>
      <c r="P345" s="60">
        <f t="shared" si="347"/>
        <v>0.75</v>
      </c>
      <c r="Q345" s="60">
        <f t="shared" si="347"/>
        <v>0.75</v>
      </c>
      <c r="R345" s="60">
        <f t="shared" si="347"/>
        <v>0.7142857143</v>
      </c>
      <c r="S345" s="60">
        <f t="shared" si="347"/>
        <v>0.8</v>
      </c>
      <c r="T345" s="60">
        <f t="shared" si="3"/>
        <v>0.7222222222</v>
      </c>
      <c r="U345" s="53">
        <f t="shared" si="4"/>
        <v>0</v>
      </c>
      <c r="V345" s="54">
        <f t="shared" si="5"/>
        <v>2</v>
      </c>
    </row>
    <row r="346" ht="15.0" customHeight="1">
      <c r="A346" s="55" t="str">
        <f>SiteAttendu!$A344</f>
        <v>C2225</v>
      </c>
      <c r="B346" s="56" t="str">
        <f>VLOOKUP($A346,SiteAttendu!$A$2:$C$366,2,0)</f>
        <v>HOPITAL GENERAL KONG</v>
      </c>
      <c r="C346" s="57" t="str">
        <f>VLOOKUP($A346,SiteAttendu!$A$2:$C$366,3,0)</f>
        <v>TCHOLOGO</v>
      </c>
      <c r="D346" s="58">
        <f>IF(VLOOKUP(A346,SiteAttendu!$A$2:$P$366,4,0)="NA","NA",COUNTIFS(soccode,A346,socprog,"PNLS/ANTIRETROVIRAUX ET IO",socprompt,1))</f>
        <v>1</v>
      </c>
      <c r="E346" s="58">
        <f>IF(VLOOKUP($A346,SiteAttendu!$A$2:$O$366,5,0)="NA","NA",COUNTIFS(soccode,A346,socprog,"PNLS/TESTS RAPIDES ET CONSOMMABLES",socprompt,1))</f>
        <v>1</v>
      </c>
      <c r="F346" s="58">
        <f>IF(VLOOKUP($A346,SiteAttendu!$A$2:$O$366,6,0)="NA","NA",COUNTIFS(soccode,A346,socprog,"PNLS/PRODUITS DE LABORATOIRE",socprompt,1))</f>
        <v>1</v>
      </c>
      <c r="G346" s="58" t="str">
        <f>IF(VLOOKUP($A346,SiteAttendu!$A$2:$O$366,7,0)="NA","NA",COUNTIFS(soccode,A346,socprog,"PNLS/CHARGES VIRALES",socprompt,1))</f>
        <v>NA</v>
      </c>
      <c r="H346" s="58">
        <f>IF(VLOOKUP($A346,SiteAttendu!$A$2:$O$366,9,0)="NA","NA",COUNTIFS(soccode,A346,socprog,"PNLP/MEDICAMENTS ET INTRANTS",socprompt,1))</f>
        <v>1</v>
      </c>
      <c r="I346" s="58">
        <f>IF(VLOOKUP($A346,SiteAttendu!$A$2:$O$366,10,0)="NA","NA",COUNTIFS(soccode,$A346,socprog,"PNSME/MEDICAMENTS ET INTRANTS",socprompt,1))</f>
        <v>1</v>
      </c>
      <c r="J346" s="58">
        <f>IF(VLOOKUP($A346,SiteAttendu!$A$2:$O$366,11,0)="NA","NA",COUNTIFS(soccode,$A346,socprog,"PNN/MEDICAMENTS ET INTRANTS",socprompt,1))</f>
        <v>1</v>
      </c>
      <c r="K346" s="58">
        <f>IF(VLOOKUP($A346,SiteAttendu!$A$2:$O$366,15,0)="NA","NA",IF(COUNTIF(socprog,"PNLT/SENSIBLE MEDICAMENTS ET INTRANTS")=0,"NA",COUNTIFS(soccode,$A346,socprog,"PNLT/SENSIBLE MEDICAMENTS ET INTRANTS",socprompt,1)))</f>
        <v>1</v>
      </c>
      <c r="L346" s="60"/>
      <c r="M346" s="60">
        <f t="shared" ref="M346:S346" si="348">IFERROR(SUMIFS(E$2:E$364,$C$2:$C$364,$C346)/COUNTIFS(E$2:E$364,"&lt;&gt;NA",$C$2:$C$364,$C346),"")</f>
        <v>0.6666666667</v>
      </c>
      <c r="N346" s="60">
        <f t="shared" si="348"/>
        <v>0.8</v>
      </c>
      <c r="O346" s="60">
        <f t="shared" si="348"/>
        <v>1</v>
      </c>
      <c r="P346" s="60">
        <f t="shared" si="348"/>
        <v>0.75</v>
      </c>
      <c r="Q346" s="60">
        <f t="shared" si="348"/>
        <v>0.75</v>
      </c>
      <c r="R346" s="60">
        <f t="shared" si="348"/>
        <v>0.7142857143</v>
      </c>
      <c r="S346" s="60">
        <f t="shared" si="348"/>
        <v>0.8</v>
      </c>
      <c r="T346" s="60">
        <f t="shared" si="3"/>
        <v>0.7222222222</v>
      </c>
      <c r="U346" s="53">
        <f t="shared" si="4"/>
        <v>3</v>
      </c>
      <c r="V346" s="54">
        <f t="shared" si="5"/>
        <v>3</v>
      </c>
    </row>
    <row r="347" ht="15.0" customHeight="1">
      <c r="A347" s="55" t="str">
        <f>SiteAttendu!$A345</f>
        <v>C3001</v>
      </c>
      <c r="B347" s="56" t="str">
        <f>VLOOKUP($A347,SiteAttendu!$A$2:$C$366,2,0)</f>
        <v>CSU NIELLE</v>
      </c>
      <c r="C347" s="57" t="str">
        <f>VLOOKUP($A347,SiteAttendu!$A$2:$C$366,3,0)</f>
        <v>TCHOLOGO</v>
      </c>
      <c r="D347" s="58" t="str">
        <f>IF(VLOOKUP(A347,SiteAttendu!$A$2:$P$366,4,0)="NA","NA",COUNTIFS(soccode,A347,socprog,"PNLS/ANTIRETROVIRAUX ET IO",socprompt,1))</f>
        <v>NA</v>
      </c>
      <c r="E347" s="58" t="str">
        <f>IF(VLOOKUP($A347,SiteAttendu!$A$2:$O$366,5,0)="NA","NA",COUNTIFS(soccode,A347,socprog,"PNLS/TESTS RAPIDES ET CONSOMMABLES",socprompt,1))</f>
        <v>NA</v>
      </c>
      <c r="F347" s="58" t="str">
        <f>IF(VLOOKUP($A347,SiteAttendu!$A$2:$O$366,6,0)="NA","NA",COUNTIFS(soccode,A347,socprog,"PNLS/PRODUITS DE LABORATOIRE",socprompt,1))</f>
        <v>NA</v>
      </c>
      <c r="G347" s="58" t="str">
        <f>IF(VLOOKUP($A347,SiteAttendu!$A$2:$O$366,7,0)="NA","NA",COUNTIFS(soccode,A347,socprog,"PNLS/CHARGES VIRALES",socprompt,1))</f>
        <v>NA</v>
      </c>
      <c r="H347" s="58">
        <f>IF(VLOOKUP($A347,SiteAttendu!$A$2:$O$366,9,0)="NA","NA",COUNTIFS(soccode,A347,socprog,"PNLP/MEDICAMENTS ET INTRANTS",socprompt,1))</f>
        <v>1</v>
      </c>
      <c r="I347" s="58">
        <f>IF(VLOOKUP($A347,SiteAttendu!$A$2:$O$366,10,0)="NA","NA",COUNTIFS(soccode,$A347,socprog,"PNSME/MEDICAMENTS ET INTRANTS",socprompt,1))</f>
        <v>1</v>
      </c>
      <c r="J347" s="58" t="str">
        <f>IF(VLOOKUP($A347,SiteAttendu!$A$2:$O$366,11,0)="NA","NA",COUNTIFS(soccode,$A347,socprog,"PNN/MEDICAMENTS ET INTRANTS",socprompt,1))</f>
        <v>NA</v>
      </c>
      <c r="K347" s="58">
        <f>IF(VLOOKUP($A347,SiteAttendu!$A$2:$O$366,15,0)="NA","NA",IF(COUNTIF(socprog,"PNLT/SENSIBLE MEDICAMENTS ET INTRANTS")=0,"NA",COUNTIFS(soccode,$A347,socprog,"PNLT/SENSIBLE MEDICAMENTS ET INTRANTS",socprompt,1)))</f>
        <v>1</v>
      </c>
      <c r="L347" s="60"/>
      <c r="M347" s="60">
        <f t="shared" ref="M347:S347" si="349">IFERROR(SUMIFS(E$2:E$364,$C$2:$C$364,$C347)/COUNTIFS(E$2:E$364,"&lt;&gt;NA",$C$2:$C$364,$C347),"")</f>
        <v>0.6666666667</v>
      </c>
      <c r="N347" s="60">
        <f t="shared" si="349"/>
        <v>0.8</v>
      </c>
      <c r="O347" s="60">
        <f t="shared" si="349"/>
        <v>1</v>
      </c>
      <c r="P347" s="60">
        <f t="shared" si="349"/>
        <v>0.75</v>
      </c>
      <c r="Q347" s="60">
        <f t="shared" si="349"/>
        <v>0.75</v>
      </c>
      <c r="R347" s="60">
        <f t="shared" si="349"/>
        <v>0.7142857143</v>
      </c>
      <c r="S347" s="60">
        <f t="shared" si="349"/>
        <v>0.8</v>
      </c>
      <c r="T347" s="60">
        <f t="shared" si="3"/>
        <v>0.7222222222</v>
      </c>
      <c r="U347" s="53">
        <f t="shared" si="4"/>
        <v>0</v>
      </c>
      <c r="V347" s="54">
        <f t="shared" si="5"/>
        <v>0</v>
      </c>
    </row>
    <row r="348" ht="15.0" customHeight="1">
      <c r="A348" s="55" t="str">
        <f>SiteAttendu!$A346</f>
        <v>C3020</v>
      </c>
      <c r="B348" s="56" t="str">
        <f>VLOOKUP($A348,SiteAttendu!$A$2:$C$366,2,0)</f>
        <v>HOPITAL GENERAL OUANGOLO</v>
      </c>
      <c r="C348" s="57" t="str">
        <f>VLOOKUP($A348,SiteAttendu!$A$2:$C$366,3,0)</f>
        <v>TCHOLOGO</v>
      </c>
      <c r="D348" s="58">
        <f>IF(VLOOKUP(A348,SiteAttendu!$A$2:$P$366,4,0)="NA","NA",COUNTIFS(soccode,A348,socprog,"PNLS/ANTIRETROVIRAUX ET IO",socprompt,1))</f>
        <v>1</v>
      </c>
      <c r="E348" s="58">
        <f>IF(VLOOKUP($A348,SiteAttendu!$A$2:$O$366,5,0)="NA","NA",COUNTIFS(soccode,A348,socprog,"PNLS/TESTS RAPIDES ET CONSOMMABLES",socprompt,1))</f>
        <v>1</v>
      </c>
      <c r="F348" s="58">
        <f>IF(VLOOKUP($A348,SiteAttendu!$A$2:$O$366,6,0)="NA","NA",COUNTIFS(soccode,A348,socprog,"PNLS/PRODUITS DE LABORATOIRE",socprompt,1))</f>
        <v>1</v>
      </c>
      <c r="G348" s="58" t="str">
        <f>IF(VLOOKUP($A348,SiteAttendu!$A$2:$O$366,7,0)="NA","NA",COUNTIFS(soccode,A348,socprog,"PNLS/CHARGES VIRALES",socprompt,1))</f>
        <v>NA</v>
      </c>
      <c r="H348" s="58">
        <f>IF(VLOOKUP($A348,SiteAttendu!$A$2:$O$366,9,0)="NA","NA",COUNTIFS(soccode,A348,socprog,"PNLP/MEDICAMENTS ET INTRANTS",socprompt,1))</f>
        <v>1</v>
      </c>
      <c r="I348" s="58">
        <f>IF(VLOOKUP($A348,SiteAttendu!$A$2:$O$366,10,0)="NA","NA",COUNTIFS(soccode,$A348,socprog,"PNSME/MEDICAMENTS ET INTRANTS",socprompt,1))</f>
        <v>1</v>
      </c>
      <c r="J348" s="58">
        <f>IF(VLOOKUP($A348,SiteAttendu!$A$2:$O$366,11,0)="NA","NA",COUNTIFS(soccode,$A348,socprog,"PNN/MEDICAMENTS ET INTRANTS",socprompt,1))</f>
        <v>1</v>
      </c>
      <c r="K348" s="58" t="str">
        <f>IF(VLOOKUP($A348,SiteAttendu!$A$2:$O$366,15,0)="NA","NA",IF(COUNTIF(socprog,"PNLT/SENSIBLE MEDICAMENTS ET INTRANTS")=0,"NA",COUNTIFS(soccode,$A348,socprog,"PNLT/SENSIBLE MEDICAMENTS ET INTRANTS",socprompt,1)))</f>
        <v>NA</v>
      </c>
      <c r="L348" s="60"/>
      <c r="M348" s="60">
        <f t="shared" ref="M348:S348" si="350">IFERROR(SUMIFS(E$2:E$364,$C$2:$C$364,$C348)/COUNTIFS(E$2:E$364,"&lt;&gt;NA",$C$2:$C$364,$C348),"")</f>
        <v>0.6666666667</v>
      </c>
      <c r="N348" s="60">
        <f t="shared" si="350"/>
        <v>0.8</v>
      </c>
      <c r="O348" s="60">
        <f t="shared" si="350"/>
        <v>1</v>
      </c>
      <c r="P348" s="60">
        <f t="shared" si="350"/>
        <v>0.75</v>
      </c>
      <c r="Q348" s="60">
        <f t="shared" si="350"/>
        <v>0.75</v>
      </c>
      <c r="R348" s="60">
        <f t="shared" si="350"/>
        <v>0.7142857143</v>
      </c>
      <c r="S348" s="60">
        <f t="shared" si="350"/>
        <v>0.8</v>
      </c>
      <c r="T348" s="60">
        <f t="shared" si="3"/>
        <v>0.7222222222</v>
      </c>
      <c r="U348" s="53">
        <f t="shared" si="4"/>
        <v>3</v>
      </c>
      <c r="V348" s="54">
        <f t="shared" si="5"/>
        <v>3</v>
      </c>
    </row>
    <row r="349" ht="15.0" customHeight="1">
      <c r="A349" s="55" t="str">
        <f>SiteAttendu!$A347</f>
        <v>C3046</v>
      </c>
      <c r="B349" s="56" t="str">
        <f>VLOOKUP($A349,SiteAttendu!$A$2:$C$366,2,0)</f>
        <v>DISTRICT SANITAIRE OUANGOLO</v>
      </c>
      <c r="C349" s="57" t="str">
        <f>VLOOKUP($A349,SiteAttendu!$A$2:$C$366,3,0)</f>
        <v>TCHOLOGO</v>
      </c>
      <c r="D349" s="58">
        <f>IF(VLOOKUP(A349,SiteAttendu!$A$2:$P$366,4,0)="NA","NA",COUNTIFS(soccode,A349,socprog,"PNLS/ANTIRETROVIRAUX ET IO",socprompt,1))</f>
        <v>1</v>
      </c>
      <c r="E349" s="58">
        <f>IF(VLOOKUP($A349,SiteAttendu!$A$2:$O$366,5,0)="NA","NA",COUNTIFS(soccode,A349,socprog,"PNLS/TESTS RAPIDES ET CONSOMMABLES",socprompt,1))</f>
        <v>1</v>
      </c>
      <c r="F349" s="58">
        <f>IF(VLOOKUP($A349,SiteAttendu!$A$2:$O$366,6,0)="NA","NA",COUNTIFS(soccode,A349,socprog,"PNLS/PRODUITS DE LABORATOIRE",socprompt,1))</f>
        <v>1</v>
      </c>
      <c r="G349" s="58" t="str">
        <f>IF(VLOOKUP($A349,SiteAttendu!$A$2:$O$366,7,0)="NA","NA",COUNTIFS(soccode,A349,socprog,"PNLS/CHARGES VIRALES",socprompt,1))</f>
        <v>NA</v>
      </c>
      <c r="H349" s="58">
        <f>IF(VLOOKUP($A349,SiteAttendu!$A$2:$O$366,9,0)="NA","NA",COUNTIFS(soccode,A349,socprog,"PNLP/MEDICAMENTS ET INTRANTS",socprompt,1))</f>
        <v>1</v>
      </c>
      <c r="I349" s="58">
        <f>IF(VLOOKUP($A349,SiteAttendu!$A$2:$O$366,10,0)="NA","NA",COUNTIFS(soccode,$A349,socprog,"PNSME/MEDICAMENTS ET INTRANTS",socprompt,1))</f>
        <v>1</v>
      </c>
      <c r="J349" s="58">
        <f>IF(VLOOKUP($A349,SiteAttendu!$A$2:$O$366,11,0)="NA","NA",COUNTIFS(soccode,$A349,socprog,"PNN/MEDICAMENTS ET INTRANTS",socprompt,1))</f>
        <v>1</v>
      </c>
      <c r="K349" s="58">
        <f>IF(VLOOKUP($A349,SiteAttendu!$A$2:$O$366,15,0)="NA","NA",IF(COUNTIF(socprog,"PNLT/SENSIBLE MEDICAMENTS ET INTRANTS")=0,"NA",COUNTIFS(soccode,$A349,socprog,"PNLT/SENSIBLE MEDICAMENTS ET INTRANTS",socprompt,1)))</f>
        <v>1</v>
      </c>
      <c r="L349" s="60"/>
      <c r="M349" s="60">
        <f t="shared" ref="M349:S349" si="351">IFERROR(SUMIFS(E$2:E$364,$C$2:$C$364,$C349)/COUNTIFS(E$2:E$364,"&lt;&gt;NA",$C$2:$C$364,$C349),"")</f>
        <v>0.6666666667</v>
      </c>
      <c r="N349" s="60">
        <f t="shared" si="351"/>
        <v>0.8</v>
      </c>
      <c r="O349" s="60">
        <f t="shared" si="351"/>
        <v>1</v>
      </c>
      <c r="P349" s="60">
        <f t="shared" si="351"/>
        <v>0.75</v>
      </c>
      <c r="Q349" s="60">
        <f t="shared" si="351"/>
        <v>0.75</v>
      </c>
      <c r="R349" s="60">
        <f t="shared" si="351"/>
        <v>0.7142857143</v>
      </c>
      <c r="S349" s="60">
        <f t="shared" si="351"/>
        <v>0.8</v>
      </c>
      <c r="T349" s="60">
        <f t="shared" si="3"/>
        <v>0.7222222222</v>
      </c>
      <c r="U349" s="53">
        <f t="shared" si="4"/>
        <v>3</v>
      </c>
      <c r="V349" s="54">
        <f t="shared" si="5"/>
        <v>3</v>
      </c>
    </row>
    <row r="350" ht="15.0" customHeight="1">
      <c r="A350" s="62" t="str">
        <f>SiteAttendu!$A348</f>
        <v>C3061</v>
      </c>
      <c r="B350" s="63" t="str">
        <f>VLOOKUP($A350,SiteAttendu!$A$2:$C$366,2,0)</f>
        <v>CSU DIAWALA</v>
      </c>
      <c r="C350" s="64" t="str">
        <f>VLOOKUP($A350,SiteAttendu!$A$2:$C$366,3,0)</f>
        <v>TCHOLOGO</v>
      </c>
      <c r="D350" s="65" t="str">
        <f>IF(VLOOKUP(A350,SiteAttendu!$A$2:$P$366,4,0)="NA","NA",COUNTIFS(soccode,A350,socprog,"PNLS/ANTIRETROVIRAUX ET IO",socprompt,1))</f>
        <v>NA</v>
      </c>
      <c r="E350" s="65" t="str">
        <f>IF(VLOOKUP($A350,SiteAttendu!$A$2:$O$366,5,0)="NA","NA",COUNTIFS(soccode,A350,socprog,"PNLS/TESTS RAPIDES ET CONSOMMABLES",socprompt,1))</f>
        <v>NA</v>
      </c>
      <c r="F350" s="65" t="str">
        <f>IF(VLOOKUP($A350,SiteAttendu!$A$2:$O$366,6,0)="NA","NA",COUNTIFS(soccode,A350,socprog,"PNLS/PRODUITS DE LABORATOIRE",socprompt,1))</f>
        <v>NA</v>
      </c>
      <c r="G350" s="65" t="str">
        <f>IF(VLOOKUP($A350,SiteAttendu!$A$2:$O$366,7,0)="NA","NA",COUNTIFS(soccode,A350,socprog,"PNLS/CHARGES VIRALES",socprompt,1))</f>
        <v>NA</v>
      </c>
      <c r="H350" s="65">
        <f>IF(VLOOKUP($A350,SiteAttendu!$A$2:$O$366,9,0)="NA","NA",COUNTIFS(soccode,A350,socprog,"PNLP/MEDICAMENTS ET INTRANTS",socprompt,1))</f>
        <v>1</v>
      </c>
      <c r="I350" s="65">
        <f>IF(VLOOKUP($A350,SiteAttendu!$A$2:$O$366,10,0)="NA","NA",COUNTIFS(soccode,$A350,socprog,"PNSME/MEDICAMENTS ET INTRANTS",socprompt,1))</f>
        <v>1</v>
      </c>
      <c r="J350" s="65">
        <f>IF(VLOOKUP($A350,SiteAttendu!$A$2:$O$366,11,0)="NA","NA",COUNTIFS(soccode,$A350,socprog,"PNN/MEDICAMENTS ET INTRANTS",socprompt,1))</f>
        <v>1</v>
      </c>
      <c r="K350" s="65">
        <f>IF(VLOOKUP($A350,SiteAttendu!$A$2:$O$366,15,0)="NA","NA",IF(COUNTIF(socprog,"PNLT/SENSIBLE MEDICAMENTS ET INTRANTS")=0,"NA",COUNTIFS(soccode,$A350,socprog,"PNLT/SENSIBLE MEDICAMENTS ET INTRANTS",socprompt,1)))</f>
        <v>1</v>
      </c>
      <c r="L350" s="67"/>
      <c r="M350" s="67">
        <f t="shared" ref="M350:S350" si="352">IFERROR(SUMIFS(E$2:E$364,$C$2:$C$364,$C350)/COUNTIFS(E$2:E$364,"&lt;&gt;NA",$C$2:$C$364,$C350),"")</f>
        <v>0.6666666667</v>
      </c>
      <c r="N350" s="67">
        <f t="shared" si="352"/>
        <v>0.8</v>
      </c>
      <c r="O350" s="67">
        <f t="shared" si="352"/>
        <v>1</v>
      </c>
      <c r="P350" s="67">
        <f t="shared" si="352"/>
        <v>0.75</v>
      </c>
      <c r="Q350" s="67">
        <f t="shared" si="352"/>
        <v>0.75</v>
      </c>
      <c r="R350" s="67">
        <f t="shared" si="352"/>
        <v>0.7142857143</v>
      </c>
      <c r="S350" s="67">
        <f t="shared" si="352"/>
        <v>0.8</v>
      </c>
      <c r="T350" s="67">
        <f t="shared" si="3"/>
        <v>0.7222222222</v>
      </c>
      <c r="U350" s="53">
        <f t="shared" si="4"/>
        <v>0</v>
      </c>
      <c r="V350" s="54">
        <f t="shared" si="5"/>
        <v>0</v>
      </c>
    </row>
    <row r="351" ht="15.0" customHeight="1">
      <c r="A351" s="46" t="str">
        <f>SiteAttendu!$A349</f>
        <v>C5008</v>
      </c>
      <c r="B351" s="47" t="str">
        <f>VLOOKUP($A351,SiteAttendu!$A$2:$C$366,2,0)</f>
        <v>DISTRICT SANITAIRE  BIANKOUMA</v>
      </c>
      <c r="C351" s="48" t="str">
        <f>VLOOKUP($A351,SiteAttendu!$A$2:$C$366,3,0)</f>
        <v>TONKPI</v>
      </c>
      <c r="D351" s="49">
        <f>IF(VLOOKUP(A351,SiteAttendu!$A$2:$P$366,4,0)="NA","NA",COUNTIFS(soccode,A351,socprog,"PNLS/ANTIRETROVIRAUX ET IO",socprompt,1))</f>
        <v>1</v>
      </c>
      <c r="E351" s="49">
        <f>IF(VLOOKUP($A351,SiteAttendu!$A$2:$O$366,5,0)="NA","NA",COUNTIFS(soccode,A351,socprog,"PNLS/TESTS RAPIDES ET CONSOMMABLES",socprompt,1))</f>
        <v>1</v>
      </c>
      <c r="F351" s="49">
        <f>IF(VLOOKUP($A351,SiteAttendu!$A$2:$O$366,6,0)="NA","NA",COUNTIFS(soccode,A351,socprog,"PNLS/PRODUITS DE LABORATOIRE",socprompt,1))</f>
        <v>1</v>
      </c>
      <c r="G351" s="49" t="str">
        <f>IF(VLOOKUP($A351,SiteAttendu!$A$2:$O$366,7,0)="NA","NA",COUNTIFS(soccode,A351,socprog,"PNLS/CHARGES VIRALES",socprompt,1))</f>
        <v>NA</v>
      </c>
      <c r="H351" s="49">
        <f>IF(VLOOKUP($A351,SiteAttendu!$A$2:$O$366,9,0)="NA","NA",COUNTIFS(soccode,A351,socprog,"PNLP/MEDICAMENTS ET INTRANTS",socprompt,1))</f>
        <v>1</v>
      </c>
      <c r="I351" s="49">
        <f>IF(VLOOKUP($A351,SiteAttendu!$A$2:$O$366,10,0)="NA","NA",COUNTIFS(soccode,$A351,socprog,"PNSME/MEDICAMENTS ET INTRANTS",socprompt,1))</f>
        <v>1</v>
      </c>
      <c r="J351" s="49">
        <f>IF(VLOOKUP($A351,SiteAttendu!$A$2:$O$366,11,0)="NA","NA",COUNTIFS(soccode,$A351,socprog,"PNN/MEDICAMENTS ET INTRANTS",socprompt,1))</f>
        <v>1</v>
      </c>
      <c r="K351" s="49">
        <f>IF(VLOOKUP($A351,SiteAttendu!$A$2:$O$366,15,0)="NA","NA",IF(COUNTIF(socprog,"PNLT/SENSIBLE MEDICAMENTS ET INTRANTS")=0,"NA",COUNTIFS(soccode,$A351,socprog,"PNLT/SENSIBLE MEDICAMENTS ET INTRANTS",socprompt,1)))</f>
        <v>1</v>
      </c>
      <c r="L351" s="51">
        <f t="shared" ref="L351:S351" si="353">IFERROR(SUMIFS(D$2:D$364,$C$2:$C$364,$C351)/COUNTIFS(D$2:D$364,"&lt;&gt;NA",$C$2:$C$364,$C351),"")</f>
        <v>1</v>
      </c>
      <c r="M351" s="125">
        <f t="shared" si="353"/>
        <v>1</v>
      </c>
      <c r="N351" s="125">
        <f t="shared" si="353"/>
        <v>1</v>
      </c>
      <c r="O351" s="125">
        <f t="shared" si="353"/>
        <v>1</v>
      </c>
      <c r="P351" s="125">
        <f t="shared" si="353"/>
        <v>1</v>
      </c>
      <c r="Q351" s="125">
        <f t="shared" si="353"/>
        <v>0.875</v>
      </c>
      <c r="R351" s="125">
        <f t="shared" si="353"/>
        <v>0.875</v>
      </c>
      <c r="S351" s="125">
        <f t="shared" si="353"/>
        <v>0.75</v>
      </c>
      <c r="T351" s="126">
        <f t="shared" si="3"/>
        <v>1</v>
      </c>
      <c r="U351" s="53">
        <f t="shared" si="4"/>
        <v>3</v>
      </c>
      <c r="V351" s="54">
        <f t="shared" si="5"/>
        <v>3</v>
      </c>
    </row>
    <row r="352" ht="15.0" customHeight="1">
      <c r="A352" s="55" t="str">
        <f>SiteAttendu!$A350</f>
        <v>C5016</v>
      </c>
      <c r="B352" s="56" t="str">
        <f>VLOOKUP($A352,SiteAttendu!$A$2:$C$366,2,0)</f>
        <v>HOPITAL GENERAL BIANKOUMA</v>
      </c>
      <c r="C352" s="57" t="str">
        <f>VLOOKUP($A352,SiteAttendu!$A$2:$C$366,3,0)</f>
        <v>TONKPI</v>
      </c>
      <c r="D352" s="58">
        <f>IF(VLOOKUP(A352,SiteAttendu!$A$2:$P$366,4,0)="NA","NA",COUNTIFS(soccode,A352,socprog,"PNLS/ANTIRETROVIRAUX ET IO",socprompt,1))</f>
        <v>1</v>
      </c>
      <c r="E352" s="58">
        <f>IF(VLOOKUP($A352,SiteAttendu!$A$2:$O$366,5,0)="NA","NA",COUNTIFS(soccode,A352,socprog,"PNLS/TESTS RAPIDES ET CONSOMMABLES",socprompt,1))</f>
        <v>1</v>
      </c>
      <c r="F352" s="58">
        <f>IF(VLOOKUP($A352,SiteAttendu!$A$2:$O$366,6,0)="NA","NA",COUNTIFS(soccode,A352,socprog,"PNLS/PRODUITS DE LABORATOIRE",socprompt,1))</f>
        <v>1</v>
      </c>
      <c r="G352" s="58" t="str">
        <f>IF(VLOOKUP($A352,SiteAttendu!$A$2:$O$366,7,0)="NA","NA",COUNTIFS(soccode,A352,socprog,"PNLS/CHARGES VIRALES",socprompt,1))</f>
        <v>NA</v>
      </c>
      <c r="H352" s="58">
        <f>IF(VLOOKUP($A352,SiteAttendu!$A$2:$O$366,9,0)="NA","NA",COUNTIFS(soccode,A352,socprog,"PNLP/MEDICAMENTS ET INTRANTS",socprompt,1))</f>
        <v>1</v>
      </c>
      <c r="I352" s="58">
        <f>IF(VLOOKUP($A352,SiteAttendu!$A$2:$O$366,10,0)="NA","NA",COUNTIFS(soccode,$A352,socprog,"PNSME/MEDICAMENTS ET INTRANTS",socprompt,1))</f>
        <v>1</v>
      </c>
      <c r="J352" s="58">
        <f>IF(VLOOKUP($A352,SiteAttendu!$A$2:$O$366,11,0)="NA","NA",COUNTIFS(soccode,$A352,socprog,"PNN/MEDICAMENTS ET INTRANTS",socprompt,1))</f>
        <v>1</v>
      </c>
      <c r="K352" s="58">
        <f>IF(VLOOKUP($A352,SiteAttendu!$A$2:$O$366,15,0)="NA","NA",IF(COUNTIF(socprog,"PNLT/SENSIBLE MEDICAMENTS ET INTRANTS")=0,"NA",COUNTIFS(soccode,$A352,socprog,"PNLT/SENSIBLE MEDICAMENTS ET INTRANTS",socprompt,1)))</f>
        <v>1</v>
      </c>
      <c r="L352" s="60"/>
      <c r="M352" s="85">
        <f t="shared" ref="M352:S352" si="354">IFERROR(SUMIFS(E$2:E$364,$C$2:$C$364,$C352)/COUNTIFS(E$2:E$364,"&lt;&gt;NA",$C$2:$C$364,$C352),"")</f>
        <v>1</v>
      </c>
      <c r="N352" s="85">
        <f t="shared" si="354"/>
        <v>1</v>
      </c>
      <c r="O352" s="85">
        <f t="shared" si="354"/>
        <v>1</v>
      </c>
      <c r="P352" s="85">
        <f t="shared" si="354"/>
        <v>1</v>
      </c>
      <c r="Q352" s="85">
        <f t="shared" si="354"/>
        <v>0.875</v>
      </c>
      <c r="R352" s="85">
        <f t="shared" si="354"/>
        <v>0.875</v>
      </c>
      <c r="S352" s="85">
        <f t="shared" si="354"/>
        <v>0.75</v>
      </c>
      <c r="T352" s="127">
        <f t="shared" si="3"/>
        <v>1</v>
      </c>
      <c r="U352" s="53">
        <f t="shared" si="4"/>
        <v>3</v>
      </c>
      <c r="V352" s="54">
        <f t="shared" si="5"/>
        <v>3</v>
      </c>
    </row>
    <row r="353" ht="15.0" customHeight="1">
      <c r="A353" s="55" t="str">
        <f>SiteAttendu!$A351</f>
        <v>C5009</v>
      </c>
      <c r="B353" s="56" t="str">
        <f>VLOOKUP($A353,SiteAttendu!$A$2:$C$366,2,0)</f>
        <v>DISTRICT SANITAIRE  DANANE</v>
      </c>
      <c r="C353" s="57" t="str">
        <f>VLOOKUP($A353,SiteAttendu!$A$2:$C$366,3,0)</f>
        <v>TONKPI</v>
      </c>
      <c r="D353" s="58">
        <f>IF(VLOOKUP(A353,SiteAttendu!$A$2:$P$366,4,0)="NA","NA",COUNTIFS(soccode,A353,socprog,"PNLS/ANTIRETROVIRAUX ET IO",socprompt,1))</f>
        <v>1</v>
      </c>
      <c r="E353" s="58">
        <f>IF(VLOOKUP($A353,SiteAttendu!$A$2:$O$366,5,0)="NA","NA",COUNTIFS(soccode,A353,socprog,"PNLS/TESTS RAPIDES ET CONSOMMABLES",socprompt,1))</f>
        <v>1</v>
      </c>
      <c r="F353" s="58" t="str">
        <f>IF(VLOOKUP($A353,SiteAttendu!$A$2:$O$366,6,0)="NA","NA",COUNTIFS(soccode,A353,socprog,"PNLS/PRODUITS DE LABORATOIRE",socprompt,1))</f>
        <v>NA</v>
      </c>
      <c r="G353" s="58" t="str">
        <f>IF(VLOOKUP($A353,SiteAttendu!$A$2:$O$366,7,0)="NA","NA",COUNTIFS(soccode,A353,socprog,"PNLS/CHARGES VIRALES",socprompt,1))</f>
        <v>NA</v>
      </c>
      <c r="H353" s="58">
        <f>IF(VLOOKUP($A353,SiteAttendu!$A$2:$O$366,9,0)="NA","NA",COUNTIFS(soccode,A353,socprog,"PNLP/MEDICAMENTS ET INTRANTS",socprompt,1))</f>
        <v>1</v>
      </c>
      <c r="I353" s="58">
        <f>IF(VLOOKUP($A353,SiteAttendu!$A$2:$O$366,10,0)="NA","NA",COUNTIFS(soccode,$A353,socprog,"PNSME/MEDICAMENTS ET INTRANTS",socprompt,1))</f>
        <v>1</v>
      </c>
      <c r="J353" s="58">
        <f>IF(VLOOKUP($A353,SiteAttendu!$A$2:$O$366,11,0)="NA","NA",COUNTIFS(soccode,$A353,socprog,"PNN/MEDICAMENTS ET INTRANTS",socprompt,1))</f>
        <v>1</v>
      </c>
      <c r="K353" s="58">
        <f>IF(VLOOKUP($A353,SiteAttendu!$A$2:$O$366,15,0)="NA","NA",IF(COUNTIF(socprog,"PNLT/SENSIBLE MEDICAMENTS ET INTRANTS")=0,"NA",COUNTIFS(soccode,$A353,socprog,"PNLT/SENSIBLE MEDICAMENTS ET INTRANTS",socprompt,1)))</f>
        <v>1</v>
      </c>
      <c r="L353" s="60"/>
      <c r="M353" s="85">
        <f t="shared" ref="M353:S353" si="355">IFERROR(SUMIFS(E$2:E$364,$C$2:$C$364,$C353)/COUNTIFS(E$2:E$364,"&lt;&gt;NA",$C$2:$C$364,$C353),"")</f>
        <v>1</v>
      </c>
      <c r="N353" s="85">
        <f t="shared" si="355"/>
        <v>1</v>
      </c>
      <c r="O353" s="85">
        <f t="shared" si="355"/>
        <v>1</v>
      </c>
      <c r="P353" s="85">
        <f t="shared" si="355"/>
        <v>1</v>
      </c>
      <c r="Q353" s="85">
        <f t="shared" si="355"/>
        <v>0.875</v>
      </c>
      <c r="R353" s="85">
        <f t="shared" si="355"/>
        <v>0.875</v>
      </c>
      <c r="S353" s="85">
        <f t="shared" si="355"/>
        <v>0.75</v>
      </c>
      <c r="T353" s="127">
        <f t="shared" si="3"/>
        <v>1</v>
      </c>
      <c r="U353" s="53">
        <f t="shared" si="4"/>
        <v>2</v>
      </c>
      <c r="V353" s="54">
        <f t="shared" si="5"/>
        <v>2</v>
      </c>
    </row>
    <row r="354" ht="15.0" customHeight="1">
      <c r="A354" s="55" t="str">
        <f>SiteAttendu!$A352</f>
        <v>C5018</v>
      </c>
      <c r="B354" s="56" t="str">
        <f>VLOOKUP($A354,SiteAttendu!$A$2:$C$366,2,0)</f>
        <v>HOPITAL GENERAL DANANE</v>
      </c>
      <c r="C354" s="57" t="str">
        <f>VLOOKUP($A354,SiteAttendu!$A$2:$C$366,3,0)</f>
        <v>TONKPI</v>
      </c>
      <c r="D354" s="58">
        <f>IF(VLOOKUP(A354,SiteAttendu!$A$2:$P$366,4,0)="NA","NA",COUNTIFS(soccode,A354,socprog,"PNLS/ANTIRETROVIRAUX ET IO",socprompt,1))</f>
        <v>1</v>
      </c>
      <c r="E354" s="58">
        <f>IF(VLOOKUP($A354,SiteAttendu!$A$2:$O$366,5,0)="NA","NA",COUNTIFS(soccode,A354,socprog,"PNLS/TESTS RAPIDES ET CONSOMMABLES",socprompt,1))</f>
        <v>1</v>
      </c>
      <c r="F354" s="58">
        <f>IF(VLOOKUP($A354,SiteAttendu!$A$2:$O$366,6,0)="NA","NA",COUNTIFS(soccode,A354,socprog,"PNLS/PRODUITS DE LABORATOIRE",socprompt,1))</f>
        <v>1</v>
      </c>
      <c r="G354" s="58">
        <f>IF(VLOOKUP($A354,SiteAttendu!$A$2:$O$366,7,0)="NA","NA",COUNTIFS(soccode,A354,socprog,"PNLS/CHARGES VIRALES",socprompt,1))</f>
        <v>1</v>
      </c>
      <c r="H354" s="58">
        <f>IF(VLOOKUP($A354,SiteAttendu!$A$2:$O$366,9,0)="NA","NA",COUNTIFS(soccode,A354,socprog,"PNLP/MEDICAMENTS ET INTRANTS",socprompt,1))</f>
        <v>1</v>
      </c>
      <c r="I354" s="58">
        <f>IF(VLOOKUP($A354,SiteAttendu!$A$2:$O$366,10,0)="NA","NA",COUNTIFS(soccode,$A354,socprog,"PNSME/MEDICAMENTS ET INTRANTS",socprompt,1))</f>
        <v>1</v>
      </c>
      <c r="J354" s="58">
        <f>IF(VLOOKUP($A354,SiteAttendu!$A$2:$O$366,11,0)="NA","NA",COUNTIFS(soccode,$A354,socprog,"PNN/MEDICAMENTS ET INTRANTS",socprompt,1))</f>
        <v>1</v>
      </c>
      <c r="K354" s="58">
        <f>IF(VLOOKUP($A354,SiteAttendu!$A$2:$O$366,15,0)="NA","NA",IF(COUNTIF(socprog,"PNLT/SENSIBLE MEDICAMENTS ET INTRANTS")=0,"NA",COUNTIFS(soccode,$A354,socprog,"PNLT/SENSIBLE MEDICAMENTS ET INTRANTS",socprompt,1)))</f>
        <v>0</v>
      </c>
      <c r="L354" s="60"/>
      <c r="M354" s="85">
        <f t="shared" ref="M354:S354" si="356">IFERROR(SUMIFS(E$2:E$364,$C$2:$C$364,$C354)/COUNTIFS(E$2:E$364,"&lt;&gt;NA",$C$2:$C$364,$C354),"")</f>
        <v>1</v>
      </c>
      <c r="N354" s="85">
        <f t="shared" si="356"/>
        <v>1</v>
      </c>
      <c r="O354" s="85">
        <f t="shared" si="356"/>
        <v>1</v>
      </c>
      <c r="P354" s="85">
        <f t="shared" si="356"/>
        <v>1</v>
      </c>
      <c r="Q354" s="85">
        <f t="shared" si="356"/>
        <v>0.875</v>
      </c>
      <c r="R354" s="85">
        <f t="shared" si="356"/>
        <v>0.875</v>
      </c>
      <c r="S354" s="85">
        <f t="shared" si="356"/>
        <v>0.75</v>
      </c>
      <c r="T354" s="127">
        <f t="shared" si="3"/>
        <v>1</v>
      </c>
      <c r="U354" s="53">
        <f t="shared" si="4"/>
        <v>4</v>
      </c>
      <c r="V354" s="54">
        <f t="shared" si="5"/>
        <v>4</v>
      </c>
    </row>
    <row r="355" ht="15.0" customHeight="1">
      <c r="A355" s="55" t="str">
        <f>SiteAttendu!$A353</f>
        <v>C5001</v>
      </c>
      <c r="B355" s="56" t="str">
        <f>VLOOKUP($A355,SiteAttendu!$A$2:$C$366,2,0)</f>
        <v>CHR MAN</v>
      </c>
      <c r="C355" s="57" t="str">
        <f>VLOOKUP($A355,SiteAttendu!$A$2:$C$366,3,0)</f>
        <v>TONKPI</v>
      </c>
      <c r="D355" s="58">
        <f>IF(VLOOKUP(A355,SiteAttendu!$A$2:$P$366,4,0)="NA","NA",COUNTIFS(soccode,A355,socprog,"PNLS/ANTIRETROVIRAUX ET IO",socprompt,1))</f>
        <v>1</v>
      </c>
      <c r="E355" s="58">
        <f>IF(VLOOKUP($A355,SiteAttendu!$A$2:$O$366,5,0)="NA","NA",COUNTIFS(soccode,A355,socprog,"PNLS/TESTS RAPIDES ET CONSOMMABLES",socprompt,1))</f>
        <v>1</v>
      </c>
      <c r="F355" s="58">
        <f>IF(VLOOKUP($A355,SiteAttendu!$A$2:$O$366,6,0)="NA","NA",COUNTIFS(soccode,A355,socprog,"PNLS/PRODUITS DE LABORATOIRE",socprompt,1))</f>
        <v>1</v>
      </c>
      <c r="G355" s="58">
        <f>IF(VLOOKUP($A355,SiteAttendu!$A$2:$O$366,7,0)="NA","NA",COUNTIFS(soccode,A355,socprog,"PNLS/CHARGES VIRALES",socprompt,1))</f>
        <v>1</v>
      </c>
      <c r="H355" s="58">
        <f>IF(VLOOKUP($A355,SiteAttendu!$A$2:$O$366,9,0)="NA","NA",COUNTIFS(soccode,A355,socprog,"PNLP/MEDICAMENTS ET INTRANTS",socprompt,1))</f>
        <v>1</v>
      </c>
      <c r="I355" s="58">
        <f>IF(VLOOKUP($A355,SiteAttendu!$A$2:$O$366,10,0)="NA","NA",COUNTIFS(soccode,$A355,socprog,"PNSME/MEDICAMENTS ET INTRANTS",socprompt,1))</f>
        <v>1</v>
      </c>
      <c r="J355" s="58">
        <f>IF(VLOOKUP($A355,SiteAttendu!$A$2:$O$366,11,0)="NA","NA",COUNTIFS(soccode,$A355,socprog,"PNN/MEDICAMENTS ET INTRANTS",socprompt,1))</f>
        <v>1</v>
      </c>
      <c r="K355" s="58" t="str">
        <f>IF(VLOOKUP($A355,SiteAttendu!$A$2:$O$366,15,0)="NA","NA",IF(COUNTIF(socprog,"PNLT/SENSIBLE MEDICAMENTS ET INTRANTS")=0,"NA",COUNTIFS(soccode,$A355,socprog,"PNLT/SENSIBLE MEDICAMENTS ET INTRANTS",socprompt,1)))</f>
        <v>NA</v>
      </c>
      <c r="L355" s="60"/>
      <c r="M355" s="85">
        <f t="shared" ref="M355:S355" si="357">IFERROR(SUMIFS(E$2:E$364,$C$2:$C$364,$C355)/COUNTIFS(E$2:E$364,"&lt;&gt;NA",$C$2:$C$364,$C355),"")</f>
        <v>1</v>
      </c>
      <c r="N355" s="85">
        <f t="shared" si="357"/>
        <v>1</v>
      </c>
      <c r="O355" s="85">
        <f t="shared" si="357"/>
        <v>1</v>
      </c>
      <c r="P355" s="85">
        <f t="shared" si="357"/>
        <v>1</v>
      </c>
      <c r="Q355" s="85">
        <f t="shared" si="357"/>
        <v>0.875</v>
      </c>
      <c r="R355" s="85">
        <f t="shared" si="357"/>
        <v>0.875</v>
      </c>
      <c r="S355" s="85">
        <f t="shared" si="357"/>
        <v>0.75</v>
      </c>
      <c r="T355" s="127">
        <f t="shared" si="3"/>
        <v>1</v>
      </c>
      <c r="U355" s="53">
        <f t="shared" si="4"/>
        <v>4</v>
      </c>
      <c r="V355" s="54">
        <f t="shared" si="5"/>
        <v>4</v>
      </c>
    </row>
    <row r="356" ht="15.0" customHeight="1">
      <c r="A356" s="55" t="str">
        <f>SiteAttendu!$A354</f>
        <v>C5012</v>
      </c>
      <c r="B356" s="56" t="str">
        <f>VLOOKUP($A356,SiteAttendu!$A$2:$C$366,2,0)</f>
        <v>DISTRICT SANITAIRE MAN</v>
      </c>
      <c r="C356" s="57" t="str">
        <f>VLOOKUP($A356,SiteAttendu!$A$2:$C$366,3,0)</f>
        <v>TONKPI</v>
      </c>
      <c r="D356" s="58">
        <f>IF(VLOOKUP(A356,SiteAttendu!$A$2:$P$366,4,0)="NA","NA",COUNTIFS(soccode,A356,socprog,"PNLS/ANTIRETROVIRAUX ET IO",socprompt,1))</f>
        <v>1</v>
      </c>
      <c r="E356" s="58">
        <f>IF(VLOOKUP($A356,SiteAttendu!$A$2:$O$366,5,0)="NA","NA",COUNTIFS(soccode,A356,socprog,"PNLS/TESTS RAPIDES ET CONSOMMABLES",socprompt,1))</f>
        <v>1</v>
      </c>
      <c r="F356" s="58">
        <f>IF(VLOOKUP($A356,SiteAttendu!$A$2:$O$366,6,0)="NA","NA",COUNTIFS(soccode,A356,socprog,"PNLS/PRODUITS DE LABORATOIRE",socprompt,1))</f>
        <v>1</v>
      </c>
      <c r="G356" s="58" t="str">
        <f>IF(VLOOKUP($A356,SiteAttendu!$A$2:$O$366,7,0)="NA","NA",COUNTIFS(soccode,A356,socprog,"PNLS/CHARGES VIRALES",socprompt,1))</f>
        <v>NA</v>
      </c>
      <c r="H356" s="58">
        <f>IF(VLOOKUP($A356,SiteAttendu!$A$2:$O$366,9,0)="NA","NA",COUNTIFS(soccode,A356,socprog,"PNLP/MEDICAMENTS ET INTRANTS",socprompt,1))</f>
        <v>1</v>
      </c>
      <c r="I356" s="58">
        <f>IF(VLOOKUP($A356,SiteAttendu!$A$2:$O$366,10,0)="NA","NA",COUNTIFS(soccode,$A356,socprog,"PNSME/MEDICAMENTS ET INTRANTS",socprompt,1))</f>
        <v>1</v>
      </c>
      <c r="J356" s="58">
        <f>IF(VLOOKUP($A356,SiteAttendu!$A$2:$O$366,11,0)="NA","NA",COUNTIFS(soccode,$A356,socprog,"PNN/MEDICAMENTS ET INTRANTS",socprompt,1))</f>
        <v>1</v>
      </c>
      <c r="K356" s="58">
        <f>IF(VLOOKUP($A356,SiteAttendu!$A$2:$O$366,15,0)="NA","NA",IF(COUNTIF(socprog,"PNLT/SENSIBLE MEDICAMENTS ET INTRANTS")=0,"NA",COUNTIFS(soccode,$A356,socprog,"PNLT/SENSIBLE MEDICAMENTS ET INTRANTS",socprompt,1)))</f>
        <v>1</v>
      </c>
      <c r="L356" s="60"/>
      <c r="M356" s="85">
        <f t="shared" ref="M356:S356" si="358">IFERROR(SUMIFS(E$2:E$364,$C$2:$C$364,$C356)/COUNTIFS(E$2:E$364,"&lt;&gt;NA",$C$2:$C$364,$C356),"")</f>
        <v>1</v>
      </c>
      <c r="N356" s="85">
        <f t="shared" si="358"/>
        <v>1</v>
      </c>
      <c r="O356" s="85">
        <f t="shared" si="358"/>
        <v>1</v>
      </c>
      <c r="P356" s="85">
        <f t="shared" si="358"/>
        <v>1</v>
      </c>
      <c r="Q356" s="85">
        <f t="shared" si="358"/>
        <v>0.875</v>
      </c>
      <c r="R356" s="85">
        <f t="shared" si="358"/>
        <v>0.875</v>
      </c>
      <c r="S356" s="85">
        <f t="shared" si="358"/>
        <v>0.75</v>
      </c>
      <c r="T356" s="127">
        <f t="shared" si="3"/>
        <v>1</v>
      </c>
      <c r="U356" s="53">
        <f t="shared" si="4"/>
        <v>3</v>
      </c>
      <c r="V356" s="54">
        <f t="shared" si="5"/>
        <v>3</v>
      </c>
    </row>
    <row r="357" ht="15.0" customHeight="1">
      <c r="A357" s="55" t="str">
        <f>SiteAttendu!$A355</f>
        <v>C5061</v>
      </c>
      <c r="B357" s="56" t="str">
        <f>VLOOKUP($A357,SiteAttendu!$A$2:$C$366,2,0)</f>
        <v>CENTRE ANTITUBERCULEUX MAN</v>
      </c>
      <c r="C357" s="57" t="str">
        <f>VLOOKUP($A357,SiteAttendu!$A$2:$C$366,3,0)</f>
        <v>TONKPI</v>
      </c>
      <c r="D357" s="58" t="str">
        <f>IF(VLOOKUP(A357,SiteAttendu!$A$2:$P$366,4,0)="NA","NA",COUNTIFS(soccode,A357,socprog,"PNLS/ANTIRETROVIRAUX ET IO",socprompt,1))</f>
        <v>NA</v>
      </c>
      <c r="E357" s="58" t="str">
        <f>IF(VLOOKUP($A357,SiteAttendu!$A$2:$O$366,5,0)="NA","NA",COUNTIFS(soccode,A357,socprog,"PNLS/TESTS RAPIDES ET CONSOMMABLES",socprompt,1))</f>
        <v>NA</v>
      </c>
      <c r="F357" s="58" t="str">
        <f>IF(VLOOKUP($A357,SiteAttendu!$A$2:$O$366,6,0)="NA","NA",COUNTIFS(soccode,A357,socprog,"PNLS/PRODUITS DE LABORATOIRE",socprompt,1))</f>
        <v>NA</v>
      </c>
      <c r="G357" s="58" t="str">
        <f>IF(VLOOKUP($A357,SiteAttendu!$A$2:$O$366,7,0)="NA","NA",COUNTIFS(soccode,A357,socprog,"PNLS/CHARGES VIRALES",socprompt,1))</f>
        <v>NA</v>
      </c>
      <c r="H357" s="58" t="str">
        <f>IF(VLOOKUP($A357,SiteAttendu!$A$2:$O$366,9,0)="NA","NA",COUNTIFS(soccode,A357,socprog,"PNLP/MEDICAMENTS ET INTRANTS",socprompt,1))</f>
        <v>NA</v>
      </c>
      <c r="I357" s="58" t="str">
        <f>IF(VLOOKUP($A357,SiteAttendu!$A$2:$O$366,10,0)="NA","NA",COUNTIFS(soccode,$A357,socprog,"PNSME/MEDICAMENTS ET INTRANTS",socprompt,1))</f>
        <v>NA</v>
      </c>
      <c r="J357" s="58" t="str">
        <f>IF(VLOOKUP($A357,SiteAttendu!$A$2:$O$366,11,0)="NA","NA",COUNTIFS(soccode,$A357,socprog,"PNN/MEDICAMENTS ET INTRANTS",socprompt,1))</f>
        <v>NA</v>
      </c>
      <c r="K357" s="58">
        <f>IF(VLOOKUP($A357,SiteAttendu!$A$2:$O$366,15,0)="NA","NA",IF(COUNTIF(socprog,"PNLT/SENSIBLE MEDICAMENTS ET INTRANTS")=0,"NA",COUNTIFS(soccode,$A357,socprog,"PNLT/SENSIBLE MEDICAMENTS ET INTRANTS",socprompt,1)))</f>
        <v>1</v>
      </c>
      <c r="L357" s="60"/>
      <c r="M357" s="85">
        <f t="shared" ref="M357:S357" si="359">IFERROR(SUMIFS(E$2:E$364,$C$2:$C$364,$C357)/COUNTIFS(E$2:E$364,"&lt;&gt;NA",$C$2:$C$364,$C357),"")</f>
        <v>1</v>
      </c>
      <c r="N357" s="85">
        <f t="shared" si="359"/>
        <v>1</v>
      </c>
      <c r="O357" s="85">
        <f t="shared" si="359"/>
        <v>1</v>
      </c>
      <c r="P357" s="85">
        <f t="shared" si="359"/>
        <v>1</v>
      </c>
      <c r="Q357" s="85">
        <f t="shared" si="359"/>
        <v>0.875</v>
      </c>
      <c r="R357" s="85">
        <f t="shared" si="359"/>
        <v>0.875</v>
      </c>
      <c r="S357" s="85">
        <f t="shared" si="359"/>
        <v>0.75</v>
      </c>
      <c r="T357" s="127">
        <f t="shared" si="3"/>
        <v>1</v>
      </c>
      <c r="U357" s="53">
        <f t="shared" si="4"/>
        <v>0</v>
      </c>
      <c r="V357" s="54">
        <f t="shared" si="5"/>
        <v>0</v>
      </c>
    </row>
    <row r="358" ht="15.0" customHeight="1">
      <c r="A358" s="55" t="str">
        <f>SiteAttendu!$A356</f>
        <v>C5006</v>
      </c>
      <c r="B358" s="56" t="str">
        <f>VLOOKUP($A358,SiteAttendu!$A$2:$C$366,2,0)</f>
        <v>HOPITAL GENERAL ZOUAN HOUNIEN</v>
      </c>
      <c r="C358" s="57" t="str">
        <f>VLOOKUP($A358,SiteAttendu!$A$2:$C$366,3,0)</f>
        <v>TONKPI</v>
      </c>
      <c r="D358" s="58">
        <f>IF(VLOOKUP(A358,SiteAttendu!$A$2:$P$366,4,0)="NA","NA",COUNTIFS(soccode,A358,socprog,"PNLS/ANTIRETROVIRAUX ET IO",socprompt,1))</f>
        <v>1</v>
      </c>
      <c r="E358" s="58">
        <f>IF(VLOOKUP($A358,SiteAttendu!$A$2:$O$366,5,0)="NA","NA",COUNTIFS(soccode,A358,socprog,"PNLS/TESTS RAPIDES ET CONSOMMABLES",socprompt,1))</f>
        <v>1</v>
      </c>
      <c r="F358" s="58">
        <f>IF(VLOOKUP($A358,SiteAttendu!$A$2:$O$366,6,0)="NA","NA",COUNTIFS(soccode,A358,socprog,"PNLS/PRODUITS DE LABORATOIRE",socprompt,1))</f>
        <v>1</v>
      </c>
      <c r="G358" s="58" t="str">
        <f>IF(VLOOKUP($A358,SiteAttendu!$A$2:$O$366,7,0)="NA","NA",COUNTIFS(soccode,A358,socprog,"PNLS/CHARGES VIRALES",socprompt,1))</f>
        <v>NA</v>
      </c>
      <c r="H358" s="58">
        <f>IF(VLOOKUP($A358,SiteAttendu!$A$2:$O$366,9,0)="NA","NA",COUNTIFS(soccode,A358,socprog,"PNLP/MEDICAMENTS ET INTRANTS",socprompt,1))</f>
        <v>1</v>
      </c>
      <c r="I358" s="58">
        <f>IF(VLOOKUP($A358,SiteAttendu!$A$2:$O$366,10,0)="NA","NA",COUNTIFS(soccode,$A358,socprog,"PNSME/MEDICAMENTS ET INTRANTS",socprompt,1))</f>
        <v>1</v>
      </c>
      <c r="J358" s="58">
        <f>IF(VLOOKUP($A358,SiteAttendu!$A$2:$O$366,11,0)="NA","NA",COUNTIFS(soccode,$A358,socprog,"PNN/MEDICAMENTS ET INTRANTS",socprompt,1))</f>
        <v>1</v>
      </c>
      <c r="K358" s="58">
        <f>IF(VLOOKUP($A358,SiteAttendu!$A$2:$O$366,15,0)="NA","NA",IF(COUNTIF(socprog,"PNLT/SENSIBLE MEDICAMENTS ET INTRANTS")=0,"NA",COUNTIFS(soccode,$A358,socprog,"PNLT/SENSIBLE MEDICAMENTS ET INTRANTS",socprompt,1)))</f>
        <v>1</v>
      </c>
      <c r="L358" s="60"/>
      <c r="M358" s="85">
        <f t="shared" ref="M358:S358" si="360">IFERROR(SUMIFS(E$2:E$364,$C$2:$C$364,$C358)/COUNTIFS(E$2:E$364,"&lt;&gt;NA",$C$2:$C$364,$C358),"")</f>
        <v>1</v>
      </c>
      <c r="N358" s="85">
        <f t="shared" si="360"/>
        <v>1</v>
      </c>
      <c r="O358" s="85">
        <f t="shared" si="360"/>
        <v>1</v>
      </c>
      <c r="P358" s="85">
        <f t="shared" si="360"/>
        <v>1</v>
      </c>
      <c r="Q358" s="85">
        <f t="shared" si="360"/>
        <v>0.875</v>
      </c>
      <c r="R358" s="85">
        <f t="shared" si="360"/>
        <v>0.875</v>
      </c>
      <c r="S358" s="85">
        <f t="shared" si="360"/>
        <v>0.75</v>
      </c>
      <c r="T358" s="127">
        <f t="shared" si="3"/>
        <v>1</v>
      </c>
      <c r="U358" s="53">
        <f t="shared" si="4"/>
        <v>3</v>
      </c>
      <c r="V358" s="54">
        <f t="shared" si="5"/>
        <v>3</v>
      </c>
    </row>
    <row r="359" ht="15.0" customHeight="1">
      <c r="A359" s="62" t="str">
        <f>SiteAttendu!$A357</f>
        <v>C5040</v>
      </c>
      <c r="B359" s="63" t="str">
        <f>VLOOKUP($A359,SiteAttendu!$A$2:$C$366,2,0)</f>
        <v>DISTRICT SANITAIRE ZOUAN-HOUNIEN</v>
      </c>
      <c r="C359" s="64" t="str">
        <f>VLOOKUP($A359,SiteAttendu!$A$2:$C$366,3,0)</f>
        <v>TONKPI</v>
      </c>
      <c r="D359" s="65">
        <f>IF(VLOOKUP(A359,SiteAttendu!$A$2:$P$366,4,0)="NA","NA",COUNTIFS(soccode,A359,socprog,"PNLS/ANTIRETROVIRAUX ET IO",socprompt,1))</f>
        <v>1</v>
      </c>
      <c r="E359" s="65">
        <f>IF(VLOOKUP($A359,SiteAttendu!$A$2:$O$366,5,0)="NA","NA",COUNTIFS(soccode,A359,socprog,"PNLS/TESTS RAPIDES ET CONSOMMABLES",socprompt,1))</f>
        <v>1</v>
      </c>
      <c r="F359" s="65" t="str">
        <f>IF(VLOOKUP($A359,SiteAttendu!$A$2:$O$366,6,0)="NA","NA",COUNTIFS(soccode,A359,socprog,"PNLS/PRODUITS DE LABORATOIRE",socprompt,1))</f>
        <v>NA</v>
      </c>
      <c r="G359" s="65" t="str">
        <f>IF(VLOOKUP($A359,SiteAttendu!$A$2:$O$366,7,0)="NA","NA",COUNTIFS(soccode,A359,socprog,"PNLS/CHARGES VIRALES",socprompt,1))</f>
        <v>NA</v>
      </c>
      <c r="H359" s="65">
        <f>IF(VLOOKUP($A359,SiteAttendu!$A$2:$O$366,9,0)="NA","NA",COUNTIFS(soccode,A359,socprog,"PNLP/MEDICAMENTS ET INTRANTS",socprompt,1))</f>
        <v>1</v>
      </c>
      <c r="I359" s="65">
        <f>IF(VLOOKUP($A359,SiteAttendu!$A$2:$O$366,10,0)="NA","NA",COUNTIFS(soccode,$A359,socprog,"PNSME/MEDICAMENTS ET INTRANTS",socprompt,1))</f>
        <v>0</v>
      </c>
      <c r="J359" s="65">
        <f>IF(VLOOKUP($A359,SiteAttendu!$A$2:$O$366,11,0)="NA","NA",COUNTIFS(soccode,$A359,socprog,"PNN/MEDICAMENTS ET INTRANTS",socprompt,1))</f>
        <v>0</v>
      </c>
      <c r="K359" s="65">
        <f>IF(VLOOKUP($A359,SiteAttendu!$A$2:$O$366,15,0)="NA","NA",IF(COUNTIF(socprog,"PNLT/SENSIBLE MEDICAMENTS ET INTRANTS")=0,"NA",COUNTIFS(soccode,$A359,socprog,"PNLT/SENSIBLE MEDICAMENTS ET INTRANTS",socprompt,1)))</f>
        <v>0</v>
      </c>
      <c r="L359" s="67"/>
      <c r="M359" s="86">
        <f t="shared" ref="M359:S359" si="361">IFERROR(SUMIFS(E$2:E$364,$C$2:$C$364,$C359)/COUNTIFS(E$2:E$364,"&lt;&gt;NA",$C$2:$C$364,$C359),"")</f>
        <v>1</v>
      </c>
      <c r="N359" s="86">
        <f t="shared" si="361"/>
        <v>1</v>
      </c>
      <c r="O359" s="86">
        <f t="shared" si="361"/>
        <v>1</v>
      </c>
      <c r="P359" s="86">
        <f t="shared" si="361"/>
        <v>1</v>
      </c>
      <c r="Q359" s="86">
        <f t="shared" si="361"/>
        <v>0.875</v>
      </c>
      <c r="R359" s="86">
        <f t="shared" si="361"/>
        <v>0.875</v>
      </c>
      <c r="S359" s="86">
        <f t="shared" si="361"/>
        <v>0.75</v>
      </c>
      <c r="T359" s="128">
        <f t="shared" si="3"/>
        <v>1</v>
      </c>
      <c r="U359" s="53">
        <f t="shared" si="4"/>
        <v>2</v>
      </c>
      <c r="V359" s="54">
        <f t="shared" si="5"/>
        <v>2</v>
      </c>
    </row>
    <row r="360" ht="15.0" customHeight="1">
      <c r="A360" s="55" t="str">
        <f>SiteAttendu!$A360</f>
        <v>C2041</v>
      </c>
      <c r="B360" s="56" t="str">
        <f>VLOOKUP($A360,SiteAttendu!$A$2:$C$366,2,0)</f>
        <v>HOPITAL GENERAL KANI</v>
      </c>
      <c r="C360" s="57" t="str">
        <f>VLOOKUP($A360,SiteAttendu!$A$2:$C$366,3,0)</f>
        <v>WORODOUGOU</v>
      </c>
      <c r="D360" s="58">
        <f>IF(VLOOKUP(A360,SiteAttendu!$A$2:$P$366,4,0)="NA","NA",COUNTIFS(soccode,A360,socprog,"PNLS/ANTIRETROVIRAUX ET IO",socprompt,1))</f>
        <v>1</v>
      </c>
      <c r="E360" s="58">
        <f>IF(VLOOKUP($A360,SiteAttendu!$A$2:$O$366,5,0)="NA","NA",COUNTIFS(soccode,A360,socprog,"PNLS/TESTS RAPIDES ET CONSOMMABLES",socprompt,1))</f>
        <v>1</v>
      </c>
      <c r="F360" s="58">
        <f>IF(VLOOKUP($A360,SiteAttendu!$A$2:$O$366,6,0)="NA","NA",COUNTIFS(soccode,A360,socprog,"PNLS/PRODUITS DE LABORATOIRE",socprompt,1))</f>
        <v>1</v>
      </c>
      <c r="G360" s="58" t="str">
        <f>IF(VLOOKUP($A360,SiteAttendu!$A$2:$O$366,7,0)="NA","NA",COUNTIFS(soccode,A360,socprog,"PNLS/CHARGES VIRALES",socprompt,1))</f>
        <v>NA</v>
      </c>
      <c r="H360" s="58">
        <f>IF(VLOOKUP($A360,SiteAttendu!$A$2:$O$366,9,0)="NA","NA",COUNTIFS(soccode,A360,socprog,"PNLP/MEDICAMENTS ET INTRANTS",socprompt,1))</f>
        <v>1</v>
      </c>
      <c r="I360" s="58">
        <f>IF(VLOOKUP($A360,SiteAttendu!$A$2:$O$366,10,0)="NA","NA",COUNTIFS(soccode,$A360,socprog,"PNSME/MEDICAMENTS ET INTRANTS",socprompt,1))</f>
        <v>1</v>
      </c>
      <c r="J360" s="58" t="str">
        <f>IF(VLOOKUP($A360,SiteAttendu!$A$2:$O$366,11,0)="NA","NA",COUNTIFS(soccode,$A360,socprog,"PNN/MEDICAMENTS ET INTRANTS",socprompt,1))</f>
        <v>NA</v>
      </c>
      <c r="K360" s="58" t="str">
        <f>IF(VLOOKUP($A360,SiteAttendu!$A$2:$O$366,15,0)="NA","NA",IF(COUNTIF(socprog,"PNLT/SENSIBLE MEDICAMENTS ET INTRANTS")=0,"NA",COUNTIFS(soccode,$A360,socprog,"PNLT/SENSIBLE MEDICAMENTS ET INTRANTS",socprompt,1)))</f>
        <v>NA</v>
      </c>
      <c r="L360" s="51">
        <f t="shared" ref="L360:S360" si="362">IFERROR(SUMIFS(D$2:D$364,$C$2:$C$364,$C360)/COUNTIFS(D$2:D$364,"&lt;&gt;NA",$C$2:$C$364,$C360),"")</f>
        <v>1</v>
      </c>
      <c r="M360" s="125">
        <f t="shared" si="362"/>
        <v>1</v>
      </c>
      <c r="N360" s="125">
        <f t="shared" si="362"/>
        <v>1</v>
      </c>
      <c r="O360" s="125">
        <f t="shared" si="362"/>
        <v>1</v>
      </c>
      <c r="P360" s="125">
        <f t="shared" si="362"/>
        <v>1</v>
      </c>
      <c r="Q360" s="125">
        <f t="shared" si="362"/>
        <v>1</v>
      </c>
      <c r="R360" s="125">
        <f t="shared" si="362"/>
        <v>1</v>
      </c>
      <c r="S360" s="125">
        <f t="shared" si="362"/>
        <v>1</v>
      </c>
      <c r="T360" s="125">
        <f t="shared" si="3"/>
        <v>1</v>
      </c>
      <c r="U360" s="53">
        <f t="shared" si="4"/>
        <v>3</v>
      </c>
      <c r="V360" s="54">
        <f t="shared" si="5"/>
        <v>3</v>
      </c>
    </row>
    <row r="361" ht="15.0" customHeight="1">
      <c r="A361" s="55" t="str">
        <f>SiteAttendu!$A361</f>
        <v>C5072</v>
      </c>
      <c r="B361" s="56" t="str">
        <f>VLOOKUP($A361,SiteAttendu!$A$2:$C$366,2,0)</f>
        <v>DISTRICT SANITAIRE KANI</v>
      </c>
      <c r="C361" s="57" t="str">
        <f>VLOOKUP($A361,SiteAttendu!$A$2:$C$366,3,0)</f>
        <v>WORODOUGOU</v>
      </c>
      <c r="D361" s="58">
        <f>IF(VLOOKUP(A361,SiteAttendu!$A$2:$P$366,4,0)="NA","NA",COUNTIFS(soccode,A361,socprog,"PNLS/ANTIRETROVIRAUX ET IO",socprompt,1))</f>
        <v>1</v>
      </c>
      <c r="E361" s="58">
        <f>IF(VLOOKUP($A361,SiteAttendu!$A$2:$O$366,5,0)="NA","NA",COUNTIFS(soccode,A361,socprog,"PNLS/TESTS RAPIDES ET CONSOMMABLES",socprompt,1))</f>
        <v>1</v>
      </c>
      <c r="F361" s="58" t="str">
        <f>IF(VLOOKUP($A361,SiteAttendu!$A$2:$O$366,6,0)="NA","NA",COUNTIFS(soccode,A361,socprog,"PNLS/PRODUITS DE LABORATOIRE",socprompt,1))</f>
        <v>NA</v>
      </c>
      <c r="G361" s="58" t="str">
        <f>IF(VLOOKUP($A361,SiteAttendu!$A$2:$O$366,7,0)="NA","NA",COUNTIFS(soccode,A361,socprog,"PNLS/CHARGES VIRALES",socprompt,1))</f>
        <v>NA</v>
      </c>
      <c r="H361" s="58">
        <f>IF(VLOOKUP($A361,SiteAttendu!$A$2:$O$366,9,0)="NA","NA",COUNTIFS(soccode,A361,socprog,"PNLP/MEDICAMENTS ET INTRANTS",socprompt,1))</f>
        <v>1</v>
      </c>
      <c r="I361" s="58">
        <f>IF(VLOOKUP($A361,SiteAttendu!$A$2:$O$366,10,0)="NA","NA",COUNTIFS(soccode,$A361,socprog,"PNSME/MEDICAMENTS ET INTRANTS",socprompt,1))</f>
        <v>1</v>
      </c>
      <c r="J361" s="58">
        <f>IF(VLOOKUP($A361,SiteAttendu!$A$2:$O$366,11,0)="NA","NA",COUNTIFS(soccode,$A361,socprog,"PNN/MEDICAMENTS ET INTRANTS",socprompt,1))</f>
        <v>1</v>
      </c>
      <c r="K361" s="58">
        <f>IF(VLOOKUP($A361,SiteAttendu!$A$2:$O$366,15,0)="NA","NA",IF(COUNTIF(socprog,"PNLT/SENSIBLE MEDICAMENTS ET INTRANTS")=0,"NA",COUNTIFS(soccode,$A361,socprog,"PNLT/SENSIBLE MEDICAMENTS ET INTRANTS",socprompt,1)))</f>
        <v>1</v>
      </c>
      <c r="L361" s="60"/>
      <c r="M361" s="85"/>
      <c r="N361" s="85">
        <f t="shared" ref="N361:S361" si="363">IFERROR(SUMIFS(F$2:F$364,$C$2:$C$364,$C361)/COUNTIFS(F$2:F$364,"&lt;&gt;NA",$C$2:$C$364,$C361),"")</f>
        <v>1</v>
      </c>
      <c r="O361" s="85">
        <f t="shared" si="363"/>
        <v>1</v>
      </c>
      <c r="P361" s="85">
        <f t="shared" si="363"/>
        <v>1</v>
      </c>
      <c r="Q361" s="85">
        <f t="shared" si="363"/>
        <v>1</v>
      </c>
      <c r="R361" s="85">
        <f t="shared" si="363"/>
        <v>1</v>
      </c>
      <c r="S361" s="85">
        <f t="shared" si="363"/>
        <v>1</v>
      </c>
      <c r="T361" s="85">
        <f t="shared" si="3"/>
        <v>1</v>
      </c>
      <c r="U361" s="53">
        <f t="shared" si="4"/>
        <v>2</v>
      </c>
      <c r="V361" s="54">
        <f t="shared" si="5"/>
        <v>2</v>
      </c>
    </row>
    <row r="362" ht="15.0" customHeight="1">
      <c r="A362" s="55" t="str">
        <f>SiteAttendu!$A362</f>
        <v>C2008</v>
      </c>
      <c r="B362" s="56" t="str">
        <f>VLOOKUP($A362,SiteAttendu!$A$2:$C$366,2,0)</f>
        <v>CHR SEGUELA</v>
      </c>
      <c r="C362" s="57" t="str">
        <f>VLOOKUP($A362,SiteAttendu!$A$2:$C$366,3,0)</f>
        <v>WORODOUGOU</v>
      </c>
      <c r="D362" s="58">
        <f>IF(VLOOKUP(A362,SiteAttendu!$A$2:$P$366,4,0)="NA","NA",COUNTIFS(soccode,A362,socprog,"PNLS/ANTIRETROVIRAUX ET IO",socprompt,1))</f>
        <v>1</v>
      </c>
      <c r="E362" s="58">
        <f>IF(VLOOKUP($A362,SiteAttendu!$A$2:$O$366,5,0)="NA","NA",COUNTIFS(soccode,A362,socprog,"PNLS/TESTS RAPIDES ET CONSOMMABLES",socprompt,1))</f>
        <v>1</v>
      </c>
      <c r="F362" s="58">
        <f>IF(VLOOKUP($A362,SiteAttendu!$A$2:$O$366,6,0)="NA","NA",COUNTIFS(soccode,A362,socprog,"PNLS/PRODUITS DE LABORATOIRE",socprompt,1))</f>
        <v>1</v>
      </c>
      <c r="G362" s="58">
        <f>IF(VLOOKUP($A362,SiteAttendu!$A$2:$O$366,7,0)="NA","NA",COUNTIFS(soccode,A362,socprog,"PNLS/CHARGES VIRALES",socprompt,1))</f>
        <v>1</v>
      </c>
      <c r="H362" s="58">
        <f>IF(VLOOKUP($A362,SiteAttendu!$A$2:$O$366,9,0)="NA","NA",COUNTIFS(soccode,A362,socprog,"PNLP/MEDICAMENTS ET INTRANTS",socprompt,1))</f>
        <v>1</v>
      </c>
      <c r="I362" s="58">
        <f>IF(VLOOKUP($A362,SiteAttendu!$A$2:$O$366,10,0)="NA","NA",COUNTIFS(soccode,$A362,socprog,"PNSME/MEDICAMENTS ET INTRANTS",socprompt,1))</f>
        <v>1</v>
      </c>
      <c r="J362" s="58" t="str">
        <f>IF(VLOOKUP($A362,SiteAttendu!$A$2:$O$366,11,0)="NA","NA",COUNTIFS(soccode,$A362,socprog,"PNN/MEDICAMENTS ET INTRANTS",socprompt,1))</f>
        <v>NA</v>
      </c>
      <c r="K362" s="58" t="str">
        <f>IF(VLOOKUP($A362,SiteAttendu!$A$2:$O$366,15,0)="NA","NA",IF(COUNTIF(socprog,"PNLT/SENSIBLE MEDICAMENTS ET INTRANTS")=0,"NA",COUNTIFS(soccode,$A362,socprog,"PNLT/SENSIBLE MEDICAMENTS ET INTRANTS",socprompt,1)))</f>
        <v>NA</v>
      </c>
      <c r="L362" s="60"/>
      <c r="M362" s="85"/>
      <c r="N362" s="85">
        <f t="shared" ref="N362:S362" si="364">IFERROR(SUMIFS(F$2:F$364,$C$2:$C$364,$C362)/COUNTIFS(F$2:F$364,"&lt;&gt;NA",$C$2:$C$364,$C362),"")</f>
        <v>1</v>
      </c>
      <c r="O362" s="85">
        <f t="shared" si="364"/>
        <v>1</v>
      </c>
      <c r="P362" s="85">
        <f t="shared" si="364"/>
        <v>1</v>
      </c>
      <c r="Q362" s="85">
        <f t="shared" si="364"/>
        <v>1</v>
      </c>
      <c r="R362" s="85">
        <f t="shared" si="364"/>
        <v>1</v>
      </c>
      <c r="S362" s="85">
        <f t="shared" si="364"/>
        <v>1</v>
      </c>
      <c r="T362" s="85">
        <f t="shared" si="3"/>
        <v>1</v>
      </c>
      <c r="U362" s="53">
        <f t="shared" si="4"/>
        <v>4</v>
      </c>
      <c r="V362" s="54">
        <f t="shared" si="5"/>
        <v>4</v>
      </c>
      <c r="X362" s="129"/>
    </row>
    <row r="363" ht="15.0" customHeight="1">
      <c r="A363" s="55" t="str">
        <f>SiteAttendu!$A363</f>
        <v>C2036</v>
      </c>
      <c r="B363" s="56" t="str">
        <f>VLOOKUP($A363,SiteAttendu!$A$2:$C$366,2,0)</f>
        <v>DISTRICT SANITAIRE SEGUELA</v>
      </c>
      <c r="C363" s="57" t="str">
        <f>VLOOKUP($A363,SiteAttendu!$A$2:$C$366,3,0)</f>
        <v>WORODOUGOU</v>
      </c>
      <c r="D363" s="58">
        <f>IF(VLOOKUP(A363,SiteAttendu!$A$2:$P$366,4,0)="NA","NA",COUNTIFS(soccode,A363,socprog,"PNLS/ANTIRETROVIRAUX ET IO",socprompt,1))</f>
        <v>1</v>
      </c>
      <c r="E363" s="58">
        <f>IF(VLOOKUP($A363,SiteAttendu!$A$2:$O$366,5,0)="NA","NA",COUNTIFS(soccode,A363,socprog,"PNLS/TESTS RAPIDES ET CONSOMMABLES",socprompt,1))</f>
        <v>1</v>
      </c>
      <c r="F363" s="58" t="str">
        <f>IF(VLOOKUP($A363,SiteAttendu!$A$2:$O$366,6,0)="NA","NA",COUNTIFS(soccode,A363,socprog,"PNLS/PRODUITS DE LABORATOIRE",socprompt,1))</f>
        <v>NA</v>
      </c>
      <c r="G363" s="58" t="str">
        <f>IF(VLOOKUP($A363,SiteAttendu!$A$2:$O$366,7,0)="NA","NA",COUNTIFS(soccode,A363,socprog,"PNLS/CHARGES VIRALES",socprompt,1))</f>
        <v>NA</v>
      </c>
      <c r="H363" s="58">
        <f>IF(VLOOKUP($A363,SiteAttendu!$A$2:$O$366,9,0)="NA","NA",COUNTIFS(soccode,A363,socprog,"PNLP/MEDICAMENTS ET INTRANTS",socprompt,1))</f>
        <v>1</v>
      </c>
      <c r="I363" s="58">
        <f>IF(VLOOKUP($A363,SiteAttendu!$A$2:$O$366,10,0)="NA","NA",COUNTIFS(soccode,$A363,socprog,"PNSME/MEDICAMENTS ET INTRANTS",socprompt,1))</f>
        <v>1</v>
      </c>
      <c r="J363" s="58">
        <f>IF(VLOOKUP($A363,SiteAttendu!$A$2:$O$366,11,0)="NA","NA",COUNTIFS(soccode,$A363,socprog,"PNN/MEDICAMENTS ET INTRANTS",socprompt,1))</f>
        <v>1</v>
      </c>
      <c r="K363" s="58" t="str">
        <f>IF(VLOOKUP($A363,SiteAttendu!$A$2:$O$366,15,0)="NA","NA",IF(COUNTIF(socprog,"PNLT/SENSIBLE MEDICAMENTS ET INTRANTS")=0,"NA",COUNTIFS(soccode,$A363,socprog,"PNLT/SENSIBLE MEDICAMENTS ET INTRANTS",socprompt,1)))</f>
        <v>NA</v>
      </c>
      <c r="L363" s="60"/>
      <c r="M363" s="85"/>
      <c r="N363" s="85">
        <f t="shared" ref="N363:S363" si="365">IFERROR(SUMIFS(F$2:F$364,$C$2:$C$364,$C363)/COUNTIFS(F$2:F$364,"&lt;&gt;NA",$C$2:$C$364,$C363),"")</f>
        <v>1</v>
      </c>
      <c r="O363" s="85">
        <f t="shared" si="365"/>
        <v>1</v>
      </c>
      <c r="P363" s="85">
        <f t="shared" si="365"/>
        <v>1</v>
      </c>
      <c r="Q363" s="85">
        <f t="shared" si="365"/>
        <v>1</v>
      </c>
      <c r="R363" s="85">
        <f t="shared" si="365"/>
        <v>1</v>
      </c>
      <c r="S363" s="85">
        <f t="shared" si="365"/>
        <v>1</v>
      </c>
      <c r="T363" s="85">
        <f t="shared" si="3"/>
        <v>1</v>
      </c>
      <c r="U363" s="53">
        <f t="shared" si="4"/>
        <v>2</v>
      </c>
      <c r="V363" s="54">
        <f t="shared" si="5"/>
        <v>2</v>
      </c>
    </row>
    <row r="364" ht="15.0" customHeight="1">
      <c r="A364" s="62" t="str">
        <f>SiteAttendu!$A364</f>
        <v>C2193</v>
      </c>
      <c r="B364" s="63" t="str">
        <f>VLOOKUP($A364,SiteAttendu!$A$2:$C$366,2,0)</f>
        <v>CENTRE ANTITUBERCULEUX SEGUELA</v>
      </c>
      <c r="C364" s="64" t="str">
        <f>VLOOKUP($A364,SiteAttendu!$A$2:$C$366,3,0)</f>
        <v>WORODOUGOU</v>
      </c>
      <c r="D364" s="65" t="str">
        <f>IF(VLOOKUP(A364,SiteAttendu!$A$2:$P$366,4,0)="NA","NA",COUNTIFS(soccode,A364,socprog,"PNLS/ANTIRETROVIRAUX ET IO",socprompt,1))</f>
        <v>NA</v>
      </c>
      <c r="E364" s="65" t="str">
        <f>IF(VLOOKUP($A364,SiteAttendu!$A$2:$O$366,5,0)="NA","NA",COUNTIFS(soccode,A364,socprog,"PNLS/TESTS RAPIDES ET CONSOMMABLES",socprompt,1))</f>
        <v>NA</v>
      </c>
      <c r="F364" s="65" t="str">
        <f>IF(VLOOKUP($A364,SiteAttendu!$A$2:$O$366,6,0)="NA","NA",COUNTIFS(soccode,A364,socprog,"PNLS/PRODUITS DE LABORATOIRE",socprompt,1))</f>
        <v>NA</v>
      </c>
      <c r="G364" s="65" t="str">
        <f>IF(VLOOKUP($A364,SiteAttendu!$A$2:$O$366,7,0)="NA","NA",COUNTIFS(soccode,A364,socprog,"PNLS/CHARGES VIRALES",socprompt,1))</f>
        <v>NA</v>
      </c>
      <c r="H364" s="65" t="str">
        <f>IF(VLOOKUP($A364,SiteAttendu!$A$2:$O$366,9,0)="NA","NA",COUNTIFS(soccode,A364,socprog,"PNLP/MEDICAMENTS ET INTRANTS",socprompt,1))</f>
        <v>NA</v>
      </c>
      <c r="I364" s="65" t="str">
        <f>IF(VLOOKUP($A364,SiteAttendu!$A$2:$O$366,10,0)="NA","NA",COUNTIFS(soccode,$A364,socprog,"PNSME/MEDICAMENTS ET INTRANTS",socprompt,1))</f>
        <v>NA</v>
      </c>
      <c r="J364" s="65" t="str">
        <f>IF(VLOOKUP($A364,SiteAttendu!$A$2:$O$366,11,0)="NA","NA",COUNTIFS(soccode,$A364,socprog,"PNN/MEDICAMENTS ET INTRANTS",socprompt,1))</f>
        <v>NA</v>
      </c>
      <c r="K364" s="65">
        <f>IF(VLOOKUP($A364,SiteAttendu!$A$2:$O$366,15,0)="NA","NA",IF(COUNTIF(socprog,"PNLT/SENSIBLE MEDICAMENTS ET INTRANTS")=0,"NA",COUNTIFS(soccode,$A364,socprog,"PNLT/SENSIBLE MEDICAMENTS ET INTRANTS",socprompt,1)))</f>
        <v>1</v>
      </c>
      <c r="L364" s="67"/>
      <c r="M364" s="86"/>
      <c r="N364" s="86">
        <f t="shared" ref="N364:S364" si="366">IFERROR(SUMIFS(F$2:F$364,$C$2:$C$364,$C364)/COUNTIFS(F$2:F$364,"&lt;&gt;NA",$C$2:$C$364,$C364),"")</f>
        <v>1</v>
      </c>
      <c r="O364" s="86">
        <f t="shared" si="366"/>
        <v>1</v>
      </c>
      <c r="P364" s="86">
        <f t="shared" si="366"/>
        <v>1</v>
      </c>
      <c r="Q364" s="86">
        <f t="shared" si="366"/>
        <v>1</v>
      </c>
      <c r="R364" s="86">
        <f t="shared" si="366"/>
        <v>1</v>
      </c>
      <c r="S364" s="86">
        <f t="shared" si="366"/>
        <v>1</v>
      </c>
      <c r="T364" s="86">
        <f t="shared" si="3"/>
        <v>1</v>
      </c>
      <c r="U364" s="130">
        <f t="shared" si="4"/>
        <v>0</v>
      </c>
      <c r="V364" s="111">
        <f t="shared" si="5"/>
        <v>0</v>
      </c>
    </row>
    <row r="365" ht="18.75" customHeight="1">
      <c r="A365" s="112"/>
      <c r="B365" s="112"/>
      <c r="C365" s="112"/>
      <c r="D365" s="113">
        <f t="shared" ref="D365:K365" si="367">IFERROR(SUM(D2:D364)/COUNTIF(D2:D364,"&lt;&gt;NA"),"NA")</f>
        <v>0.8609022556</v>
      </c>
      <c r="E365" s="113">
        <f t="shared" si="367"/>
        <v>0.8539325843</v>
      </c>
      <c r="F365" s="113">
        <f t="shared" si="367"/>
        <v>0.8512820513</v>
      </c>
      <c r="G365" s="113">
        <f t="shared" si="367"/>
        <v>0.8208955224</v>
      </c>
      <c r="H365" s="113">
        <f t="shared" si="367"/>
        <v>0.8494983278</v>
      </c>
      <c r="I365" s="113">
        <f t="shared" si="367"/>
        <v>0.8</v>
      </c>
      <c r="J365" s="113">
        <f t="shared" si="367"/>
        <v>0.8656716418</v>
      </c>
      <c r="K365" s="113">
        <f t="shared" si="367"/>
        <v>0.675</v>
      </c>
      <c r="L365" s="112"/>
      <c r="M365" s="112"/>
      <c r="N365" s="112"/>
      <c r="O365" s="112"/>
      <c r="P365" s="112"/>
      <c r="Q365" s="112"/>
      <c r="R365" s="112"/>
      <c r="S365" s="112"/>
      <c r="T365" s="112"/>
      <c r="U365" s="112"/>
      <c r="V365" s="112"/>
      <c r="W365" s="114"/>
      <c r="X365" s="114"/>
      <c r="Y365" s="114"/>
      <c r="Z365" s="114"/>
    </row>
    <row r="366" ht="14.25" customHeight="1">
      <c r="A366" s="115"/>
      <c r="B366" s="115"/>
      <c r="C366" s="115"/>
      <c r="D366" s="131">
        <f>SUM(D2:K364)/COUNTIF(D2:K364,"&lt;&gt;NA")</f>
        <v>0.8235635519</v>
      </c>
      <c r="E366" s="117"/>
      <c r="F366" s="117"/>
      <c r="G366" s="117"/>
      <c r="H366" s="117"/>
      <c r="I366" s="117"/>
      <c r="J366" s="117"/>
      <c r="K366" s="118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</row>
    <row r="367" ht="14.25" customHeight="1">
      <c r="D367" s="119">
        <f t="shared" ref="D367:K367" si="368">COUNTIFS(D2:D364,"&lt;&gt;NA")</f>
        <v>266</v>
      </c>
      <c r="E367" s="119">
        <f t="shared" si="368"/>
        <v>267</v>
      </c>
      <c r="F367" s="119">
        <f t="shared" si="368"/>
        <v>195</v>
      </c>
      <c r="G367" s="119">
        <f t="shared" si="368"/>
        <v>67</v>
      </c>
      <c r="H367" s="119">
        <f t="shared" si="368"/>
        <v>299</v>
      </c>
      <c r="I367" s="119">
        <f t="shared" si="368"/>
        <v>295</v>
      </c>
      <c r="J367" s="119">
        <f t="shared" si="368"/>
        <v>134</v>
      </c>
      <c r="K367" s="119">
        <f t="shared" si="368"/>
        <v>200</v>
      </c>
      <c r="L367" s="119">
        <f t="shared" ref="L367:S367" si="369">SUM(D2:D364)</f>
        <v>229</v>
      </c>
      <c r="M367" s="119">
        <f t="shared" si="369"/>
        <v>228</v>
      </c>
      <c r="N367" s="119">
        <f t="shared" si="369"/>
        <v>166</v>
      </c>
      <c r="O367" s="119">
        <f t="shared" si="369"/>
        <v>55</v>
      </c>
      <c r="P367" s="119">
        <f t="shared" si="369"/>
        <v>254</v>
      </c>
      <c r="Q367" s="119">
        <f t="shared" si="369"/>
        <v>236</v>
      </c>
      <c r="R367" s="119">
        <f t="shared" si="369"/>
        <v>116</v>
      </c>
      <c r="S367" s="119">
        <f t="shared" si="369"/>
        <v>135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X$366"/>
  <mergeCells count="1">
    <mergeCell ref="D366:K366"/>
  </mergeCells>
  <conditionalFormatting sqref="D2:K365 U2:V364">
    <cfRule type="cellIs" dxfId="6" priority="1" operator="equal">
      <formula>"NA"</formula>
    </cfRule>
  </conditionalFormatting>
  <conditionalFormatting sqref="D2:K365 U2:V364">
    <cfRule type="cellIs" dxfId="5" priority="2" operator="equal">
      <formula>1</formula>
    </cfRule>
  </conditionalFormatting>
  <conditionalFormatting sqref="D2:K365 U2:V364">
    <cfRule type="cellIs" dxfId="0" priority="3" operator="equal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30.29"/>
    <col customWidth="1" min="2" max="2" width="10.43"/>
    <col customWidth="1" min="3" max="3" width="13.14"/>
    <col customWidth="1" min="4" max="4" width="9.71"/>
    <col customWidth="1" min="5" max="5" width="13.14"/>
    <col customWidth="1" min="6" max="6" width="9.71"/>
    <col customWidth="1" min="7" max="9" width="13.14"/>
    <col customWidth="1" min="10" max="10" width="9.71"/>
    <col customWidth="1" min="11" max="11" width="13.14"/>
    <col customWidth="1" min="12" max="12" width="9.71"/>
    <col customWidth="1" min="13" max="13" width="13.14"/>
    <col customWidth="1" min="14" max="14" width="9.71"/>
    <col customWidth="1" min="15" max="15" width="13.14"/>
    <col customWidth="1" min="16" max="16" width="9.71"/>
    <col customWidth="1" min="17" max="17" width="13.14"/>
    <col customWidth="1" min="18" max="18" width="9.71"/>
    <col customWidth="1" min="19" max="19" width="13.14"/>
    <col customWidth="1" min="20" max="26" width="11.71"/>
    <col customWidth="1" min="27" max="27" width="11.57"/>
    <col customWidth="1" min="28" max="28" width="12.71"/>
    <col customWidth="1" min="29" max="36" width="11.71"/>
    <col customWidth="1" min="37" max="37" width="11.57"/>
  </cols>
  <sheetData>
    <row r="1" ht="14.25" customHeight="1">
      <c r="B1" s="132" t="s">
        <v>883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8"/>
    </row>
    <row r="2" ht="7.5" customHeight="1"/>
    <row r="3" ht="19.5" customHeight="1">
      <c r="A3" s="133" t="s">
        <v>791</v>
      </c>
      <c r="B3" s="134" t="s">
        <v>792</v>
      </c>
      <c r="C3" s="135"/>
      <c r="D3" s="136" t="s">
        <v>793</v>
      </c>
      <c r="E3" s="137"/>
      <c r="F3" s="134" t="s">
        <v>794</v>
      </c>
      <c r="G3" s="135"/>
      <c r="H3" s="134" t="s">
        <v>884</v>
      </c>
      <c r="I3" s="135"/>
      <c r="J3" s="134" t="s">
        <v>796</v>
      </c>
      <c r="K3" s="138"/>
      <c r="L3" s="134" t="s">
        <v>797</v>
      </c>
      <c r="M3" s="135"/>
      <c r="N3" s="134" t="s">
        <v>798</v>
      </c>
      <c r="O3" s="135"/>
      <c r="P3" s="134" t="s">
        <v>799</v>
      </c>
      <c r="Q3" s="135"/>
      <c r="R3" s="134" t="s">
        <v>803</v>
      </c>
      <c r="S3" s="135"/>
    </row>
    <row r="4" ht="14.25" customHeight="1">
      <c r="A4" s="133"/>
      <c r="B4" s="139" t="s">
        <v>885</v>
      </c>
      <c r="C4" s="140" t="s">
        <v>886</v>
      </c>
      <c r="D4" s="139" t="s">
        <v>885</v>
      </c>
      <c r="E4" s="141" t="s">
        <v>886</v>
      </c>
      <c r="F4" s="139" t="s">
        <v>885</v>
      </c>
      <c r="G4" s="140" t="s">
        <v>886</v>
      </c>
      <c r="H4" s="139" t="s">
        <v>885</v>
      </c>
      <c r="I4" s="140" t="s">
        <v>886</v>
      </c>
      <c r="J4" s="139" t="s">
        <v>885</v>
      </c>
      <c r="K4" s="141" t="s">
        <v>886</v>
      </c>
      <c r="L4" s="139" t="s">
        <v>885</v>
      </c>
      <c r="M4" s="140" t="s">
        <v>886</v>
      </c>
      <c r="N4" s="139" t="s">
        <v>885</v>
      </c>
      <c r="O4" s="140" t="s">
        <v>886</v>
      </c>
      <c r="P4" s="139" t="s">
        <v>885</v>
      </c>
      <c r="Q4" s="140" t="s">
        <v>886</v>
      </c>
      <c r="R4" s="139" t="s">
        <v>885</v>
      </c>
      <c r="S4" s="140" t="s">
        <v>886</v>
      </c>
    </row>
    <row r="5" ht="14.25" customHeight="1">
      <c r="A5" s="142" t="str">
        <f>IFERROR(__xludf.DUMMYFUNCTION("ARRAY_CONSTRAIN(ARRAYFORMULA(UNIQUE(SiteAttendu!C2:C364)), 33, 1)"),"ABIDJAN 1")</f>
        <v>ABIDJAN 1</v>
      </c>
      <c r="B5" s="143">
        <f>COUNTIFS(DetailCompletude!$C$2:$C$364,CompletudeParRegion!$A5,DetailCompletude!D$2:D$364,"&lt;&gt;NA")</f>
        <v>24</v>
      </c>
      <c r="C5" s="144">
        <f>IFERROR(VLOOKUP(A5,DetailCompletude!$C$2:$V$366,10,0),"")</f>
        <v>1</v>
      </c>
      <c r="D5" s="145">
        <f>COUNTIFS(DetailCompletude!$C$2:$C$364,CompletudeParRegion!$A5,DetailCompletude!E$2:E$364,"&lt;&gt;NA")</f>
        <v>24</v>
      </c>
      <c r="E5" s="146">
        <f>IFERROR(VLOOKUP(A5,DetailCompletude!$C$2:$V$366,11,0),"")</f>
        <v>1</v>
      </c>
      <c r="F5" s="145">
        <f>COUNTIFS(DetailCompletude!$C$2:$C$364,CompletudeParRegion!$A5,DetailCompletude!F$2:F$364,"&lt;&gt;NA")</f>
        <v>18</v>
      </c>
      <c r="G5" s="144">
        <f>IFERROR(VLOOKUP(A5,DetailCompletude!$C$2:$V$366,12,0),"")</f>
        <v>0.8888888889</v>
      </c>
      <c r="H5" s="145">
        <f>COUNTIFS(DetailCompletude!$C$2:$C$364,CompletudeParRegion!$A5,DetailCompletude!G$2:G$364,"&lt;&gt;NA")</f>
        <v>9</v>
      </c>
      <c r="I5" s="144">
        <f>IFERROR(VLOOKUP(A5,DetailCompletude!$C$2:$V$366,13,0),"")</f>
        <v>0.6666666667</v>
      </c>
      <c r="J5" s="145">
        <f t="shared" ref="J5:J37" si="1">SUM(B5,D5,F5,H5)</f>
        <v>75</v>
      </c>
      <c r="K5" s="146">
        <f>IFERROR(VLOOKUP(A5,DetailCompletude!$C$2:$V$366,18,0),"")</f>
        <v>0.9333333333</v>
      </c>
      <c r="L5" s="145">
        <f>COUNTIFS(DetailCompletude!$C$2:$C$363,CompletudeParRegion!$A5,DetailCompletude!H$2:H$363,"&lt;&gt;NA")</f>
        <v>28</v>
      </c>
      <c r="M5" s="144">
        <f>IFERROR(VLOOKUP(A5,DetailCompletude!$C$2:$V$366,14,0),"")</f>
        <v>0.9285714286</v>
      </c>
      <c r="N5" s="145">
        <f>COUNTIFS(DetailCompletude!$C$2:$C$363,CompletudeParRegion!$A5,DetailCompletude!I$2:I$363,"&lt;&gt;NA")</f>
        <v>23</v>
      </c>
      <c r="O5" s="144">
        <f>IFERROR(VLOOKUP(A5,DetailCompletude!$C$2:$V$366,15,0),"")</f>
        <v>0.6956521739</v>
      </c>
      <c r="P5" s="145">
        <f>COUNTIFS(DetailCompletude!$C$2:$C$363,CompletudeParRegion!$A5,DetailCompletude!J$2:J$363,"&lt;&gt;NA")</f>
        <v>6</v>
      </c>
      <c r="Q5" s="144">
        <f>IFERROR(VLOOKUP(A5,DetailCompletude!$C$2:$V$366,16,0),"")</f>
        <v>1</v>
      </c>
      <c r="R5" s="145">
        <f>COUNTIFS(DetailCompletude!$C$2:$C$363,CompletudeParRegion!$A5,DetailCompletude!K$2:K$363,"&lt;&gt;NA")</f>
        <v>13</v>
      </c>
      <c r="S5" s="144">
        <f>IFERROR(VLOOKUP(A5,DetailCompletude!$C$2:$V$366,17,0),"")</f>
        <v>0.7692307692</v>
      </c>
    </row>
    <row r="6" ht="14.25" customHeight="1">
      <c r="A6" s="147" t="str">
        <f>IFERROR(__xludf.DUMMYFUNCTION("""COMPUTED_VALUE"""),"ABIDJAN 2")</f>
        <v>ABIDJAN 2</v>
      </c>
      <c r="B6" s="148">
        <f>COUNTIFS(DetailCompletude!$C$2:$C$364,CompletudeParRegion!$A6,DetailCompletude!D$2:D$364,"&lt;&gt;NA")</f>
        <v>26</v>
      </c>
      <c r="C6" s="149">
        <f>IFERROR(VLOOKUP(A6,DetailCompletude!$C$2:$V$366,10,0),"")</f>
        <v>0.8461538462</v>
      </c>
      <c r="D6" s="150">
        <f>COUNTIFS(DetailCompletude!$C$2:$C$364,CompletudeParRegion!$A6,DetailCompletude!E$2:E$364,"&lt;&gt;NA")</f>
        <v>27</v>
      </c>
      <c r="E6" s="151">
        <f>IFERROR(VLOOKUP(A6,DetailCompletude!$C$2:$V$366,11,0),"")</f>
        <v>0.8888888889</v>
      </c>
      <c r="F6" s="150">
        <f>COUNTIFS(DetailCompletude!$C$2:$C$364,CompletudeParRegion!$A6,DetailCompletude!F$2:F$364,"&lt;&gt;NA")</f>
        <v>22</v>
      </c>
      <c r="G6" s="149">
        <f>IFERROR(VLOOKUP(A6,DetailCompletude!$C$2:$V$366,12,0),"")</f>
        <v>0.8636363636</v>
      </c>
      <c r="H6" s="150">
        <f>COUNTIFS(DetailCompletude!$C$2:$C$364,CompletudeParRegion!$A6,DetailCompletude!G$2:G$364,"&lt;&gt;NA")</f>
        <v>13</v>
      </c>
      <c r="I6" s="149">
        <f>IFERROR(VLOOKUP(A6,DetailCompletude!$C$2:$V$366,13,0),"")</f>
        <v>0.6923076923</v>
      </c>
      <c r="J6" s="150">
        <f t="shared" si="1"/>
        <v>88</v>
      </c>
      <c r="K6" s="151">
        <f>IFERROR(VLOOKUP(A6,DetailCompletude!$C$2:$V$366,18,0),"")</f>
        <v>0.8409090909</v>
      </c>
      <c r="L6" s="150">
        <f>COUNTIFS(DetailCompletude!$C$2:$C$363,CompletudeParRegion!$A6,DetailCompletude!H$2:H$363,"&lt;&gt;NA")</f>
        <v>41</v>
      </c>
      <c r="M6" s="149">
        <f>IFERROR(VLOOKUP(A6,DetailCompletude!$C$2:$V$366,14,0),"")</f>
        <v>0.7804878049</v>
      </c>
      <c r="N6" s="150">
        <f>COUNTIFS(DetailCompletude!$C$2:$C$363,CompletudeParRegion!$A6,DetailCompletude!I$2:I$363,"&lt;&gt;NA")</f>
        <v>35</v>
      </c>
      <c r="O6" s="149">
        <f>IFERROR(VLOOKUP(A6,DetailCompletude!$C$2:$V$366,15,0),"")</f>
        <v>0.8285714286</v>
      </c>
      <c r="P6" s="150">
        <f>COUNTIFS(DetailCompletude!$C$2:$C$363,CompletudeParRegion!$A6,DetailCompletude!J$2:J$363,"&lt;&gt;NA")</f>
        <v>8</v>
      </c>
      <c r="Q6" s="149">
        <f>IFERROR(VLOOKUP(A6,DetailCompletude!$C$2:$V$366,16,0),"")</f>
        <v>0.625</v>
      </c>
      <c r="R6" s="150">
        <f>COUNTIFS(DetailCompletude!$C$2:$C$363,CompletudeParRegion!$A6,DetailCompletude!K$2:K$363,"&lt;&gt;NA")</f>
        <v>19</v>
      </c>
      <c r="S6" s="149">
        <f>IFERROR(VLOOKUP(A6,DetailCompletude!$C$2:$V$366,17,0),"")</f>
        <v>0.8947368421</v>
      </c>
    </row>
    <row r="7" ht="14.25" customHeight="1">
      <c r="A7" s="142" t="str">
        <f>IFERROR(__xludf.DUMMYFUNCTION("""COMPUTED_VALUE"""),"AGNEBY-TIASSA")</f>
        <v>AGNEBY-TIASSA</v>
      </c>
      <c r="B7" s="143">
        <f>COUNTIFS(DetailCompletude!$C$2:$C$364,CompletudeParRegion!$A7,DetailCompletude!D$2:D$364,"&lt;&gt;NA")</f>
        <v>9</v>
      </c>
      <c r="C7" s="144">
        <f>IFERROR(VLOOKUP(A7,DetailCompletude!$C$2:$V$366,10,0),"")</f>
        <v>1</v>
      </c>
      <c r="D7" s="145">
        <f>COUNTIFS(DetailCompletude!$C$2:$C$364,CompletudeParRegion!$A7,DetailCompletude!E$2:E$364,"&lt;&gt;NA")</f>
        <v>9</v>
      </c>
      <c r="E7" s="146">
        <f>IFERROR(VLOOKUP(A7,DetailCompletude!$C$2:$V$366,11,0),"")</f>
        <v>1</v>
      </c>
      <c r="F7" s="145">
        <f>COUNTIFS(DetailCompletude!$C$2:$C$364,CompletudeParRegion!$A7,DetailCompletude!F$2:F$364,"&lt;&gt;NA")</f>
        <v>8</v>
      </c>
      <c r="G7" s="144">
        <f>IFERROR(VLOOKUP(A7,DetailCompletude!$C$2:$V$366,12,0),"")</f>
        <v>1</v>
      </c>
      <c r="H7" s="145">
        <f>COUNTIFS(DetailCompletude!$C$2:$C$364,CompletudeParRegion!$A7,DetailCompletude!G$2:G$364,"&lt;&gt;NA")</f>
        <v>1</v>
      </c>
      <c r="I7" s="144">
        <f>IFERROR(VLOOKUP(A7,DetailCompletude!$C$2:$V$366,13,0),"")</f>
        <v>1</v>
      </c>
      <c r="J7" s="145">
        <f t="shared" si="1"/>
        <v>27</v>
      </c>
      <c r="K7" s="146">
        <f>IFERROR(VLOOKUP(A7,DetailCompletude!$C$2:$V$366,18,0),"")</f>
        <v>1</v>
      </c>
      <c r="L7" s="145">
        <f>COUNTIFS(DetailCompletude!$C$2:$C$363,CompletudeParRegion!$A7,DetailCompletude!H$2:H$363,"&lt;&gt;NA")</f>
        <v>9</v>
      </c>
      <c r="M7" s="144">
        <f>IFERROR(VLOOKUP(A7,DetailCompletude!$C$2:$V$366,14,0),"")</f>
        <v>0.8888888889</v>
      </c>
      <c r="N7" s="145">
        <f>COUNTIFS(DetailCompletude!$C$2:$C$363,CompletudeParRegion!$A7,DetailCompletude!I$2:I$363,"&lt;&gt;NA")</f>
        <v>9</v>
      </c>
      <c r="O7" s="144">
        <f>IFERROR(VLOOKUP(A7,DetailCompletude!$C$2:$V$366,15,0),"")</f>
        <v>0.3333333333</v>
      </c>
      <c r="P7" s="145">
        <f>COUNTIFS(DetailCompletude!$C$2:$C$363,CompletudeParRegion!$A7,DetailCompletude!J$2:J$363,"&lt;&gt;NA")</f>
        <v>0</v>
      </c>
      <c r="Q7" s="144" t="str">
        <f>IFERROR(VLOOKUP(A7,DetailCompletude!$C$2:$V$366,16,0),"")</f>
        <v/>
      </c>
      <c r="R7" s="145">
        <f>COUNTIFS(DetailCompletude!$C$2:$C$363,CompletudeParRegion!$A7,DetailCompletude!K$2:K$363,"&lt;&gt;NA")</f>
        <v>4</v>
      </c>
      <c r="S7" s="144">
        <f>IFERROR(VLOOKUP(A7,DetailCompletude!$C$2:$V$366,17,0),"")</f>
        <v>1</v>
      </c>
    </row>
    <row r="8" ht="14.25" customHeight="1">
      <c r="A8" s="147" t="str">
        <f>IFERROR(__xludf.DUMMYFUNCTION("""COMPUTED_VALUE"""),"BAFING")</f>
        <v>BAFING</v>
      </c>
      <c r="B8" s="148">
        <f>COUNTIFS(DetailCompletude!$C$2:$C$364,CompletudeParRegion!$A8,DetailCompletude!D$2:D$364,"&lt;&gt;NA")</f>
        <v>6</v>
      </c>
      <c r="C8" s="149">
        <f>IFERROR(VLOOKUP(A8,DetailCompletude!$C$2:$V$366,10,0),"")</f>
        <v>0.8333333333</v>
      </c>
      <c r="D8" s="150">
        <f>COUNTIFS(DetailCompletude!$C$2:$C$364,CompletudeParRegion!$A8,DetailCompletude!E$2:E$364,"&lt;&gt;NA")</f>
        <v>6</v>
      </c>
      <c r="E8" s="151">
        <f>IFERROR(VLOOKUP(A8,DetailCompletude!$C$2:$V$366,11,0),"")</f>
        <v>0.8333333333</v>
      </c>
      <c r="F8" s="150">
        <f>COUNTIFS(DetailCompletude!$C$2:$C$364,CompletudeParRegion!$A8,DetailCompletude!F$2:F$364,"&lt;&gt;NA")</f>
        <v>1</v>
      </c>
      <c r="G8" s="149">
        <f>IFERROR(VLOOKUP(A8,DetailCompletude!$C$2:$V$366,12,0),"")</f>
        <v>1</v>
      </c>
      <c r="H8" s="150">
        <f>COUNTIFS(DetailCompletude!$C$2:$C$364,CompletudeParRegion!$A8,DetailCompletude!G$2:G$364,"&lt;&gt;NA")</f>
        <v>0</v>
      </c>
      <c r="I8" s="149" t="str">
        <f>IFERROR(VLOOKUP(A8,DetailCompletude!$C$2:$V$366,13,0),"")</f>
        <v/>
      </c>
      <c r="J8" s="150">
        <f t="shared" si="1"/>
        <v>13</v>
      </c>
      <c r="K8" s="151">
        <f>IFERROR(VLOOKUP(A8,DetailCompletude!$C$2:$V$366,18,0),"")</f>
        <v>0.8461538462</v>
      </c>
      <c r="L8" s="150">
        <f>COUNTIFS(DetailCompletude!$C$2:$C$363,CompletudeParRegion!$A8,DetailCompletude!H$2:H$363,"&lt;&gt;NA")</f>
        <v>6</v>
      </c>
      <c r="M8" s="149">
        <f>IFERROR(VLOOKUP(A8,DetailCompletude!$C$2:$V$366,14,0),"")</f>
        <v>0.8333333333</v>
      </c>
      <c r="N8" s="150">
        <f>COUNTIFS(DetailCompletude!$C$2:$C$363,CompletudeParRegion!$A8,DetailCompletude!I$2:I$363,"&lt;&gt;NA")</f>
        <v>6</v>
      </c>
      <c r="O8" s="149">
        <f>IFERROR(VLOOKUP(A8,DetailCompletude!$C$2:$V$366,15,0),"")</f>
        <v>0.8333333333</v>
      </c>
      <c r="P8" s="150">
        <f>COUNTIFS(DetailCompletude!$C$2:$C$363,CompletudeParRegion!$A8,DetailCompletude!J$2:J$363,"&lt;&gt;NA")</f>
        <v>5</v>
      </c>
      <c r="Q8" s="149">
        <f>IFERROR(VLOOKUP(A8,DetailCompletude!$C$2:$V$366,16,0),"")</f>
        <v>1</v>
      </c>
      <c r="R8" s="150">
        <f>COUNTIFS(DetailCompletude!$C$2:$C$363,CompletudeParRegion!$A8,DetailCompletude!K$2:K$363,"&lt;&gt;NA")</f>
        <v>5</v>
      </c>
      <c r="S8" s="149">
        <f>IFERROR(VLOOKUP(A8,DetailCompletude!$C$2:$V$366,17,0),"")</f>
        <v>0.4</v>
      </c>
    </row>
    <row r="9" ht="14.25" customHeight="1">
      <c r="A9" s="142" t="str">
        <f>IFERROR(__xludf.DUMMYFUNCTION("""COMPUTED_VALUE"""),"BAGOUE")</f>
        <v>BAGOUE</v>
      </c>
      <c r="B9" s="143">
        <f>COUNTIFS(DetailCompletude!$C$2:$C$364,CompletudeParRegion!$A9,DetailCompletude!D$2:D$364,"&lt;&gt;NA")</f>
        <v>6</v>
      </c>
      <c r="C9" s="144">
        <f>IFERROR(VLOOKUP(A9,DetailCompletude!$C$2:$V$366,10,0),"")</f>
        <v>0.8333333333</v>
      </c>
      <c r="D9" s="145">
        <f>COUNTIFS(DetailCompletude!$C$2:$C$364,CompletudeParRegion!$A9,DetailCompletude!E$2:E$364,"&lt;&gt;NA")</f>
        <v>6</v>
      </c>
      <c r="E9" s="146">
        <f>IFERROR(VLOOKUP(A9,DetailCompletude!$C$2:$V$366,11,0),"")</f>
        <v>0.8333333333</v>
      </c>
      <c r="F9" s="145">
        <f>COUNTIFS(DetailCompletude!$C$2:$C$364,CompletudeParRegion!$A9,DetailCompletude!F$2:F$364,"&lt;&gt;NA")</f>
        <v>5</v>
      </c>
      <c r="G9" s="144">
        <f>IFERROR(VLOOKUP(A9,DetailCompletude!$C$2:$V$366,12,0),"")</f>
        <v>0.6</v>
      </c>
      <c r="H9" s="145">
        <f>COUNTIFS(DetailCompletude!$C$2:$C$364,CompletudeParRegion!$A9,DetailCompletude!G$2:G$364,"&lt;&gt;NA")</f>
        <v>0</v>
      </c>
      <c r="I9" s="144" t="str">
        <f>IFERROR(VLOOKUP(A9,DetailCompletude!$C$2:$V$366,13,0),"")</f>
        <v/>
      </c>
      <c r="J9" s="145">
        <f t="shared" si="1"/>
        <v>17</v>
      </c>
      <c r="K9" s="146">
        <f>IFERROR(VLOOKUP(A9,DetailCompletude!$C$2:$V$366,18,0),"")</f>
        <v>0.7647058824</v>
      </c>
      <c r="L9" s="145">
        <f>COUNTIFS(DetailCompletude!$C$2:$C$363,CompletudeParRegion!$A9,DetailCompletude!H$2:H$363,"&lt;&gt;NA")</f>
        <v>7</v>
      </c>
      <c r="M9" s="144">
        <f>IFERROR(VLOOKUP(A9,DetailCompletude!$C$2:$V$366,14,0),"")</f>
        <v>0.8571428571</v>
      </c>
      <c r="N9" s="145">
        <f>COUNTIFS(DetailCompletude!$C$2:$C$363,CompletudeParRegion!$A9,DetailCompletude!I$2:I$363,"&lt;&gt;NA")</f>
        <v>7</v>
      </c>
      <c r="O9" s="144">
        <f>IFERROR(VLOOKUP(A9,DetailCompletude!$C$2:$V$366,15,0),"")</f>
        <v>0.8571428571</v>
      </c>
      <c r="P9" s="145">
        <f>COUNTIFS(DetailCompletude!$C$2:$C$363,CompletudeParRegion!$A9,DetailCompletude!J$2:J$363,"&lt;&gt;NA")</f>
        <v>5</v>
      </c>
      <c r="Q9" s="144">
        <f>IFERROR(VLOOKUP(A9,DetailCompletude!$C$2:$V$366,16,0),"")</f>
        <v>0.8</v>
      </c>
      <c r="R9" s="145">
        <f>COUNTIFS(DetailCompletude!$C$2:$C$363,CompletudeParRegion!$A9,DetailCompletude!K$2:K$363,"&lt;&gt;NA")</f>
        <v>5</v>
      </c>
      <c r="S9" s="144">
        <f>IFERROR(VLOOKUP(A9,DetailCompletude!$C$2:$V$366,17,0),"")</f>
        <v>0.4</v>
      </c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</row>
    <row r="10" ht="14.25" customHeight="1">
      <c r="A10" s="147" t="str">
        <f>IFERROR(__xludf.DUMMYFUNCTION("""COMPUTED_VALUE"""),"BELIER")</f>
        <v>BELIER</v>
      </c>
      <c r="B10" s="148">
        <f>COUNTIFS(DetailCompletude!$C$2:$C$364,CompletudeParRegion!$A10,DetailCompletude!D$2:D$364,"&lt;&gt;NA")</f>
        <v>9</v>
      </c>
      <c r="C10" s="149">
        <f>IFERROR(VLOOKUP(A10,DetailCompletude!$C$2:$V$366,10,0),"")</f>
        <v>1</v>
      </c>
      <c r="D10" s="150">
        <f>COUNTIFS(DetailCompletude!$C$2:$C$364,CompletudeParRegion!$A10,DetailCompletude!E$2:E$364,"&lt;&gt;NA")</f>
        <v>9</v>
      </c>
      <c r="E10" s="151">
        <f>IFERROR(VLOOKUP(A10,DetailCompletude!$C$2:$V$366,11,0),"")</f>
        <v>1</v>
      </c>
      <c r="F10" s="150">
        <f>COUNTIFS(DetailCompletude!$C$2:$C$364,CompletudeParRegion!$A10,DetailCompletude!F$2:F$364,"&lt;&gt;NA")</f>
        <v>7</v>
      </c>
      <c r="G10" s="149">
        <f>IFERROR(VLOOKUP(A10,DetailCompletude!$C$2:$V$366,12,0),"")</f>
        <v>1</v>
      </c>
      <c r="H10" s="150">
        <f>COUNTIFS(DetailCompletude!$C$2:$C$364,CompletudeParRegion!$A10,DetailCompletude!G$2:G$364,"&lt;&gt;NA")</f>
        <v>2</v>
      </c>
      <c r="I10" s="149">
        <f>IFERROR(VLOOKUP(A10,DetailCompletude!$C$2:$V$366,13,0),"")</f>
        <v>1</v>
      </c>
      <c r="J10" s="150">
        <f t="shared" si="1"/>
        <v>27</v>
      </c>
      <c r="K10" s="151">
        <f>IFERROR(VLOOKUP(A10,DetailCompletude!$C$2:$V$366,18,0),"")</f>
        <v>1</v>
      </c>
      <c r="L10" s="150">
        <f>COUNTIFS(DetailCompletude!$C$2:$C$363,CompletudeParRegion!$A10,DetailCompletude!H$2:H$363,"&lt;&gt;NA")</f>
        <v>10</v>
      </c>
      <c r="M10" s="149">
        <f>IFERROR(VLOOKUP(A10,DetailCompletude!$C$2:$V$366,14,0),"")</f>
        <v>1</v>
      </c>
      <c r="N10" s="150">
        <f>COUNTIFS(DetailCompletude!$C$2:$C$363,CompletudeParRegion!$A10,DetailCompletude!I$2:I$363,"&lt;&gt;NA")</f>
        <v>10</v>
      </c>
      <c r="O10" s="149">
        <f>IFERROR(VLOOKUP(A10,DetailCompletude!$C$2:$V$366,15,0),"")</f>
        <v>0.6</v>
      </c>
      <c r="P10" s="150">
        <f>COUNTIFS(DetailCompletude!$C$2:$C$363,CompletudeParRegion!$A10,DetailCompletude!J$2:J$363,"&lt;&gt;NA")</f>
        <v>4</v>
      </c>
      <c r="Q10" s="149">
        <f>IFERROR(VLOOKUP(A10,DetailCompletude!$C$2:$V$366,16,0),"")</f>
        <v>1</v>
      </c>
      <c r="R10" s="150">
        <f>COUNTIFS(DetailCompletude!$C$2:$C$363,CompletudeParRegion!$A10,DetailCompletude!K$2:K$363,"&lt;&gt;NA")</f>
        <v>6</v>
      </c>
      <c r="S10" s="149">
        <f>IFERROR(VLOOKUP(A10,DetailCompletude!$C$2:$V$366,17,0),"")</f>
        <v>0.8333333333</v>
      </c>
    </row>
    <row r="11" ht="14.25" customHeight="1">
      <c r="A11" s="142" t="str">
        <f>IFERROR(__xludf.DUMMYFUNCTION("""COMPUTED_VALUE"""),"BERE")</f>
        <v>BERE</v>
      </c>
      <c r="B11" s="143">
        <f>COUNTIFS(DetailCompletude!$C$2:$C$364,CompletudeParRegion!$A11,DetailCompletude!D$2:D$364,"&lt;&gt;NA")</f>
        <v>6</v>
      </c>
      <c r="C11" s="144">
        <f>IFERROR(VLOOKUP(A11,DetailCompletude!$C$2:$V$366,10,0),"")</f>
        <v>0.8333333333</v>
      </c>
      <c r="D11" s="145">
        <f>COUNTIFS(DetailCompletude!$C$2:$C$364,CompletudeParRegion!$A11,DetailCompletude!E$2:E$364,"&lt;&gt;NA")</f>
        <v>6</v>
      </c>
      <c r="E11" s="146">
        <f>IFERROR(VLOOKUP(A11,DetailCompletude!$C$2:$V$366,11,0),"")</f>
        <v>0.8333333333</v>
      </c>
      <c r="F11" s="145">
        <f>COUNTIFS(DetailCompletude!$C$2:$C$364,CompletudeParRegion!$A11,DetailCompletude!F$2:F$364,"&lt;&gt;NA")</f>
        <v>4</v>
      </c>
      <c r="G11" s="144">
        <f>IFERROR(VLOOKUP(A11,DetailCompletude!$C$2:$V$366,12,0),"")</f>
        <v>0.75</v>
      </c>
      <c r="H11" s="145">
        <f>COUNTIFS(DetailCompletude!$C$2:$C$364,CompletudeParRegion!$A11,DetailCompletude!G$2:G$364,"&lt;&gt;NA")</f>
        <v>1</v>
      </c>
      <c r="I11" s="144">
        <f>IFERROR(VLOOKUP(A11,DetailCompletude!$C$2:$V$366,13,0),"")</f>
        <v>1</v>
      </c>
      <c r="J11" s="145">
        <f t="shared" si="1"/>
        <v>17</v>
      </c>
      <c r="K11" s="146">
        <f>IFERROR(VLOOKUP(A11,DetailCompletude!$C$2:$V$366,18,0),"")</f>
        <v>0.8235294118</v>
      </c>
      <c r="L11" s="145">
        <f>COUNTIFS(DetailCompletude!$C$2:$C$363,CompletudeParRegion!$A11,DetailCompletude!H$2:H$363,"&lt;&gt;NA")</f>
        <v>6</v>
      </c>
      <c r="M11" s="144">
        <f>IFERROR(VLOOKUP(A11,DetailCompletude!$C$2:$V$366,14,0),"")</f>
        <v>1</v>
      </c>
      <c r="N11" s="145">
        <f>COUNTIFS(DetailCompletude!$C$2:$C$363,CompletudeParRegion!$A11,DetailCompletude!I$2:I$363,"&lt;&gt;NA")</f>
        <v>6</v>
      </c>
      <c r="O11" s="144">
        <f>IFERROR(VLOOKUP(A11,DetailCompletude!$C$2:$V$366,15,0),"")</f>
        <v>1</v>
      </c>
      <c r="P11" s="145">
        <f>COUNTIFS(DetailCompletude!$C$2:$C$363,CompletudeParRegion!$A11,DetailCompletude!J$2:J$363,"&lt;&gt;NA")</f>
        <v>6</v>
      </c>
      <c r="Q11" s="144">
        <f>IFERROR(VLOOKUP(A11,DetailCompletude!$C$2:$V$366,16,0),"")</f>
        <v>1</v>
      </c>
      <c r="R11" s="145">
        <f>COUNTIFS(DetailCompletude!$C$2:$C$363,CompletudeParRegion!$A11,DetailCompletude!K$2:K$363,"&lt;&gt;NA")</f>
        <v>3</v>
      </c>
      <c r="S11" s="144">
        <f>IFERROR(VLOOKUP(A11,DetailCompletude!$C$2:$V$366,17,0),"")</f>
        <v>0.6666666667</v>
      </c>
    </row>
    <row r="12" ht="14.25" customHeight="1">
      <c r="A12" s="147" t="str">
        <f>IFERROR(__xludf.DUMMYFUNCTION("""COMPUTED_VALUE"""),"BOUNKANI")</f>
        <v>BOUNKANI</v>
      </c>
      <c r="B12" s="148">
        <f>COUNTIFS(DetailCompletude!$C$2:$C$364,CompletudeParRegion!$A12,DetailCompletude!D$2:D$364,"&lt;&gt;NA")</f>
        <v>7</v>
      </c>
      <c r="C12" s="149">
        <f>IFERROR(VLOOKUP(A12,DetailCompletude!$C$2:$V$366,10,0),"")</f>
        <v>1</v>
      </c>
      <c r="D12" s="150">
        <f>COUNTIFS(DetailCompletude!$C$2:$C$364,CompletudeParRegion!$A12,DetailCompletude!E$2:E$364,"&lt;&gt;NA")</f>
        <v>7</v>
      </c>
      <c r="E12" s="151">
        <f>IFERROR(VLOOKUP(A12,DetailCompletude!$C$2:$V$366,11,0),"")</f>
        <v>1</v>
      </c>
      <c r="F12" s="150">
        <f>COUNTIFS(DetailCompletude!$C$2:$C$364,CompletudeParRegion!$A12,DetailCompletude!F$2:F$364,"&lt;&gt;NA")</f>
        <v>3</v>
      </c>
      <c r="G12" s="149">
        <f>IFERROR(VLOOKUP(A12,DetailCompletude!$C$2:$V$366,12,0),"")</f>
        <v>1</v>
      </c>
      <c r="H12" s="150">
        <f>COUNTIFS(DetailCompletude!$C$2:$C$364,CompletudeParRegion!$A12,DetailCompletude!G$2:G$364,"&lt;&gt;NA")</f>
        <v>0</v>
      </c>
      <c r="I12" s="149" t="str">
        <f>IFERROR(VLOOKUP(A12,DetailCompletude!$C$2:$V$366,13,0),"")</f>
        <v/>
      </c>
      <c r="J12" s="150">
        <f t="shared" si="1"/>
        <v>17</v>
      </c>
      <c r="K12" s="151">
        <f>IFERROR(VLOOKUP(A12,DetailCompletude!$C$2:$V$366,18,0),"")</f>
        <v>1</v>
      </c>
      <c r="L12" s="150">
        <f>COUNTIFS(DetailCompletude!$C$2:$C$363,CompletudeParRegion!$A12,DetailCompletude!H$2:H$363,"&lt;&gt;NA")</f>
        <v>8</v>
      </c>
      <c r="M12" s="149">
        <f>IFERROR(VLOOKUP(A12,DetailCompletude!$C$2:$V$366,14,0),"")</f>
        <v>1</v>
      </c>
      <c r="N12" s="150">
        <f>COUNTIFS(DetailCompletude!$C$2:$C$363,CompletudeParRegion!$A12,DetailCompletude!I$2:I$363,"&lt;&gt;NA")</f>
        <v>8</v>
      </c>
      <c r="O12" s="149">
        <f>IFERROR(VLOOKUP(A12,DetailCompletude!$C$2:$V$366,15,0),"")</f>
        <v>0.875</v>
      </c>
      <c r="P12" s="150">
        <f>COUNTIFS(DetailCompletude!$C$2:$C$363,CompletudeParRegion!$A12,DetailCompletude!J$2:J$363,"&lt;&gt;NA")</f>
        <v>7</v>
      </c>
      <c r="Q12" s="149">
        <f>IFERROR(VLOOKUP(A12,DetailCompletude!$C$2:$V$366,16,0),"")</f>
        <v>0.8571428571</v>
      </c>
      <c r="R12" s="150">
        <f>COUNTIFS(DetailCompletude!$C$2:$C$363,CompletudeParRegion!$A12,DetailCompletude!K$2:K$363,"&lt;&gt;NA")</f>
        <v>4</v>
      </c>
      <c r="S12" s="149">
        <f>IFERROR(VLOOKUP(A12,DetailCompletude!$C$2:$V$366,17,0),"")</f>
        <v>0</v>
      </c>
    </row>
    <row r="13" ht="14.25" customHeight="1">
      <c r="A13" s="142" t="str">
        <f>IFERROR(__xludf.DUMMYFUNCTION("""COMPUTED_VALUE"""),"GONTOUGO")</f>
        <v>GONTOUGO</v>
      </c>
      <c r="B13" s="143">
        <f>COUNTIFS(DetailCompletude!$C$2:$C$364,CompletudeParRegion!$A13,DetailCompletude!D$2:D$364,"&lt;&gt;NA")</f>
        <v>10</v>
      </c>
      <c r="C13" s="144">
        <f>IFERROR(VLOOKUP(A13,DetailCompletude!$C$2:$V$366,10,0),"")</f>
        <v>1</v>
      </c>
      <c r="D13" s="145">
        <f>COUNTIFS(DetailCompletude!$C$2:$C$364,CompletudeParRegion!$A13,DetailCompletude!E$2:E$364,"&lt;&gt;NA")</f>
        <v>10</v>
      </c>
      <c r="E13" s="146">
        <f>IFERROR(VLOOKUP(A13,DetailCompletude!$C$2:$V$366,11,0),"")</f>
        <v>1</v>
      </c>
      <c r="F13" s="145">
        <f>COUNTIFS(DetailCompletude!$C$2:$C$364,CompletudeParRegion!$A13,DetailCompletude!F$2:F$364,"&lt;&gt;NA")</f>
        <v>7</v>
      </c>
      <c r="G13" s="144">
        <f>IFERROR(VLOOKUP(A13,DetailCompletude!$C$2:$V$366,12,0),"")</f>
        <v>0.8571428571</v>
      </c>
      <c r="H13" s="145">
        <f>COUNTIFS(DetailCompletude!$C$2:$C$364,CompletudeParRegion!$A13,DetailCompletude!G$2:G$364,"&lt;&gt;NA")</f>
        <v>3</v>
      </c>
      <c r="I13" s="144">
        <f>IFERROR(VLOOKUP(A13,DetailCompletude!$C$2:$V$366,13,0),"")</f>
        <v>1</v>
      </c>
      <c r="J13" s="145">
        <f t="shared" si="1"/>
        <v>30</v>
      </c>
      <c r="K13" s="146">
        <f>IFERROR(VLOOKUP(A13,DetailCompletude!$C$2:$V$366,18,0),"")</f>
        <v>0.9666666667</v>
      </c>
      <c r="L13" s="145">
        <f>COUNTIFS(DetailCompletude!$C$2:$C$363,CompletudeParRegion!$A13,DetailCompletude!H$2:H$363,"&lt;&gt;NA")</f>
        <v>11</v>
      </c>
      <c r="M13" s="144">
        <f>IFERROR(VLOOKUP(A13,DetailCompletude!$C$2:$V$366,14,0),"")</f>
        <v>1</v>
      </c>
      <c r="N13" s="145">
        <f>COUNTIFS(DetailCompletude!$C$2:$C$363,CompletudeParRegion!$A13,DetailCompletude!I$2:I$363,"&lt;&gt;NA")</f>
        <v>11</v>
      </c>
      <c r="O13" s="144">
        <f>IFERROR(VLOOKUP(A13,DetailCompletude!$C$2:$V$366,15,0),"")</f>
        <v>1</v>
      </c>
      <c r="P13" s="145">
        <f>COUNTIFS(DetailCompletude!$C$2:$C$363,CompletudeParRegion!$A13,DetailCompletude!J$2:J$363,"&lt;&gt;NA")</f>
        <v>6</v>
      </c>
      <c r="Q13" s="144">
        <f>IFERROR(VLOOKUP(A13,DetailCompletude!$C$2:$V$366,16,0),"")</f>
        <v>1</v>
      </c>
      <c r="R13" s="145">
        <f>COUNTIFS(DetailCompletude!$C$2:$C$363,CompletudeParRegion!$A13,DetailCompletude!K$2:K$363,"&lt;&gt;NA")</f>
        <v>8</v>
      </c>
      <c r="S13" s="144">
        <f>IFERROR(VLOOKUP(A13,DetailCompletude!$C$2:$V$366,17,0),"")</f>
        <v>0.5</v>
      </c>
    </row>
    <row r="14" ht="14.25" customHeight="1">
      <c r="A14" s="147" t="str">
        <f>IFERROR(__xludf.DUMMYFUNCTION("""COMPUTED_VALUE"""),"CAVALLY")</f>
        <v>CAVALLY</v>
      </c>
      <c r="B14" s="148">
        <f>COUNTIFS(DetailCompletude!$C$2:$C$364,CompletudeParRegion!$A14,DetailCompletude!D$2:D$364,"&lt;&gt;NA")</f>
        <v>8</v>
      </c>
      <c r="C14" s="149">
        <f>IFERROR(VLOOKUP(A14,DetailCompletude!$C$2:$V$366,10,0),"")</f>
        <v>1</v>
      </c>
      <c r="D14" s="150">
        <f>COUNTIFS(DetailCompletude!$C$2:$C$364,CompletudeParRegion!$A14,DetailCompletude!E$2:E$364,"&lt;&gt;NA")</f>
        <v>8</v>
      </c>
      <c r="E14" s="151">
        <f>IFERROR(VLOOKUP(A14,DetailCompletude!$C$2:$V$366,11,0),"")</f>
        <v>1</v>
      </c>
      <c r="F14" s="150">
        <f>COUNTIFS(DetailCompletude!$C$2:$C$364,CompletudeParRegion!$A14,DetailCompletude!F$2:F$364,"&lt;&gt;NA")</f>
        <v>5</v>
      </c>
      <c r="G14" s="149">
        <f>IFERROR(VLOOKUP(A14,DetailCompletude!$C$2:$V$366,12,0),"")</f>
        <v>1</v>
      </c>
      <c r="H14" s="150">
        <f>COUNTIFS(DetailCompletude!$C$2:$C$364,CompletudeParRegion!$A14,DetailCompletude!G$2:G$364,"&lt;&gt;NA")</f>
        <v>1</v>
      </c>
      <c r="I14" s="149">
        <f>IFERROR(VLOOKUP(A14,DetailCompletude!$C$2:$V$366,13,0),"")</f>
        <v>1</v>
      </c>
      <c r="J14" s="150">
        <f t="shared" si="1"/>
        <v>22</v>
      </c>
      <c r="K14" s="151">
        <f>IFERROR(VLOOKUP(A14,DetailCompletude!$C$2:$V$366,18,0),"")</f>
        <v>1</v>
      </c>
      <c r="L14" s="150">
        <f>COUNTIFS(DetailCompletude!$C$2:$C$363,CompletudeParRegion!$A14,DetailCompletude!H$2:H$363,"&lt;&gt;NA")</f>
        <v>8</v>
      </c>
      <c r="M14" s="149">
        <f>IFERROR(VLOOKUP(A14,DetailCompletude!$C$2:$V$366,14,0),"")</f>
        <v>1</v>
      </c>
      <c r="N14" s="150">
        <f>COUNTIFS(DetailCompletude!$C$2:$C$363,CompletudeParRegion!$A14,DetailCompletude!I$2:I$363,"&lt;&gt;NA")</f>
        <v>8</v>
      </c>
      <c r="O14" s="149">
        <f>IFERROR(VLOOKUP(A14,DetailCompletude!$C$2:$V$366,15,0),"")</f>
        <v>1</v>
      </c>
      <c r="P14" s="150">
        <f>COUNTIFS(DetailCompletude!$C$2:$C$363,CompletudeParRegion!$A14,DetailCompletude!J$2:J$363,"&lt;&gt;NA")</f>
        <v>8</v>
      </c>
      <c r="Q14" s="149">
        <f>IFERROR(VLOOKUP(A14,DetailCompletude!$C$2:$V$366,16,0),"")</f>
        <v>1</v>
      </c>
      <c r="R14" s="150">
        <f>COUNTIFS(DetailCompletude!$C$2:$C$363,CompletudeParRegion!$A14,DetailCompletude!K$2:K$363,"&lt;&gt;NA")</f>
        <v>6</v>
      </c>
      <c r="S14" s="149">
        <f>IFERROR(VLOOKUP(A14,DetailCompletude!$C$2:$V$366,17,0),"")</f>
        <v>1</v>
      </c>
    </row>
    <row r="15" ht="14.25" customHeight="1">
      <c r="A15" s="142" t="str">
        <f>IFERROR(__xludf.DUMMYFUNCTION("""COMPUTED_VALUE"""),"FOLON")</f>
        <v>FOLON</v>
      </c>
      <c r="B15" s="143">
        <f>COUNTIFS(DetailCompletude!$C$2:$C$364,CompletudeParRegion!$A15,DetailCompletude!D$2:D$364,"&lt;&gt;NA")</f>
        <v>4</v>
      </c>
      <c r="C15" s="144">
        <f>IFERROR(VLOOKUP(A15,DetailCompletude!$C$2:$V$366,10,0),"")</f>
        <v>1</v>
      </c>
      <c r="D15" s="145">
        <f>COUNTIFS(DetailCompletude!$C$2:$C$364,CompletudeParRegion!$A15,DetailCompletude!E$2:E$364,"&lt;&gt;NA")</f>
        <v>4</v>
      </c>
      <c r="E15" s="146">
        <f>IFERROR(VLOOKUP(A15,DetailCompletude!$C$2:$V$366,11,0),"")</f>
        <v>1</v>
      </c>
      <c r="F15" s="145">
        <f>COUNTIFS(DetailCompletude!$C$2:$C$364,CompletudeParRegion!$A15,DetailCompletude!F$2:F$364,"&lt;&gt;NA")</f>
        <v>0</v>
      </c>
      <c r="G15" s="144" t="str">
        <f>IFERROR(VLOOKUP(A15,DetailCompletude!$C$2:$V$366,12,0),"")</f>
        <v/>
      </c>
      <c r="H15" s="145">
        <f>COUNTIFS(DetailCompletude!$C$2:$C$364,CompletudeParRegion!$A15,DetailCompletude!G$2:G$364,"&lt;&gt;NA")</f>
        <v>0</v>
      </c>
      <c r="I15" s="144" t="str">
        <f>IFERROR(VLOOKUP(A15,DetailCompletude!$C$2:$V$366,13,0),"")</f>
        <v/>
      </c>
      <c r="J15" s="145">
        <f t="shared" si="1"/>
        <v>8</v>
      </c>
      <c r="K15" s="146">
        <f>IFERROR(VLOOKUP(A15,DetailCompletude!$C$2:$V$366,18,0),"")</f>
        <v>1</v>
      </c>
      <c r="L15" s="145">
        <f>COUNTIFS(DetailCompletude!$C$2:$C$363,CompletudeParRegion!$A15,DetailCompletude!H$2:H$363,"&lt;&gt;NA")</f>
        <v>4</v>
      </c>
      <c r="M15" s="144">
        <f>IFERROR(VLOOKUP(A15,DetailCompletude!$C$2:$V$366,14,0),"")</f>
        <v>1</v>
      </c>
      <c r="N15" s="145">
        <f>COUNTIFS(DetailCompletude!$C$2:$C$363,CompletudeParRegion!$A15,DetailCompletude!I$2:I$363,"&lt;&gt;NA")</f>
        <v>4</v>
      </c>
      <c r="O15" s="144">
        <f>IFERROR(VLOOKUP(A15,DetailCompletude!$C$2:$V$366,15,0),"")</f>
        <v>1</v>
      </c>
      <c r="P15" s="145">
        <f>COUNTIFS(DetailCompletude!$C$2:$C$363,CompletudeParRegion!$A15,DetailCompletude!J$2:J$363,"&lt;&gt;NA")</f>
        <v>4</v>
      </c>
      <c r="Q15" s="144">
        <f>IFERROR(VLOOKUP(A15,DetailCompletude!$C$2:$V$366,16,0),"")</f>
        <v>1</v>
      </c>
      <c r="R15" s="145">
        <f>COUNTIFS(DetailCompletude!$C$2:$C$363,CompletudeParRegion!$A15,DetailCompletude!K$2:K$363,"&lt;&gt;NA")</f>
        <v>3</v>
      </c>
      <c r="S15" s="144">
        <f>IFERROR(VLOOKUP(A15,DetailCompletude!$C$2:$V$366,17,0),"")</f>
        <v>0.6666666667</v>
      </c>
    </row>
    <row r="16" ht="14.25" customHeight="1">
      <c r="A16" s="147" t="str">
        <f>IFERROR(__xludf.DUMMYFUNCTION("""COMPUTED_VALUE"""),"GBEKE")</f>
        <v>GBEKE</v>
      </c>
      <c r="B16" s="148">
        <f>COUNTIFS(DetailCompletude!$C$2:$C$364,CompletudeParRegion!$A16,DetailCompletude!D$2:D$364,"&lt;&gt;NA")</f>
        <v>10</v>
      </c>
      <c r="C16" s="149">
        <f>IFERROR(VLOOKUP(A16,DetailCompletude!$C$2:$V$366,10,0),"")</f>
        <v>1</v>
      </c>
      <c r="D16" s="150">
        <f>COUNTIFS(DetailCompletude!$C$2:$C$364,CompletudeParRegion!$A16,DetailCompletude!E$2:E$364,"&lt;&gt;NA")</f>
        <v>10</v>
      </c>
      <c r="E16" s="151">
        <f>IFERROR(VLOOKUP(A16,DetailCompletude!$C$2:$V$366,11,0),"")</f>
        <v>1</v>
      </c>
      <c r="F16" s="150">
        <f>COUNTIFS(DetailCompletude!$C$2:$C$364,CompletudeParRegion!$A16,DetailCompletude!F$2:F$364,"&lt;&gt;NA")</f>
        <v>8</v>
      </c>
      <c r="G16" s="149">
        <f>IFERROR(VLOOKUP(A16,DetailCompletude!$C$2:$V$366,12,0),"")</f>
        <v>1</v>
      </c>
      <c r="H16" s="150">
        <f>COUNTIFS(DetailCompletude!$C$2:$C$364,CompletudeParRegion!$A16,DetailCompletude!G$2:G$364,"&lt;&gt;NA")</f>
        <v>1</v>
      </c>
      <c r="I16" s="149">
        <f>IFERROR(VLOOKUP(A16,DetailCompletude!$C$2:$V$366,13,0),"")</f>
        <v>1</v>
      </c>
      <c r="J16" s="150">
        <f t="shared" si="1"/>
        <v>29</v>
      </c>
      <c r="K16" s="151">
        <f>IFERROR(VLOOKUP(A16,DetailCompletude!$C$2:$V$366,18,0),"")</f>
        <v>1</v>
      </c>
      <c r="L16" s="150">
        <f>COUNTIFS(DetailCompletude!$C$2:$C$363,CompletudeParRegion!$A16,DetailCompletude!H$2:H$363,"&lt;&gt;NA")</f>
        <v>10</v>
      </c>
      <c r="M16" s="149">
        <f>IFERROR(VLOOKUP(A16,DetailCompletude!$C$2:$V$366,14,0),"")</f>
        <v>1</v>
      </c>
      <c r="N16" s="150">
        <f>COUNTIFS(DetailCompletude!$C$2:$C$363,CompletudeParRegion!$A16,DetailCompletude!I$2:I$363,"&lt;&gt;NA")</f>
        <v>10</v>
      </c>
      <c r="O16" s="149">
        <f>IFERROR(VLOOKUP(A16,DetailCompletude!$C$2:$V$366,15,0),"")</f>
        <v>1</v>
      </c>
      <c r="P16" s="150">
        <f>COUNTIFS(DetailCompletude!$C$2:$C$363,CompletudeParRegion!$A16,DetailCompletude!J$2:J$363,"&lt;&gt;NA")</f>
        <v>0</v>
      </c>
      <c r="Q16" s="149" t="str">
        <f>IFERROR(VLOOKUP(A16,DetailCompletude!$C$2:$V$366,16,0),"")</f>
        <v/>
      </c>
      <c r="R16" s="150">
        <f>COUNTIFS(DetailCompletude!$C$2:$C$363,CompletudeParRegion!$A16,DetailCompletude!K$2:K$363,"&lt;&gt;NA")</f>
        <v>10</v>
      </c>
      <c r="S16" s="149">
        <f>IFERROR(VLOOKUP(A16,DetailCompletude!$C$2:$V$366,17,0),"")</f>
        <v>0.9</v>
      </c>
    </row>
    <row r="17" ht="14.25" customHeight="1">
      <c r="A17" s="142" t="str">
        <f>IFERROR(__xludf.DUMMYFUNCTION("""COMPUTED_VALUE"""),"GBOKLE")</f>
        <v>GBOKLE</v>
      </c>
      <c r="B17" s="143">
        <f>COUNTIFS(DetailCompletude!$C$2:$C$364,CompletudeParRegion!$A17,DetailCompletude!D$2:D$364,"&lt;&gt;NA")</f>
        <v>4</v>
      </c>
      <c r="C17" s="144">
        <f>IFERROR(VLOOKUP(A17,DetailCompletude!$C$2:$V$366,10,0),"")</f>
        <v>0.75</v>
      </c>
      <c r="D17" s="145">
        <f>COUNTIFS(DetailCompletude!$C$2:$C$364,CompletudeParRegion!$A17,DetailCompletude!E$2:E$364,"&lt;&gt;NA")</f>
        <v>4</v>
      </c>
      <c r="E17" s="146">
        <f>IFERROR(VLOOKUP(A17,DetailCompletude!$C$2:$V$366,11,0),"")</f>
        <v>0.75</v>
      </c>
      <c r="F17" s="145">
        <f>COUNTIFS(DetailCompletude!$C$2:$C$364,CompletudeParRegion!$A17,DetailCompletude!F$2:F$364,"&lt;&gt;NA")</f>
        <v>4</v>
      </c>
      <c r="G17" s="144">
        <f>IFERROR(VLOOKUP(A17,DetailCompletude!$C$2:$V$366,12,0),"")</f>
        <v>1</v>
      </c>
      <c r="H17" s="145">
        <f>COUNTIFS(DetailCompletude!$C$2:$C$364,CompletudeParRegion!$A17,DetailCompletude!G$2:G$364,"&lt;&gt;NA")</f>
        <v>2</v>
      </c>
      <c r="I17" s="144">
        <f>IFERROR(VLOOKUP(A17,DetailCompletude!$C$2:$V$366,13,0),"")</f>
        <v>1</v>
      </c>
      <c r="J17" s="145">
        <f t="shared" si="1"/>
        <v>14</v>
      </c>
      <c r="K17" s="146">
        <f>IFERROR(VLOOKUP(A17,DetailCompletude!$C$2:$V$366,18,0),"")</f>
        <v>0.8571428571</v>
      </c>
      <c r="L17" s="145">
        <f>COUNTIFS(DetailCompletude!$C$2:$C$363,CompletudeParRegion!$A17,DetailCompletude!H$2:H$363,"&lt;&gt;NA")</f>
        <v>4</v>
      </c>
      <c r="M17" s="144">
        <f>IFERROR(VLOOKUP(A17,DetailCompletude!$C$2:$V$366,14,0),"")</f>
        <v>0.75</v>
      </c>
      <c r="N17" s="145">
        <f>COUNTIFS(DetailCompletude!$C$2:$C$363,CompletudeParRegion!$A17,DetailCompletude!I$2:I$363,"&lt;&gt;NA")</f>
        <v>4</v>
      </c>
      <c r="O17" s="144">
        <f>IFERROR(VLOOKUP(A17,DetailCompletude!$C$2:$V$366,15,0),"")</f>
        <v>1</v>
      </c>
      <c r="P17" s="145">
        <f>COUNTIFS(DetailCompletude!$C$2:$C$363,CompletudeParRegion!$A17,DetailCompletude!J$2:J$363,"&lt;&gt;NA")</f>
        <v>2</v>
      </c>
      <c r="Q17" s="144">
        <f>IFERROR(VLOOKUP(A17,DetailCompletude!$C$2:$V$366,16,0),"")</f>
        <v>0.5</v>
      </c>
      <c r="R17" s="145">
        <f>COUNTIFS(DetailCompletude!$C$2:$C$363,CompletudeParRegion!$A17,DetailCompletude!K$2:K$363,"&lt;&gt;NA")</f>
        <v>2</v>
      </c>
      <c r="S17" s="144">
        <f>IFERROR(VLOOKUP(A17,DetailCompletude!$C$2:$V$366,17,0),"")</f>
        <v>1</v>
      </c>
    </row>
    <row r="18" ht="14.25" customHeight="1">
      <c r="A18" s="147" t="str">
        <f>IFERROR(__xludf.DUMMYFUNCTION("""COMPUTED_VALUE"""),"GOH")</f>
        <v>GOH</v>
      </c>
      <c r="B18" s="148">
        <f>COUNTIFS(DetailCompletude!$C$2:$C$364,CompletudeParRegion!$A18,DetailCompletude!D$2:D$364,"&lt;&gt;NA")</f>
        <v>6</v>
      </c>
      <c r="C18" s="149">
        <f>IFERROR(VLOOKUP(A18,DetailCompletude!$C$2:$V$366,10,0),"")</f>
        <v>1</v>
      </c>
      <c r="D18" s="150">
        <f>COUNTIFS(DetailCompletude!$C$2:$C$364,CompletudeParRegion!$A18,DetailCompletude!E$2:E$364,"&lt;&gt;NA")</f>
        <v>6</v>
      </c>
      <c r="E18" s="151">
        <f>IFERROR(VLOOKUP(A18,DetailCompletude!$C$2:$V$366,11,0),"")</f>
        <v>1</v>
      </c>
      <c r="F18" s="150">
        <f>COUNTIFS(DetailCompletude!$C$2:$C$364,CompletudeParRegion!$A18,DetailCompletude!F$2:F$364,"&lt;&gt;NA")</f>
        <v>6</v>
      </c>
      <c r="G18" s="149">
        <f>IFERROR(VLOOKUP(A18,DetailCompletude!$C$2:$V$366,12,0),"")</f>
        <v>1</v>
      </c>
      <c r="H18" s="150">
        <f>COUNTIFS(DetailCompletude!$C$2:$C$364,CompletudeParRegion!$A18,DetailCompletude!G$2:G$364,"&lt;&gt;NA")</f>
        <v>3</v>
      </c>
      <c r="I18" s="149">
        <f>IFERROR(VLOOKUP(A18,DetailCompletude!$C$2:$V$366,13,0),"")</f>
        <v>1</v>
      </c>
      <c r="J18" s="150">
        <f t="shared" si="1"/>
        <v>21</v>
      </c>
      <c r="K18" s="151">
        <f>IFERROR(VLOOKUP(A18,DetailCompletude!$C$2:$V$366,18,0),"")</f>
        <v>1</v>
      </c>
      <c r="L18" s="150">
        <f>COUNTIFS(DetailCompletude!$C$2:$C$363,CompletudeParRegion!$A18,DetailCompletude!H$2:H$363,"&lt;&gt;NA")</f>
        <v>7</v>
      </c>
      <c r="M18" s="149">
        <f>IFERROR(VLOOKUP(A18,DetailCompletude!$C$2:$V$366,14,0),"")</f>
        <v>1</v>
      </c>
      <c r="N18" s="150">
        <f>COUNTIFS(DetailCompletude!$C$2:$C$363,CompletudeParRegion!$A18,DetailCompletude!I$2:I$363,"&lt;&gt;NA")</f>
        <v>7</v>
      </c>
      <c r="O18" s="149">
        <f>IFERROR(VLOOKUP(A18,DetailCompletude!$C$2:$V$366,15,0),"")</f>
        <v>1</v>
      </c>
      <c r="P18" s="150">
        <f>COUNTIFS(DetailCompletude!$C$2:$C$363,CompletudeParRegion!$A18,DetailCompletude!J$2:J$363,"&lt;&gt;NA")</f>
        <v>0</v>
      </c>
      <c r="Q18" s="149" t="str">
        <f>IFERROR(VLOOKUP(A18,DetailCompletude!$C$2:$V$366,16,0),"")</f>
        <v/>
      </c>
      <c r="R18" s="150">
        <f>COUNTIFS(DetailCompletude!$C$2:$C$363,CompletudeParRegion!$A18,DetailCompletude!K$2:K$363,"&lt;&gt;NA")</f>
        <v>5</v>
      </c>
      <c r="S18" s="149">
        <f>IFERROR(VLOOKUP(A18,DetailCompletude!$C$2:$V$366,17,0),"")</f>
        <v>1</v>
      </c>
    </row>
    <row r="19" ht="14.25" customHeight="1">
      <c r="A19" s="142" t="str">
        <f>IFERROR(__xludf.DUMMYFUNCTION("""COMPUTED_VALUE"""),"SAN PEDRO")</f>
        <v>SAN PEDRO</v>
      </c>
      <c r="B19" s="143">
        <f>COUNTIFS(DetailCompletude!$C$2:$C$364,CompletudeParRegion!$A19,DetailCompletude!D$2:D$364,"&lt;&gt;NA")</f>
        <v>4</v>
      </c>
      <c r="C19" s="144">
        <f>IFERROR(VLOOKUP(A19,DetailCompletude!$C$2:$V$366,10,0),"")</f>
        <v>0.75</v>
      </c>
      <c r="D19" s="145">
        <f>COUNTIFS(DetailCompletude!$C$2:$C$364,CompletudeParRegion!$A19,DetailCompletude!E$2:E$364,"&lt;&gt;NA")</f>
        <v>4</v>
      </c>
      <c r="E19" s="146">
        <f>IFERROR(VLOOKUP(A19,DetailCompletude!$C$2:$V$366,11,0),"")</f>
        <v>1</v>
      </c>
      <c r="F19" s="145">
        <f>COUNTIFS(DetailCompletude!$C$2:$C$364,CompletudeParRegion!$A19,DetailCompletude!F$2:F$364,"&lt;&gt;NA")</f>
        <v>4</v>
      </c>
      <c r="G19" s="144">
        <f>IFERROR(VLOOKUP(A19,DetailCompletude!$C$2:$V$366,12,0),"")</f>
        <v>1</v>
      </c>
      <c r="H19" s="145">
        <f>COUNTIFS(DetailCompletude!$C$2:$C$364,CompletudeParRegion!$A19,DetailCompletude!G$2:G$364,"&lt;&gt;NA")</f>
        <v>3</v>
      </c>
      <c r="I19" s="144">
        <f>IFERROR(VLOOKUP(A19,DetailCompletude!$C$2:$V$366,13,0),"")</f>
        <v>1</v>
      </c>
      <c r="J19" s="145">
        <f t="shared" si="1"/>
        <v>15</v>
      </c>
      <c r="K19" s="146">
        <f>IFERROR(VLOOKUP(A19,DetailCompletude!$C$2:$V$366,18,0),"")</f>
        <v>0.9333333333</v>
      </c>
      <c r="L19" s="145">
        <f>COUNTIFS(DetailCompletude!$C$2:$C$363,CompletudeParRegion!$A19,DetailCompletude!H$2:H$363,"&lt;&gt;NA")</f>
        <v>5</v>
      </c>
      <c r="M19" s="144">
        <f>IFERROR(VLOOKUP(A19,DetailCompletude!$C$2:$V$366,14,0),"")</f>
        <v>0.8</v>
      </c>
      <c r="N19" s="145">
        <f>COUNTIFS(DetailCompletude!$C$2:$C$363,CompletudeParRegion!$A19,DetailCompletude!I$2:I$363,"&lt;&gt;NA")</f>
        <v>7</v>
      </c>
      <c r="O19" s="144">
        <f>IFERROR(VLOOKUP(A19,DetailCompletude!$C$2:$V$366,15,0),"")</f>
        <v>0.8571428571</v>
      </c>
      <c r="P19" s="145">
        <f>COUNTIFS(DetailCompletude!$C$2:$C$363,CompletudeParRegion!$A19,DetailCompletude!J$2:J$363,"&lt;&gt;NA")</f>
        <v>4</v>
      </c>
      <c r="Q19" s="144">
        <f>IFERROR(VLOOKUP(A19,DetailCompletude!$C$2:$V$366,16,0),"")</f>
        <v>0.75</v>
      </c>
      <c r="R19" s="145">
        <f>COUNTIFS(DetailCompletude!$C$2:$C$363,CompletudeParRegion!$A19,DetailCompletude!K$2:K$363,"&lt;&gt;NA")</f>
        <v>4</v>
      </c>
      <c r="S19" s="144">
        <f>IFERROR(VLOOKUP(A19,DetailCompletude!$C$2:$V$366,17,0),"")</f>
        <v>0.75</v>
      </c>
    </row>
    <row r="20" ht="14.25" customHeight="1">
      <c r="A20" s="147" t="str">
        <f>IFERROR(__xludf.DUMMYFUNCTION("""COMPUTED_VALUE"""),"LOH-DJIBOUA")</f>
        <v>LOH-DJIBOUA</v>
      </c>
      <c r="B20" s="148">
        <f>COUNTIFS(DetailCompletude!$C$2:$C$364,CompletudeParRegion!$A20,DetailCompletude!D$2:D$364,"&lt;&gt;NA")</f>
        <v>6</v>
      </c>
      <c r="C20" s="149">
        <f>IFERROR(VLOOKUP(A20,DetailCompletude!$C$2:$V$366,10,0),"")</f>
        <v>0.8333333333</v>
      </c>
      <c r="D20" s="150">
        <f>COUNTIFS(DetailCompletude!$C$2:$C$364,CompletudeParRegion!$A20,DetailCompletude!E$2:E$364,"&lt;&gt;NA")</f>
        <v>6</v>
      </c>
      <c r="E20" s="151">
        <f>IFERROR(VLOOKUP(A20,DetailCompletude!$C$2:$V$366,11,0),"")</f>
        <v>0.8333333333</v>
      </c>
      <c r="F20" s="150">
        <f>COUNTIFS(DetailCompletude!$C$2:$C$364,CompletudeParRegion!$A20,DetailCompletude!F$2:F$364,"&lt;&gt;NA")</f>
        <v>5</v>
      </c>
      <c r="G20" s="149">
        <f>IFERROR(VLOOKUP(A20,DetailCompletude!$C$2:$V$366,12,0),"")</f>
        <v>0.8</v>
      </c>
      <c r="H20" s="150">
        <f>COUNTIFS(DetailCompletude!$C$2:$C$364,CompletudeParRegion!$A20,DetailCompletude!G$2:G$364,"&lt;&gt;NA")</f>
        <v>1</v>
      </c>
      <c r="I20" s="149">
        <f>IFERROR(VLOOKUP(A20,DetailCompletude!$C$2:$V$366,13,0),"")</f>
        <v>1</v>
      </c>
      <c r="J20" s="150">
        <f t="shared" si="1"/>
        <v>18</v>
      </c>
      <c r="K20" s="151">
        <f>IFERROR(VLOOKUP(A20,DetailCompletude!$C$2:$V$366,18,0),"")</f>
        <v>0.8333333333</v>
      </c>
      <c r="L20" s="150">
        <f>COUNTIFS(DetailCompletude!$C$2:$C$363,CompletudeParRegion!$A20,DetailCompletude!H$2:H$363,"&lt;&gt;NA")</f>
        <v>6</v>
      </c>
      <c r="M20" s="149">
        <f>IFERROR(VLOOKUP(A20,DetailCompletude!$C$2:$V$366,14,0),"")</f>
        <v>0.8333333333</v>
      </c>
      <c r="N20" s="150">
        <f>COUNTIFS(DetailCompletude!$C$2:$C$363,CompletudeParRegion!$A20,DetailCompletude!I$2:I$363,"&lt;&gt;NA")</f>
        <v>9</v>
      </c>
      <c r="O20" s="149">
        <f>IFERROR(VLOOKUP(A20,DetailCompletude!$C$2:$V$366,15,0),"")</f>
        <v>0.5555555556</v>
      </c>
      <c r="P20" s="150">
        <f>COUNTIFS(DetailCompletude!$C$2:$C$363,CompletudeParRegion!$A20,DetailCompletude!J$2:J$363,"&lt;&gt;NA")</f>
        <v>0</v>
      </c>
      <c r="Q20" s="149" t="str">
        <f>IFERROR(VLOOKUP(A20,DetailCompletude!$C$2:$V$366,16,0),"")</f>
        <v/>
      </c>
      <c r="R20" s="150">
        <f>COUNTIFS(DetailCompletude!$C$2:$C$363,CompletudeParRegion!$A20,DetailCompletude!K$2:K$363,"&lt;&gt;NA")</f>
        <v>6</v>
      </c>
      <c r="S20" s="149">
        <f>IFERROR(VLOOKUP(A20,DetailCompletude!$C$2:$V$366,17,0),"")</f>
        <v>0.5</v>
      </c>
    </row>
    <row r="21" ht="14.25" customHeight="1">
      <c r="A21" s="142" t="str">
        <f>IFERROR(__xludf.DUMMYFUNCTION("""COMPUTED_VALUE"""),"GRANDS PONTS")</f>
        <v>GRANDS PONTS</v>
      </c>
      <c r="B21" s="143">
        <f>COUNTIFS(DetailCompletude!$C$2:$C$364,CompletudeParRegion!$A21,DetailCompletude!D$2:D$364,"&lt;&gt;NA")</f>
        <v>7</v>
      </c>
      <c r="C21" s="144">
        <f>IFERROR(VLOOKUP(A21,DetailCompletude!$C$2:$V$366,10,0),"")</f>
        <v>1</v>
      </c>
      <c r="D21" s="145">
        <f>COUNTIFS(DetailCompletude!$C$2:$C$364,CompletudeParRegion!$A21,DetailCompletude!E$2:E$364,"&lt;&gt;NA")</f>
        <v>7</v>
      </c>
      <c r="E21" s="146">
        <f>IFERROR(VLOOKUP(A21,DetailCompletude!$C$2:$V$366,11,0),"")</f>
        <v>1</v>
      </c>
      <c r="F21" s="145">
        <f>COUNTIFS(DetailCompletude!$C$2:$C$364,CompletudeParRegion!$A21,DetailCompletude!F$2:F$364,"&lt;&gt;NA")</f>
        <v>6</v>
      </c>
      <c r="G21" s="144">
        <f>IFERROR(VLOOKUP(A21,DetailCompletude!$C$2:$V$366,12,0),"")</f>
        <v>1</v>
      </c>
      <c r="H21" s="145">
        <f>COUNTIFS(DetailCompletude!$C$2:$C$364,CompletudeParRegion!$A21,DetailCompletude!G$2:G$364,"&lt;&gt;NA")</f>
        <v>3</v>
      </c>
      <c r="I21" s="144">
        <f>IFERROR(VLOOKUP(A21,DetailCompletude!$C$2:$V$366,13,0),"")</f>
        <v>1</v>
      </c>
      <c r="J21" s="145">
        <f t="shared" si="1"/>
        <v>23</v>
      </c>
      <c r="K21" s="146">
        <f>IFERROR(VLOOKUP(A21,DetailCompletude!$C$2:$V$366,18,0),"")</f>
        <v>1</v>
      </c>
      <c r="L21" s="145">
        <f>COUNTIFS(DetailCompletude!$C$2:$C$363,CompletudeParRegion!$A21,DetailCompletude!H$2:H$363,"&lt;&gt;NA")</f>
        <v>6</v>
      </c>
      <c r="M21" s="144">
        <f>IFERROR(VLOOKUP(A21,DetailCompletude!$C$2:$V$366,14,0),"")</f>
        <v>1</v>
      </c>
      <c r="N21" s="145">
        <f>COUNTIFS(DetailCompletude!$C$2:$C$363,CompletudeParRegion!$A21,DetailCompletude!I$2:I$363,"&lt;&gt;NA")</f>
        <v>7</v>
      </c>
      <c r="O21" s="144">
        <f>IFERROR(VLOOKUP(A21,DetailCompletude!$C$2:$V$366,15,0),"")</f>
        <v>1</v>
      </c>
      <c r="P21" s="145">
        <f>COUNTIFS(DetailCompletude!$C$2:$C$363,CompletudeParRegion!$A21,DetailCompletude!J$2:J$363,"&lt;&gt;NA")</f>
        <v>2</v>
      </c>
      <c r="Q21" s="144">
        <f>IFERROR(VLOOKUP(A21,DetailCompletude!$C$2:$V$366,16,0),"")</f>
        <v>1</v>
      </c>
      <c r="R21" s="145">
        <f>COUNTIFS(DetailCompletude!$C$2:$C$363,CompletudeParRegion!$A21,DetailCompletude!K$2:K$363,"&lt;&gt;NA")</f>
        <v>6</v>
      </c>
      <c r="S21" s="144">
        <f>IFERROR(VLOOKUP(A21,DetailCompletude!$C$2:$V$366,17,0),"")</f>
        <v>0.8333333333</v>
      </c>
    </row>
    <row r="22" ht="14.25" customHeight="1">
      <c r="A22" s="147" t="str">
        <f>IFERROR(__xludf.DUMMYFUNCTION("""COMPUTED_VALUE"""),"GUEMON")</f>
        <v>GUEMON</v>
      </c>
      <c r="B22" s="148">
        <f>COUNTIFS(DetailCompletude!$C$2:$C$364,CompletudeParRegion!$A22,DetailCompletude!D$2:D$364,"&lt;&gt;NA")</f>
        <v>6</v>
      </c>
      <c r="C22" s="149">
        <f>IFERROR(VLOOKUP(A22,DetailCompletude!$C$2:$V$366,10,0),"")</f>
        <v>1</v>
      </c>
      <c r="D22" s="150">
        <f>COUNTIFS(DetailCompletude!$C$2:$C$364,CompletudeParRegion!$A22,DetailCompletude!E$2:E$364,"&lt;&gt;NA")</f>
        <v>6</v>
      </c>
      <c r="E22" s="151">
        <f>IFERROR(VLOOKUP(A22,DetailCompletude!$C$2:$V$366,11,0),"")</f>
        <v>1</v>
      </c>
      <c r="F22" s="150">
        <f>COUNTIFS(DetailCompletude!$C$2:$C$364,CompletudeParRegion!$A22,DetailCompletude!F$2:F$364,"&lt;&gt;NA")</f>
        <v>4</v>
      </c>
      <c r="G22" s="149">
        <f>IFERROR(VLOOKUP(A22,DetailCompletude!$C$2:$V$366,12,0),"")</f>
        <v>1</v>
      </c>
      <c r="H22" s="150">
        <f>COUNTIFS(DetailCompletude!$C$2:$C$364,CompletudeParRegion!$A22,DetailCompletude!G$2:G$364,"&lt;&gt;NA")</f>
        <v>2</v>
      </c>
      <c r="I22" s="149">
        <f>IFERROR(VLOOKUP(A22,DetailCompletude!$C$2:$V$366,13,0),"")</f>
        <v>1</v>
      </c>
      <c r="J22" s="150">
        <f t="shared" si="1"/>
        <v>18</v>
      </c>
      <c r="K22" s="151">
        <f>IFERROR(VLOOKUP(A22,DetailCompletude!$C$2:$V$366,18,0),"")</f>
        <v>1</v>
      </c>
      <c r="L22" s="150">
        <f>COUNTIFS(DetailCompletude!$C$2:$C$363,CompletudeParRegion!$A22,DetailCompletude!H$2:H$363,"&lt;&gt;NA")</f>
        <v>6</v>
      </c>
      <c r="M22" s="149">
        <f>IFERROR(VLOOKUP(A22,DetailCompletude!$C$2:$V$366,14,0),"")</f>
        <v>1</v>
      </c>
      <c r="N22" s="150">
        <f>COUNTIFS(DetailCompletude!$C$2:$C$363,CompletudeParRegion!$A22,DetailCompletude!I$2:I$363,"&lt;&gt;NA")</f>
        <v>6</v>
      </c>
      <c r="O22" s="149">
        <f>IFERROR(VLOOKUP(A22,DetailCompletude!$C$2:$V$366,15,0),"")</f>
        <v>1</v>
      </c>
      <c r="P22" s="150">
        <f>COUNTIFS(DetailCompletude!$C$2:$C$363,CompletudeParRegion!$A22,DetailCompletude!J$2:J$363,"&lt;&gt;NA")</f>
        <v>6</v>
      </c>
      <c r="Q22" s="149">
        <f>IFERROR(VLOOKUP(A22,DetailCompletude!$C$2:$V$366,16,0),"")</f>
        <v>1</v>
      </c>
      <c r="R22" s="150">
        <f>COUNTIFS(DetailCompletude!$C$2:$C$363,CompletudeParRegion!$A22,DetailCompletude!K$2:K$363,"&lt;&gt;NA")</f>
        <v>5</v>
      </c>
      <c r="S22" s="149">
        <f>IFERROR(VLOOKUP(A22,DetailCompletude!$C$2:$V$366,17,0),"")</f>
        <v>0.8</v>
      </c>
    </row>
    <row r="23" ht="14.25" customHeight="1">
      <c r="A23" s="142" t="str">
        <f>IFERROR(__xludf.DUMMYFUNCTION("""COMPUTED_VALUE"""),"HAMBOL")</f>
        <v>HAMBOL</v>
      </c>
      <c r="B23" s="143">
        <f>COUNTIFS(DetailCompletude!$C$2:$C$364,CompletudeParRegion!$A23,DetailCompletude!D$2:D$364,"&lt;&gt;NA")</f>
        <v>6</v>
      </c>
      <c r="C23" s="144">
        <f>IFERROR(VLOOKUP(A23,DetailCompletude!$C$2:$V$366,10,0),"")</f>
        <v>1</v>
      </c>
      <c r="D23" s="145">
        <f>COUNTIFS(DetailCompletude!$C$2:$C$364,CompletudeParRegion!$A23,DetailCompletude!E$2:E$364,"&lt;&gt;NA")</f>
        <v>6</v>
      </c>
      <c r="E23" s="146">
        <f>IFERROR(VLOOKUP(A23,DetailCompletude!$C$2:$V$366,11,0),"")</f>
        <v>1</v>
      </c>
      <c r="F23" s="145">
        <f>COUNTIFS(DetailCompletude!$C$2:$C$364,CompletudeParRegion!$A23,DetailCompletude!F$2:F$364,"&lt;&gt;NA")</f>
        <v>5</v>
      </c>
      <c r="G23" s="144">
        <f>IFERROR(VLOOKUP(A23,DetailCompletude!$C$2:$V$366,12,0),"")</f>
        <v>1</v>
      </c>
      <c r="H23" s="145">
        <f>COUNTIFS(DetailCompletude!$C$2:$C$364,CompletudeParRegion!$A23,DetailCompletude!G$2:G$364,"&lt;&gt;NA")</f>
        <v>1</v>
      </c>
      <c r="I23" s="144">
        <f>IFERROR(VLOOKUP(A23,DetailCompletude!$C$2:$V$366,13,0),"")</f>
        <v>1</v>
      </c>
      <c r="J23" s="145">
        <f t="shared" si="1"/>
        <v>18</v>
      </c>
      <c r="K23" s="146">
        <f>IFERROR(VLOOKUP(A23,DetailCompletude!$C$2:$V$366,18,0),"")</f>
        <v>1</v>
      </c>
      <c r="L23" s="145">
        <f>COUNTIFS(DetailCompletude!$C$2:$C$363,CompletudeParRegion!$A23,DetailCompletude!H$2:H$363,"&lt;&gt;NA")</f>
        <v>7</v>
      </c>
      <c r="M23" s="144">
        <f>IFERROR(VLOOKUP(A23,DetailCompletude!$C$2:$V$366,14,0),"")</f>
        <v>1</v>
      </c>
      <c r="N23" s="145">
        <f>COUNTIFS(DetailCompletude!$C$2:$C$363,CompletudeParRegion!$A23,DetailCompletude!I$2:I$363,"&lt;&gt;NA")</f>
        <v>7</v>
      </c>
      <c r="O23" s="144">
        <f>IFERROR(VLOOKUP(A23,DetailCompletude!$C$2:$V$366,15,0),"")</f>
        <v>0.8571428571</v>
      </c>
      <c r="P23" s="145">
        <f>COUNTIFS(DetailCompletude!$C$2:$C$363,CompletudeParRegion!$A23,DetailCompletude!J$2:J$363,"&lt;&gt;NA")</f>
        <v>4</v>
      </c>
      <c r="Q23" s="144">
        <f>IFERROR(VLOOKUP(A23,DetailCompletude!$C$2:$V$366,16,0),"")</f>
        <v>1</v>
      </c>
      <c r="R23" s="145">
        <f>COUNTIFS(DetailCompletude!$C$2:$C$363,CompletudeParRegion!$A23,DetailCompletude!K$2:K$363,"&lt;&gt;NA")</f>
        <v>5</v>
      </c>
      <c r="S23" s="144">
        <f>IFERROR(VLOOKUP(A23,DetailCompletude!$C$2:$V$366,17,0),"")</f>
        <v>1</v>
      </c>
    </row>
    <row r="24" ht="14.25" customHeight="1">
      <c r="A24" s="147" t="str">
        <f>IFERROR(__xludf.DUMMYFUNCTION("""COMPUTED_VALUE"""),"HAUT-SASSANDRA")</f>
        <v>HAUT-SASSANDRA</v>
      </c>
      <c r="B24" s="148">
        <f>COUNTIFS(DetailCompletude!$C$2:$C$364,CompletudeParRegion!$A24,DetailCompletude!D$2:D$364,"&lt;&gt;NA")</f>
        <v>9</v>
      </c>
      <c r="C24" s="149">
        <f>IFERROR(VLOOKUP(A24,DetailCompletude!$C$2:$V$366,10,0),"")</f>
        <v>0.8888888889</v>
      </c>
      <c r="D24" s="150">
        <f>COUNTIFS(DetailCompletude!$C$2:$C$364,CompletudeParRegion!$A24,DetailCompletude!E$2:E$364,"&lt;&gt;NA")</f>
        <v>9</v>
      </c>
      <c r="E24" s="151">
        <f>IFERROR(VLOOKUP(A24,DetailCompletude!$C$2:$V$366,11,0),"")</f>
        <v>0.8888888889</v>
      </c>
      <c r="F24" s="150">
        <f>COUNTIFS(DetailCompletude!$C$2:$C$364,CompletudeParRegion!$A24,DetailCompletude!F$2:F$364,"&lt;&gt;NA")</f>
        <v>7</v>
      </c>
      <c r="G24" s="149">
        <f>IFERROR(VLOOKUP(A24,DetailCompletude!$C$2:$V$366,12,0),"")</f>
        <v>1</v>
      </c>
      <c r="H24" s="150">
        <f>COUNTIFS(DetailCompletude!$C$2:$C$364,CompletudeParRegion!$A24,DetailCompletude!G$2:G$364,"&lt;&gt;NA")</f>
        <v>3</v>
      </c>
      <c r="I24" s="149">
        <f>IFERROR(VLOOKUP(A24,DetailCompletude!$C$2:$V$366,13,0),"")</f>
        <v>1</v>
      </c>
      <c r="J24" s="150">
        <f t="shared" si="1"/>
        <v>28</v>
      </c>
      <c r="K24" s="151">
        <f>IFERROR(VLOOKUP(A24,DetailCompletude!$C$2:$V$366,18,0),"")</f>
        <v>0.9285714286</v>
      </c>
      <c r="L24" s="150">
        <f>COUNTIFS(DetailCompletude!$C$2:$C$363,CompletudeParRegion!$A24,DetailCompletude!H$2:H$363,"&lt;&gt;NA")</f>
        <v>9</v>
      </c>
      <c r="M24" s="149">
        <f>IFERROR(VLOOKUP(A24,DetailCompletude!$C$2:$V$366,14,0),"")</f>
        <v>0.8888888889</v>
      </c>
      <c r="N24" s="150">
        <f>COUNTIFS(DetailCompletude!$C$2:$C$363,CompletudeParRegion!$A24,DetailCompletude!I$2:I$363,"&lt;&gt;NA")</f>
        <v>9</v>
      </c>
      <c r="O24" s="149">
        <f>IFERROR(VLOOKUP(A24,DetailCompletude!$C$2:$V$366,15,0),"")</f>
        <v>0.8888888889</v>
      </c>
      <c r="P24" s="150">
        <f>COUNTIFS(DetailCompletude!$C$2:$C$363,CompletudeParRegion!$A24,DetailCompletude!J$2:J$363,"&lt;&gt;NA")</f>
        <v>4</v>
      </c>
      <c r="Q24" s="149">
        <f>IFERROR(VLOOKUP(A24,DetailCompletude!$C$2:$V$366,16,0),"")</f>
        <v>1</v>
      </c>
      <c r="R24" s="150">
        <f>COUNTIFS(DetailCompletude!$C$2:$C$363,CompletudeParRegion!$A24,DetailCompletude!K$2:K$363,"&lt;&gt;NA")</f>
        <v>8</v>
      </c>
      <c r="S24" s="149">
        <f>IFERROR(VLOOKUP(A24,DetailCompletude!$C$2:$V$366,17,0),"")</f>
        <v>0.875</v>
      </c>
    </row>
    <row r="25" ht="14.25" customHeight="1">
      <c r="A25" s="142" t="str">
        <f>IFERROR(__xludf.DUMMYFUNCTION("""COMPUTED_VALUE"""),"IFFOU")</f>
        <v>IFFOU</v>
      </c>
      <c r="B25" s="143">
        <f>COUNTIFS(DetailCompletude!$C$2:$C$364,CompletudeParRegion!$A25,DetailCompletude!D$2:D$364,"&lt;&gt;NA")</f>
        <v>6</v>
      </c>
      <c r="C25" s="144">
        <f>IFERROR(VLOOKUP(A25,DetailCompletude!$C$2:$V$366,10,0),"")</f>
        <v>1</v>
      </c>
      <c r="D25" s="145">
        <f>COUNTIFS(DetailCompletude!$C$2:$C$364,CompletudeParRegion!$A25,DetailCompletude!E$2:E$364,"&lt;&gt;NA")</f>
        <v>6</v>
      </c>
      <c r="E25" s="146">
        <f>IFERROR(VLOOKUP(A25,DetailCompletude!$C$2:$V$366,11,0),"")</f>
        <v>0.8333333333</v>
      </c>
      <c r="F25" s="145">
        <f>COUNTIFS(DetailCompletude!$C$2:$C$364,CompletudeParRegion!$A25,DetailCompletude!F$2:F$364,"&lt;&gt;NA")</f>
        <v>4</v>
      </c>
      <c r="G25" s="144">
        <f>IFERROR(VLOOKUP(A25,DetailCompletude!$C$2:$V$366,12,0),"")</f>
        <v>0.75</v>
      </c>
      <c r="H25" s="145">
        <f>COUNTIFS(DetailCompletude!$C$2:$C$364,CompletudeParRegion!$A25,DetailCompletude!G$2:G$364,"&lt;&gt;NA")</f>
        <v>1</v>
      </c>
      <c r="I25" s="144">
        <f>IFERROR(VLOOKUP(A25,DetailCompletude!$C$2:$V$366,13,0),"")</f>
        <v>1</v>
      </c>
      <c r="J25" s="145">
        <f t="shared" si="1"/>
        <v>17</v>
      </c>
      <c r="K25" s="146">
        <f>IFERROR(VLOOKUP(A25,DetailCompletude!$C$2:$V$366,18,0),"")</f>
        <v>0.8823529412</v>
      </c>
      <c r="L25" s="145">
        <f>COUNTIFS(DetailCompletude!$C$2:$C$363,CompletudeParRegion!$A25,DetailCompletude!H$2:H$363,"&lt;&gt;NA")</f>
        <v>7</v>
      </c>
      <c r="M25" s="144">
        <f>IFERROR(VLOOKUP(A25,DetailCompletude!$C$2:$V$366,14,0),"")</f>
        <v>1</v>
      </c>
      <c r="N25" s="145">
        <f>COUNTIFS(DetailCompletude!$C$2:$C$363,CompletudeParRegion!$A25,DetailCompletude!I$2:I$363,"&lt;&gt;NA")</f>
        <v>7</v>
      </c>
      <c r="O25" s="144">
        <f>IFERROR(VLOOKUP(A25,DetailCompletude!$C$2:$V$366,15,0),"")</f>
        <v>1</v>
      </c>
      <c r="P25" s="145">
        <f>COUNTIFS(DetailCompletude!$C$2:$C$363,CompletudeParRegion!$A25,DetailCompletude!J$2:J$363,"&lt;&gt;NA")</f>
        <v>4</v>
      </c>
      <c r="Q25" s="144">
        <f>IFERROR(VLOOKUP(A25,DetailCompletude!$C$2:$V$366,16,0),"")</f>
        <v>1</v>
      </c>
      <c r="R25" s="145">
        <f>COUNTIFS(DetailCompletude!$C$2:$C$363,CompletudeParRegion!$A25,DetailCompletude!K$2:K$363,"&lt;&gt;NA")</f>
        <v>4</v>
      </c>
      <c r="S25" s="144">
        <f>IFERROR(VLOOKUP(A25,DetailCompletude!$C$2:$V$366,17,0),"")</f>
        <v>0.75</v>
      </c>
    </row>
    <row r="26" ht="14.25" customHeight="1">
      <c r="A26" s="147" t="str">
        <f>IFERROR(__xludf.DUMMYFUNCTION("""COMPUTED_VALUE"""),"INDENIE-DJUABLIN")</f>
        <v>INDENIE-DJUABLIN</v>
      </c>
      <c r="B26" s="148">
        <f>COUNTIFS(DetailCompletude!$C$2:$C$364,CompletudeParRegion!$A26,DetailCompletude!D$2:D$364,"&lt;&gt;NA")</f>
        <v>6</v>
      </c>
      <c r="C26" s="149">
        <f>IFERROR(VLOOKUP(A26,DetailCompletude!$C$2:$V$366,10,0),"")</f>
        <v>1</v>
      </c>
      <c r="D26" s="150">
        <f>COUNTIFS(DetailCompletude!$C$2:$C$364,CompletudeParRegion!$A26,DetailCompletude!E$2:E$364,"&lt;&gt;NA")</f>
        <v>6</v>
      </c>
      <c r="E26" s="151">
        <f>IFERROR(VLOOKUP(A26,DetailCompletude!$C$2:$V$366,11,0),"")</f>
        <v>0.8333333333</v>
      </c>
      <c r="F26" s="150">
        <f>COUNTIFS(DetailCompletude!$C$2:$C$364,CompletudeParRegion!$A26,DetailCompletude!F$2:F$364,"&lt;&gt;NA")</f>
        <v>4</v>
      </c>
      <c r="G26" s="149">
        <f>IFERROR(VLOOKUP(A26,DetailCompletude!$C$2:$V$366,12,0),"")</f>
        <v>1</v>
      </c>
      <c r="H26" s="150">
        <f>COUNTIFS(DetailCompletude!$C$2:$C$364,CompletudeParRegion!$A26,DetailCompletude!G$2:G$364,"&lt;&gt;NA")</f>
        <v>2</v>
      </c>
      <c r="I26" s="149">
        <f>IFERROR(VLOOKUP(A26,DetailCompletude!$C$2:$V$366,13,0),"")</f>
        <v>1</v>
      </c>
      <c r="J26" s="150">
        <f t="shared" si="1"/>
        <v>18</v>
      </c>
      <c r="K26" s="151">
        <f>IFERROR(VLOOKUP(A26,DetailCompletude!$C$2:$V$366,18,0),"")</f>
        <v>0.9444444444</v>
      </c>
      <c r="L26" s="150">
        <f>COUNTIFS(DetailCompletude!$C$2:$C$363,CompletudeParRegion!$A26,DetailCompletude!H$2:H$363,"&lt;&gt;NA")</f>
        <v>6</v>
      </c>
      <c r="M26" s="149">
        <f>IFERROR(VLOOKUP(A26,DetailCompletude!$C$2:$V$366,14,0),"")</f>
        <v>1</v>
      </c>
      <c r="N26" s="150">
        <f>COUNTIFS(DetailCompletude!$C$2:$C$363,CompletudeParRegion!$A26,DetailCompletude!I$2:I$363,"&lt;&gt;NA")</f>
        <v>7</v>
      </c>
      <c r="O26" s="149">
        <f>IFERROR(VLOOKUP(A26,DetailCompletude!$C$2:$V$366,15,0),"")</f>
        <v>0.8571428571</v>
      </c>
      <c r="P26" s="150">
        <f>COUNTIFS(DetailCompletude!$C$2:$C$363,CompletudeParRegion!$A26,DetailCompletude!J$2:J$363,"&lt;&gt;NA")</f>
        <v>0</v>
      </c>
      <c r="Q26" s="149" t="str">
        <f>IFERROR(VLOOKUP(A26,DetailCompletude!$C$2:$V$366,16,0),"")</f>
        <v/>
      </c>
      <c r="R26" s="150">
        <f>COUNTIFS(DetailCompletude!$C$2:$C$363,CompletudeParRegion!$A26,DetailCompletude!K$2:K$363,"&lt;&gt;NA")</f>
        <v>7</v>
      </c>
      <c r="S26" s="149">
        <f>IFERROR(VLOOKUP(A26,DetailCompletude!$C$2:$V$366,17,0),"")</f>
        <v>0.8571428571</v>
      </c>
    </row>
    <row r="27" ht="14.25" customHeight="1">
      <c r="A27" s="142" t="str">
        <f>IFERROR(__xludf.DUMMYFUNCTION("""COMPUTED_VALUE"""),"KABADOUGOU")</f>
        <v>KABADOUGOU</v>
      </c>
      <c r="B27" s="143">
        <f>COUNTIFS(DetailCompletude!$C$2:$C$364,CompletudeParRegion!$A27,DetailCompletude!D$2:D$364,"&lt;&gt;NA")</f>
        <v>7</v>
      </c>
      <c r="C27" s="144">
        <f>IFERROR(VLOOKUP(A27,DetailCompletude!$C$2:$V$366,10,0),"")</f>
        <v>0.7142857143</v>
      </c>
      <c r="D27" s="145">
        <f>COUNTIFS(DetailCompletude!$C$2:$C$364,CompletudeParRegion!$A27,DetailCompletude!E$2:E$364,"&lt;&gt;NA")</f>
        <v>7</v>
      </c>
      <c r="E27" s="146">
        <f>IFERROR(VLOOKUP(A27,DetailCompletude!$C$2:$V$366,11,0),"")</f>
        <v>0.7142857143</v>
      </c>
      <c r="F27" s="145">
        <f>COUNTIFS(DetailCompletude!$C$2:$C$364,CompletudeParRegion!$A27,DetailCompletude!F$2:F$364,"&lt;&gt;NA")</f>
        <v>3</v>
      </c>
      <c r="G27" s="144">
        <f>IFERROR(VLOOKUP(A27,DetailCompletude!$C$2:$V$366,12,0),"")</f>
        <v>1</v>
      </c>
      <c r="H27" s="145">
        <f>COUNTIFS(DetailCompletude!$C$2:$C$364,CompletudeParRegion!$A27,DetailCompletude!G$2:G$364,"&lt;&gt;NA")</f>
        <v>1</v>
      </c>
      <c r="I27" s="144">
        <f>IFERROR(VLOOKUP(A27,DetailCompletude!$C$2:$V$366,13,0),"")</f>
        <v>1</v>
      </c>
      <c r="J27" s="145">
        <f t="shared" si="1"/>
        <v>18</v>
      </c>
      <c r="K27" s="146">
        <f>IFERROR(VLOOKUP(A27,DetailCompletude!$C$2:$V$366,18,0),"")</f>
        <v>0.7777777778</v>
      </c>
      <c r="L27" s="145">
        <f>COUNTIFS(DetailCompletude!$C$2:$C$363,CompletudeParRegion!$A27,DetailCompletude!H$2:H$363,"&lt;&gt;NA")</f>
        <v>7</v>
      </c>
      <c r="M27" s="144">
        <f>IFERROR(VLOOKUP(A27,DetailCompletude!$C$2:$V$366,14,0),"")</f>
        <v>0.7142857143</v>
      </c>
      <c r="N27" s="145">
        <f>COUNTIFS(DetailCompletude!$C$2:$C$363,CompletudeParRegion!$A27,DetailCompletude!I$2:I$363,"&lt;&gt;NA")</f>
        <v>7</v>
      </c>
      <c r="O27" s="144">
        <f>IFERROR(VLOOKUP(A27,DetailCompletude!$C$2:$V$366,15,0),"")</f>
        <v>0.7142857143</v>
      </c>
      <c r="P27" s="145">
        <f>COUNTIFS(DetailCompletude!$C$2:$C$363,CompletudeParRegion!$A27,DetailCompletude!J$2:J$363,"&lt;&gt;NA")</f>
        <v>5</v>
      </c>
      <c r="Q27" s="144">
        <f>IFERROR(VLOOKUP(A27,DetailCompletude!$C$2:$V$366,16,0),"")</f>
        <v>0.8</v>
      </c>
      <c r="R27" s="145">
        <f>COUNTIFS(DetailCompletude!$C$2:$C$363,CompletudeParRegion!$A27,DetailCompletude!K$2:K$363,"&lt;&gt;NA")</f>
        <v>5</v>
      </c>
      <c r="S27" s="144">
        <f>IFERROR(VLOOKUP(A27,DetailCompletude!$C$2:$V$366,17,0),"")</f>
        <v>1</v>
      </c>
    </row>
    <row r="28" ht="14.25" customHeight="1">
      <c r="A28" s="147" t="str">
        <f>IFERROR(__xludf.DUMMYFUNCTION("""COMPUTED_VALUE"""),"MARAHOUE")</f>
        <v>MARAHOUE</v>
      </c>
      <c r="B28" s="148">
        <f>COUNTIFS(DetailCompletude!$C$2:$C$364,CompletudeParRegion!$A28,DetailCompletude!D$2:D$364,"&lt;&gt;NA")</f>
        <v>6</v>
      </c>
      <c r="C28" s="149">
        <f>IFERROR(VLOOKUP(A28,DetailCompletude!$C$2:$V$366,10,0),"")</f>
        <v>1</v>
      </c>
      <c r="D28" s="150">
        <f>COUNTIFS(DetailCompletude!$C$2:$C$364,CompletudeParRegion!$A28,DetailCompletude!E$2:E$364,"&lt;&gt;NA")</f>
        <v>6</v>
      </c>
      <c r="E28" s="151">
        <f>IFERROR(VLOOKUP(A28,DetailCompletude!$C$2:$V$366,11,0),"")</f>
        <v>1</v>
      </c>
      <c r="F28" s="150">
        <f>COUNTIFS(DetailCompletude!$C$2:$C$364,CompletudeParRegion!$A28,DetailCompletude!F$2:F$364,"&lt;&gt;NA")</f>
        <v>6</v>
      </c>
      <c r="G28" s="149">
        <f>IFERROR(VLOOKUP(A28,DetailCompletude!$C$2:$V$366,12,0),"")</f>
        <v>1</v>
      </c>
      <c r="H28" s="150">
        <f>COUNTIFS(DetailCompletude!$C$2:$C$364,CompletudeParRegion!$A28,DetailCompletude!G$2:G$364,"&lt;&gt;NA")</f>
        <v>2</v>
      </c>
      <c r="I28" s="149">
        <f>IFERROR(VLOOKUP(A28,DetailCompletude!$C$2:$V$366,13,0),"")</f>
        <v>1</v>
      </c>
      <c r="J28" s="150">
        <f t="shared" si="1"/>
        <v>20</v>
      </c>
      <c r="K28" s="151">
        <f>IFERROR(VLOOKUP(A28,DetailCompletude!$C$2:$V$366,18,0),"")</f>
        <v>1</v>
      </c>
      <c r="L28" s="150">
        <f>COUNTIFS(DetailCompletude!$C$2:$C$363,CompletudeParRegion!$A28,DetailCompletude!H$2:H$363,"&lt;&gt;NA")</f>
        <v>6</v>
      </c>
      <c r="M28" s="149">
        <f>IFERROR(VLOOKUP(A28,DetailCompletude!$C$2:$V$366,14,0),"")</f>
        <v>1</v>
      </c>
      <c r="N28" s="150">
        <f>COUNTIFS(DetailCompletude!$C$2:$C$363,CompletudeParRegion!$A28,DetailCompletude!I$2:I$363,"&lt;&gt;NA")</f>
        <v>8</v>
      </c>
      <c r="O28" s="149">
        <f>IFERROR(VLOOKUP(A28,DetailCompletude!$C$2:$V$366,15,0),"")</f>
        <v>1</v>
      </c>
      <c r="P28" s="150">
        <f>COUNTIFS(DetailCompletude!$C$2:$C$363,CompletudeParRegion!$A28,DetailCompletude!J$2:J$363,"&lt;&gt;NA")</f>
        <v>4</v>
      </c>
      <c r="Q28" s="149">
        <f>IFERROR(VLOOKUP(A28,DetailCompletude!$C$2:$V$366,16,0),"")</f>
        <v>1</v>
      </c>
      <c r="R28" s="150">
        <f>COUNTIFS(DetailCompletude!$C$2:$C$363,CompletudeParRegion!$A28,DetailCompletude!K$2:K$363,"&lt;&gt;NA")</f>
        <v>6</v>
      </c>
      <c r="S28" s="149">
        <f>IFERROR(VLOOKUP(A28,DetailCompletude!$C$2:$V$366,17,0),"")</f>
        <v>0.6666666667</v>
      </c>
    </row>
    <row r="29" ht="14.25" customHeight="1">
      <c r="A29" s="142" t="str">
        <f>IFERROR(__xludf.DUMMYFUNCTION("""COMPUTED_VALUE"""),"ME")</f>
        <v>ME</v>
      </c>
      <c r="B29" s="143">
        <f>COUNTIFS(DetailCompletude!$C$2:$C$364,CompletudeParRegion!$A29,DetailCompletude!D$2:D$364,"&lt;&gt;NA")</f>
        <v>10</v>
      </c>
      <c r="C29" s="144">
        <f>IFERROR(VLOOKUP(A29,DetailCompletude!$C$2:$V$366,10,0),"")</f>
        <v>0.9</v>
      </c>
      <c r="D29" s="145">
        <f>COUNTIFS(DetailCompletude!$C$2:$C$364,CompletudeParRegion!$A29,DetailCompletude!E$2:E$364,"&lt;&gt;NA")</f>
        <v>10</v>
      </c>
      <c r="E29" s="146">
        <f>IFERROR(VLOOKUP(A29,DetailCompletude!$C$2:$V$366,11,0),"")</f>
        <v>0.9</v>
      </c>
      <c r="F29" s="145">
        <f>COUNTIFS(DetailCompletude!$C$2:$C$364,CompletudeParRegion!$A29,DetailCompletude!F$2:F$364,"&lt;&gt;NA")</f>
        <v>9</v>
      </c>
      <c r="G29" s="144">
        <f>IFERROR(VLOOKUP(A29,DetailCompletude!$C$2:$V$366,12,0),"")</f>
        <v>0.8888888889</v>
      </c>
      <c r="H29" s="145">
        <f>COUNTIFS(DetailCompletude!$C$2:$C$364,CompletudeParRegion!$A29,DetailCompletude!G$2:G$364,"&lt;&gt;NA")</f>
        <v>1</v>
      </c>
      <c r="I29" s="144">
        <f>IFERROR(VLOOKUP(A29,DetailCompletude!$C$2:$V$366,13,0),"")</f>
        <v>1</v>
      </c>
      <c r="J29" s="145">
        <f t="shared" si="1"/>
        <v>30</v>
      </c>
      <c r="K29" s="146">
        <f>IFERROR(VLOOKUP(A29,DetailCompletude!$C$2:$V$366,18,0),"")</f>
        <v>0.9</v>
      </c>
      <c r="L29" s="145">
        <f>COUNTIFS(DetailCompletude!$C$2:$C$363,CompletudeParRegion!$A29,DetailCompletude!H$2:H$363,"&lt;&gt;NA")</f>
        <v>11</v>
      </c>
      <c r="M29" s="144">
        <f>IFERROR(VLOOKUP(A29,DetailCompletude!$C$2:$V$366,14,0),"")</f>
        <v>0.9090909091</v>
      </c>
      <c r="N29" s="145">
        <f>COUNTIFS(DetailCompletude!$C$2:$C$363,CompletudeParRegion!$A29,DetailCompletude!I$2:I$363,"&lt;&gt;NA")</f>
        <v>9</v>
      </c>
      <c r="O29" s="144">
        <f>IFERROR(VLOOKUP(A29,DetailCompletude!$C$2:$V$366,15,0),"")</f>
        <v>1</v>
      </c>
      <c r="P29" s="145">
        <f>COUNTIFS(DetailCompletude!$C$2:$C$363,CompletudeParRegion!$A29,DetailCompletude!J$2:J$363,"&lt;&gt;NA")</f>
        <v>0</v>
      </c>
      <c r="Q29" s="144" t="str">
        <f>IFERROR(VLOOKUP(A29,DetailCompletude!$C$2:$V$366,16,0),"")</f>
        <v/>
      </c>
      <c r="R29" s="145">
        <f>COUNTIFS(DetailCompletude!$C$2:$C$363,CompletudeParRegion!$A29,DetailCompletude!K$2:K$363,"&lt;&gt;NA")</f>
        <v>7</v>
      </c>
      <c r="S29" s="144">
        <f>IFERROR(VLOOKUP(A29,DetailCompletude!$C$2:$V$366,17,0),"")</f>
        <v>1</v>
      </c>
    </row>
    <row r="30" ht="14.25" customHeight="1">
      <c r="A30" s="147" t="str">
        <f>IFERROR(__xludf.DUMMYFUNCTION("""COMPUTED_VALUE"""),"MORONOU")</f>
        <v>MORONOU</v>
      </c>
      <c r="B30" s="148">
        <f>COUNTIFS(DetailCompletude!$C$2:$C$364,CompletudeParRegion!$A30,DetailCompletude!D$2:D$364,"&lt;&gt;NA")</f>
        <v>6</v>
      </c>
      <c r="C30" s="149">
        <f>IFERROR(VLOOKUP(A30,DetailCompletude!$C$2:$V$366,10,0),"")</f>
        <v>1</v>
      </c>
      <c r="D30" s="150">
        <f>COUNTIFS(DetailCompletude!$C$2:$C$364,CompletudeParRegion!$A30,DetailCompletude!E$2:E$364,"&lt;&gt;NA")</f>
        <v>6</v>
      </c>
      <c r="E30" s="151">
        <f>IFERROR(VLOOKUP(A30,DetailCompletude!$C$2:$V$366,11,0),"")</f>
        <v>1</v>
      </c>
      <c r="F30" s="150">
        <f>COUNTIFS(DetailCompletude!$C$2:$C$364,CompletudeParRegion!$A30,DetailCompletude!F$2:F$364,"&lt;&gt;NA")</f>
        <v>5</v>
      </c>
      <c r="G30" s="149">
        <f>IFERROR(VLOOKUP(A30,DetailCompletude!$C$2:$V$366,12,0),"")</f>
        <v>1</v>
      </c>
      <c r="H30" s="150">
        <f>COUNTIFS(DetailCompletude!$C$2:$C$364,CompletudeParRegion!$A30,DetailCompletude!G$2:G$364,"&lt;&gt;NA")</f>
        <v>1</v>
      </c>
      <c r="I30" s="149">
        <f>IFERROR(VLOOKUP(A30,DetailCompletude!$C$2:$V$366,13,0),"")</f>
        <v>1</v>
      </c>
      <c r="J30" s="150">
        <f t="shared" si="1"/>
        <v>18</v>
      </c>
      <c r="K30" s="151">
        <f>IFERROR(VLOOKUP(A30,DetailCompletude!$C$2:$V$366,18,0),"")</f>
        <v>1</v>
      </c>
      <c r="L30" s="150">
        <f>COUNTIFS(DetailCompletude!$C$2:$C$363,CompletudeParRegion!$A30,DetailCompletude!H$2:H$363,"&lt;&gt;NA")</f>
        <v>6</v>
      </c>
      <c r="M30" s="149">
        <f>IFERROR(VLOOKUP(A30,DetailCompletude!$C$2:$V$366,14,0),"")</f>
        <v>0.8333333333</v>
      </c>
      <c r="N30" s="150">
        <f>COUNTIFS(DetailCompletude!$C$2:$C$363,CompletudeParRegion!$A30,DetailCompletude!I$2:I$363,"&lt;&gt;NA")</f>
        <v>6</v>
      </c>
      <c r="O30" s="149">
        <f>IFERROR(VLOOKUP(A30,DetailCompletude!$C$2:$V$366,15,0),"")</f>
        <v>1</v>
      </c>
      <c r="P30" s="150">
        <f>COUNTIFS(DetailCompletude!$C$2:$C$363,CompletudeParRegion!$A30,DetailCompletude!J$2:J$363,"&lt;&gt;NA")</f>
        <v>5</v>
      </c>
      <c r="Q30" s="149">
        <f>IFERROR(VLOOKUP(A30,DetailCompletude!$C$2:$V$366,16,0),"")</f>
        <v>1</v>
      </c>
      <c r="R30" s="150">
        <f>COUNTIFS(DetailCompletude!$C$2:$C$363,CompletudeParRegion!$A30,DetailCompletude!K$2:K$363,"&lt;&gt;NA")</f>
        <v>5</v>
      </c>
      <c r="S30" s="149">
        <f>IFERROR(VLOOKUP(A30,DetailCompletude!$C$2:$V$366,17,0),"")</f>
        <v>0.8</v>
      </c>
    </row>
    <row r="31" ht="14.25" customHeight="1">
      <c r="A31" s="142" t="str">
        <f>IFERROR(__xludf.DUMMYFUNCTION("""COMPUTED_VALUE"""),"NAWA")</f>
        <v>NAWA</v>
      </c>
      <c r="B31" s="143">
        <f>COUNTIFS(DetailCompletude!$C$2:$C$364,CompletudeParRegion!$A31,DetailCompletude!D$2:D$364,"&lt;&gt;NA")</f>
        <v>8</v>
      </c>
      <c r="C31" s="144">
        <f>IFERROR(VLOOKUP(A31,DetailCompletude!$C$2:$V$366,10,0),"")</f>
        <v>1</v>
      </c>
      <c r="D31" s="145">
        <f>COUNTIFS(DetailCompletude!$C$2:$C$364,CompletudeParRegion!$A31,DetailCompletude!E$2:E$364,"&lt;&gt;NA")</f>
        <v>8</v>
      </c>
      <c r="E31" s="146">
        <f>IFERROR(VLOOKUP(A31,DetailCompletude!$C$2:$V$366,11,0),"")</f>
        <v>1</v>
      </c>
      <c r="F31" s="145">
        <f>COUNTIFS(DetailCompletude!$C$2:$C$364,CompletudeParRegion!$A31,DetailCompletude!F$2:F$364,"&lt;&gt;NA")</f>
        <v>6</v>
      </c>
      <c r="G31" s="144">
        <f>IFERROR(VLOOKUP(A31,DetailCompletude!$C$2:$V$366,12,0),"")</f>
        <v>1</v>
      </c>
      <c r="H31" s="145">
        <f>COUNTIFS(DetailCompletude!$C$2:$C$364,CompletudeParRegion!$A31,DetailCompletude!G$2:G$364,"&lt;&gt;NA")</f>
        <v>2</v>
      </c>
      <c r="I31" s="144">
        <f>IFERROR(VLOOKUP(A31,DetailCompletude!$C$2:$V$366,13,0),"")</f>
        <v>1</v>
      </c>
      <c r="J31" s="145">
        <f t="shared" si="1"/>
        <v>24</v>
      </c>
      <c r="K31" s="146">
        <f>IFERROR(VLOOKUP(A31,DetailCompletude!$C$2:$V$366,18,0),"")</f>
        <v>1</v>
      </c>
      <c r="L31" s="145">
        <f>COUNTIFS(DetailCompletude!$C$2:$C$363,CompletudeParRegion!$A31,DetailCompletude!H$2:H$363,"&lt;&gt;NA")</f>
        <v>10</v>
      </c>
      <c r="M31" s="144">
        <f>IFERROR(VLOOKUP(A31,DetailCompletude!$C$2:$V$366,14,0),"")</f>
        <v>1</v>
      </c>
      <c r="N31" s="145">
        <f>COUNTIFS(DetailCompletude!$C$2:$C$363,CompletudeParRegion!$A31,DetailCompletude!I$2:I$363,"&lt;&gt;NA")</f>
        <v>10</v>
      </c>
      <c r="O31" s="144">
        <f>IFERROR(VLOOKUP(A31,DetailCompletude!$C$2:$V$366,15,0),"")</f>
        <v>0.9</v>
      </c>
      <c r="P31" s="145">
        <f>COUNTIFS(DetailCompletude!$C$2:$C$363,CompletudeParRegion!$A31,DetailCompletude!J$2:J$363,"&lt;&gt;NA")</f>
        <v>7</v>
      </c>
      <c r="Q31" s="144">
        <f>IFERROR(VLOOKUP(A31,DetailCompletude!$C$2:$V$366,16,0),"")</f>
        <v>1</v>
      </c>
      <c r="R31" s="145">
        <f>COUNTIFS(DetailCompletude!$C$2:$C$363,CompletudeParRegion!$A31,DetailCompletude!K$2:K$363,"&lt;&gt;NA")</f>
        <v>8</v>
      </c>
      <c r="S31" s="144">
        <f>IFERROR(VLOOKUP(A31,DetailCompletude!$C$2:$V$366,17,0),"")</f>
        <v>1</v>
      </c>
    </row>
    <row r="32" ht="14.25" customHeight="1">
      <c r="A32" s="147" t="str">
        <f>IFERROR(__xludf.DUMMYFUNCTION("""COMPUTED_VALUE"""),"N'ZI")</f>
        <v>N'ZI</v>
      </c>
      <c r="B32" s="148">
        <f>COUNTIFS(DetailCompletude!$C$2:$C$364,CompletudeParRegion!$A32,DetailCompletude!D$2:D$364,"&lt;&gt;NA")</f>
        <v>6</v>
      </c>
      <c r="C32" s="149">
        <f>IFERROR(VLOOKUP(A32,DetailCompletude!$C$2:$V$366,10,0),"")</f>
        <v>1</v>
      </c>
      <c r="D32" s="150">
        <f>COUNTIFS(DetailCompletude!$C$2:$C$364,CompletudeParRegion!$A32,DetailCompletude!E$2:E$364,"&lt;&gt;NA")</f>
        <v>6</v>
      </c>
      <c r="E32" s="151">
        <f>IFERROR(VLOOKUP(A32,DetailCompletude!$C$2:$V$366,11,0),"")</f>
        <v>1</v>
      </c>
      <c r="F32" s="150">
        <f>COUNTIFS(DetailCompletude!$C$2:$C$364,CompletudeParRegion!$A32,DetailCompletude!F$2:F$364,"&lt;&gt;NA")</f>
        <v>3</v>
      </c>
      <c r="G32" s="149">
        <f>IFERROR(VLOOKUP(A32,DetailCompletude!$C$2:$V$366,12,0),"")</f>
        <v>1</v>
      </c>
      <c r="H32" s="150">
        <f>COUNTIFS(DetailCompletude!$C$2:$C$364,CompletudeParRegion!$A32,DetailCompletude!G$2:G$364,"&lt;&gt;NA")</f>
        <v>1</v>
      </c>
      <c r="I32" s="149">
        <f>IFERROR(VLOOKUP(A32,DetailCompletude!$C$2:$V$366,13,0),"")</f>
        <v>1</v>
      </c>
      <c r="J32" s="150">
        <f t="shared" si="1"/>
        <v>16</v>
      </c>
      <c r="K32" s="151">
        <f>IFERROR(VLOOKUP(A32,DetailCompletude!$C$2:$V$366,18,0),"")</f>
        <v>1</v>
      </c>
      <c r="L32" s="150">
        <f>COUNTIFS(DetailCompletude!$C$2:$C$363,CompletudeParRegion!$A32,DetailCompletude!H$2:H$363,"&lt;&gt;NA")</f>
        <v>6</v>
      </c>
      <c r="M32" s="149">
        <f>IFERROR(VLOOKUP(A32,DetailCompletude!$C$2:$V$366,14,0),"")</f>
        <v>1</v>
      </c>
      <c r="N32" s="150">
        <f>COUNTIFS(DetailCompletude!$C$2:$C$363,CompletudeParRegion!$A32,DetailCompletude!I$2:I$363,"&lt;&gt;NA")</f>
        <v>6</v>
      </c>
      <c r="O32" s="149">
        <f>IFERROR(VLOOKUP(A32,DetailCompletude!$C$2:$V$366,15,0),"")</f>
        <v>1</v>
      </c>
      <c r="P32" s="150">
        <f>COUNTIFS(DetailCompletude!$C$2:$C$363,CompletudeParRegion!$A32,DetailCompletude!J$2:J$363,"&lt;&gt;NA")</f>
        <v>0</v>
      </c>
      <c r="Q32" s="149" t="str">
        <f>IFERROR(VLOOKUP(A32,DetailCompletude!$C$2:$V$366,16,0),"")</f>
        <v/>
      </c>
      <c r="R32" s="150">
        <f>COUNTIFS(DetailCompletude!$C$2:$C$363,CompletudeParRegion!$A32,DetailCompletude!K$2:K$363,"&lt;&gt;NA")</f>
        <v>5</v>
      </c>
      <c r="S32" s="149">
        <f>IFERROR(VLOOKUP(A32,DetailCompletude!$C$2:$V$366,17,0),"")</f>
        <v>0.6</v>
      </c>
    </row>
    <row r="33" ht="14.25" customHeight="1">
      <c r="A33" s="142" t="str">
        <f>IFERROR(__xludf.DUMMYFUNCTION("""COMPUTED_VALUE"""),"PORO")</f>
        <v>PORO</v>
      </c>
      <c r="B33" s="143">
        <f>COUNTIFS(DetailCompletude!$C$2:$C$364,CompletudeParRegion!$A33,DetailCompletude!D$2:D$364,"&lt;&gt;NA")</f>
        <v>9</v>
      </c>
      <c r="C33" s="144">
        <f>IFERROR(VLOOKUP(A33,DetailCompletude!$C$2:$V$366,10,0),"")</f>
        <v>1</v>
      </c>
      <c r="D33" s="145">
        <f>COUNTIFS(DetailCompletude!$C$2:$C$364,CompletudeParRegion!$A33,DetailCompletude!E$2:E$364,"&lt;&gt;NA")</f>
        <v>9</v>
      </c>
      <c r="E33" s="146">
        <f>IFERROR(VLOOKUP(A33,DetailCompletude!$C$2:$V$366,11,0),"")</f>
        <v>1</v>
      </c>
      <c r="F33" s="145">
        <f>COUNTIFS(DetailCompletude!$C$2:$C$364,CompletudeParRegion!$A33,DetailCompletude!F$2:F$364,"&lt;&gt;NA")</f>
        <v>5</v>
      </c>
      <c r="G33" s="144">
        <f>IFERROR(VLOOKUP(A33,DetailCompletude!$C$2:$V$366,12,0),"")</f>
        <v>1</v>
      </c>
      <c r="H33" s="145">
        <f>COUNTIFS(DetailCompletude!$C$2:$C$364,CompletudeParRegion!$A33,DetailCompletude!G$2:G$364,"&lt;&gt;NA")</f>
        <v>1</v>
      </c>
      <c r="I33" s="144">
        <f>IFERROR(VLOOKUP(A33,DetailCompletude!$C$2:$V$366,13,0),"")</f>
        <v>1</v>
      </c>
      <c r="J33" s="145">
        <f t="shared" si="1"/>
        <v>24</v>
      </c>
      <c r="K33" s="146">
        <f>IFERROR(VLOOKUP(A33,DetailCompletude!$C$2:$V$366,18,0),"")</f>
        <v>1</v>
      </c>
      <c r="L33" s="145">
        <f>COUNTIFS(DetailCompletude!$C$2:$C$363,CompletudeParRegion!$A33,DetailCompletude!H$2:H$363,"&lt;&gt;NA")</f>
        <v>11</v>
      </c>
      <c r="M33" s="144">
        <f>IFERROR(VLOOKUP(A33,DetailCompletude!$C$2:$V$366,14,0),"")</f>
        <v>0.9090909091</v>
      </c>
      <c r="N33" s="145">
        <f>COUNTIFS(DetailCompletude!$C$2:$C$363,CompletudeParRegion!$A33,DetailCompletude!I$2:I$363,"&lt;&gt;NA")</f>
        <v>11</v>
      </c>
      <c r="O33" s="144">
        <f>IFERROR(VLOOKUP(A33,DetailCompletude!$C$2:$V$366,15,0),"")</f>
        <v>0.8181818182</v>
      </c>
      <c r="P33" s="145">
        <f>COUNTIFS(DetailCompletude!$C$2:$C$363,CompletudeParRegion!$A33,DetailCompletude!J$2:J$363,"&lt;&gt;NA")</f>
        <v>9</v>
      </c>
      <c r="Q33" s="144">
        <f>IFERROR(VLOOKUP(A33,DetailCompletude!$C$2:$V$366,16,0),"")</f>
        <v>0.8888888889</v>
      </c>
      <c r="R33" s="145">
        <f>COUNTIFS(DetailCompletude!$C$2:$C$363,CompletudeParRegion!$A33,DetailCompletude!K$2:K$363,"&lt;&gt;NA")</f>
        <v>4</v>
      </c>
      <c r="S33" s="144">
        <f>IFERROR(VLOOKUP(A33,DetailCompletude!$C$2:$V$366,17,0),"")</f>
        <v>0.75</v>
      </c>
    </row>
    <row r="34" ht="14.25" customHeight="1">
      <c r="A34" s="147" t="str">
        <f>IFERROR(__xludf.DUMMYFUNCTION("""COMPUTED_VALUE"""),"SUD-COMOE")</f>
        <v>SUD-COMOE</v>
      </c>
      <c r="B34" s="148">
        <f>COUNTIFS(DetailCompletude!$C$2:$C$364,CompletudeParRegion!$A34,DetailCompletude!D$2:D$364,"&lt;&gt;NA")</f>
        <v>11</v>
      </c>
      <c r="C34" s="149">
        <f>IFERROR(VLOOKUP(A34,DetailCompletude!$C$2:$V$366,10,0),"")</f>
        <v>1</v>
      </c>
      <c r="D34" s="150">
        <f>COUNTIFS(DetailCompletude!$C$2:$C$364,CompletudeParRegion!$A34,DetailCompletude!E$2:E$364,"&lt;&gt;NA")</f>
        <v>11</v>
      </c>
      <c r="E34" s="151">
        <f>IFERROR(VLOOKUP(A34,DetailCompletude!$C$2:$V$366,11,0),"")</f>
        <v>1</v>
      </c>
      <c r="F34" s="150">
        <f>COUNTIFS(DetailCompletude!$C$2:$C$364,CompletudeParRegion!$A34,DetailCompletude!F$2:F$364,"&lt;&gt;NA")</f>
        <v>8</v>
      </c>
      <c r="G34" s="149">
        <f>IFERROR(VLOOKUP(A34,DetailCompletude!$C$2:$V$366,12,0),"")</f>
        <v>1</v>
      </c>
      <c r="H34" s="150">
        <f>COUNTIFS(DetailCompletude!$C$2:$C$364,CompletudeParRegion!$A34,DetailCompletude!G$2:G$364,"&lt;&gt;NA")</f>
        <v>2</v>
      </c>
      <c r="I34" s="149">
        <f>IFERROR(VLOOKUP(A34,DetailCompletude!$C$2:$V$366,13,0),"")</f>
        <v>1</v>
      </c>
      <c r="J34" s="150">
        <f t="shared" si="1"/>
        <v>32</v>
      </c>
      <c r="K34" s="151">
        <f>IFERROR(VLOOKUP(A34,DetailCompletude!$C$2:$V$366,18,0),"")</f>
        <v>1</v>
      </c>
      <c r="L34" s="150">
        <f>COUNTIFS(DetailCompletude!$C$2:$C$363,CompletudeParRegion!$A34,DetailCompletude!H$2:H$363,"&lt;&gt;NA")</f>
        <v>11</v>
      </c>
      <c r="M34" s="149">
        <f>IFERROR(VLOOKUP(A34,DetailCompletude!$C$2:$V$366,14,0),"")</f>
        <v>1</v>
      </c>
      <c r="N34" s="150">
        <f>COUNTIFS(DetailCompletude!$C$2:$C$363,CompletudeParRegion!$A34,DetailCompletude!I$2:I$363,"&lt;&gt;NA")</f>
        <v>11</v>
      </c>
      <c r="O34" s="149">
        <f>IFERROR(VLOOKUP(A34,DetailCompletude!$C$2:$V$366,15,0),"")</f>
        <v>0.7272727273</v>
      </c>
      <c r="P34" s="150">
        <f>COUNTIFS(DetailCompletude!$C$2:$C$363,CompletudeParRegion!$A34,DetailCompletude!J$2:J$363,"&lt;&gt;NA")</f>
        <v>2</v>
      </c>
      <c r="Q34" s="149">
        <f>IFERROR(VLOOKUP(A34,DetailCompletude!$C$2:$V$366,16,0),"")</f>
        <v>1</v>
      </c>
      <c r="R34" s="150">
        <f>COUNTIFS(DetailCompletude!$C$2:$C$363,CompletudeParRegion!$A34,DetailCompletude!K$2:K$363,"&lt;&gt;NA")</f>
        <v>7</v>
      </c>
      <c r="S34" s="149">
        <f>IFERROR(VLOOKUP(A34,DetailCompletude!$C$2:$V$366,17,0),"")</f>
        <v>1</v>
      </c>
    </row>
    <row r="35" ht="14.25" customHeight="1">
      <c r="A35" s="142" t="str">
        <f>IFERROR(__xludf.DUMMYFUNCTION("""COMPUTED_VALUE"""),"TCHOLOGO")</f>
        <v>TCHOLOGO</v>
      </c>
      <c r="B35" s="143">
        <f>COUNTIFS(DetailCompletude!$C$2:$C$364,CompletudeParRegion!$A35,DetailCompletude!D$2:D$364,"&lt;&gt;NA")</f>
        <v>6</v>
      </c>
      <c r="C35" s="144">
        <f>IFERROR(VLOOKUP(A35,DetailCompletude!$C$2:$V$366,10,0),"")</f>
        <v>0.8333333333</v>
      </c>
      <c r="D35" s="145">
        <f>COUNTIFS(DetailCompletude!$C$2:$C$364,CompletudeParRegion!$A35,DetailCompletude!E$2:E$364,"&lt;&gt;NA")</f>
        <v>6</v>
      </c>
      <c r="E35" s="146">
        <f>IFERROR(VLOOKUP(A35,DetailCompletude!$C$2:$V$366,11,0),"")</f>
        <v>0.8333333333</v>
      </c>
      <c r="F35" s="145">
        <f>COUNTIFS(DetailCompletude!$C$2:$C$364,CompletudeParRegion!$A35,DetailCompletude!F$2:F$364,"&lt;&gt;NA")</f>
        <v>5</v>
      </c>
      <c r="G35" s="144">
        <f>IFERROR(VLOOKUP(A35,DetailCompletude!$C$2:$V$366,12,0),"")</f>
        <v>1</v>
      </c>
      <c r="H35" s="145">
        <f>COUNTIFS(DetailCompletude!$C$2:$C$364,CompletudeParRegion!$A35,DetailCompletude!G$2:G$364,"&lt;&gt;NA")</f>
        <v>1</v>
      </c>
      <c r="I35" s="144">
        <f>IFERROR(VLOOKUP(A35,DetailCompletude!$C$2:$V$366,13,0),"")</f>
        <v>1</v>
      </c>
      <c r="J35" s="145">
        <f t="shared" si="1"/>
        <v>18</v>
      </c>
      <c r="K35" s="146">
        <f>IFERROR(VLOOKUP(A35,DetailCompletude!$C$2:$V$366,18,0),"")</f>
        <v>0.8888888889</v>
      </c>
      <c r="L35" s="145">
        <f>COUNTIFS(DetailCompletude!$C$2:$C$363,CompletudeParRegion!$A35,DetailCompletude!H$2:H$363,"&lt;&gt;NA")</f>
        <v>8</v>
      </c>
      <c r="M35" s="144">
        <f>IFERROR(VLOOKUP(A35,DetailCompletude!$C$2:$V$366,14,0),"")</f>
        <v>0.875</v>
      </c>
      <c r="N35" s="145">
        <f>COUNTIFS(DetailCompletude!$C$2:$C$363,CompletudeParRegion!$A35,DetailCompletude!I$2:I$363,"&lt;&gt;NA")</f>
        <v>8</v>
      </c>
      <c r="O35" s="144">
        <f>IFERROR(VLOOKUP(A35,DetailCompletude!$C$2:$V$366,15,0),"")</f>
        <v>0.75</v>
      </c>
      <c r="P35" s="145">
        <f>COUNTIFS(DetailCompletude!$C$2:$C$363,CompletudeParRegion!$A35,DetailCompletude!J$2:J$363,"&lt;&gt;NA")</f>
        <v>7</v>
      </c>
      <c r="Q35" s="144">
        <f>IFERROR(VLOOKUP(A35,DetailCompletude!$C$2:$V$366,16,0),"")</f>
        <v>0.8571428571</v>
      </c>
      <c r="R35" s="145">
        <f>COUNTIFS(DetailCompletude!$C$2:$C$363,CompletudeParRegion!$A35,DetailCompletude!K$2:K$363,"&lt;&gt;NA")</f>
        <v>5</v>
      </c>
      <c r="S35" s="144">
        <f>IFERROR(VLOOKUP(A35,DetailCompletude!$C$2:$V$366,17,0),"")</f>
        <v>0.8</v>
      </c>
    </row>
    <row r="36" ht="14.25" customHeight="1">
      <c r="A36" s="147" t="str">
        <f>IFERROR(__xludf.DUMMYFUNCTION("""COMPUTED_VALUE"""),"TONKPI")</f>
        <v>TONKPI</v>
      </c>
      <c r="B36" s="148">
        <f>COUNTIFS(DetailCompletude!$C$2:$C$364,CompletudeParRegion!$A36,DetailCompletude!D$2:D$364,"&lt;&gt;NA")</f>
        <v>8</v>
      </c>
      <c r="C36" s="149">
        <f>IFERROR(VLOOKUP(A36,DetailCompletude!$C$2:$V$366,10,0),"")</f>
        <v>1</v>
      </c>
      <c r="D36" s="150">
        <f>COUNTIFS(DetailCompletude!$C$2:$C$364,CompletudeParRegion!$A36,DetailCompletude!E$2:E$364,"&lt;&gt;NA")</f>
        <v>8</v>
      </c>
      <c r="E36" s="151">
        <f>IFERROR(VLOOKUP(A36,DetailCompletude!$C$2:$V$366,11,0),"")</f>
        <v>1</v>
      </c>
      <c r="F36" s="150">
        <f>COUNTIFS(DetailCompletude!$C$2:$C$364,CompletudeParRegion!$A36,DetailCompletude!F$2:F$364,"&lt;&gt;NA")</f>
        <v>6</v>
      </c>
      <c r="G36" s="149">
        <f>IFERROR(VLOOKUP(A36,DetailCompletude!$C$2:$V$366,12,0),"")</f>
        <v>1</v>
      </c>
      <c r="H36" s="150">
        <f>COUNTIFS(DetailCompletude!$C$2:$C$364,CompletudeParRegion!$A36,DetailCompletude!G$2:G$364,"&lt;&gt;NA")</f>
        <v>2</v>
      </c>
      <c r="I36" s="149">
        <f>IFERROR(VLOOKUP(A36,DetailCompletude!$C$2:$V$366,13,0),"")</f>
        <v>1</v>
      </c>
      <c r="J36" s="150">
        <f t="shared" si="1"/>
        <v>24</v>
      </c>
      <c r="K36" s="151">
        <f>IFERROR(VLOOKUP(A36,DetailCompletude!$C$2:$V$366,18,0),"")</f>
        <v>1</v>
      </c>
      <c r="L36" s="150">
        <f>COUNTIFS(DetailCompletude!$C$2:$C$363,CompletudeParRegion!$A36,DetailCompletude!H$2:H$363,"&lt;&gt;NA")</f>
        <v>8</v>
      </c>
      <c r="M36" s="149">
        <f>IFERROR(VLOOKUP(A36,DetailCompletude!$C$2:$V$366,14,0),"")</f>
        <v>1</v>
      </c>
      <c r="N36" s="150">
        <f>COUNTIFS(DetailCompletude!$C$2:$C$363,CompletudeParRegion!$A36,DetailCompletude!I$2:I$363,"&lt;&gt;NA")</f>
        <v>8</v>
      </c>
      <c r="O36" s="149">
        <f>IFERROR(VLOOKUP(A36,DetailCompletude!$C$2:$V$366,15,0),"")</f>
        <v>0.875</v>
      </c>
      <c r="P36" s="150">
        <f>COUNTIFS(DetailCompletude!$C$2:$C$363,CompletudeParRegion!$A36,DetailCompletude!J$2:J$363,"&lt;&gt;NA")</f>
        <v>8</v>
      </c>
      <c r="Q36" s="149">
        <f>IFERROR(VLOOKUP(A36,DetailCompletude!$C$2:$V$366,16,0),"")</f>
        <v>0.875</v>
      </c>
      <c r="R36" s="150">
        <f>COUNTIFS(DetailCompletude!$C$2:$C$363,CompletudeParRegion!$A36,DetailCompletude!K$2:K$363,"&lt;&gt;NA")</f>
        <v>8</v>
      </c>
      <c r="S36" s="149">
        <f>IFERROR(VLOOKUP(A36,DetailCompletude!$C$2:$V$366,17,0),"")</f>
        <v>0.75</v>
      </c>
    </row>
    <row r="37" ht="14.25" customHeight="1">
      <c r="A37" s="142" t="str">
        <f>IFERROR(__xludf.DUMMYFUNCTION("""COMPUTED_VALUE"""),"WORODOUGOU")</f>
        <v>WORODOUGOU</v>
      </c>
      <c r="B37" s="143">
        <f>COUNTIFS(DetailCompletude!$C$2:$C$364,CompletudeParRegion!$A37,DetailCompletude!D$2:D$364,"&lt;&gt;NA")</f>
        <v>4</v>
      </c>
      <c r="C37" s="144">
        <f>IFERROR(VLOOKUP(A37,DetailCompletude!$C$2:$V$366,10,0),"")</f>
        <v>1</v>
      </c>
      <c r="D37" s="145">
        <f>COUNTIFS(DetailCompletude!$C$2:$C$364,CompletudeParRegion!$A37,DetailCompletude!E$2:E$364,"&lt;&gt;NA")</f>
        <v>4</v>
      </c>
      <c r="E37" s="146">
        <f>IFERROR(VLOOKUP(A37,DetailCompletude!$C$2:$V$366,11,0),"")</f>
        <v>1</v>
      </c>
      <c r="F37" s="145">
        <f>COUNTIFS(DetailCompletude!$C$2:$C$364,CompletudeParRegion!$A37,DetailCompletude!F$2:F$364,"&lt;&gt;NA")</f>
        <v>2</v>
      </c>
      <c r="G37" s="144">
        <f>IFERROR(VLOOKUP(A37,DetailCompletude!$C$2:$V$366,12,0),"")</f>
        <v>1</v>
      </c>
      <c r="H37" s="145">
        <f>COUNTIFS(DetailCompletude!$C$2:$C$364,CompletudeParRegion!$A37,DetailCompletude!G$2:G$364,"&lt;&gt;NA")</f>
        <v>1</v>
      </c>
      <c r="I37" s="144">
        <f>IFERROR(VLOOKUP(A37,DetailCompletude!$C$2:$V$366,13,0),"")</f>
        <v>1</v>
      </c>
      <c r="J37" s="145">
        <f t="shared" si="1"/>
        <v>11</v>
      </c>
      <c r="K37" s="146">
        <f>IFERROR(VLOOKUP(A37,DetailCompletude!$C$2:$V$366,18,0),"")</f>
        <v>1</v>
      </c>
      <c r="L37" s="145">
        <f>COUNTIFS(DetailCompletude!$C$2:$C$363,CompletudeParRegion!$A37,DetailCompletude!H$2:H$363,"&lt;&gt;NA")</f>
        <v>4</v>
      </c>
      <c r="M37" s="144">
        <f>IFERROR(VLOOKUP(A37,DetailCompletude!$C$2:$V$366,14,0),"")</f>
        <v>1</v>
      </c>
      <c r="N37" s="145">
        <f>COUNTIFS(DetailCompletude!$C$2:$C$363,CompletudeParRegion!$A37,DetailCompletude!I$2:I$363,"&lt;&gt;NA")</f>
        <v>4</v>
      </c>
      <c r="O37" s="144">
        <f>IFERROR(VLOOKUP(A37,DetailCompletude!$C$2:$V$366,15,0),"")</f>
        <v>1</v>
      </c>
      <c r="P37" s="145">
        <f>COUNTIFS(DetailCompletude!$C$2:$C$363,CompletudeParRegion!$A37,DetailCompletude!J$2:J$363,"&lt;&gt;NA")</f>
        <v>2</v>
      </c>
      <c r="Q37" s="144">
        <f>IFERROR(VLOOKUP(A37,DetailCompletude!$C$2:$V$366,16,0),"")</f>
        <v>1</v>
      </c>
      <c r="R37" s="145">
        <f>COUNTIFS(DetailCompletude!$C$2:$C$363,CompletudeParRegion!$A37,DetailCompletude!K$2:K$363,"&lt;&gt;NA")</f>
        <v>1</v>
      </c>
      <c r="S37" s="144">
        <f>IFERROR(VLOOKUP(A37,DetailCompletude!$C$2:$V$366,17,0),"")</f>
        <v>1</v>
      </c>
    </row>
    <row r="38" ht="14.25" customHeight="1">
      <c r="A38" s="152" t="s">
        <v>887</v>
      </c>
      <c r="B38" s="153">
        <f>SUM(B5:B37)</f>
        <v>266</v>
      </c>
      <c r="C38" s="154">
        <f>DetailCompletude!D365</f>
        <v>0.9436090226</v>
      </c>
      <c r="D38" s="155">
        <f>SUM(D5:D37)</f>
        <v>267</v>
      </c>
      <c r="E38" s="156">
        <f>DetailCompletude!E365</f>
        <v>0.9438202247</v>
      </c>
      <c r="F38" s="157">
        <f>SUM(F5:F37)</f>
        <v>195</v>
      </c>
      <c r="G38" s="158">
        <f>DetailCompletude!F365</f>
        <v>0.9384615385</v>
      </c>
      <c r="H38" s="159">
        <f>SUM(H5:H37)</f>
        <v>67</v>
      </c>
      <c r="I38" s="160">
        <f>DetailCompletude!G365</f>
        <v>0.8955223881</v>
      </c>
      <c r="J38" s="161">
        <f>SUM(J5:J37)</f>
        <v>795</v>
      </c>
      <c r="K38" s="162">
        <f>SUM(DetailCompletude!$D$2:$G$363)/J38</f>
        <v>0.9383647799</v>
      </c>
      <c r="L38" s="157">
        <f>SUM(L5:L37)</f>
        <v>299</v>
      </c>
      <c r="M38" s="158">
        <f>DetailCompletude!H365</f>
        <v>0.9197324415</v>
      </c>
      <c r="N38" s="157">
        <f>SUM(N5:N37)</f>
        <v>295</v>
      </c>
      <c r="O38" s="158">
        <f>DetailCompletude!I365</f>
        <v>0.8474576271</v>
      </c>
      <c r="P38" s="157">
        <f>SUM(P5:P37)</f>
        <v>134</v>
      </c>
      <c r="Q38" s="158">
        <f>DetailCompletude!J365</f>
        <v>0.9179104478</v>
      </c>
      <c r="R38" s="159">
        <f>SUM(R5:R37)</f>
        <v>199</v>
      </c>
      <c r="S38" s="160">
        <f>DetailCompletude!K365</f>
        <v>0.795</v>
      </c>
    </row>
    <row r="39" ht="36.75" customHeight="1">
      <c r="A39" s="115"/>
      <c r="B39" s="163">
        <f>DetailCompletude!D366</f>
        <v>0.901334881</v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8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AK$39"/>
  <mergeCells count="11">
    <mergeCell ref="N3:O3"/>
    <mergeCell ref="P3:Q3"/>
    <mergeCell ref="R3:S3"/>
    <mergeCell ref="B39:S39"/>
    <mergeCell ref="B1:S1"/>
    <mergeCell ref="B3:C3"/>
    <mergeCell ref="D3:E3"/>
    <mergeCell ref="F3:G3"/>
    <mergeCell ref="H3:I3"/>
    <mergeCell ref="J3:K3"/>
    <mergeCell ref="L3:M3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000"/>
    <pageSetUpPr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0.29"/>
    <col customWidth="1" min="2" max="2" width="10.43"/>
    <col customWidth="1" min="3" max="3" width="13.86"/>
    <col customWidth="1" min="4" max="4" width="9.71"/>
    <col customWidth="1" min="5" max="5" width="13.86"/>
    <col customWidth="1" min="6" max="6" width="9.71"/>
    <col customWidth="1" min="7" max="9" width="13.86"/>
    <col customWidth="1" min="10" max="10" width="9.71"/>
    <col customWidth="1" min="11" max="11" width="13.86"/>
    <col customWidth="1" min="12" max="12" width="9.71"/>
    <col customWidth="1" min="13" max="13" width="13.86"/>
    <col customWidth="1" min="14" max="14" width="9.71"/>
    <col customWidth="1" min="15" max="15" width="13.86"/>
    <col customWidth="1" min="16" max="16" width="9.71"/>
    <col customWidth="1" min="17" max="17" width="13.86"/>
    <col customWidth="1" min="18" max="18" width="9.71"/>
    <col customWidth="1" min="19" max="19" width="13.86"/>
    <col customWidth="1" min="20" max="26" width="11.43"/>
  </cols>
  <sheetData>
    <row r="1" ht="14.25" customHeight="1">
      <c r="B1" s="164" t="s">
        <v>888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8"/>
    </row>
    <row r="2" ht="7.5" customHeight="1"/>
    <row r="3" ht="14.25" customHeight="1">
      <c r="A3" s="165" t="s">
        <v>791</v>
      </c>
      <c r="B3" s="166" t="s">
        <v>792</v>
      </c>
      <c r="C3" s="167"/>
      <c r="D3" s="166" t="s">
        <v>793</v>
      </c>
      <c r="E3" s="167"/>
      <c r="F3" s="166" t="s">
        <v>794</v>
      </c>
      <c r="G3" s="167"/>
      <c r="H3" s="166" t="s">
        <v>884</v>
      </c>
      <c r="I3" s="167"/>
      <c r="J3" s="166" t="s">
        <v>796</v>
      </c>
      <c r="K3" s="167"/>
      <c r="L3" s="166" t="s">
        <v>797</v>
      </c>
      <c r="M3" s="167"/>
      <c r="N3" s="166" t="s">
        <v>798</v>
      </c>
      <c r="O3" s="167"/>
      <c r="P3" s="166" t="s">
        <v>799</v>
      </c>
      <c r="Q3" s="167"/>
      <c r="R3" s="166" t="s">
        <v>803</v>
      </c>
      <c r="S3" s="167"/>
    </row>
    <row r="4" ht="14.25" customHeight="1">
      <c r="A4" s="168"/>
      <c r="B4" s="169" t="s">
        <v>885</v>
      </c>
      <c r="C4" s="169" t="s">
        <v>889</v>
      </c>
      <c r="D4" s="169" t="s">
        <v>885</v>
      </c>
      <c r="E4" s="169" t="s">
        <v>889</v>
      </c>
      <c r="F4" s="169" t="s">
        <v>885</v>
      </c>
      <c r="G4" s="169" t="s">
        <v>889</v>
      </c>
      <c r="H4" s="169" t="s">
        <v>885</v>
      </c>
      <c r="I4" s="169" t="s">
        <v>889</v>
      </c>
      <c r="J4" s="169" t="s">
        <v>885</v>
      </c>
      <c r="K4" s="169" t="s">
        <v>889</v>
      </c>
      <c r="L4" s="169" t="s">
        <v>885</v>
      </c>
      <c r="M4" s="169" t="s">
        <v>889</v>
      </c>
      <c r="N4" s="169" t="s">
        <v>885</v>
      </c>
      <c r="O4" s="169" t="s">
        <v>889</v>
      </c>
      <c r="P4" s="169" t="s">
        <v>885</v>
      </c>
      <c r="Q4" s="169" t="s">
        <v>889</v>
      </c>
      <c r="R4" s="169" t="s">
        <v>885</v>
      </c>
      <c r="S4" s="169" t="s">
        <v>889</v>
      </c>
    </row>
    <row r="5" ht="14.25" customHeight="1">
      <c r="A5" s="147" t="str">
        <f>IFERROR(__xludf.DUMMYFUNCTION("ARRAY_CONSTRAIN(ARRAYFORMULA(UNIQUE(SiteAttendu!C2:$C$364)), 33, 1)"),"ABIDJAN 1")</f>
        <v>ABIDJAN 1</v>
      </c>
      <c r="B5" s="170">
        <f>COUNTIFS(DetailPromptitude!$C$2:$C$363,PromptitudeParRegion!$A5,DetailPromptitude!D$2:D$363,"&lt;&gt;NA")</f>
        <v>24</v>
      </c>
      <c r="C5" s="171">
        <f>IFERROR(VLOOKUP(A5,DetailPromptitude!$C$2:$T$366,10,0),"")</f>
        <v>0.8333333333</v>
      </c>
      <c r="D5" s="170">
        <f>COUNTIFS(DetailPromptitude!$C$2:$C$363,PromptitudeParRegion!$A5,DetailPromptitude!E$2:E$363,"&lt;&gt;NA")</f>
        <v>24</v>
      </c>
      <c r="E5" s="171">
        <f>IFERROR(VLOOKUP(A5,DetailPromptitude!C2:$T$366,11,0),"")</f>
        <v>0.8333333333</v>
      </c>
      <c r="F5" s="170">
        <f>COUNTIFS(DetailPromptitude!$C$2:$C$363,PromptitudeParRegion!$A5,DetailPromptitude!F$2:F$363,"&lt;&gt;NA")</f>
        <v>18</v>
      </c>
      <c r="G5" s="171">
        <f>IFERROR(VLOOKUP(A5,DetailPromptitude!$C$2:$T$366,12,0),"")</f>
        <v>0.7222222222</v>
      </c>
      <c r="H5" s="170">
        <f>COUNTIFS(DetailPromptitude!$C$2:$C$363,PromptitudeParRegion!$A5,DetailPromptitude!G$2:G$363,"&lt;&gt;NA")</f>
        <v>9</v>
      </c>
      <c r="I5" s="171">
        <f>IFERROR(VLOOKUP(A5,DetailPromptitude!$C$2:$T$366,13,0),"")</f>
        <v>0.5555555556</v>
      </c>
      <c r="J5" s="170">
        <f t="shared" ref="J5:J37" si="1">SUM(B5,D5,F5,H5)</f>
        <v>75</v>
      </c>
      <c r="K5" s="171">
        <f>IFERROR(VLOOKUP(A5,DetailPromptitude!$C$2:$T$366,18,0),"")</f>
        <v>0.7733333333</v>
      </c>
      <c r="L5" s="170">
        <f>COUNTIFS(DetailPromptitude!$C$2:$C$363,PromptitudeParRegion!$A5,DetailPromptitude!H$2:H$363,"&lt;&gt;NA")</f>
        <v>28</v>
      </c>
      <c r="M5" s="171">
        <f>IFERROR(VLOOKUP(A5,DetailPromptitude!$C$2:$T$366,14,0),"")</f>
        <v>0.6785714286</v>
      </c>
      <c r="N5" s="170">
        <f>COUNTIFS(DetailPromptitude!$C$2:$C$363,PromptitudeParRegion!$A5,DetailPromptitude!I$2:I$363,"&lt;&gt;NA")</f>
        <v>23</v>
      </c>
      <c r="O5" s="171">
        <f>IFERROR(VLOOKUP(A5,DetailPromptitude!$C$2:$T$366,15,0),"")</f>
        <v>0.6086956522</v>
      </c>
      <c r="P5" s="170">
        <f>COUNTIFS(DetailPromptitude!$C$2:$C$363,PromptitudeParRegion!$A5,DetailPromptitude!J$2:J$363,"&lt;&gt;NA")</f>
        <v>6</v>
      </c>
      <c r="Q5" s="171">
        <f>IFERROR(VLOOKUP(A5,DetailPromptitude!$C$2:$T$366,16,0),"")</f>
        <v>1</v>
      </c>
      <c r="R5" s="170">
        <f>COUNTIFS(DetailPromptitude!$C$2:$C$363,PromptitudeParRegion!$A5,DetailPromptitude!K$2:K$363,"&lt;&gt;NA")</f>
        <v>13</v>
      </c>
      <c r="S5" s="171">
        <f>IFERROR(VLOOKUP(A5,DetailPromptitude!$C$2:$T$366,17,0),"")</f>
        <v>0.6153846154</v>
      </c>
    </row>
    <row r="6" ht="14.25" customHeight="1">
      <c r="A6" s="172" t="str">
        <f>IFERROR(__xludf.DUMMYFUNCTION("""COMPUTED_VALUE"""),"ABIDJAN 2")</f>
        <v>ABIDJAN 2</v>
      </c>
      <c r="B6" s="173">
        <f>COUNTIFS(DetailPromptitude!$C$2:$C$363,PromptitudeParRegion!$A6,DetailPromptitude!D$2:D$363,"&lt;&gt;NA")</f>
        <v>26</v>
      </c>
      <c r="C6" s="174">
        <f>IFERROR(VLOOKUP(A6,DetailPromptitude!$C$2:$T$366,10,0),"")</f>
        <v>0.6923076923</v>
      </c>
      <c r="D6" s="173">
        <f>COUNTIFS(DetailPromptitude!$C$2:$C$363,PromptitudeParRegion!$A6,DetailPromptitude!E$2:E$363,"&lt;&gt;NA")</f>
        <v>27</v>
      </c>
      <c r="E6" s="174">
        <f>IFERROR(VLOOKUP(A6,DetailPromptitude!C3:$T$366,11,0),"")</f>
        <v>0.6666666667</v>
      </c>
      <c r="F6" s="173">
        <f>COUNTIFS(DetailPromptitude!$C$2:$C$363,PromptitudeParRegion!$A6,DetailPromptitude!F$2:F$363,"&lt;&gt;NA")</f>
        <v>22</v>
      </c>
      <c r="G6" s="174">
        <f>IFERROR(VLOOKUP(A6,DetailPromptitude!$C$2:$T$366,12,0),"")</f>
        <v>0.6818181818</v>
      </c>
      <c r="H6" s="173">
        <f>COUNTIFS(DetailPromptitude!$C$2:$C$363,PromptitudeParRegion!$A6,DetailPromptitude!G$2:G$363,"&lt;&gt;NA")</f>
        <v>13</v>
      </c>
      <c r="I6" s="174">
        <f>IFERROR(VLOOKUP(A6,DetailPromptitude!$C$2:$T$366,13,0),"")</f>
        <v>0.5384615385</v>
      </c>
      <c r="J6" s="173">
        <f t="shared" si="1"/>
        <v>88</v>
      </c>
      <c r="K6" s="174">
        <f>IFERROR(VLOOKUP(A6,DetailPromptitude!$C$2:$T$366,18,0),"")</f>
        <v>0.6590909091</v>
      </c>
      <c r="L6" s="173">
        <f>COUNTIFS(DetailPromptitude!$C$2:$C$363,PromptitudeParRegion!$A6,DetailPromptitude!H$2:H$363,"&lt;&gt;NA")</f>
        <v>41</v>
      </c>
      <c r="M6" s="174">
        <f>IFERROR(VLOOKUP(A6,DetailPromptitude!$C$2:$T$366,14,0),"")</f>
        <v>0.7804878049</v>
      </c>
      <c r="N6" s="173">
        <f>COUNTIFS(DetailPromptitude!$C$2:$C$363,PromptitudeParRegion!$A6,DetailPromptitude!I$2:I$363,"&lt;&gt;NA")</f>
        <v>35</v>
      </c>
      <c r="O6" s="174">
        <f>IFERROR(VLOOKUP(A6,DetailPromptitude!$C$2:$T$366,15,0),"")</f>
        <v>0.8</v>
      </c>
      <c r="P6" s="173">
        <f>COUNTIFS(DetailPromptitude!$C$2:$C$363,PromptitudeParRegion!$A6,DetailPromptitude!J$2:J$363,"&lt;&gt;NA")</f>
        <v>8</v>
      </c>
      <c r="Q6" s="174">
        <f>IFERROR(VLOOKUP(A6,DetailPromptitude!$C$2:$T$366,16,0),"")</f>
        <v>0.625</v>
      </c>
      <c r="R6" s="173">
        <f>COUNTIFS(DetailPromptitude!$C$2:$C$363,PromptitudeParRegion!$A6,DetailPromptitude!K$2:K$363,"&lt;&gt;NA")</f>
        <v>19</v>
      </c>
      <c r="S6" s="174">
        <f>IFERROR(VLOOKUP(A6,DetailPromptitude!$C$2:$T$366,17,0),"")</f>
        <v>0.6842105263</v>
      </c>
    </row>
    <row r="7" ht="14.25" customHeight="1">
      <c r="A7" s="147" t="str">
        <f>IFERROR(__xludf.DUMMYFUNCTION("""COMPUTED_VALUE"""),"AGNEBY-TIASSA")</f>
        <v>AGNEBY-TIASSA</v>
      </c>
      <c r="B7" s="170">
        <f>COUNTIFS(DetailPromptitude!$C$2:$C$363,PromptitudeParRegion!$A7,DetailPromptitude!D$2:D$363,"&lt;&gt;NA")</f>
        <v>9</v>
      </c>
      <c r="C7" s="171">
        <f>IFERROR(VLOOKUP(A7,DetailPromptitude!$C$2:$T$366,10,0),"")</f>
        <v>0.8888888889</v>
      </c>
      <c r="D7" s="170">
        <f>COUNTIFS(DetailPromptitude!$C$2:$C$363,PromptitudeParRegion!$A7,DetailPromptitude!E$2:E$363,"&lt;&gt;NA")</f>
        <v>9</v>
      </c>
      <c r="E7" s="171">
        <f>IFERROR(VLOOKUP(A7,DetailPromptitude!C4:$T$366,11,0),"")</f>
        <v>0.8888888889</v>
      </c>
      <c r="F7" s="170">
        <f>COUNTIFS(DetailPromptitude!$C$2:$C$363,PromptitudeParRegion!$A7,DetailPromptitude!F$2:F$363,"&lt;&gt;NA")</f>
        <v>8</v>
      </c>
      <c r="G7" s="171">
        <f>IFERROR(VLOOKUP(A7,DetailPromptitude!$C$2:$T$366,12,0),"")</f>
        <v>0.875</v>
      </c>
      <c r="H7" s="170">
        <f>COUNTIFS(DetailPromptitude!$C$2:$C$363,PromptitudeParRegion!$A7,DetailPromptitude!G$2:G$363,"&lt;&gt;NA")</f>
        <v>1</v>
      </c>
      <c r="I7" s="171">
        <f>IFERROR(VLOOKUP(A7,DetailPromptitude!$C$2:$T$366,13,0),"")</f>
        <v>1</v>
      </c>
      <c r="J7" s="170">
        <f t="shared" si="1"/>
        <v>27</v>
      </c>
      <c r="K7" s="171">
        <f>IFERROR(VLOOKUP(A7,DetailPromptitude!$C$2:$T$366,18,0),"")</f>
        <v>0.8888888889</v>
      </c>
      <c r="L7" s="170">
        <f>COUNTIFS(DetailPromptitude!$C$2:$C$363,PromptitudeParRegion!$A7,DetailPromptitude!H$2:H$363,"&lt;&gt;NA")</f>
        <v>9</v>
      </c>
      <c r="M7" s="171">
        <f>IFERROR(VLOOKUP(A7,DetailPromptitude!$C$2:$T$366,14,0),"")</f>
        <v>0.8888888889</v>
      </c>
      <c r="N7" s="170">
        <f>COUNTIFS(DetailPromptitude!$C$2:$C$363,PromptitudeParRegion!$A7,DetailPromptitude!I$2:I$363,"&lt;&gt;NA")</f>
        <v>9</v>
      </c>
      <c r="O7" s="171">
        <f>IFERROR(VLOOKUP(A7,DetailPromptitude!$C$2:$T$366,15,0),"")</f>
        <v>0.3333333333</v>
      </c>
      <c r="P7" s="170">
        <f>COUNTIFS(DetailPromptitude!$C$2:$C$363,PromptitudeParRegion!$A7,DetailPromptitude!J$2:J$363,"&lt;&gt;NA")</f>
        <v>0</v>
      </c>
      <c r="Q7" s="171" t="str">
        <f>IFERROR(VLOOKUP(A7,DetailPromptitude!$C$2:$T$366,16,0),"")</f>
        <v/>
      </c>
      <c r="R7" s="170">
        <f>COUNTIFS(DetailPromptitude!$C$2:$C$363,PromptitudeParRegion!$A7,DetailPromptitude!K$2:K$363,"&lt;&gt;NA")</f>
        <v>4</v>
      </c>
      <c r="S7" s="171">
        <f>IFERROR(VLOOKUP(A7,DetailPromptitude!$C$2:$T$366,17,0),"")</f>
        <v>0.75</v>
      </c>
    </row>
    <row r="8" ht="14.25" customHeight="1">
      <c r="A8" s="172" t="str">
        <f>IFERROR(__xludf.DUMMYFUNCTION("""COMPUTED_VALUE"""),"BAFING")</f>
        <v>BAFING</v>
      </c>
      <c r="B8" s="173">
        <f>COUNTIFS(DetailPromptitude!$C$2:$C$363,PromptitudeParRegion!$A8,DetailPromptitude!D$2:D$363,"&lt;&gt;NA")</f>
        <v>6</v>
      </c>
      <c r="C8" s="174">
        <f>IFERROR(VLOOKUP(A8,DetailPromptitude!$C$2:$T$366,10,0),"")</f>
        <v>0.6666666667</v>
      </c>
      <c r="D8" s="173">
        <f>COUNTIFS(DetailPromptitude!$C$2:$C$363,PromptitudeParRegion!$A8,DetailPromptitude!E$2:E$363,"&lt;&gt;NA")</f>
        <v>6</v>
      </c>
      <c r="E8" s="174">
        <f>IFERROR(VLOOKUP(A8,DetailPromptitude!C5:$T$366,11,0),"")</f>
        <v>0.6666666667</v>
      </c>
      <c r="F8" s="173">
        <f>COUNTIFS(DetailPromptitude!$C$2:$C$363,PromptitudeParRegion!$A8,DetailPromptitude!F$2:F$363,"&lt;&gt;NA")</f>
        <v>1</v>
      </c>
      <c r="G8" s="174">
        <f>IFERROR(VLOOKUP(A8,DetailPromptitude!$C$2:$T$366,12,0),"")</f>
        <v>0</v>
      </c>
      <c r="H8" s="173">
        <f>COUNTIFS(DetailPromptitude!$C$2:$C$363,PromptitudeParRegion!$A8,DetailPromptitude!G$2:G$363,"&lt;&gt;NA")</f>
        <v>0</v>
      </c>
      <c r="I8" s="174" t="str">
        <f>IFERROR(VLOOKUP(A8,DetailPromptitude!$C$2:$T$366,13,0),"")</f>
        <v/>
      </c>
      <c r="J8" s="173">
        <f t="shared" si="1"/>
        <v>13</v>
      </c>
      <c r="K8" s="174">
        <f>IFERROR(VLOOKUP(A8,DetailPromptitude!$C$2:$T$366,18,0),"")</f>
        <v>0.6153846154</v>
      </c>
      <c r="L8" s="173">
        <f>COUNTIFS(DetailPromptitude!$C$2:$C$363,PromptitudeParRegion!$A8,DetailPromptitude!H$2:H$363,"&lt;&gt;NA")</f>
        <v>6</v>
      </c>
      <c r="M8" s="174">
        <f>IFERROR(VLOOKUP(A8,DetailPromptitude!$C$2:$T$366,14,0),"")</f>
        <v>0.6666666667</v>
      </c>
      <c r="N8" s="173">
        <f>COUNTIFS(DetailPromptitude!$C$2:$C$363,PromptitudeParRegion!$A8,DetailPromptitude!I$2:I$363,"&lt;&gt;NA")</f>
        <v>6</v>
      </c>
      <c r="O8" s="174">
        <f>IFERROR(VLOOKUP(A8,DetailPromptitude!$C$2:$T$366,15,0),"")</f>
        <v>0.6666666667</v>
      </c>
      <c r="P8" s="173">
        <f>COUNTIFS(DetailPromptitude!$C$2:$C$363,PromptitudeParRegion!$A8,DetailPromptitude!J$2:J$363,"&lt;&gt;NA")</f>
        <v>5</v>
      </c>
      <c r="Q8" s="174">
        <f>IFERROR(VLOOKUP(A8,DetailPromptitude!$C$2:$T$366,16,0),"")</f>
        <v>0.8</v>
      </c>
      <c r="R8" s="173">
        <f>COUNTIFS(DetailPromptitude!$C$2:$C$363,PromptitudeParRegion!$A8,DetailPromptitude!K$2:K$363,"&lt;&gt;NA")</f>
        <v>5</v>
      </c>
      <c r="S8" s="174">
        <f>IFERROR(VLOOKUP(A8,DetailPromptitude!$C$2:$T$366,17,0),"")</f>
        <v>0.4</v>
      </c>
    </row>
    <row r="9" ht="14.25" customHeight="1">
      <c r="A9" s="147" t="str">
        <f>IFERROR(__xludf.DUMMYFUNCTION("""COMPUTED_VALUE"""),"BAGOUE")</f>
        <v>BAGOUE</v>
      </c>
      <c r="B9" s="170">
        <f>COUNTIFS(DetailPromptitude!$C$2:$C$363,PromptitudeParRegion!$A9,DetailPromptitude!D$2:D$363,"&lt;&gt;NA")</f>
        <v>6</v>
      </c>
      <c r="C9" s="171">
        <f>IFERROR(VLOOKUP(A9,DetailPromptitude!$C$2:$T$366,10,0),"")</f>
        <v>0.8333333333</v>
      </c>
      <c r="D9" s="170">
        <f>COUNTIFS(DetailPromptitude!$C$2:$C$363,PromptitudeParRegion!$A9,DetailPromptitude!E$2:E$363,"&lt;&gt;NA")</f>
        <v>6</v>
      </c>
      <c r="E9" s="171">
        <f>IFERROR(VLOOKUP(A9,DetailPromptitude!C6:$T$366,11,0),"")</f>
        <v>0.8333333333</v>
      </c>
      <c r="F9" s="170">
        <f>COUNTIFS(DetailPromptitude!$C$2:$C$363,PromptitudeParRegion!$A9,DetailPromptitude!F$2:F$363,"&lt;&gt;NA")</f>
        <v>5</v>
      </c>
      <c r="G9" s="171">
        <f>IFERROR(VLOOKUP(A9,DetailPromptitude!$C$2:$T$366,12,0),"")</f>
        <v>0.6</v>
      </c>
      <c r="H9" s="170">
        <f>COUNTIFS(DetailPromptitude!$C$2:$C$363,PromptitudeParRegion!$A9,DetailPromptitude!G$2:G$363,"&lt;&gt;NA")</f>
        <v>0</v>
      </c>
      <c r="I9" s="171" t="str">
        <f>IFERROR(VLOOKUP(A9,DetailPromptitude!$C$2:$T$366,13,0),"")</f>
        <v/>
      </c>
      <c r="J9" s="170">
        <f t="shared" si="1"/>
        <v>17</v>
      </c>
      <c r="K9" s="171">
        <f>IFERROR(VLOOKUP(A9,DetailPromptitude!$C$2:$T$366,18,0),"")</f>
        <v>0.7647058824</v>
      </c>
      <c r="L9" s="170">
        <f>COUNTIFS(DetailPromptitude!$C$2:$C$363,PromptitudeParRegion!$A9,DetailPromptitude!H$2:H$363,"&lt;&gt;NA")</f>
        <v>7</v>
      </c>
      <c r="M9" s="171">
        <f>IFERROR(VLOOKUP(A9,DetailPromptitude!$C$2:$T$366,14,0),"")</f>
        <v>0.8571428571</v>
      </c>
      <c r="N9" s="170">
        <f>COUNTIFS(DetailPromptitude!$C$2:$C$363,PromptitudeParRegion!$A9,DetailPromptitude!I$2:I$363,"&lt;&gt;NA")</f>
        <v>7</v>
      </c>
      <c r="O9" s="171">
        <f>IFERROR(VLOOKUP(A9,DetailPromptitude!$C$2:$T$366,15,0),"")</f>
        <v>0.8571428571</v>
      </c>
      <c r="P9" s="170">
        <f>COUNTIFS(DetailPromptitude!$C$2:$C$363,PromptitudeParRegion!$A9,DetailPromptitude!J$2:J$363,"&lt;&gt;NA")</f>
        <v>5</v>
      </c>
      <c r="Q9" s="171">
        <f>IFERROR(VLOOKUP(A9,DetailPromptitude!$C$2:$T$366,16,0),"")</f>
        <v>0.8</v>
      </c>
      <c r="R9" s="170">
        <f>COUNTIFS(DetailPromptitude!$C$2:$C$363,PromptitudeParRegion!$A9,DetailPromptitude!K$2:K$363,"&lt;&gt;NA")</f>
        <v>5</v>
      </c>
      <c r="S9" s="171">
        <f>IFERROR(VLOOKUP(A9,DetailPromptitude!$C$2:$T$366,17,0),"")</f>
        <v>0.2</v>
      </c>
    </row>
    <row r="10" ht="14.25" customHeight="1">
      <c r="A10" s="172" t="str">
        <f>IFERROR(__xludf.DUMMYFUNCTION("""COMPUTED_VALUE"""),"BELIER")</f>
        <v>BELIER</v>
      </c>
      <c r="B10" s="173">
        <f>COUNTIFS(DetailPromptitude!$C$2:$C$363,PromptitudeParRegion!$A10,DetailPromptitude!D$2:D$363,"&lt;&gt;NA")</f>
        <v>9</v>
      </c>
      <c r="C10" s="174">
        <f>IFERROR(VLOOKUP(A10,DetailPromptitude!$C$2:$T$366,10,0),"")</f>
        <v>1</v>
      </c>
      <c r="D10" s="173">
        <f>COUNTIFS(DetailPromptitude!$C$2:$C$363,PromptitudeParRegion!$A10,DetailPromptitude!E$2:E$363,"&lt;&gt;NA")</f>
        <v>9</v>
      </c>
      <c r="E10" s="174">
        <f>IFERROR(VLOOKUP(A10,DetailPromptitude!C7:$T$366,11,0),"")</f>
        <v>1</v>
      </c>
      <c r="F10" s="173">
        <f>COUNTIFS(DetailPromptitude!$C$2:$C$363,PromptitudeParRegion!$A10,DetailPromptitude!F$2:F$363,"&lt;&gt;NA")</f>
        <v>7</v>
      </c>
      <c r="G10" s="174">
        <f>IFERROR(VLOOKUP(A10,DetailPromptitude!$C$2:$T$366,12,0),"")</f>
        <v>1</v>
      </c>
      <c r="H10" s="173">
        <f>COUNTIFS(DetailPromptitude!$C$2:$C$363,PromptitudeParRegion!$A10,DetailPromptitude!G$2:G$363,"&lt;&gt;NA")</f>
        <v>2</v>
      </c>
      <c r="I10" s="174">
        <f>IFERROR(VLOOKUP(A10,DetailPromptitude!$C$2:$T$366,13,0),"")</f>
        <v>1</v>
      </c>
      <c r="J10" s="173">
        <f t="shared" si="1"/>
        <v>27</v>
      </c>
      <c r="K10" s="174">
        <f>IFERROR(VLOOKUP(A10,DetailPromptitude!$C$2:$T$366,18,0),"")</f>
        <v>1</v>
      </c>
      <c r="L10" s="173">
        <f>COUNTIFS(DetailPromptitude!$C$2:$C$363,PromptitudeParRegion!$A10,DetailPromptitude!H$2:H$363,"&lt;&gt;NA")</f>
        <v>10</v>
      </c>
      <c r="M10" s="174">
        <f>IFERROR(VLOOKUP(A10,DetailPromptitude!$C$2:$T$366,14,0),"")</f>
        <v>1</v>
      </c>
      <c r="N10" s="173">
        <f>COUNTIFS(DetailPromptitude!$C$2:$C$363,PromptitudeParRegion!$A10,DetailPromptitude!I$2:I$363,"&lt;&gt;NA")</f>
        <v>10</v>
      </c>
      <c r="O10" s="174">
        <f>IFERROR(VLOOKUP(A10,DetailPromptitude!$C$2:$T$366,15,0),"")</f>
        <v>0.6</v>
      </c>
      <c r="P10" s="173">
        <f>COUNTIFS(DetailPromptitude!$C$2:$C$363,PromptitudeParRegion!$A10,DetailPromptitude!J$2:J$363,"&lt;&gt;NA")</f>
        <v>4</v>
      </c>
      <c r="Q10" s="174">
        <f>IFERROR(VLOOKUP(A10,DetailPromptitude!$C$2:$T$366,16,0),"")</f>
        <v>1</v>
      </c>
      <c r="R10" s="173">
        <f>COUNTIFS(DetailPromptitude!$C$2:$C$363,PromptitudeParRegion!$A10,DetailPromptitude!K$2:K$363,"&lt;&gt;NA")</f>
        <v>6</v>
      </c>
      <c r="S10" s="174">
        <f>IFERROR(VLOOKUP(A10,DetailPromptitude!$C$2:$T$366,17,0),"")</f>
        <v>0.8333333333</v>
      </c>
    </row>
    <row r="11" ht="14.25" customHeight="1">
      <c r="A11" s="147" t="str">
        <f>IFERROR(__xludf.DUMMYFUNCTION("""COMPUTED_VALUE"""),"BERE")</f>
        <v>BERE</v>
      </c>
      <c r="B11" s="170">
        <f>COUNTIFS(DetailPromptitude!$C$2:$C$363,PromptitudeParRegion!$A11,DetailPromptitude!D$2:D$363,"&lt;&gt;NA")</f>
        <v>6</v>
      </c>
      <c r="C11" s="171">
        <f>IFERROR(VLOOKUP(A11,DetailPromptitude!$C$2:$T$366,10,0),"")</f>
        <v>0.8333333333</v>
      </c>
      <c r="D11" s="170">
        <f>COUNTIFS(DetailPromptitude!$C$2:$C$363,PromptitudeParRegion!$A11,DetailPromptitude!E$2:E$363,"&lt;&gt;NA")</f>
        <v>6</v>
      </c>
      <c r="E11" s="171">
        <f>IFERROR(VLOOKUP(A11,DetailPromptitude!C8:$T$366,11,0),"")</f>
        <v>0.8333333333</v>
      </c>
      <c r="F11" s="170">
        <f>COUNTIFS(DetailPromptitude!$C$2:$C$363,PromptitudeParRegion!$A11,DetailPromptitude!F$2:F$363,"&lt;&gt;NA")</f>
        <v>4</v>
      </c>
      <c r="G11" s="171">
        <f>IFERROR(VLOOKUP(A11,DetailPromptitude!$C$2:$T$366,12,0),"")</f>
        <v>0.75</v>
      </c>
      <c r="H11" s="170">
        <f>COUNTIFS(DetailPromptitude!$C$2:$C$363,PromptitudeParRegion!$A11,DetailPromptitude!G$2:G$363,"&lt;&gt;NA")</f>
        <v>1</v>
      </c>
      <c r="I11" s="171">
        <f>IFERROR(VLOOKUP(A11,DetailPromptitude!$C$2:$T$366,13,0),"")</f>
        <v>1</v>
      </c>
      <c r="J11" s="170">
        <f t="shared" si="1"/>
        <v>17</v>
      </c>
      <c r="K11" s="171">
        <f>IFERROR(VLOOKUP(A11,DetailPromptitude!$C$2:$T$366,18,0),"")</f>
        <v>0.8235294118</v>
      </c>
      <c r="L11" s="170">
        <f>COUNTIFS(DetailPromptitude!$C$2:$C$363,PromptitudeParRegion!$A11,DetailPromptitude!H$2:H$363,"&lt;&gt;NA")</f>
        <v>6</v>
      </c>
      <c r="M11" s="171">
        <f>IFERROR(VLOOKUP(A11,DetailPromptitude!$C$2:$T$366,14,0),"")</f>
        <v>1</v>
      </c>
      <c r="N11" s="170">
        <f>COUNTIFS(DetailPromptitude!$C$2:$C$363,PromptitudeParRegion!$A11,DetailPromptitude!I$2:I$363,"&lt;&gt;NA")</f>
        <v>6</v>
      </c>
      <c r="O11" s="171">
        <f>IFERROR(VLOOKUP(A11,DetailPromptitude!$C$2:$T$366,15,0),"")</f>
        <v>1</v>
      </c>
      <c r="P11" s="170">
        <f>COUNTIFS(DetailPromptitude!$C$2:$C$363,PromptitudeParRegion!$A11,DetailPromptitude!J$2:J$363,"&lt;&gt;NA")</f>
        <v>6</v>
      </c>
      <c r="Q11" s="171">
        <f>IFERROR(VLOOKUP(A11,DetailPromptitude!$C$2:$T$366,16,0),"")</f>
        <v>1</v>
      </c>
      <c r="R11" s="170">
        <f>COUNTIFS(DetailPromptitude!$C$2:$C$363,PromptitudeParRegion!$A11,DetailPromptitude!K$2:K$363,"&lt;&gt;NA")</f>
        <v>3</v>
      </c>
      <c r="S11" s="171">
        <f>IFERROR(VLOOKUP(A11,DetailPromptitude!$C$2:$T$366,17,0),"")</f>
        <v>0.6666666667</v>
      </c>
    </row>
    <row r="12" ht="14.25" customHeight="1">
      <c r="A12" s="172" t="str">
        <f>IFERROR(__xludf.DUMMYFUNCTION("""COMPUTED_VALUE"""),"BOUNKANI")</f>
        <v>BOUNKANI</v>
      </c>
      <c r="B12" s="173">
        <f>COUNTIFS(DetailPromptitude!$C$2:$C$363,PromptitudeParRegion!$A12,DetailPromptitude!D$2:D$363,"&lt;&gt;NA")</f>
        <v>7</v>
      </c>
      <c r="C12" s="174">
        <f>IFERROR(VLOOKUP(A12,DetailPromptitude!$C$2:$T$366,10,0),"")</f>
        <v>0.8571428571</v>
      </c>
      <c r="D12" s="173">
        <f>COUNTIFS(DetailPromptitude!$C$2:$C$363,PromptitudeParRegion!$A12,DetailPromptitude!E$2:E$363,"&lt;&gt;NA")</f>
        <v>7</v>
      </c>
      <c r="E12" s="174">
        <f>IFERROR(VLOOKUP(A12,DetailPromptitude!C9:$T$366,11,0),"")</f>
        <v>0.8571428571</v>
      </c>
      <c r="F12" s="173">
        <f>COUNTIFS(DetailPromptitude!$C$2:$C$363,PromptitudeParRegion!$A12,DetailPromptitude!F$2:F$363,"&lt;&gt;NA")</f>
        <v>3</v>
      </c>
      <c r="G12" s="174">
        <f>IFERROR(VLOOKUP(A12,DetailPromptitude!$C$2:$T$366,12,0),"")</f>
        <v>0.6666666667</v>
      </c>
      <c r="H12" s="173">
        <f>COUNTIFS(DetailPromptitude!$C$2:$C$363,PromptitudeParRegion!$A12,DetailPromptitude!G$2:G$363,"&lt;&gt;NA")</f>
        <v>0</v>
      </c>
      <c r="I12" s="174" t="str">
        <f>IFERROR(VLOOKUP(A12,DetailPromptitude!$C$2:$T$366,13,0),"")</f>
        <v/>
      </c>
      <c r="J12" s="173">
        <f t="shared" si="1"/>
        <v>17</v>
      </c>
      <c r="K12" s="174">
        <f>IFERROR(VLOOKUP(A12,DetailPromptitude!$C$2:$T$366,18,0),"")</f>
        <v>0.8235294118</v>
      </c>
      <c r="L12" s="173">
        <f>COUNTIFS(DetailPromptitude!$C$2:$C$363,PromptitudeParRegion!$A12,DetailPromptitude!H$2:H$363,"&lt;&gt;NA")</f>
        <v>8</v>
      </c>
      <c r="M12" s="174">
        <f>IFERROR(VLOOKUP(A12,DetailPromptitude!$C$2:$T$366,14,0),"")</f>
        <v>1</v>
      </c>
      <c r="N12" s="173">
        <f>COUNTIFS(DetailPromptitude!$C$2:$C$363,PromptitudeParRegion!$A12,DetailPromptitude!I$2:I$363,"&lt;&gt;NA")</f>
        <v>8</v>
      </c>
      <c r="O12" s="174">
        <f>IFERROR(VLOOKUP(A12,DetailPromptitude!$C$2:$T$366,15,0),"")</f>
        <v>0.875</v>
      </c>
      <c r="P12" s="173">
        <f>COUNTIFS(DetailPromptitude!$C$2:$C$363,PromptitudeParRegion!$A12,DetailPromptitude!J$2:J$363,"&lt;&gt;NA")</f>
        <v>7</v>
      </c>
      <c r="Q12" s="174">
        <f>IFERROR(VLOOKUP(A12,DetailPromptitude!$C$2:$T$366,16,0),"")</f>
        <v>0.8571428571</v>
      </c>
      <c r="R12" s="173">
        <f>COUNTIFS(DetailPromptitude!$C$2:$C$363,PromptitudeParRegion!$A12,DetailPromptitude!K$2:K$363,"&lt;&gt;NA")</f>
        <v>4</v>
      </c>
      <c r="S12" s="174">
        <f>IFERROR(VLOOKUP(A12,DetailPromptitude!$C$2:$T$366,17,0),"")</f>
        <v>0</v>
      </c>
    </row>
    <row r="13" ht="14.25" customHeight="1">
      <c r="A13" s="147" t="str">
        <f>IFERROR(__xludf.DUMMYFUNCTION("""COMPUTED_VALUE"""),"GONTOUGO")</f>
        <v>GONTOUGO</v>
      </c>
      <c r="B13" s="170">
        <f>COUNTIFS(DetailPromptitude!$C$2:$C$363,PromptitudeParRegion!$A13,DetailPromptitude!D$2:D$363,"&lt;&gt;NA")</f>
        <v>10</v>
      </c>
      <c r="C13" s="171">
        <f>IFERROR(VLOOKUP(A13,DetailPromptitude!$C$2:$T$366,10,0),"")</f>
        <v>1</v>
      </c>
      <c r="D13" s="170">
        <f>COUNTIFS(DetailPromptitude!$C$2:$C$363,PromptitudeParRegion!$A13,DetailPromptitude!E$2:E$363,"&lt;&gt;NA")</f>
        <v>10</v>
      </c>
      <c r="E13" s="171">
        <f>IFERROR(VLOOKUP(A13,DetailPromptitude!C10:$T$366,11,0),"")</f>
        <v>1</v>
      </c>
      <c r="F13" s="170">
        <f>COUNTIFS(DetailPromptitude!$C$2:$C$363,PromptitudeParRegion!$A13,DetailPromptitude!F$2:F$363,"&lt;&gt;NA")</f>
        <v>7</v>
      </c>
      <c r="G13" s="171">
        <f>IFERROR(VLOOKUP(A13,DetailPromptitude!$C$2:$T$366,12,0),"")</f>
        <v>0.8571428571</v>
      </c>
      <c r="H13" s="170">
        <f>COUNTIFS(DetailPromptitude!$C$2:$C$363,PromptitudeParRegion!$A13,DetailPromptitude!G$2:G$363,"&lt;&gt;NA")</f>
        <v>3</v>
      </c>
      <c r="I13" s="171">
        <f>IFERROR(VLOOKUP(A13,DetailPromptitude!$C$2:$T$366,13,0),"")</f>
        <v>1</v>
      </c>
      <c r="J13" s="170">
        <f t="shared" si="1"/>
        <v>30</v>
      </c>
      <c r="K13" s="171">
        <f>IFERROR(VLOOKUP(A13,DetailPromptitude!$C$2:$T$366,18,0),"")</f>
        <v>0.9666666667</v>
      </c>
      <c r="L13" s="170">
        <f>COUNTIFS(DetailPromptitude!$C$2:$C$363,PromptitudeParRegion!$A13,DetailPromptitude!H$2:H$363,"&lt;&gt;NA")</f>
        <v>11</v>
      </c>
      <c r="M13" s="171">
        <f>IFERROR(VLOOKUP(A13,DetailPromptitude!$C$2:$T$366,14,0),"")</f>
        <v>1</v>
      </c>
      <c r="N13" s="170">
        <f>COUNTIFS(DetailPromptitude!$C$2:$C$363,PromptitudeParRegion!$A13,DetailPromptitude!I$2:I$363,"&lt;&gt;NA")</f>
        <v>11</v>
      </c>
      <c r="O13" s="171">
        <f>IFERROR(VLOOKUP(A13,DetailPromptitude!$C$2:$T$366,15,0),"")</f>
        <v>1</v>
      </c>
      <c r="P13" s="170">
        <f>COUNTIFS(DetailPromptitude!$C$2:$C$363,PromptitudeParRegion!$A13,DetailPromptitude!J$2:J$363,"&lt;&gt;NA")</f>
        <v>6</v>
      </c>
      <c r="Q13" s="171">
        <f>IFERROR(VLOOKUP(A13,DetailPromptitude!$C$2:$T$366,16,0),"")</f>
        <v>1</v>
      </c>
      <c r="R13" s="170">
        <f>COUNTIFS(DetailPromptitude!$C$2:$C$363,PromptitudeParRegion!$A13,DetailPromptitude!K$2:K$363,"&lt;&gt;NA")</f>
        <v>8</v>
      </c>
      <c r="S13" s="171">
        <f>IFERROR(VLOOKUP(A13,DetailPromptitude!$C$2:$T$366,17,0),"")</f>
        <v>0.5</v>
      </c>
    </row>
    <row r="14" ht="14.25" customHeight="1">
      <c r="A14" s="172" t="str">
        <f>IFERROR(__xludf.DUMMYFUNCTION("""COMPUTED_VALUE"""),"CAVALLY")</f>
        <v>CAVALLY</v>
      </c>
      <c r="B14" s="173">
        <f>COUNTIFS(DetailPromptitude!$C$2:$C$363,PromptitudeParRegion!$A14,DetailPromptitude!D$2:D$363,"&lt;&gt;NA")</f>
        <v>8</v>
      </c>
      <c r="C14" s="174">
        <f>IFERROR(VLOOKUP(A14,DetailPromptitude!$C$2:$T$366,10,0),"")</f>
        <v>0.75</v>
      </c>
      <c r="D14" s="173">
        <f>COUNTIFS(DetailPromptitude!$C$2:$C$363,PromptitudeParRegion!$A14,DetailPromptitude!E$2:E$363,"&lt;&gt;NA")</f>
        <v>8</v>
      </c>
      <c r="E14" s="174">
        <f>IFERROR(VLOOKUP(A14,DetailPromptitude!C11:$T$366,11,0),"")</f>
        <v>0.75</v>
      </c>
      <c r="F14" s="173">
        <f>COUNTIFS(DetailPromptitude!$C$2:$C$363,PromptitudeParRegion!$A14,DetailPromptitude!F$2:F$363,"&lt;&gt;NA")</f>
        <v>5</v>
      </c>
      <c r="G14" s="174">
        <f>IFERROR(VLOOKUP(A14,DetailPromptitude!$C$2:$T$366,12,0),"")</f>
        <v>0.6</v>
      </c>
      <c r="H14" s="173">
        <f>COUNTIFS(DetailPromptitude!$C$2:$C$363,PromptitudeParRegion!$A14,DetailPromptitude!G$2:G$363,"&lt;&gt;NA")</f>
        <v>1</v>
      </c>
      <c r="I14" s="174">
        <f>IFERROR(VLOOKUP(A14,DetailPromptitude!$C$2:$T$366,13,0),"")</f>
        <v>0</v>
      </c>
      <c r="J14" s="173">
        <f t="shared" si="1"/>
        <v>22</v>
      </c>
      <c r="K14" s="174">
        <f>IFERROR(VLOOKUP(A14,DetailPromptitude!$C$2:$T$366,18,0),"")</f>
        <v>0.6818181818</v>
      </c>
      <c r="L14" s="173">
        <f>COUNTIFS(DetailPromptitude!$C$2:$C$363,PromptitudeParRegion!$A14,DetailPromptitude!H$2:H$363,"&lt;&gt;NA")</f>
        <v>8</v>
      </c>
      <c r="M14" s="174">
        <f>IFERROR(VLOOKUP(A14,DetailPromptitude!$C$2:$T$366,14,0),"")</f>
        <v>0.625</v>
      </c>
      <c r="N14" s="173">
        <f>COUNTIFS(DetailPromptitude!$C$2:$C$363,PromptitudeParRegion!$A14,DetailPromptitude!I$2:I$363,"&lt;&gt;NA")</f>
        <v>8</v>
      </c>
      <c r="O14" s="174">
        <f>IFERROR(VLOOKUP(A14,DetailPromptitude!$C$2:$T$366,15,0),"")</f>
        <v>0.75</v>
      </c>
      <c r="P14" s="173">
        <f>COUNTIFS(DetailPromptitude!$C$2:$C$363,PromptitudeParRegion!$A14,DetailPromptitude!J$2:J$363,"&lt;&gt;NA")</f>
        <v>8</v>
      </c>
      <c r="Q14" s="174">
        <f>IFERROR(VLOOKUP(A14,DetailPromptitude!$C$2:$T$366,16,0),"")</f>
        <v>0.75</v>
      </c>
      <c r="R14" s="173">
        <f>COUNTIFS(DetailPromptitude!$C$2:$C$363,PromptitudeParRegion!$A14,DetailPromptitude!K$2:K$363,"&lt;&gt;NA")</f>
        <v>6</v>
      </c>
      <c r="S14" s="174">
        <f>IFERROR(VLOOKUP(A14,DetailPromptitude!$C$2:$T$366,17,0),"")</f>
        <v>0.8333333333</v>
      </c>
    </row>
    <row r="15" ht="14.25" customHeight="1">
      <c r="A15" s="147" t="str">
        <f>IFERROR(__xludf.DUMMYFUNCTION("""COMPUTED_VALUE"""),"FOLON")</f>
        <v>FOLON</v>
      </c>
      <c r="B15" s="170">
        <f>COUNTIFS(DetailPromptitude!$C$2:$C$363,PromptitudeParRegion!$A15,DetailPromptitude!D$2:D$363,"&lt;&gt;NA")</f>
        <v>4</v>
      </c>
      <c r="C15" s="171">
        <f>IFERROR(VLOOKUP(A15,DetailPromptitude!$C$2:$T$366,10,0),"")</f>
        <v>0.75</v>
      </c>
      <c r="D15" s="170">
        <f>COUNTIFS(DetailPromptitude!$C$2:$C$363,PromptitudeParRegion!$A15,DetailPromptitude!E$2:E$363,"&lt;&gt;NA")</f>
        <v>4</v>
      </c>
      <c r="E15" s="171">
        <f>IFERROR(VLOOKUP(A15,DetailPromptitude!C12:$T$366,11,0),"")</f>
        <v>0.75</v>
      </c>
      <c r="F15" s="170">
        <f>COUNTIFS(DetailPromptitude!$C$2:$C$363,PromptitudeParRegion!$A15,DetailPromptitude!F$2:F$363,"&lt;&gt;NA")</f>
        <v>0</v>
      </c>
      <c r="G15" s="171" t="str">
        <f>IFERROR(VLOOKUP(A15,DetailPromptitude!$C$2:$T$366,12,0),"")</f>
        <v/>
      </c>
      <c r="H15" s="170">
        <f>COUNTIFS(DetailPromptitude!$C$2:$C$363,PromptitudeParRegion!$A15,DetailPromptitude!G$2:G$363,"&lt;&gt;NA")</f>
        <v>0</v>
      </c>
      <c r="I15" s="171" t="str">
        <f>IFERROR(VLOOKUP(A15,DetailPromptitude!$C$2:$T$366,13,0),"")</f>
        <v/>
      </c>
      <c r="J15" s="170">
        <f t="shared" si="1"/>
        <v>8</v>
      </c>
      <c r="K15" s="171">
        <f>IFERROR(VLOOKUP(A15,DetailPromptitude!$C$2:$T$366,18,0),"")</f>
        <v>0.75</v>
      </c>
      <c r="L15" s="170">
        <f>COUNTIFS(DetailPromptitude!$C$2:$C$363,PromptitudeParRegion!$A15,DetailPromptitude!H$2:H$363,"&lt;&gt;NA")</f>
        <v>4</v>
      </c>
      <c r="M15" s="171">
        <f>IFERROR(VLOOKUP(A15,DetailPromptitude!$C$2:$T$366,14,0),"")</f>
        <v>0.75</v>
      </c>
      <c r="N15" s="170">
        <f>COUNTIFS(DetailPromptitude!$C$2:$C$363,PromptitudeParRegion!$A15,DetailPromptitude!I$2:I$363,"&lt;&gt;NA")</f>
        <v>4</v>
      </c>
      <c r="O15" s="171">
        <f>IFERROR(VLOOKUP(A15,DetailPromptitude!$C$2:$T$366,15,0),"")</f>
        <v>1</v>
      </c>
      <c r="P15" s="170">
        <f>COUNTIFS(DetailPromptitude!$C$2:$C$363,PromptitudeParRegion!$A15,DetailPromptitude!J$2:J$363,"&lt;&gt;NA")</f>
        <v>4</v>
      </c>
      <c r="Q15" s="171">
        <f>IFERROR(VLOOKUP(A15,DetailPromptitude!$C$2:$T$366,16,0),"")</f>
        <v>0.75</v>
      </c>
      <c r="R15" s="170">
        <f>COUNTIFS(DetailPromptitude!$C$2:$C$363,PromptitudeParRegion!$A15,DetailPromptitude!K$2:K$363,"&lt;&gt;NA")</f>
        <v>3</v>
      </c>
      <c r="S15" s="171">
        <f>IFERROR(VLOOKUP(A15,DetailPromptitude!$C$2:$T$366,17,0),"")</f>
        <v>0.3333333333</v>
      </c>
    </row>
    <row r="16" ht="14.25" customHeight="1">
      <c r="A16" s="172" t="str">
        <f>IFERROR(__xludf.DUMMYFUNCTION("""COMPUTED_VALUE"""),"GBEKE")</f>
        <v>GBEKE</v>
      </c>
      <c r="B16" s="173">
        <f>COUNTIFS(DetailPromptitude!$C$2:$C$363,PromptitudeParRegion!$A16,DetailPromptitude!D$2:D$363,"&lt;&gt;NA")</f>
        <v>10</v>
      </c>
      <c r="C16" s="174">
        <f>IFERROR(VLOOKUP(A16,DetailPromptitude!$C$2:$T$366,10,0),"")</f>
        <v>0.7</v>
      </c>
      <c r="D16" s="173">
        <f>COUNTIFS(DetailPromptitude!$C$2:$C$363,PromptitudeParRegion!$A16,DetailPromptitude!E$2:E$363,"&lt;&gt;NA")</f>
        <v>10</v>
      </c>
      <c r="E16" s="174">
        <f>IFERROR(VLOOKUP(A16,DetailPromptitude!C13:$T$366,11,0),"")</f>
        <v>0.7</v>
      </c>
      <c r="F16" s="173">
        <f>COUNTIFS(DetailPromptitude!$C$2:$C$363,PromptitudeParRegion!$A16,DetailPromptitude!F$2:F$363,"&lt;&gt;NA")</f>
        <v>8</v>
      </c>
      <c r="G16" s="174">
        <f>IFERROR(VLOOKUP(A16,DetailPromptitude!$C$2:$T$366,12,0),"")</f>
        <v>0.625</v>
      </c>
      <c r="H16" s="173">
        <f>COUNTIFS(DetailPromptitude!$C$2:$C$363,PromptitudeParRegion!$A16,DetailPromptitude!G$2:G$363,"&lt;&gt;NA")</f>
        <v>1</v>
      </c>
      <c r="I16" s="174">
        <f>IFERROR(VLOOKUP(A16,DetailPromptitude!$C$2:$T$366,13,0),"")</f>
        <v>0</v>
      </c>
      <c r="J16" s="173">
        <f t="shared" si="1"/>
        <v>29</v>
      </c>
      <c r="K16" s="174">
        <f>IFERROR(VLOOKUP(A16,DetailPromptitude!$C$2:$T$366,18,0),"")</f>
        <v>0.6551724138</v>
      </c>
      <c r="L16" s="173">
        <f>COUNTIFS(DetailPromptitude!$C$2:$C$363,PromptitudeParRegion!$A16,DetailPromptitude!H$2:H$363,"&lt;&gt;NA")</f>
        <v>10</v>
      </c>
      <c r="M16" s="174">
        <f>IFERROR(VLOOKUP(A16,DetailPromptitude!$C$2:$T$366,14,0),"")</f>
        <v>0.7</v>
      </c>
      <c r="N16" s="173">
        <f>COUNTIFS(DetailPromptitude!$C$2:$C$363,PromptitudeParRegion!$A16,DetailPromptitude!I$2:I$363,"&lt;&gt;NA")</f>
        <v>10</v>
      </c>
      <c r="O16" s="174">
        <f>IFERROR(VLOOKUP(A16,DetailPromptitude!$C$2:$T$366,15,0),"")</f>
        <v>0.7</v>
      </c>
      <c r="P16" s="173">
        <f>COUNTIFS(DetailPromptitude!$C$2:$C$363,PromptitudeParRegion!$A16,DetailPromptitude!J$2:J$363,"&lt;&gt;NA")</f>
        <v>0</v>
      </c>
      <c r="Q16" s="174" t="str">
        <f>IFERROR(VLOOKUP(A16,DetailPromptitude!$C$2:$T$366,16,0),"")</f>
        <v/>
      </c>
      <c r="R16" s="173">
        <f>COUNTIFS(DetailPromptitude!$C$2:$C$363,PromptitudeParRegion!$A16,DetailPromptitude!K$2:K$363,"&lt;&gt;NA")</f>
        <v>10</v>
      </c>
      <c r="S16" s="174">
        <f>IFERROR(VLOOKUP(A16,DetailPromptitude!$C$2:$T$366,17,0),"")</f>
        <v>0.6</v>
      </c>
    </row>
    <row r="17" ht="14.25" customHeight="1">
      <c r="A17" s="147" t="str">
        <f>IFERROR(__xludf.DUMMYFUNCTION("""COMPUTED_VALUE"""),"GBOKLE")</f>
        <v>GBOKLE</v>
      </c>
      <c r="B17" s="170">
        <f>COUNTIFS(DetailPromptitude!$C$2:$C$363,PromptitudeParRegion!$A17,DetailPromptitude!D$2:D$363,"&lt;&gt;NA")</f>
        <v>4</v>
      </c>
      <c r="C17" s="171">
        <f>IFERROR(VLOOKUP(A17,DetailPromptitude!$C$2:$T$366,10,0),"")</f>
        <v>0.75</v>
      </c>
      <c r="D17" s="170">
        <f>COUNTIFS(DetailPromptitude!$C$2:$C$363,PromptitudeParRegion!$A17,DetailPromptitude!E$2:E$363,"&lt;&gt;NA")</f>
        <v>4</v>
      </c>
      <c r="E17" s="171">
        <f>IFERROR(VLOOKUP(A17,DetailPromptitude!C14:$T$366,11,0),"")</f>
        <v>0.75</v>
      </c>
      <c r="F17" s="170">
        <f>COUNTIFS(DetailPromptitude!$C$2:$C$363,PromptitudeParRegion!$A17,DetailPromptitude!F$2:F$363,"&lt;&gt;NA")</f>
        <v>4</v>
      </c>
      <c r="G17" s="171">
        <f>IFERROR(VLOOKUP(A17,DetailPromptitude!$C$2:$T$366,12,0),"")</f>
        <v>0.75</v>
      </c>
      <c r="H17" s="170">
        <f>COUNTIFS(DetailPromptitude!$C$2:$C$363,PromptitudeParRegion!$A17,DetailPromptitude!G$2:G$363,"&lt;&gt;NA")</f>
        <v>2</v>
      </c>
      <c r="I17" s="171">
        <f>IFERROR(VLOOKUP(A17,DetailPromptitude!$C$2:$T$366,13,0),"")</f>
        <v>1</v>
      </c>
      <c r="J17" s="170">
        <f t="shared" si="1"/>
        <v>14</v>
      </c>
      <c r="K17" s="171">
        <f>IFERROR(VLOOKUP(A17,DetailPromptitude!$C$2:$T$366,18,0),"")</f>
        <v>0.7857142857</v>
      </c>
      <c r="L17" s="170">
        <f>COUNTIFS(DetailPromptitude!$C$2:$C$363,PromptitudeParRegion!$A17,DetailPromptitude!H$2:H$363,"&lt;&gt;NA")</f>
        <v>4</v>
      </c>
      <c r="M17" s="171">
        <f>IFERROR(VLOOKUP(A17,DetailPromptitude!$C$2:$T$366,14,0),"")</f>
        <v>0.75</v>
      </c>
      <c r="N17" s="170">
        <f>COUNTIFS(DetailPromptitude!$C$2:$C$363,PromptitudeParRegion!$A17,DetailPromptitude!I$2:I$363,"&lt;&gt;NA")</f>
        <v>4</v>
      </c>
      <c r="O17" s="171">
        <f>IFERROR(VLOOKUP(A17,DetailPromptitude!$C$2:$T$366,15,0),"")</f>
        <v>1</v>
      </c>
      <c r="P17" s="170">
        <f>COUNTIFS(DetailPromptitude!$C$2:$C$363,PromptitudeParRegion!$A17,DetailPromptitude!J$2:J$363,"&lt;&gt;NA")</f>
        <v>2</v>
      </c>
      <c r="Q17" s="171">
        <f>IFERROR(VLOOKUP(A17,DetailPromptitude!$C$2:$T$366,16,0),"")</f>
        <v>0.5</v>
      </c>
      <c r="R17" s="170">
        <f>COUNTIFS(DetailPromptitude!$C$2:$C$363,PromptitudeParRegion!$A17,DetailPromptitude!K$2:K$363,"&lt;&gt;NA")</f>
        <v>2</v>
      </c>
      <c r="S17" s="171">
        <f>IFERROR(VLOOKUP(A17,DetailPromptitude!$C$2:$T$366,17,0),"")</f>
        <v>0.5</v>
      </c>
    </row>
    <row r="18" ht="14.25" customHeight="1">
      <c r="A18" s="172" t="str">
        <f>IFERROR(__xludf.DUMMYFUNCTION("""COMPUTED_VALUE"""),"GOH")</f>
        <v>GOH</v>
      </c>
      <c r="B18" s="173">
        <f>COUNTIFS(DetailPromptitude!$C$2:$C$363,PromptitudeParRegion!$A18,DetailPromptitude!D$2:D$363,"&lt;&gt;NA")</f>
        <v>6</v>
      </c>
      <c r="C18" s="174">
        <f>IFERROR(VLOOKUP(A18,DetailPromptitude!$C$2:$T$366,10,0),"")</f>
        <v>1</v>
      </c>
      <c r="D18" s="173">
        <f>COUNTIFS(DetailPromptitude!$C$2:$C$363,PromptitudeParRegion!$A18,DetailPromptitude!E$2:E$363,"&lt;&gt;NA")</f>
        <v>6</v>
      </c>
      <c r="E18" s="174">
        <f>IFERROR(VLOOKUP(A18,DetailPromptitude!C15:$T$366,11,0),"")</f>
        <v>1</v>
      </c>
      <c r="F18" s="173">
        <f>COUNTIFS(DetailPromptitude!$C$2:$C$363,PromptitudeParRegion!$A18,DetailPromptitude!F$2:F$363,"&lt;&gt;NA")</f>
        <v>6</v>
      </c>
      <c r="G18" s="174">
        <f>IFERROR(VLOOKUP(A18,DetailPromptitude!$C$2:$T$366,12,0),"")</f>
        <v>1</v>
      </c>
      <c r="H18" s="173">
        <f>COUNTIFS(DetailPromptitude!$C$2:$C$363,PromptitudeParRegion!$A18,DetailPromptitude!G$2:G$363,"&lt;&gt;NA")</f>
        <v>3</v>
      </c>
      <c r="I18" s="174">
        <f>IFERROR(VLOOKUP(A18,DetailPromptitude!$C$2:$T$366,13,0),"")</f>
        <v>1</v>
      </c>
      <c r="J18" s="173">
        <f t="shared" si="1"/>
        <v>21</v>
      </c>
      <c r="K18" s="174">
        <f>IFERROR(VLOOKUP(A18,DetailPromptitude!$C$2:$T$366,18,0),"")</f>
        <v>1</v>
      </c>
      <c r="L18" s="173">
        <f>COUNTIFS(DetailPromptitude!$C$2:$C$363,PromptitudeParRegion!$A18,DetailPromptitude!H$2:H$363,"&lt;&gt;NA")</f>
        <v>7</v>
      </c>
      <c r="M18" s="174">
        <f>IFERROR(VLOOKUP(A18,DetailPromptitude!$C$2:$T$366,14,0),"")</f>
        <v>0.8571428571</v>
      </c>
      <c r="N18" s="173">
        <f>COUNTIFS(DetailPromptitude!$C$2:$C$363,PromptitudeParRegion!$A18,DetailPromptitude!I$2:I$363,"&lt;&gt;NA")</f>
        <v>7</v>
      </c>
      <c r="O18" s="174">
        <f>IFERROR(VLOOKUP(A18,DetailPromptitude!$C$2:$T$366,15,0),"")</f>
        <v>0.8571428571</v>
      </c>
      <c r="P18" s="173">
        <f>COUNTIFS(DetailPromptitude!$C$2:$C$363,PromptitudeParRegion!$A18,DetailPromptitude!J$2:J$363,"&lt;&gt;NA")</f>
        <v>0</v>
      </c>
      <c r="Q18" s="174" t="str">
        <f>IFERROR(VLOOKUP(A18,DetailPromptitude!$C$2:$T$366,16,0),"")</f>
        <v/>
      </c>
      <c r="R18" s="173">
        <f>COUNTIFS(DetailPromptitude!$C$2:$C$363,PromptitudeParRegion!$A18,DetailPromptitude!K$2:K$363,"&lt;&gt;NA")</f>
        <v>5</v>
      </c>
      <c r="S18" s="174">
        <f>IFERROR(VLOOKUP(A18,DetailPromptitude!$C$2:$T$366,17,0),"")</f>
        <v>0.8</v>
      </c>
    </row>
    <row r="19" ht="14.25" customHeight="1">
      <c r="A19" s="147" t="str">
        <f>IFERROR(__xludf.DUMMYFUNCTION("""COMPUTED_VALUE"""),"SAN PEDRO")</f>
        <v>SAN PEDRO</v>
      </c>
      <c r="B19" s="170">
        <f>COUNTIFS(DetailPromptitude!$C$2:$C$363,PromptitudeParRegion!$A19,DetailPromptitude!D$2:D$363,"&lt;&gt;NA")</f>
        <v>4</v>
      </c>
      <c r="C19" s="171">
        <f>IFERROR(VLOOKUP(A19,DetailPromptitude!$C$2:$T$366,10,0),"")</f>
        <v>0.75</v>
      </c>
      <c r="D19" s="170">
        <f>COUNTIFS(DetailPromptitude!$C$2:$C$363,PromptitudeParRegion!$A19,DetailPromptitude!E$2:E$363,"&lt;&gt;NA")</f>
        <v>4</v>
      </c>
      <c r="E19" s="171">
        <f>IFERROR(VLOOKUP(A19,DetailPromptitude!C16:$T$366,11,0),"")</f>
        <v>1</v>
      </c>
      <c r="F19" s="170">
        <f>COUNTIFS(DetailPromptitude!$C$2:$C$363,PromptitudeParRegion!$A19,DetailPromptitude!F$2:F$363,"&lt;&gt;NA")</f>
        <v>4</v>
      </c>
      <c r="G19" s="171">
        <f>IFERROR(VLOOKUP(A19,DetailPromptitude!$C$2:$T$366,12,0),"")</f>
        <v>1</v>
      </c>
      <c r="H19" s="170">
        <f>COUNTIFS(DetailPromptitude!$C$2:$C$363,PromptitudeParRegion!$A19,DetailPromptitude!G$2:G$363,"&lt;&gt;NA")</f>
        <v>3</v>
      </c>
      <c r="I19" s="171">
        <f>IFERROR(VLOOKUP(A19,DetailPromptitude!$C$2:$T$366,13,0),"")</f>
        <v>1</v>
      </c>
      <c r="J19" s="170">
        <f t="shared" si="1"/>
        <v>15</v>
      </c>
      <c r="K19" s="171">
        <f>IFERROR(VLOOKUP(A19,DetailPromptitude!$C$2:$T$366,18,0),"")</f>
        <v>0.9333333333</v>
      </c>
      <c r="L19" s="170">
        <f>COUNTIFS(DetailPromptitude!$C$2:$C$363,PromptitudeParRegion!$A19,DetailPromptitude!H$2:H$363,"&lt;&gt;NA")</f>
        <v>5</v>
      </c>
      <c r="M19" s="171">
        <f>IFERROR(VLOOKUP(A19,DetailPromptitude!$C$2:$T$366,14,0),"")</f>
        <v>0.8</v>
      </c>
      <c r="N19" s="170">
        <f>COUNTIFS(DetailPromptitude!$C$2:$C$363,PromptitudeParRegion!$A19,DetailPromptitude!I$2:I$363,"&lt;&gt;NA")</f>
        <v>7</v>
      </c>
      <c r="O19" s="171">
        <f>IFERROR(VLOOKUP(A19,DetailPromptitude!$C$2:$T$366,15,0),"")</f>
        <v>0.7142857143</v>
      </c>
      <c r="P19" s="170">
        <f>COUNTIFS(DetailPromptitude!$C$2:$C$363,PromptitudeParRegion!$A19,DetailPromptitude!J$2:J$363,"&lt;&gt;NA")</f>
        <v>4</v>
      </c>
      <c r="Q19" s="171">
        <f>IFERROR(VLOOKUP(A19,DetailPromptitude!$C$2:$T$366,16,0),"")</f>
        <v>0.75</v>
      </c>
      <c r="R19" s="170">
        <f>COUNTIFS(DetailPromptitude!$C$2:$C$363,PromptitudeParRegion!$A19,DetailPromptitude!K$2:K$363,"&lt;&gt;NA")</f>
        <v>4</v>
      </c>
      <c r="S19" s="171">
        <f>IFERROR(VLOOKUP(A19,DetailPromptitude!$C$2:$T$366,17,0),"")</f>
        <v>0.5</v>
      </c>
    </row>
    <row r="20" ht="14.25" customHeight="1">
      <c r="A20" s="172" t="str">
        <f>IFERROR(__xludf.DUMMYFUNCTION("""COMPUTED_VALUE"""),"LOH-DJIBOUA")</f>
        <v>LOH-DJIBOUA</v>
      </c>
      <c r="B20" s="173">
        <f>COUNTIFS(DetailPromptitude!$C$2:$C$363,PromptitudeParRegion!$A20,DetailPromptitude!D$2:D$363,"&lt;&gt;NA")</f>
        <v>6</v>
      </c>
      <c r="C20" s="174">
        <f>IFERROR(VLOOKUP(A20,DetailPromptitude!$C$2:$T$366,10,0),"")</f>
        <v>0.8333333333</v>
      </c>
      <c r="D20" s="173">
        <f>COUNTIFS(DetailPromptitude!$C$2:$C$363,PromptitudeParRegion!$A20,DetailPromptitude!E$2:E$363,"&lt;&gt;NA")</f>
        <v>6</v>
      </c>
      <c r="E20" s="174">
        <f>IFERROR(VLOOKUP(A20,DetailPromptitude!C17:$T$366,11,0),"")</f>
        <v>0.8333333333</v>
      </c>
      <c r="F20" s="173">
        <f>COUNTIFS(DetailPromptitude!$C$2:$C$363,PromptitudeParRegion!$A20,DetailPromptitude!F$2:F$363,"&lt;&gt;NA")</f>
        <v>5</v>
      </c>
      <c r="G20" s="174">
        <f>IFERROR(VLOOKUP(A20,DetailPromptitude!$C$2:$T$366,12,0),"")</f>
        <v>0.8</v>
      </c>
      <c r="H20" s="173">
        <f>COUNTIFS(DetailPromptitude!$C$2:$C$363,PromptitudeParRegion!$A20,DetailPromptitude!G$2:G$363,"&lt;&gt;NA")</f>
        <v>1</v>
      </c>
      <c r="I20" s="174">
        <f>IFERROR(VLOOKUP(A20,DetailPromptitude!$C$2:$T$366,13,0),"")</f>
        <v>1</v>
      </c>
      <c r="J20" s="173">
        <f t="shared" si="1"/>
        <v>18</v>
      </c>
      <c r="K20" s="174">
        <f>IFERROR(VLOOKUP(A20,DetailPromptitude!$C$2:$T$366,18,0),"")</f>
        <v>0.8333333333</v>
      </c>
      <c r="L20" s="173">
        <f>COUNTIFS(DetailPromptitude!$C$2:$C$363,PromptitudeParRegion!$A20,DetailPromptitude!H$2:H$363,"&lt;&gt;NA")</f>
        <v>6</v>
      </c>
      <c r="M20" s="174">
        <f>IFERROR(VLOOKUP(A20,DetailPromptitude!$C$2:$T$366,14,0),"")</f>
        <v>0.8333333333</v>
      </c>
      <c r="N20" s="173">
        <f>COUNTIFS(DetailPromptitude!$C$2:$C$363,PromptitudeParRegion!$A20,DetailPromptitude!I$2:I$363,"&lt;&gt;NA")</f>
        <v>9</v>
      </c>
      <c r="O20" s="174">
        <f>IFERROR(VLOOKUP(A20,DetailPromptitude!$C$2:$T$366,15,0),"")</f>
        <v>0.5555555556</v>
      </c>
      <c r="P20" s="173">
        <f>COUNTIFS(DetailPromptitude!$C$2:$C$363,PromptitudeParRegion!$A20,DetailPromptitude!J$2:J$363,"&lt;&gt;NA")</f>
        <v>0</v>
      </c>
      <c r="Q20" s="174" t="str">
        <f>IFERROR(VLOOKUP(A20,DetailPromptitude!$C$2:$T$366,16,0),"")</f>
        <v/>
      </c>
      <c r="R20" s="173">
        <f>COUNTIFS(DetailPromptitude!$C$2:$C$363,PromptitudeParRegion!$A20,DetailPromptitude!K$2:K$363,"&lt;&gt;NA")</f>
        <v>6</v>
      </c>
      <c r="S20" s="174">
        <f>IFERROR(VLOOKUP(A20,DetailPromptitude!$C$2:$T$366,17,0),"")</f>
        <v>0.3333333333</v>
      </c>
    </row>
    <row r="21" ht="14.25" customHeight="1">
      <c r="A21" s="147" t="str">
        <f>IFERROR(__xludf.DUMMYFUNCTION("""COMPUTED_VALUE"""),"GRANDS PONTS")</f>
        <v>GRANDS PONTS</v>
      </c>
      <c r="B21" s="170">
        <f>COUNTIFS(DetailPromptitude!$C$2:$C$363,PromptitudeParRegion!$A21,DetailPromptitude!D$2:D$363,"&lt;&gt;NA")</f>
        <v>7</v>
      </c>
      <c r="C21" s="171">
        <f>IFERROR(VLOOKUP(A21,DetailPromptitude!$C$2:$T$366,10,0),"")</f>
        <v>1</v>
      </c>
      <c r="D21" s="170">
        <f>COUNTIFS(DetailPromptitude!$C$2:$C$363,PromptitudeParRegion!$A21,DetailPromptitude!E$2:E$363,"&lt;&gt;NA")</f>
        <v>7</v>
      </c>
      <c r="E21" s="171">
        <f>IFERROR(VLOOKUP(A21,DetailPromptitude!C18:$T$366,11,0),"")</f>
        <v>1</v>
      </c>
      <c r="F21" s="170">
        <f>COUNTIFS(DetailPromptitude!$C$2:$C$363,PromptitudeParRegion!$A21,DetailPromptitude!F$2:F$363,"&lt;&gt;NA")</f>
        <v>6</v>
      </c>
      <c r="G21" s="171">
        <f>IFERROR(VLOOKUP(A21,DetailPromptitude!$C$2:$T$366,12,0),"")</f>
        <v>1</v>
      </c>
      <c r="H21" s="170">
        <f>COUNTIFS(DetailPromptitude!$C$2:$C$363,PromptitudeParRegion!$A21,DetailPromptitude!G$2:G$363,"&lt;&gt;NA")</f>
        <v>3</v>
      </c>
      <c r="I21" s="171">
        <f>IFERROR(VLOOKUP(A21,DetailPromptitude!$C$2:$T$366,13,0),"")</f>
        <v>1</v>
      </c>
      <c r="J21" s="170">
        <f t="shared" si="1"/>
        <v>23</v>
      </c>
      <c r="K21" s="171">
        <f>IFERROR(VLOOKUP(A21,DetailPromptitude!$C$2:$T$366,18,0),"")</f>
        <v>1</v>
      </c>
      <c r="L21" s="170">
        <f>COUNTIFS(DetailPromptitude!$C$2:$C$363,PromptitudeParRegion!$A21,DetailPromptitude!H$2:H$363,"&lt;&gt;NA")</f>
        <v>6</v>
      </c>
      <c r="M21" s="171">
        <f>IFERROR(VLOOKUP(A21,DetailPromptitude!$C$2:$T$366,14,0),"")</f>
        <v>1</v>
      </c>
      <c r="N21" s="170">
        <f>COUNTIFS(DetailPromptitude!$C$2:$C$363,PromptitudeParRegion!$A21,DetailPromptitude!I$2:I$363,"&lt;&gt;NA")</f>
        <v>7</v>
      </c>
      <c r="O21" s="171">
        <f>IFERROR(VLOOKUP(A21,DetailPromptitude!$C$2:$T$366,15,0),"")</f>
        <v>1</v>
      </c>
      <c r="P21" s="170">
        <f>COUNTIFS(DetailPromptitude!$C$2:$C$363,PromptitudeParRegion!$A21,DetailPromptitude!J$2:J$363,"&lt;&gt;NA")</f>
        <v>2</v>
      </c>
      <c r="Q21" s="171">
        <f>IFERROR(VLOOKUP(A21,DetailPromptitude!$C$2:$T$366,16,0),"")</f>
        <v>1</v>
      </c>
      <c r="R21" s="170">
        <f>COUNTIFS(DetailPromptitude!$C$2:$C$363,PromptitudeParRegion!$A21,DetailPromptitude!K$2:K$363,"&lt;&gt;NA")</f>
        <v>6</v>
      </c>
      <c r="S21" s="171">
        <f>IFERROR(VLOOKUP(A21,DetailPromptitude!$C$2:$T$366,17,0),"")</f>
        <v>0.8333333333</v>
      </c>
    </row>
    <row r="22" ht="14.25" customHeight="1">
      <c r="A22" s="172" t="str">
        <f>IFERROR(__xludf.DUMMYFUNCTION("""COMPUTED_VALUE"""),"GUEMON")</f>
        <v>GUEMON</v>
      </c>
      <c r="B22" s="173">
        <f>COUNTIFS(DetailPromptitude!$C$2:$C$363,PromptitudeParRegion!$A22,DetailPromptitude!D$2:D$363,"&lt;&gt;NA")</f>
        <v>6</v>
      </c>
      <c r="C22" s="174">
        <f>IFERROR(VLOOKUP(A22,DetailPromptitude!$C$2:$T$366,10,0),"")</f>
        <v>0.8333333333</v>
      </c>
      <c r="D22" s="173">
        <f>COUNTIFS(DetailPromptitude!$C$2:$C$363,PromptitudeParRegion!$A22,DetailPromptitude!E$2:E$363,"&lt;&gt;NA")</f>
        <v>6</v>
      </c>
      <c r="E22" s="174">
        <f>IFERROR(VLOOKUP(A22,DetailPromptitude!C19:$T$366,11,0),"")</f>
        <v>0.8333333333</v>
      </c>
      <c r="F22" s="173">
        <f>COUNTIFS(DetailPromptitude!$C$2:$C$363,PromptitudeParRegion!$A22,DetailPromptitude!F$2:F$363,"&lt;&gt;NA")</f>
        <v>4</v>
      </c>
      <c r="G22" s="174">
        <f>IFERROR(VLOOKUP(A22,DetailPromptitude!$C$2:$T$366,12,0),"")</f>
        <v>1</v>
      </c>
      <c r="H22" s="173">
        <f>COUNTIFS(DetailPromptitude!$C$2:$C$363,PromptitudeParRegion!$A22,DetailPromptitude!G$2:G$363,"&lt;&gt;NA")</f>
        <v>2</v>
      </c>
      <c r="I22" s="174">
        <f>IFERROR(VLOOKUP(A22,DetailPromptitude!$C$2:$T$366,13,0),"")</f>
        <v>1</v>
      </c>
      <c r="J22" s="173">
        <f t="shared" si="1"/>
        <v>18</v>
      </c>
      <c r="K22" s="174">
        <f>IFERROR(VLOOKUP(A22,DetailPromptitude!$C$2:$T$366,18,0),"")</f>
        <v>0.8888888889</v>
      </c>
      <c r="L22" s="173">
        <f>COUNTIFS(DetailPromptitude!$C$2:$C$363,PromptitudeParRegion!$A22,DetailPromptitude!H$2:H$363,"&lt;&gt;NA")</f>
        <v>6</v>
      </c>
      <c r="M22" s="174">
        <f>IFERROR(VLOOKUP(A22,DetailPromptitude!$C$2:$T$366,14,0),"")</f>
        <v>1</v>
      </c>
      <c r="N22" s="173">
        <f>COUNTIFS(DetailPromptitude!$C$2:$C$363,PromptitudeParRegion!$A22,DetailPromptitude!I$2:I$363,"&lt;&gt;NA")</f>
        <v>6</v>
      </c>
      <c r="O22" s="174">
        <f>IFERROR(VLOOKUP(A22,DetailPromptitude!$C$2:$T$366,15,0),"")</f>
        <v>1</v>
      </c>
      <c r="P22" s="173">
        <f>COUNTIFS(DetailPromptitude!$C$2:$C$363,PromptitudeParRegion!$A22,DetailPromptitude!J$2:J$363,"&lt;&gt;NA")</f>
        <v>6</v>
      </c>
      <c r="Q22" s="174">
        <f>IFERROR(VLOOKUP(A22,DetailPromptitude!$C$2:$T$366,16,0),"")</f>
        <v>0.8333333333</v>
      </c>
      <c r="R22" s="173">
        <f>COUNTIFS(DetailPromptitude!$C$2:$C$363,PromptitudeParRegion!$A22,DetailPromptitude!K$2:K$363,"&lt;&gt;NA")</f>
        <v>5</v>
      </c>
      <c r="S22" s="174">
        <f>IFERROR(VLOOKUP(A22,DetailPromptitude!$C$2:$T$366,17,0),"")</f>
        <v>0.8</v>
      </c>
    </row>
    <row r="23" ht="14.25" customHeight="1">
      <c r="A23" s="147" t="str">
        <f>IFERROR(__xludf.DUMMYFUNCTION("""COMPUTED_VALUE"""),"HAMBOL")</f>
        <v>HAMBOL</v>
      </c>
      <c r="B23" s="170">
        <f>COUNTIFS(DetailPromptitude!$C$2:$C$363,PromptitudeParRegion!$A23,DetailPromptitude!D$2:D$363,"&lt;&gt;NA")</f>
        <v>6</v>
      </c>
      <c r="C23" s="171">
        <f>IFERROR(VLOOKUP(A23,DetailPromptitude!$C$2:$T$366,10,0),"")</f>
        <v>1</v>
      </c>
      <c r="D23" s="170">
        <f>COUNTIFS(DetailPromptitude!$C$2:$C$363,PromptitudeParRegion!$A23,DetailPromptitude!E$2:E$363,"&lt;&gt;NA")</f>
        <v>6</v>
      </c>
      <c r="E23" s="171">
        <f>IFERROR(VLOOKUP(A23,DetailPromptitude!C20:$T$366,11,0),"")</f>
        <v>1</v>
      </c>
      <c r="F23" s="170">
        <f>COUNTIFS(DetailPromptitude!$C$2:$C$363,PromptitudeParRegion!$A23,DetailPromptitude!F$2:F$363,"&lt;&gt;NA")</f>
        <v>5</v>
      </c>
      <c r="G23" s="171">
        <f>IFERROR(VLOOKUP(A23,DetailPromptitude!$C$2:$T$366,12,0),"")</f>
        <v>1</v>
      </c>
      <c r="H23" s="170">
        <f>COUNTIFS(DetailPromptitude!$C$2:$C$363,PromptitudeParRegion!$A23,DetailPromptitude!G$2:G$363,"&lt;&gt;NA")</f>
        <v>1</v>
      </c>
      <c r="I23" s="171">
        <f>IFERROR(VLOOKUP(A23,DetailPromptitude!$C$2:$T$366,13,0),"")</f>
        <v>1</v>
      </c>
      <c r="J23" s="170">
        <f t="shared" si="1"/>
        <v>18</v>
      </c>
      <c r="K23" s="171">
        <f>IFERROR(VLOOKUP(A23,DetailPromptitude!$C$2:$T$366,18,0),"")</f>
        <v>1</v>
      </c>
      <c r="L23" s="170">
        <f>COUNTIFS(DetailPromptitude!$C$2:$C$363,PromptitudeParRegion!$A23,DetailPromptitude!H$2:H$363,"&lt;&gt;NA")</f>
        <v>7</v>
      </c>
      <c r="M23" s="171">
        <f>IFERROR(VLOOKUP(A23,DetailPromptitude!$C$2:$T$366,14,0),"")</f>
        <v>1</v>
      </c>
      <c r="N23" s="170">
        <f>COUNTIFS(DetailPromptitude!$C$2:$C$363,PromptitudeParRegion!$A23,DetailPromptitude!I$2:I$363,"&lt;&gt;NA")</f>
        <v>7</v>
      </c>
      <c r="O23" s="171">
        <f>IFERROR(VLOOKUP(A23,DetailPromptitude!$C$2:$T$366,15,0),"")</f>
        <v>0.8571428571</v>
      </c>
      <c r="P23" s="170">
        <f>COUNTIFS(DetailPromptitude!$C$2:$C$363,PromptitudeParRegion!$A23,DetailPromptitude!J$2:J$363,"&lt;&gt;NA")</f>
        <v>4</v>
      </c>
      <c r="Q23" s="171">
        <f>IFERROR(VLOOKUP(A23,DetailPromptitude!$C$2:$T$366,16,0),"")</f>
        <v>1</v>
      </c>
      <c r="R23" s="170">
        <f>COUNTIFS(DetailPromptitude!$C$2:$C$363,PromptitudeParRegion!$A23,DetailPromptitude!K$2:K$363,"&lt;&gt;NA")</f>
        <v>5</v>
      </c>
      <c r="S23" s="171">
        <f>IFERROR(VLOOKUP(A23,DetailPromptitude!$C$2:$T$366,17,0),"")</f>
        <v>1</v>
      </c>
    </row>
    <row r="24" ht="14.25" customHeight="1">
      <c r="A24" s="172" t="str">
        <f>IFERROR(__xludf.DUMMYFUNCTION("""COMPUTED_VALUE"""),"HAUT-SASSANDRA")</f>
        <v>HAUT-SASSANDRA</v>
      </c>
      <c r="B24" s="173">
        <f>COUNTIFS(DetailPromptitude!$C$2:$C$363,PromptitudeParRegion!$A24,DetailPromptitude!D$2:D$363,"&lt;&gt;NA")</f>
        <v>9</v>
      </c>
      <c r="C24" s="174">
        <f>IFERROR(VLOOKUP(A24,DetailPromptitude!$C$2:$T$366,10,0),"")</f>
        <v>0.8888888889</v>
      </c>
      <c r="D24" s="173">
        <f>COUNTIFS(DetailPromptitude!$C$2:$C$363,PromptitudeParRegion!$A24,DetailPromptitude!E$2:E$363,"&lt;&gt;NA")</f>
        <v>9</v>
      </c>
      <c r="E24" s="174">
        <f>IFERROR(VLOOKUP(A24,DetailPromptitude!C21:$T$366,11,0),"")</f>
        <v>0.8888888889</v>
      </c>
      <c r="F24" s="173">
        <f>COUNTIFS(DetailPromptitude!$C$2:$C$363,PromptitudeParRegion!$A24,DetailPromptitude!F$2:F$363,"&lt;&gt;NA")</f>
        <v>7</v>
      </c>
      <c r="G24" s="174">
        <f>IFERROR(VLOOKUP(A24,DetailPromptitude!$C$2:$T$366,12,0),"")</f>
        <v>1</v>
      </c>
      <c r="H24" s="173">
        <f>COUNTIFS(DetailPromptitude!$C$2:$C$363,PromptitudeParRegion!$A24,DetailPromptitude!G$2:G$363,"&lt;&gt;NA")</f>
        <v>3</v>
      </c>
      <c r="I24" s="174">
        <f>IFERROR(VLOOKUP(A24,DetailPromptitude!$C$2:$T$366,13,0),"")</f>
        <v>1</v>
      </c>
      <c r="J24" s="173">
        <f t="shared" si="1"/>
        <v>28</v>
      </c>
      <c r="K24" s="174">
        <f>IFERROR(VLOOKUP(A24,DetailPromptitude!$C$2:$T$366,18,0),"")</f>
        <v>0.9285714286</v>
      </c>
      <c r="L24" s="173">
        <f>COUNTIFS(DetailPromptitude!$C$2:$C$363,PromptitudeParRegion!$A24,DetailPromptitude!H$2:H$363,"&lt;&gt;NA")</f>
        <v>9</v>
      </c>
      <c r="M24" s="174">
        <f>IFERROR(VLOOKUP(A24,DetailPromptitude!$C$2:$T$366,14,0),"")</f>
        <v>0.7777777778</v>
      </c>
      <c r="N24" s="173">
        <f>COUNTIFS(DetailPromptitude!$C$2:$C$363,PromptitudeParRegion!$A24,DetailPromptitude!I$2:I$363,"&lt;&gt;NA")</f>
        <v>9</v>
      </c>
      <c r="O24" s="174">
        <f>IFERROR(VLOOKUP(A24,DetailPromptitude!$C$2:$T$366,15,0),"")</f>
        <v>0.7777777778</v>
      </c>
      <c r="P24" s="173">
        <f>COUNTIFS(DetailPromptitude!$C$2:$C$363,PromptitudeParRegion!$A24,DetailPromptitude!J$2:J$363,"&lt;&gt;NA")</f>
        <v>4</v>
      </c>
      <c r="Q24" s="174">
        <f>IFERROR(VLOOKUP(A24,DetailPromptitude!$C$2:$T$366,16,0),"")</f>
        <v>1</v>
      </c>
      <c r="R24" s="173">
        <f>COUNTIFS(DetailPromptitude!$C$2:$C$363,PromptitudeParRegion!$A24,DetailPromptitude!K$2:K$363,"&lt;&gt;NA")</f>
        <v>8</v>
      </c>
      <c r="S24" s="174">
        <f>IFERROR(VLOOKUP(A24,DetailPromptitude!$C$2:$T$366,17,0),"")</f>
        <v>0.875</v>
      </c>
    </row>
    <row r="25" ht="14.25" customHeight="1">
      <c r="A25" s="147" t="str">
        <f>IFERROR(__xludf.DUMMYFUNCTION("""COMPUTED_VALUE"""),"IFFOU")</f>
        <v>IFFOU</v>
      </c>
      <c r="B25" s="170">
        <f>COUNTIFS(DetailPromptitude!$C$2:$C$363,PromptitudeParRegion!$A25,DetailPromptitude!D$2:D$363,"&lt;&gt;NA")</f>
        <v>6</v>
      </c>
      <c r="C25" s="171">
        <f>IFERROR(VLOOKUP(A25,DetailPromptitude!$C$2:$T$366,10,0),"")</f>
        <v>1</v>
      </c>
      <c r="D25" s="170">
        <f>COUNTIFS(DetailPromptitude!$C$2:$C$363,PromptitudeParRegion!$A25,DetailPromptitude!E$2:E$363,"&lt;&gt;NA")</f>
        <v>6</v>
      </c>
      <c r="E25" s="171">
        <f>IFERROR(VLOOKUP(A25,DetailPromptitude!C22:$T$366,11,0),"")</f>
        <v>0.8333333333</v>
      </c>
      <c r="F25" s="170">
        <f>COUNTIFS(DetailPromptitude!$C$2:$C$363,PromptitudeParRegion!$A25,DetailPromptitude!F$2:F$363,"&lt;&gt;NA")</f>
        <v>4</v>
      </c>
      <c r="G25" s="171">
        <f>IFERROR(VLOOKUP(A25,DetailPromptitude!$C$2:$T$366,12,0),"")</f>
        <v>0.75</v>
      </c>
      <c r="H25" s="170">
        <f>COUNTIFS(DetailPromptitude!$C$2:$C$363,PromptitudeParRegion!$A25,DetailPromptitude!G$2:G$363,"&lt;&gt;NA")</f>
        <v>1</v>
      </c>
      <c r="I25" s="171">
        <f>IFERROR(VLOOKUP(A25,DetailPromptitude!$C$2:$T$366,13,0),"")</f>
        <v>1</v>
      </c>
      <c r="J25" s="170">
        <f t="shared" si="1"/>
        <v>17</v>
      </c>
      <c r="K25" s="171">
        <f>IFERROR(VLOOKUP(A25,DetailPromptitude!$C$2:$T$366,18,0),"")</f>
        <v>0.8823529412</v>
      </c>
      <c r="L25" s="170">
        <f>COUNTIFS(DetailPromptitude!$C$2:$C$363,PromptitudeParRegion!$A25,DetailPromptitude!H$2:H$363,"&lt;&gt;NA")</f>
        <v>7</v>
      </c>
      <c r="M25" s="171">
        <f>IFERROR(VLOOKUP(A25,DetailPromptitude!$C$2:$T$366,14,0),"")</f>
        <v>1</v>
      </c>
      <c r="N25" s="170">
        <f>COUNTIFS(DetailPromptitude!$C$2:$C$363,PromptitudeParRegion!$A25,DetailPromptitude!I$2:I$363,"&lt;&gt;NA")</f>
        <v>7</v>
      </c>
      <c r="O25" s="171">
        <f>IFERROR(VLOOKUP(A25,DetailPromptitude!$C$2:$T$366,15,0),"")</f>
        <v>1</v>
      </c>
      <c r="P25" s="170">
        <f>COUNTIFS(DetailPromptitude!$C$2:$C$363,PromptitudeParRegion!$A25,DetailPromptitude!J$2:J$363,"&lt;&gt;NA")</f>
        <v>4</v>
      </c>
      <c r="Q25" s="171">
        <f>IFERROR(VLOOKUP(A25,DetailPromptitude!$C$2:$T$366,16,0),"")</f>
        <v>1</v>
      </c>
      <c r="R25" s="170">
        <f>COUNTIFS(DetailPromptitude!$C$2:$C$363,PromptitudeParRegion!$A25,DetailPromptitude!K$2:K$363,"&lt;&gt;NA")</f>
        <v>4</v>
      </c>
      <c r="S25" s="171">
        <f>IFERROR(VLOOKUP(A25,DetailPromptitude!$C$2:$T$366,17,0),"")</f>
        <v>0.75</v>
      </c>
    </row>
    <row r="26" ht="14.25" customHeight="1">
      <c r="A26" s="172" t="str">
        <f>IFERROR(__xludf.DUMMYFUNCTION("""COMPUTED_VALUE"""),"INDENIE-DJUABLIN")</f>
        <v>INDENIE-DJUABLIN</v>
      </c>
      <c r="B26" s="173">
        <f>COUNTIFS(DetailPromptitude!$C$2:$C$363,PromptitudeParRegion!$A26,DetailPromptitude!D$2:D$363,"&lt;&gt;NA")</f>
        <v>6</v>
      </c>
      <c r="C26" s="174">
        <f>IFERROR(VLOOKUP(A26,DetailPromptitude!$C$2:$T$366,10,0),"")</f>
        <v>1</v>
      </c>
      <c r="D26" s="173">
        <f>COUNTIFS(DetailPromptitude!$C$2:$C$363,PromptitudeParRegion!$A26,DetailPromptitude!E$2:E$363,"&lt;&gt;NA")</f>
        <v>6</v>
      </c>
      <c r="E26" s="174">
        <f>IFERROR(VLOOKUP(A26,DetailPromptitude!C23:$T$366,11,0),"")</f>
        <v>0.8333333333</v>
      </c>
      <c r="F26" s="173">
        <f>COUNTIFS(DetailPromptitude!$C$2:$C$363,PromptitudeParRegion!$A26,DetailPromptitude!F$2:F$363,"&lt;&gt;NA")</f>
        <v>4</v>
      </c>
      <c r="G26" s="174">
        <f>IFERROR(VLOOKUP(A26,DetailPromptitude!$C$2:$T$366,12,0),"")</f>
        <v>1</v>
      </c>
      <c r="H26" s="173">
        <f>COUNTIFS(DetailPromptitude!$C$2:$C$363,PromptitudeParRegion!$A26,DetailPromptitude!G$2:G$363,"&lt;&gt;NA")</f>
        <v>2</v>
      </c>
      <c r="I26" s="174">
        <f>IFERROR(VLOOKUP(A26,DetailPromptitude!$C$2:$T$366,13,0),"")</f>
        <v>1</v>
      </c>
      <c r="J26" s="173">
        <f t="shared" si="1"/>
        <v>18</v>
      </c>
      <c r="K26" s="174">
        <f>IFERROR(VLOOKUP(A26,DetailPromptitude!$C$2:$T$366,18,0),"")</f>
        <v>0.9444444444</v>
      </c>
      <c r="L26" s="173">
        <f>COUNTIFS(DetailPromptitude!$C$2:$C$363,PromptitudeParRegion!$A26,DetailPromptitude!H$2:H$363,"&lt;&gt;NA")</f>
        <v>6</v>
      </c>
      <c r="M26" s="174">
        <f>IFERROR(VLOOKUP(A26,DetailPromptitude!$C$2:$T$366,14,0),"")</f>
        <v>1</v>
      </c>
      <c r="N26" s="173">
        <f>COUNTIFS(DetailPromptitude!$C$2:$C$363,PromptitudeParRegion!$A26,DetailPromptitude!I$2:I$363,"&lt;&gt;NA")</f>
        <v>7</v>
      </c>
      <c r="O26" s="174">
        <f>IFERROR(VLOOKUP(A26,DetailPromptitude!$C$2:$T$366,15,0),"")</f>
        <v>0.8571428571</v>
      </c>
      <c r="P26" s="173">
        <f>COUNTIFS(DetailPromptitude!$C$2:$C$363,PromptitudeParRegion!$A26,DetailPromptitude!J$2:J$363,"&lt;&gt;NA")</f>
        <v>0</v>
      </c>
      <c r="Q26" s="174" t="str">
        <f>IFERROR(VLOOKUP(A26,DetailPromptitude!$C$2:$T$366,16,0),"")</f>
        <v/>
      </c>
      <c r="R26" s="173">
        <f>COUNTIFS(DetailPromptitude!$C$2:$C$363,PromptitudeParRegion!$A26,DetailPromptitude!K$2:K$363,"&lt;&gt;NA")</f>
        <v>7</v>
      </c>
      <c r="S26" s="174">
        <f>IFERROR(VLOOKUP(A26,DetailPromptitude!$C$2:$T$366,17,0),"")</f>
        <v>0.7142857143</v>
      </c>
    </row>
    <row r="27" ht="14.25" customHeight="1">
      <c r="A27" s="147" t="str">
        <f>IFERROR(__xludf.DUMMYFUNCTION("""COMPUTED_VALUE"""),"KABADOUGOU")</f>
        <v>KABADOUGOU</v>
      </c>
      <c r="B27" s="170">
        <f>COUNTIFS(DetailPromptitude!$C$2:$C$363,PromptitudeParRegion!$A27,DetailPromptitude!D$2:D$363,"&lt;&gt;NA")</f>
        <v>7</v>
      </c>
      <c r="C27" s="171">
        <f>IFERROR(VLOOKUP(A27,DetailPromptitude!$C$2:$T$366,10,0),"")</f>
        <v>0.7142857143</v>
      </c>
      <c r="D27" s="170">
        <f>COUNTIFS(DetailPromptitude!$C$2:$C$363,PromptitudeParRegion!$A27,DetailPromptitude!E$2:E$363,"&lt;&gt;NA")</f>
        <v>7</v>
      </c>
      <c r="E27" s="171">
        <f>IFERROR(VLOOKUP(A27,DetailPromptitude!C24:$T$366,11,0),"")</f>
        <v>0.7142857143</v>
      </c>
      <c r="F27" s="170">
        <f>COUNTIFS(DetailPromptitude!$C$2:$C$363,PromptitudeParRegion!$A27,DetailPromptitude!F$2:F$363,"&lt;&gt;NA")</f>
        <v>3</v>
      </c>
      <c r="G27" s="171">
        <f>IFERROR(VLOOKUP(A27,DetailPromptitude!$C$2:$T$366,12,0),"")</f>
        <v>1</v>
      </c>
      <c r="H27" s="170">
        <f>COUNTIFS(DetailPromptitude!$C$2:$C$363,PromptitudeParRegion!$A27,DetailPromptitude!G$2:G$363,"&lt;&gt;NA")</f>
        <v>1</v>
      </c>
      <c r="I27" s="171">
        <f>IFERROR(VLOOKUP(A27,DetailPromptitude!$C$2:$T$366,13,0),"")</f>
        <v>1</v>
      </c>
      <c r="J27" s="170">
        <f t="shared" si="1"/>
        <v>18</v>
      </c>
      <c r="K27" s="171">
        <f>IFERROR(VLOOKUP(A27,DetailPromptitude!$C$2:$T$366,18,0),"")</f>
        <v>0.7777777778</v>
      </c>
      <c r="L27" s="170">
        <f>COUNTIFS(DetailPromptitude!$C$2:$C$363,PromptitudeParRegion!$A27,DetailPromptitude!H$2:H$363,"&lt;&gt;NA")</f>
        <v>7</v>
      </c>
      <c r="M27" s="171">
        <f>IFERROR(VLOOKUP(A27,DetailPromptitude!$C$2:$T$366,14,0),"")</f>
        <v>0.7142857143</v>
      </c>
      <c r="N27" s="170">
        <f>COUNTIFS(DetailPromptitude!$C$2:$C$363,PromptitudeParRegion!$A27,DetailPromptitude!I$2:I$363,"&lt;&gt;NA")</f>
        <v>7</v>
      </c>
      <c r="O27" s="171">
        <f>IFERROR(VLOOKUP(A27,DetailPromptitude!$C$2:$T$366,15,0),"")</f>
        <v>0.7142857143</v>
      </c>
      <c r="P27" s="170">
        <f>COUNTIFS(DetailPromptitude!$C$2:$C$363,PromptitudeParRegion!$A27,DetailPromptitude!J$2:J$363,"&lt;&gt;NA")</f>
        <v>5</v>
      </c>
      <c r="Q27" s="171">
        <f>IFERROR(VLOOKUP(A27,DetailPromptitude!$C$2:$T$366,16,0),"")</f>
        <v>0.8</v>
      </c>
      <c r="R27" s="170">
        <f>COUNTIFS(DetailPromptitude!$C$2:$C$363,PromptitudeParRegion!$A27,DetailPromptitude!K$2:K$363,"&lt;&gt;NA")</f>
        <v>5</v>
      </c>
      <c r="S27" s="171">
        <f>IFERROR(VLOOKUP(A27,DetailPromptitude!$C$2:$T$366,17,0),"")</f>
        <v>1</v>
      </c>
    </row>
    <row r="28" ht="14.25" customHeight="1">
      <c r="A28" s="172" t="str">
        <f>IFERROR(__xludf.DUMMYFUNCTION("""COMPUTED_VALUE"""),"MARAHOUE")</f>
        <v>MARAHOUE</v>
      </c>
      <c r="B28" s="173">
        <f>COUNTIFS(DetailPromptitude!$C$2:$C$363,PromptitudeParRegion!$A28,DetailPromptitude!D$2:D$363,"&lt;&gt;NA")</f>
        <v>6</v>
      </c>
      <c r="C28" s="174">
        <f>IFERROR(VLOOKUP(A28,DetailPromptitude!$C$2:$T$366,10,0),"")</f>
        <v>1</v>
      </c>
      <c r="D28" s="173">
        <f>COUNTIFS(DetailPromptitude!$C$2:$C$363,PromptitudeParRegion!$A28,DetailPromptitude!E$2:E$363,"&lt;&gt;NA")</f>
        <v>6</v>
      </c>
      <c r="E28" s="174">
        <f>IFERROR(VLOOKUP(A28,DetailPromptitude!C25:$T$366,11,0),"")</f>
        <v>1</v>
      </c>
      <c r="F28" s="173">
        <f>COUNTIFS(DetailPromptitude!$C$2:$C$363,PromptitudeParRegion!$A28,DetailPromptitude!F$2:F$363,"&lt;&gt;NA")</f>
        <v>6</v>
      </c>
      <c r="G28" s="174">
        <f>IFERROR(VLOOKUP(A28,DetailPromptitude!$C$2:$T$366,12,0),"")</f>
        <v>1</v>
      </c>
      <c r="H28" s="173">
        <f>COUNTIFS(DetailPromptitude!$C$2:$C$363,PromptitudeParRegion!$A28,DetailPromptitude!G$2:G$363,"&lt;&gt;NA")</f>
        <v>2</v>
      </c>
      <c r="I28" s="174">
        <f>IFERROR(VLOOKUP(A28,DetailPromptitude!$C$2:$T$366,13,0),"")</f>
        <v>1</v>
      </c>
      <c r="J28" s="173">
        <f t="shared" si="1"/>
        <v>20</v>
      </c>
      <c r="K28" s="174">
        <f>IFERROR(VLOOKUP(A28,DetailPromptitude!$C$2:$T$366,18,0),"")</f>
        <v>1</v>
      </c>
      <c r="L28" s="173">
        <f>COUNTIFS(DetailPromptitude!$C$2:$C$363,PromptitudeParRegion!$A28,DetailPromptitude!H$2:H$363,"&lt;&gt;NA")</f>
        <v>6</v>
      </c>
      <c r="M28" s="174">
        <f>IFERROR(VLOOKUP(A28,DetailPromptitude!$C$2:$T$366,14,0),"")</f>
        <v>1</v>
      </c>
      <c r="N28" s="173">
        <f>COUNTIFS(DetailPromptitude!$C$2:$C$363,PromptitudeParRegion!$A28,DetailPromptitude!I$2:I$363,"&lt;&gt;NA")</f>
        <v>8</v>
      </c>
      <c r="O28" s="174">
        <f>IFERROR(VLOOKUP(A28,DetailPromptitude!$C$2:$T$366,15,0),"")</f>
        <v>1</v>
      </c>
      <c r="P28" s="173">
        <f>COUNTIFS(DetailPromptitude!$C$2:$C$363,PromptitudeParRegion!$A28,DetailPromptitude!J$2:J$363,"&lt;&gt;NA")</f>
        <v>4</v>
      </c>
      <c r="Q28" s="174">
        <f>IFERROR(VLOOKUP(A28,DetailPromptitude!$C$2:$T$366,16,0),"")</f>
        <v>1</v>
      </c>
      <c r="R28" s="173">
        <f>COUNTIFS(DetailPromptitude!$C$2:$C$363,PromptitudeParRegion!$A28,DetailPromptitude!K$2:K$363,"&lt;&gt;NA")</f>
        <v>6</v>
      </c>
      <c r="S28" s="174">
        <f>IFERROR(VLOOKUP(A28,DetailPromptitude!$C$2:$T$366,17,0),"")</f>
        <v>0.6666666667</v>
      </c>
    </row>
    <row r="29" ht="14.25" customHeight="1">
      <c r="A29" s="147" t="str">
        <f>IFERROR(__xludf.DUMMYFUNCTION("""COMPUTED_VALUE"""),"ME")</f>
        <v>ME</v>
      </c>
      <c r="B29" s="170">
        <f>COUNTIFS(DetailPromptitude!$C$2:$C$363,PromptitudeParRegion!$A29,DetailPromptitude!D$2:D$363,"&lt;&gt;NA")</f>
        <v>10</v>
      </c>
      <c r="C29" s="171">
        <f>IFERROR(VLOOKUP(A29,DetailPromptitude!$C$2:$T$366,10,0),"")</f>
        <v>0.9</v>
      </c>
      <c r="D29" s="170">
        <f>COUNTIFS(DetailPromptitude!$C$2:$C$363,PromptitudeParRegion!$A29,DetailPromptitude!E$2:E$363,"&lt;&gt;NA")</f>
        <v>10</v>
      </c>
      <c r="E29" s="171">
        <f>IFERROR(VLOOKUP(A29,DetailPromptitude!C26:$T$366,11,0),"")</f>
        <v>0.9</v>
      </c>
      <c r="F29" s="170">
        <f>COUNTIFS(DetailPromptitude!$C$2:$C$363,PromptitudeParRegion!$A29,DetailPromptitude!F$2:F$363,"&lt;&gt;NA")</f>
        <v>9</v>
      </c>
      <c r="G29" s="171">
        <f>IFERROR(VLOOKUP(A29,DetailPromptitude!$C$2:$T$366,12,0),"")</f>
        <v>0.8888888889</v>
      </c>
      <c r="H29" s="170">
        <f>COUNTIFS(DetailPromptitude!$C$2:$C$363,PromptitudeParRegion!$A29,DetailPromptitude!G$2:G$363,"&lt;&gt;NA")</f>
        <v>1</v>
      </c>
      <c r="I29" s="171">
        <f>IFERROR(VLOOKUP(A29,DetailPromptitude!$C$2:$T$366,13,0),"")</f>
        <v>1</v>
      </c>
      <c r="J29" s="170">
        <f t="shared" si="1"/>
        <v>30</v>
      </c>
      <c r="K29" s="171">
        <f>IFERROR(VLOOKUP(A29,DetailPromptitude!$C$2:$T$366,18,0),"")</f>
        <v>0.9</v>
      </c>
      <c r="L29" s="170">
        <f>COUNTIFS(DetailPromptitude!$C$2:$C$363,PromptitudeParRegion!$A29,DetailPromptitude!H$2:H$363,"&lt;&gt;NA")</f>
        <v>11</v>
      </c>
      <c r="M29" s="171">
        <f>IFERROR(VLOOKUP(A29,DetailPromptitude!$C$2:$T$366,14,0),"")</f>
        <v>0.9090909091</v>
      </c>
      <c r="N29" s="170">
        <f>COUNTIFS(DetailPromptitude!$C$2:$C$363,PromptitudeParRegion!$A29,DetailPromptitude!I$2:I$363,"&lt;&gt;NA")</f>
        <v>9</v>
      </c>
      <c r="O29" s="171">
        <f>IFERROR(VLOOKUP(A29,DetailPromptitude!$C$2:$T$366,15,0),"")</f>
        <v>1</v>
      </c>
      <c r="P29" s="170">
        <f>COUNTIFS(DetailPromptitude!$C$2:$C$363,PromptitudeParRegion!$A29,DetailPromptitude!J$2:J$363,"&lt;&gt;NA")</f>
        <v>0</v>
      </c>
      <c r="Q29" s="171" t="str">
        <f>IFERROR(VLOOKUP(A29,DetailPromptitude!$C$2:$T$366,16,0),"")</f>
        <v/>
      </c>
      <c r="R29" s="170">
        <f>COUNTIFS(DetailPromptitude!$C$2:$C$363,PromptitudeParRegion!$A29,DetailPromptitude!K$2:K$363,"&lt;&gt;NA")</f>
        <v>7</v>
      </c>
      <c r="S29" s="171">
        <f>IFERROR(VLOOKUP(A29,DetailPromptitude!$C$2:$T$366,17,0),"")</f>
        <v>0.8571428571</v>
      </c>
    </row>
    <row r="30" ht="14.25" customHeight="1">
      <c r="A30" s="172" t="str">
        <f>IFERROR(__xludf.DUMMYFUNCTION("""COMPUTED_VALUE"""),"MORONOU")</f>
        <v>MORONOU</v>
      </c>
      <c r="B30" s="173">
        <f>COUNTIFS(DetailPromptitude!$C$2:$C$363,PromptitudeParRegion!$A30,DetailPromptitude!D$2:D$363,"&lt;&gt;NA")</f>
        <v>6</v>
      </c>
      <c r="C30" s="174">
        <f>IFERROR(VLOOKUP(A30,DetailPromptitude!$C$2:$T$366,10,0),"")</f>
        <v>1</v>
      </c>
      <c r="D30" s="173">
        <f>COUNTIFS(DetailPromptitude!$C$2:$C$363,PromptitudeParRegion!$A30,DetailPromptitude!E$2:E$363,"&lt;&gt;NA")</f>
        <v>6</v>
      </c>
      <c r="E30" s="174">
        <f>IFERROR(VLOOKUP(A30,DetailPromptitude!C27:$T$366,11,0),"")</f>
        <v>1</v>
      </c>
      <c r="F30" s="173">
        <f>COUNTIFS(DetailPromptitude!$C$2:$C$363,PromptitudeParRegion!$A30,DetailPromptitude!F$2:F$363,"&lt;&gt;NA")</f>
        <v>5</v>
      </c>
      <c r="G30" s="174">
        <f>IFERROR(VLOOKUP(A30,DetailPromptitude!$C$2:$T$366,12,0),"")</f>
        <v>1</v>
      </c>
      <c r="H30" s="173">
        <f>COUNTIFS(DetailPromptitude!$C$2:$C$363,PromptitudeParRegion!$A30,DetailPromptitude!G$2:G$363,"&lt;&gt;NA")</f>
        <v>1</v>
      </c>
      <c r="I30" s="174">
        <f>IFERROR(VLOOKUP(A30,DetailPromptitude!$C$2:$T$366,13,0),"")</f>
        <v>1</v>
      </c>
      <c r="J30" s="173">
        <f t="shared" si="1"/>
        <v>18</v>
      </c>
      <c r="K30" s="174">
        <f>IFERROR(VLOOKUP(A30,DetailPromptitude!$C$2:$T$366,18,0),"")</f>
        <v>1</v>
      </c>
      <c r="L30" s="173">
        <f>COUNTIFS(DetailPromptitude!$C$2:$C$363,PromptitudeParRegion!$A30,DetailPromptitude!H$2:H$363,"&lt;&gt;NA")</f>
        <v>6</v>
      </c>
      <c r="M30" s="174">
        <f>IFERROR(VLOOKUP(A30,DetailPromptitude!$C$2:$T$366,14,0),"")</f>
        <v>0.8333333333</v>
      </c>
      <c r="N30" s="173">
        <f>COUNTIFS(DetailPromptitude!$C$2:$C$363,PromptitudeParRegion!$A30,DetailPromptitude!I$2:I$363,"&lt;&gt;NA")</f>
        <v>6</v>
      </c>
      <c r="O30" s="174">
        <f>IFERROR(VLOOKUP(A30,DetailPromptitude!$C$2:$T$366,15,0),"")</f>
        <v>1</v>
      </c>
      <c r="P30" s="173">
        <f>COUNTIFS(DetailPromptitude!$C$2:$C$363,PromptitudeParRegion!$A30,DetailPromptitude!J$2:J$363,"&lt;&gt;NA")</f>
        <v>5</v>
      </c>
      <c r="Q30" s="174">
        <f>IFERROR(VLOOKUP(A30,DetailPromptitude!$C$2:$T$366,16,0),"")</f>
        <v>1</v>
      </c>
      <c r="R30" s="173">
        <f>COUNTIFS(DetailPromptitude!$C$2:$C$363,PromptitudeParRegion!$A30,DetailPromptitude!K$2:K$363,"&lt;&gt;NA")</f>
        <v>5</v>
      </c>
      <c r="S30" s="174">
        <f>IFERROR(VLOOKUP(A30,DetailPromptitude!$C$2:$T$366,17,0),"")</f>
        <v>0.8</v>
      </c>
    </row>
    <row r="31" ht="14.25" customHeight="1">
      <c r="A31" s="147" t="str">
        <f>IFERROR(__xludf.DUMMYFUNCTION("""COMPUTED_VALUE"""),"NAWA")</f>
        <v>NAWA</v>
      </c>
      <c r="B31" s="170">
        <f>COUNTIFS(DetailPromptitude!$C$2:$C$363,PromptitudeParRegion!$A31,DetailPromptitude!D$2:D$363,"&lt;&gt;NA")</f>
        <v>8</v>
      </c>
      <c r="C31" s="171">
        <f>IFERROR(VLOOKUP(A31,DetailPromptitude!$C$2:$T$366,10,0),"")</f>
        <v>1</v>
      </c>
      <c r="D31" s="170">
        <f>COUNTIFS(DetailPromptitude!$C$2:$C$363,PromptitudeParRegion!$A31,DetailPromptitude!E$2:E$363,"&lt;&gt;NA")</f>
        <v>8</v>
      </c>
      <c r="E31" s="171">
        <f>IFERROR(VLOOKUP(A31,DetailPromptitude!C28:$T$366,11,0),"")</f>
        <v>1</v>
      </c>
      <c r="F31" s="170">
        <f>COUNTIFS(DetailPromptitude!$C$2:$C$363,PromptitudeParRegion!$A31,DetailPromptitude!F$2:F$363,"&lt;&gt;NA")</f>
        <v>6</v>
      </c>
      <c r="G31" s="171">
        <f>IFERROR(VLOOKUP(A31,DetailPromptitude!$C$2:$T$366,12,0),"")</f>
        <v>1</v>
      </c>
      <c r="H31" s="170">
        <f>COUNTIFS(DetailPromptitude!$C$2:$C$363,PromptitudeParRegion!$A31,DetailPromptitude!G$2:G$363,"&lt;&gt;NA")</f>
        <v>2</v>
      </c>
      <c r="I31" s="171">
        <f>IFERROR(VLOOKUP(A31,DetailPromptitude!$C$2:$T$366,13,0),"")</f>
        <v>1</v>
      </c>
      <c r="J31" s="170">
        <f t="shared" si="1"/>
        <v>24</v>
      </c>
      <c r="K31" s="171">
        <f>IFERROR(VLOOKUP(A31,DetailPromptitude!$C$2:$T$366,18,0),"")</f>
        <v>1</v>
      </c>
      <c r="L31" s="170">
        <f>COUNTIFS(DetailPromptitude!$C$2:$C$363,PromptitudeParRegion!$A31,DetailPromptitude!H$2:H$363,"&lt;&gt;NA")</f>
        <v>10</v>
      </c>
      <c r="M31" s="171">
        <f>IFERROR(VLOOKUP(A31,DetailPromptitude!$C$2:$T$366,14,0),"")</f>
        <v>1</v>
      </c>
      <c r="N31" s="170">
        <f>COUNTIFS(DetailPromptitude!$C$2:$C$363,PromptitudeParRegion!$A31,DetailPromptitude!I$2:I$363,"&lt;&gt;NA")</f>
        <v>10</v>
      </c>
      <c r="O31" s="171">
        <f>IFERROR(VLOOKUP(A31,DetailPromptitude!$C$2:$T$366,15,0),"")</f>
        <v>0.9</v>
      </c>
      <c r="P31" s="170">
        <f>COUNTIFS(DetailPromptitude!$C$2:$C$363,PromptitudeParRegion!$A31,DetailPromptitude!J$2:J$363,"&lt;&gt;NA")</f>
        <v>7</v>
      </c>
      <c r="Q31" s="171">
        <f>IFERROR(VLOOKUP(A31,DetailPromptitude!$C$2:$T$366,16,0),"")</f>
        <v>1</v>
      </c>
      <c r="R31" s="170">
        <f>COUNTIFS(DetailPromptitude!$C$2:$C$363,PromptitudeParRegion!$A31,DetailPromptitude!K$2:K$363,"&lt;&gt;NA")</f>
        <v>8</v>
      </c>
      <c r="S31" s="171">
        <f>IFERROR(VLOOKUP(A31,DetailPromptitude!$C$2:$T$366,17,0),"")</f>
        <v>1</v>
      </c>
    </row>
    <row r="32" ht="14.25" customHeight="1">
      <c r="A32" s="172" t="str">
        <f>IFERROR(__xludf.DUMMYFUNCTION("""COMPUTED_VALUE"""),"N'ZI")</f>
        <v>N'ZI</v>
      </c>
      <c r="B32" s="173">
        <f>COUNTIFS(DetailPromptitude!$C$2:$C$363,PromptitudeParRegion!$A32,DetailPromptitude!D$2:D$363,"&lt;&gt;NA")</f>
        <v>6</v>
      </c>
      <c r="C32" s="174">
        <f>IFERROR(VLOOKUP(A32,DetailPromptitude!$C$2:$T$366,10,0),"")</f>
        <v>0.8333333333</v>
      </c>
      <c r="D32" s="173">
        <f>COUNTIFS(DetailPromptitude!$C$2:$C$363,PromptitudeParRegion!$A32,DetailPromptitude!E$2:E$363,"&lt;&gt;NA")</f>
        <v>6</v>
      </c>
      <c r="E32" s="174">
        <f>IFERROR(VLOOKUP(A32,DetailPromptitude!C29:$T$366,11,0),"")</f>
        <v>0.8333333333</v>
      </c>
      <c r="F32" s="173">
        <f>COUNTIFS(DetailPromptitude!$C$2:$C$363,PromptitudeParRegion!$A32,DetailPromptitude!F$2:F$363,"&lt;&gt;NA")</f>
        <v>3</v>
      </c>
      <c r="G32" s="174">
        <f>IFERROR(VLOOKUP(A32,DetailPromptitude!$C$2:$T$366,12,0),"")</f>
        <v>1</v>
      </c>
      <c r="H32" s="173">
        <f>COUNTIFS(DetailPromptitude!$C$2:$C$363,PromptitudeParRegion!$A32,DetailPromptitude!G$2:G$363,"&lt;&gt;NA")</f>
        <v>1</v>
      </c>
      <c r="I32" s="174">
        <f>IFERROR(VLOOKUP(A32,DetailPromptitude!$C$2:$T$366,13,0),"")</f>
        <v>1</v>
      </c>
      <c r="J32" s="173">
        <f t="shared" si="1"/>
        <v>16</v>
      </c>
      <c r="K32" s="174">
        <f>IFERROR(VLOOKUP(A32,DetailPromptitude!$C$2:$T$366,18,0),"")</f>
        <v>0.875</v>
      </c>
      <c r="L32" s="173">
        <f>COUNTIFS(DetailPromptitude!$C$2:$C$363,PromptitudeParRegion!$A32,DetailPromptitude!H$2:H$363,"&lt;&gt;NA")</f>
        <v>6</v>
      </c>
      <c r="M32" s="174">
        <f>IFERROR(VLOOKUP(A32,DetailPromptitude!$C$2:$T$366,14,0),"")</f>
        <v>0.8333333333</v>
      </c>
      <c r="N32" s="173">
        <f>COUNTIFS(DetailPromptitude!$C$2:$C$363,PromptitudeParRegion!$A32,DetailPromptitude!I$2:I$363,"&lt;&gt;NA")</f>
        <v>6</v>
      </c>
      <c r="O32" s="174">
        <f>IFERROR(VLOOKUP(A32,DetailPromptitude!$C$2:$T$366,15,0),"")</f>
        <v>0.8333333333</v>
      </c>
      <c r="P32" s="173">
        <f>COUNTIFS(DetailPromptitude!$C$2:$C$363,PromptitudeParRegion!$A32,DetailPromptitude!J$2:J$363,"&lt;&gt;NA")</f>
        <v>0</v>
      </c>
      <c r="Q32" s="174" t="str">
        <f>IFERROR(VLOOKUP(A32,DetailPromptitude!$C$2:$T$366,16,0),"")</f>
        <v/>
      </c>
      <c r="R32" s="173">
        <f>COUNTIFS(DetailPromptitude!$C$2:$C$363,PromptitudeParRegion!$A32,DetailPromptitude!K$2:K$363,"&lt;&gt;NA")</f>
        <v>5</v>
      </c>
      <c r="S32" s="174">
        <f>IFERROR(VLOOKUP(A32,DetailPromptitude!$C$2:$T$366,17,0),"")</f>
        <v>0.6</v>
      </c>
    </row>
    <row r="33" ht="14.25" customHeight="1">
      <c r="A33" s="147" t="str">
        <f>IFERROR(__xludf.DUMMYFUNCTION("""COMPUTED_VALUE"""),"PORO")</f>
        <v>PORO</v>
      </c>
      <c r="B33" s="170">
        <f>COUNTIFS(DetailPromptitude!$C$2:$C$363,PromptitudeParRegion!$A33,DetailPromptitude!D$2:D$363,"&lt;&gt;NA")</f>
        <v>9</v>
      </c>
      <c r="C33" s="171">
        <f>IFERROR(VLOOKUP(A33,DetailPromptitude!$C$2:$T$366,10,0),"")</f>
        <v>0.8888888889</v>
      </c>
      <c r="D33" s="170">
        <f>COUNTIFS(DetailPromptitude!$C$2:$C$363,PromptitudeParRegion!$A33,DetailPromptitude!E$2:E$363,"&lt;&gt;NA")</f>
        <v>9</v>
      </c>
      <c r="E33" s="171">
        <f>IFERROR(VLOOKUP(A33,DetailPromptitude!C30:$T$366,11,0),"")</f>
        <v>0.8888888889</v>
      </c>
      <c r="F33" s="170">
        <f>COUNTIFS(DetailPromptitude!$C$2:$C$363,PromptitudeParRegion!$A33,DetailPromptitude!F$2:F$363,"&lt;&gt;NA")</f>
        <v>5</v>
      </c>
      <c r="G33" s="171">
        <f>IFERROR(VLOOKUP(A33,DetailPromptitude!$C$2:$T$366,12,0),"")</f>
        <v>1</v>
      </c>
      <c r="H33" s="170">
        <f>COUNTIFS(DetailPromptitude!$C$2:$C$363,PromptitudeParRegion!$A33,DetailPromptitude!G$2:G$363,"&lt;&gt;NA")</f>
        <v>1</v>
      </c>
      <c r="I33" s="171">
        <f>IFERROR(VLOOKUP(A33,DetailPromptitude!$C$2:$T$366,13,0),"")</f>
        <v>1</v>
      </c>
      <c r="J33" s="170">
        <f t="shared" si="1"/>
        <v>24</v>
      </c>
      <c r="K33" s="171">
        <f>IFERROR(VLOOKUP(A33,DetailPromptitude!$C$2:$T$366,18,0),"")</f>
        <v>0.9166666667</v>
      </c>
      <c r="L33" s="170">
        <f>COUNTIFS(DetailPromptitude!$C$2:$C$363,PromptitudeParRegion!$A33,DetailPromptitude!H$2:H$363,"&lt;&gt;NA")</f>
        <v>11</v>
      </c>
      <c r="M33" s="171">
        <f>IFERROR(VLOOKUP(A33,DetailPromptitude!$C$2:$T$366,14,0),"")</f>
        <v>0.8181818182</v>
      </c>
      <c r="N33" s="170">
        <f>COUNTIFS(DetailPromptitude!$C$2:$C$363,PromptitudeParRegion!$A33,DetailPromptitude!I$2:I$363,"&lt;&gt;NA")</f>
        <v>11</v>
      </c>
      <c r="O33" s="171">
        <f>IFERROR(VLOOKUP(A33,DetailPromptitude!$C$2:$T$366,15,0),"")</f>
        <v>0.7272727273</v>
      </c>
      <c r="P33" s="170">
        <f>COUNTIFS(DetailPromptitude!$C$2:$C$363,PromptitudeParRegion!$A33,DetailPromptitude!J$2:J$363,"&lt;&gt;NA")</f>
        <v>9</v>
      </c>
      <c r="Q33" s="171">
        <f>IFERROR(VLOOKUP(A33,DetailPromptitude!$C$2:$T$366,16,0),"")</f>
        <v>0.7777777778</v>
      </c>
      <c r="R33" s="170">
        <f>COUNTIFS(DetailPromptitude!$C$2:$C$363,PromptitudeParRegion!$A33,DetailPromptitude!K$2:K$363,"&lt;&gt;NA")</f>
        <v>4</v>
      </c>
      <c r="S33" s="171">
        <f>IFERROR(VLOOKUP(A33,DetailPromptitude!$C$2:$T$366,17,0),"")</f>
        <v>0.25</v>
      </c>
    </row>
    <row r="34" ht="14.25" customHeight="1">
      <c r="A34" s="172" t="str">
        <f>IFERROR(__xludf.DUMMYFUNCTION("""COMPUTED_VALUE"""),"SUD-COMOE")</f>
        <v>SUD-COMOE</v>
      </c>
      <c r="B34" s="173">
        <f>COUNTIFS(DetailPromptitude!$C$2:$C$363,PromptitudeParRegion!$A34,DetailPromptitude!D$2:D$363,"&lt;&gt;NA")</f>
        <v>11</v>
      </c>
      <c r="C34" s="174">
        <f>IFERROR(VLOOKUP(A34,DetailPromptitude!$C$2:$T$366,10,0),"")</f>
        <v>0.9090909091</v>
      </c>
      <c r="D34" s="173">
        <f>COUNTIFS(DetailPromptitude!$C$2:$C$363,PromptitudeParRegion!$A34,DetailPromptitude!E$2:E$363,"&lt;&gt;NA")</f>
        <v>11</v>
      </c>
      <c r="E34" s="174">
        <f>IFERROR(VLOOKUP(A34,DetailPromptitude!C31:$T$366,11,0),"")</f>
        <v>0.9090909091</v>
      </c>
      <c r="F34" s="173">
        <f>COUNTIFS(DetailPromptitude!$C$2:$C$363,PromptitudeParRegion!$A34,DetailPromptitude!F$2:F$363,"&lt;&gt;NA")</f>
        <v>8</v>
      </c>
      <c r="G34" s="174">
        <f>IFERROR(VLOOKUP(A34,DetailPromptitude!$C$2:$T$366,12,0),"")</f>
        <v>1</v>
      </c>
      <c r="H34" s="173">
        <f>COUNTIFS(DetailPromptitude!$C$2:$C$363,PromptitudeParRegion!$A34,DetailPromptitude!G$2:G$363,"&lt;&gt;NA")</f>
        <v>2</v>
      </c>
      <c r="I34" s="174">
        <f>IFERROR(VLOOKUP(A34,DetailPromptitude!$C$2:$T$366,13,0),"")</f>
        <v>1</v>
      </c>
      <c r="J34" s="173">
        <f t="shared" si="1"/>
        <v>32</v>
      </c>
      <c r="K34" s="174">
        <f>IFERROR(VLOOKUP(A34,DetailPromptitude!$C$2:$T$366,18,0),"")</f>
        <v>0.9375</v>
      </c>
      <c r="L34" s="173">
        <f>COUNTIFS(DetailPromptitude!$C$2:$C$363,PromptitudeParRegion!$A34,DetailPromptitude!H$2:H$363,"&lt;&gt;NA")</f>
        <v>11</v>
      </c>
      <c r="M34" s="174">
        <f>IFERROR(VLOOKUP(A34,DetailPromptitude!$C$2:$T$366,14,0),"")</f>
        <v>0.9090909091</v>
      </c>
      <c r="N34" s="173">
        <f>COUNTIFS(DetailPromptitude!$C$2:$C$363,PromptitudeParRegion!$A34,DetailPromptitude!I$2:I$363,"&lt;&gt;NA")</f>
        <v>11</v>
      </c>
      <c r="O34" s="174">
        <f>IFERROR(VLOOKUP(A34,DetailPromptitude!$C$2:$T$366,15,0),"")</f>
        <v>0.7272727273</v>
      </c>
      <c r="P34" s="173">
        <f>COUNTIFS(DetailPromptitude!$C$2:$C$363,PromptitudeParRegion!$A34,DetailPromptitude!J$2:J$363,"&lt;&gt;NA")</f>
        <v>2</v>
      </c>
      <c r="Q34" s="174">
        <f>IFERROR(VLOOKUP(A34,DetailPromptitude!$C$2:$T$366,16,0),"")</f>
        <v>1</v>
      </c>
      <c r="R34" s="173">
        <f>COUNTIFS(DetailPromptitude!$C$2:$C$363,PromptitudeParRegion!$A34,DetailPromptitude!K$2:K$363,"&lt;&gt;NA")</f>
        <v>7</v>
      </c>
      <c r="S34" s="174">
        <f>IFERROR(VLOOKUP(A34,DetailPromptitude!$C$2:$T$366,17,0),"")</f>
        <v>0.5714285714</v>
      </c>
    </row>
    <row r="35" ht="14.25" customHeight="1">
      <c r="A35" s="147" t="str">
        <f>IFERROR(__xludf.DUMMYFUNCTION("""COMPUTED_VALUE"""),"TCHOLOGO")</f>
        <v>TCHOLOGO</v>
      </c>
      <c r="B35" s="170">
        <f>COUNTIFS(DetailPromptitude!$C$2:$C$363,PromptitudeParRegion!$A35,DetailPromptitude!D$2:D$363,"&lt;&gt;NA")</f>
        <v>6</v>
      </c>
      <c r="C35" s="171">
        <f>IFERROR(VLOOKUP(A35,DetailPromptitude!$C$2:$T$366,10,0),"")</f>
        <v>0.6666666667</v>
      </c>
      <c r="D35" s="170">
        <f>COUNTIFS(DetailPromptitude!$C$2:$C$363,PromptitudeParRegion!$A35,DetailPromptitude!E$2:E$363,"&lt;&gt;NA")</f>
        <v>6</v>
      </c>
      <c r="E35" s="171">
        <f>IFERROR(VLOOKUP(A35,DetailPromptitude!C32:$T$366,11,0),"")</f>
        <v>0.6666666667</v>
      </c>
      <c r="F35" s="170">
        <f>COUNTIFS(DetailPromptitude!$C$2:$C$363,PromptitudeParRegion!$A35,DetailPromptitude!F$2:F$363,"&lt;&gt;NA")</f>
        <v>5</v>
      </c>
      <c r="G35" s="171">
        <f>IFERROR(VLOOKUP(A35,DetailPromptitude!$C$2:$T$366,12,0),"")</f>
        <v>0.8</v>
      </c>
      <c r="H35" s="170">
        <f>COUNTIFS(DetailPromptitude!$C$2:$C$363,PromptitudeParRegion!$A35,DetailPromptitude!G$2:G$363,"&lt;&gt;NA")</f>
        <v>1</v>
      </c>
      <c r="I35" s="171">
        <f>IFERROR(VLOOKUP(A35,DetailPromptitude!$C$2:$T$366,13,0),"")</f>
        <v>1</v>
      </c>
      <c r="J35" s="170">
        <f t="shared" si="1"/>
        <v>18</v>
      </c>
      <c r="K35" s="171">
        <f>IFERROR(VLOOKUP(A35,DetailPromptitude!$C$2:$T$366,18,0),"")</f>
        <v>0.7222222222</v>
      </c>
      <c r="L35" s="170">
        <f>COUNTIFS(DetailPromptitude!$C$2:$C$363,PromptitudeParRegion!$A35,DetailPromptitude!H$2:H$363,"&lt;&gt;NA")</f>
        <v>8</v>
      </c>
      <c r="M35" s="171">
        <f>IFERROR(VLOOKUP(A35,DetailPromptitude!$C$2:$T$366,14,0),"")</f>
        <v>0.75</v>
      </c>
      <c r="N35" s="170">
        <f>COUNTIFS(DetailPromptitude!$C$2:$C$363,PromptitudeParRegion!$A35,DetailPromptitude!I$2:I$363,"&lt;&gt;NA")</f>
        <v>8</v>
      </c>
      <c r="O35" s="171">
        <f>IFERROR(VLOOKUP(A35,DetailPromptitude!$C$2:$T$366,15,0),"")</f>
        <v>0.75</v>
      </c>
      <c r="P35" s="170">
        <f>COUNTIFS(DetailPromptitude!$C$2:$C$363,PromptitudeParRegion!$A35,DetailPromptitude!J$2:J$363,"&lt;&gt;NA")</f>
        <v>7</v>
      </c>
      <c r="Q35" s="171">
        <f>IFERROR(VLOOKUP(A35,DetailPromptitude!$C$2:$T$366,16,0),"")</f>
        <v>0.7142857143</v>
      </c>
      <c r="R35" s="170">
        <f>COUNTIFS(DetailPromptitude!$C$2:$C$363,PromptitudeParRegion!$A35,DetailPromptitude!K$2:K$363,"&lt;&gt;NA")</f>
        <v>5</v>
      </c>
      <c r="S35" s="171">
        <f>IFERROR(VLOOKUP(A35,DetailPromptitude!$C$2:$T$366,17,0),"")</f>
        <v>0.8</v>
      </c>
    </row>
    <row r="36" ht="14.25" customHeight="1">
      <c r="A36" s="172" t="str">
        <f>IFERROR(__xludf.DUMMYFUNCTION("""COMPUTED_VALUE"""),"TONKPI")</f>
        <v>TONKPI</v>
      </c>
      <c r="B36" s="173">
        <f>COUNTIFS(DetailPromptitude!$C$2:$C$363,PromptitudeParRegion!$A36,DetailPromptitude!D$2:D$363,"&lt;&gt;NA")</f>
        <v>8</v>
      </c>
      <c r="C36" s="174">
        <f>IFERROR(VLOOKUP(A36,DetailPromptitude!$C$2:$T$366,10,0),"")</f>
        <v>1</v>
      </c>
      <c r="D36" s="173">
        <f>COUNTIFS(DetailPromptitude!$C$2:$C$363,PromptitudeParRegion!$A36,DetailPromptitude!E$2:E$363,"&lt;&gt;NA")</f>
        <v>8</v>
      </c>
      <c r="E36" s="174">
        <f>IFERROR(VLOOKUP(A36,DetailPromptitude!C33:$T$366,11,0),"")</f>
        <v>1</v>
      </c>
      <c r="F36" s="173">
        <f>COUNTIFS(DetailPromptitude!$C$2:$C$363,PromptitudeParRegion!$A36,DetailPromptitude!F$2:F$363,"&lt;&gt;NA")</f>
        <v>6</v>
      </c>
      <c r="G36" s="174">
        <f>IFERROR(VLOOKUP(A36,DetailPromptitude!$C$2:$T$366,12,0),"")</f>
        <v>1</v>
      </c>
      <c r="H36" s="173">
        <f>COUNTIFS(DetailPromptitude!$C$2:$C$363,PromptitudeParRegion!$A36,DetailPromptitude!G$2:G$363,"&lt;&gt;NA")</f>
        <v>2</v>
      </c>
      <c r="I36" s="174">
        <f>IFERROR(VLOOKUP(A36,DetailPromptitude!$C$2:$T$366,13,0),"")</f>
        <v>1</v>
      </c>
      <c r="J36" s="173">
        <f t="shared" si="1"/>
        <v>24</v>
      </c>
      <c r="K36" s="174">
        <f>IFERROR(VLOOKUP(A36,DetailPromptitude!$C$2:$T$366,18,0),"")</f>
        <v>1</v>
      </c>
      <c r="L36" s="173">
        <f>COUNTIFS(DetailPromptitude!$C$2:$C$363,PromptitudeParRegion!$A36,DetailPromptitude!H$2:H$363,"&lt;&gt;NA")</f>
        <v>8</v>
      </c>
      <c r="M36" s="174">
        <f>IFERROR(VLOOKUP(A36,DetailPromptitude!$C$2:$T$366,14,0),"")</f>
        <v>1</v>
      </c>
      <c r="N36" s="173">
        <f>COUNTIFS(DetailPromptitude!$C$2:$C$363,PromptitudeParRegion!$A36,DetailPromptitude!I$2:I$363,"&lt;&gt;NA")</f>
        <v>8</v>
      </c>
      <c r="O36" s="174">
        <f>IFERROR(VLOOKUP(A36,DetailPromptitude!$C$2:$T$366,15,0),"")</f>
        <v>0.875</v>
      </c>
      <c r="P36" s="173">
        <f>COUNTIFS(DetailPromptitude!$C$2:$C$363,PromptitudeParRegion!$A36,DetailPromptitude!J$2:J$363,"&lt;&gt;NA")</f>
        <v>8</v>
      </c>
      <c r="Q36" s="174">
        <f>IFERROR(VLOOKUP(A36,DetailPromptitude!$C$2:$T$366,16,0),"")</f>
        <v>0.875</v>
      </c>
      <c r="R36" s="173">
        <f>COUNTIFS(DetailPromptitude!$C$2:$C$363,PromptitudeParRegion!$A36,DetailPromptitude!K$2:K$363,"&lt;&gt;NA")</f>
        <v>8</v>
      </c>
      <c r="S36" s="174">
        <f>IFERROR(VLOOKUP(A36,DetailPromptitude!$C$2:$T$366,17,0),"")</f>
        <v>0.75</v>
      </c>
    </row>
    <row r="37" ht="14.25" customHeight="1">
      <c r="A37" s="147" t="str">
        <f>IFERROR(__xludf.DUMMYFUNCTION("""COMPUTED_VALUE"""),"WORODOUGOU")</f>
        <v>WORODOUGOU</v>
      </c>
      <c r="B37" s="175">
        <f>COUNTIFS(DetailPromptitude!$C$2:$C$363,PromptitudeParRegion!$A37,DetailPromptitude!D$2:D$363,"&lt;&gt;NA")</f>
        <v>4</v>
      </c>
      <c r="C37" s="176">
        <f>IFERROR(VLOOKUP(A37,DetailPromptitude!$C$2:$T$366,10,0),"")</f>
        <v>1</v>
      </c>
      <c r="D37" s="175">
        <f>COUNTIFS(DetailPromptitude!$C$2:$C$363,PromptitudeParRegion!$A37,DetailPromptitude!E$2:E$363,"&lt;&gt;NA")</f>
        <v>4</v>
      </c>
      <c r="E37" s="176">
        <f>IFERROR(VLOOKUP(A37,DetailPromptitude!C34:$T$366,11,0),"")</f>
        <v>1</v>
      </c>
      <c r="F37" s="175">
        <f>COUNTIFS(DetailPromptitude!$C$2:$C$363,PromptitudeParRegion!$A37,DetailPromptitude!F$2:F$363,"&lt;&gt;NA")</f>
        <v>2</v>
      </c>
      <c r="G37" s="176">
        <f>IFERROR(VLOOKUP(A37,DetailPromptitude!$C$2:$T$366,12,0),"")</f>
        <v>1</v>
      </c>
      <c r="H37" s="175">
        <f>COUNTIFS(DetailPromptitude!$C$2:$C$363,PromptitudeParRegion!$A37,DetailPromptitude!G$2:G$363,"&lt;&gt;NA")</f>
        <v>1</v>
      </c>
      <c r="I37" s="176">
        <f>IFERROR(VLOOKUP(A37,DetailPromptitude!$C$2:$T$366,13,0),"")</f>
        <v>1</v>
      </c>
      <c r="J37" s="175">
        <f t="shared" si="1"/>
        <v>11</v>
      </c>
      <c r="K37" s="176">
        <f>IFERROR(VLOOKUP(A37,DetailPromptitude!$C$2:$T$366,18,0),"")</f>
        <v>1</v>
      </c>
      <c r="L37" s="175">
        <f>COUNTIFS(DetailPromptitude!$C$2:$C$363,PromptitudeParRegion!$A37,DetailPromptitude!H$2:H$363,"&lt;&gt;NA")</f>
        <v>4</v>
      </c>
      <c r="M37" s="176">
        <f>IFERROR(VLOOKUP(A37,DetailPromptitude!$C$2:$T$366,14,0),"")</f>
        <v>1</v>
      </c>
      <c r="N37" s="175">
        <f>COUNTIFS(DetailPromptitude!$C$2:$C$363,PromptitudeParRegion!$A37,DetailPromptitude!I$2:I$363,"&lt;&gt;NA")</f>
        <v>4</v>
      </c>
      <c r="O37" s="176">
        <f>IFERROR(VLOOKUP(A37,DetailPromptitude!$C$2:$T$366,15,0),"")</f>
        <v>1</v>
      </c>
      <c r="P37" s="175">
        <f>COUNTIFS(DetailPromptitude!$C$2:$C$363,PromptitudeParRegion!$A37,DetailPromptitude!J$2:J$363,"&lt;&gt;NA")</f>
        <v>2</v>
      </c>
      <c r="Q37" s="176">
        <f>IFERROR(VLOOKUP(A37,DetailPromptitude!$C$2:$T$366,16,0),"")</f>
        <v>1</v>
      </c>
      <c r="R37" s="175">
        <f>COUNTIFS(DetailPromptitude!$C$2:$C$363,PromptitudeParRegion!$A37,DetailPromptitude!K$2:K$363,"&lt;&gt;NA")</f>
        <v>1</v>
      </c>
      <c r="S37" s="176">
        <f>IFERROR(VLOOKUP(A37,DetailPromptitude!$C$2:$T$366,17,0),"")</f>
        <v>1</v>
      </c>
    </row>
    <row r="38" ht="14.25" customHeight="1">
      <c r="A38" s="152" t="s">
        <v>887</v>
      </c>
      <c r="B38" s="177">
        <f>SUM(B5:B37)</f>
        <v>266</v>
      </c>
      <c r="C38" s="178">
        <f>DetailPromptitude!D365</f>
        <v>0.8609022556</v>
      </c>
      <c r="D38" s="179">
        <f>SUM(D5:D37)</f>
        <v>267</v>
      </c>
      <c r="E38" s="178">
        <f>DetailPromptitude!E365</f>
        <v>0.8539325843</v>
      </c>
      <c r="F38" s="179">
        <f>SUM(F5:F37)</f>
        <v>195</v>
      </c>
      <c r="G38" s="178">
        <f>DetailPromptitude!F365</f>
        <v>0.8512820513</v>
      </c>
      <c r="H38" s="179">
        <f>SUM(H5:H37)</f>
        <v>67</v>
      </c>
      <c r="I38" s="178">
        <f>DetailPromptitude!G365</f>
        <v>0.8208955224</v>
      </c>
      <c r="J38" s="179">
        <f>SUM(J5:J37)</f>
        <v>795</v>
      </c>
      <c r="K38" s="178">
        <f>SUM(DetailPromptitude!$D$2:$G$363)/J38</f>
        <v>0.8528301887</v>
      </c>
      <c r="L38" s="179">
        <f>SUM(L5:L37)</f>
        <v>299</v>
      </c>
      <c r="M38" s="178">
        <f>DetailPromptitude!H365</f>
        <v>0.8494983278</v>
      </c>
      <c r="N38" s="179">
        <f>SUM(N5:N37)</f>
        <v>295</v>
      </c>
      <c r="O38" s="178">
        <f>DetailPromptitude!I365</f>
        <v>0.8</v>
      </c>
      <c r="P38" s="179">
        <f>SUM(P5:P37)</f>
        <v>134</v>
      </c>
      <c r="Q38" s="178">
        <f>DetailPromptitude!J365</f>
        <v>0.8656716418</v>
      </c>
      <c r="R38" s="179">
        <f>SUM(R5:R37)</f>
        <v>199</v>
      </c>
      <c r="S38" s="180">
        <f>DetailPromptitude!K365</f>
        <v>0.675</v>
      </c>
    </row>
    <row r="39" ht="29.25" customHeight="1">
      <c r="A39" s="115"/>
      <c r="B39" s="181">
        <f>DetailPromptitude!D366</f>
        <v>0.8235635519</v>
      </c>
      <c r="C39" s="117"/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118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S$39"/>
  <mergeCells count="11">
    <mergeCell ref="N3:O3"/>
    <mergeCell ref="P3:Q3"/>
    <mergeCell ref="R3:S3"/>
    <mergeCell ref="B39:S39"/>
    <mergeCell ref="B1:S1"/>
    <mergeCell ref="B3:C3"/>
    <mergeCell ref="D3:E3"/>
    <mergeCell ref="F3:G3"/>
    <mergeCell ref="H3:I3"/>
    <mergeCell ref="J3:K3"/>
    <mergeCell ref="L3:M3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2017-10-19T17:07:42Z</dcterms:created>
  <dc:creator>HP</dc:creator>
</cp:coreProperties>
</file>