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arav\IITM\BDM project\"/>
    </mc:Choice>
  </mc:AlternateContent>
  <xr:revisionPtr revIDLastSave="0" documentId="13_ncr:1_{83BC4123-046A-4F3C-BF04-1EF831A4FFB2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Chart 1 " sheetId="12" r:id="rId1"/>
    <sheet name="Chart 2" sheetId="13" r:id="rId2"/>
    <sheet name="Sheet3" sheetId="21" r:id="rId3"/>
    <sheet name="Sheet4" sheetId="22" r:id="rId4"/>
    <sheet name="Chart 3" sheetId="18" r:id="rId5"/>
    <sheet name="2023-24" sheetId="9" r:id="rId6"/>
    <sheet name="Data cleaning" sheetId="10" r:id="rId7"/>
    <sheet name="Data required" sheetId="11" r:id="rId8"/>
    <sheet name="2022-23" sheetId="8" state="hidden" r:id="rId9"/>
  </sheets>
  <definedNames>
    <definedName name="_xlnm._FilterDatabase" localSheetId="5" hidden="1">'2023-24'!$A$1:$T$1338</definedName>
    <definedName name="_xlnm._FilterDatabase" localSheetId="6" hidden="1">'Data cleaning'!$A$1:$T$195</definedName>
    <definedName name="_xlcn.WorksheetConnection_DatarequiredB1D1951" hidden="1">'Data required'!$B$1:$D$194</definedName>
  </definedNam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9c669d34-9cae-45d7-aee1-7a4f5d6675d0" name="Range" connection="WorksheetConnection_Data required!$B$1:$D$195"/>
        </x15:modelTables>
      </x15:dataModel>
    </ext>
  </extLst>
</workbook>
</file>

<file path=xl/calcChain.xml><?xml version="1.0" encoding="utf-8"?>
<calcChain xmlns="http://schemas.openxmlformats.org/spreadsheetml/2006/main">
  <c r="M1338" i="9" l="1"/>
  <c r="N1338" i="9" s="1"/>
  <c r="M1337" i="9"/>
  <c r="N1337" i="9" s="1"/>
  <c r="M1335" i="9"/>
  <c r="N1335" i="9" s="1"/>
  <c r="M1334" i="9"/>
  <c r="N1334" i="9" s="1"/>
  <c r="M1333" i="9"/>
  <c r="N1333" i="9" s="1"/>
  <c r="M1331" i="9"/>
  <c r="N1331" i="9" s="1"/>
  <c r="M1330" i="9"/>
  <c r="N1330" i="9" s="1"/>
  <c r="M1329" i="9"/>
  <c r="N1329" i="9" s="1"/>
  <c r="M1328" i="9"/>
  <c r="N1328" i="9" s="1"/>
  <c r="M1327" i="9"/>
  <c r="N1327" i="9" s="1"/>
  <c r="M1325" i="9"/>
  <c r="N1325" i="9" s="1"/>
  <c r="M1324" i="9"/>
  <c r="N1324" i="9" s="1"/>
  <c r="M1322" i="9"/>
  <c r="N1322" i="9" s="1"/>
  <c r="M1321" i="9"/>
  <c r="N1321" i="9" s="1"/>
  <c r="M1320" i="9"/>
  <c r="N1320" i="9" s="1"/>
  <c r="M1319" i="9"/>
  <c r="N1319" i="9" s="1"/>
  <c r="M1317" i="9"/>
  <c r="N1317" i="9" s="1"/>
  <c r="M1316" i="9"/>
  <c r="N1316" i="9" s="1"/>
  <c r="M1314" i="9"/>
  <c r="N1314" i="9" s="1"/>
  <c r="M1312" i="9"/>
  <c r="N1312" i="9" s="1"/>
  <c r="M1311" i="9"/>
  <c r="N1311" i="9" s="1"/>
  <c r="M1309" i="9"/>
  <c r="N1309" i="9" s="1"/>
  <c r="M1308" i="9"/>
  <c r="N1308" i="9" s="1"/>
  <c r="M1307" i="9"/>
  <c r="N1307" i="9" s="1"/>
  <c r="M1305" i="9"/>
  <c r="N1305" i="9" s="1"/>
  <c r="M1304" i="9"/>
  <c r="N1304" i="9" s="1"/>
  <c r="M1303" i="9"/>
  <c r="N1303" i="9" s="1"/>
  <c r="M1301" i="9"/>
  <c r="N1301" i="9" s="1"/>
  <c r="M1300" i="9"/>
  <c r="N1300" i="9" s="1"/>
  <c r="M1299" i="9"/>
  <c r="N1299" i="9" s="1"/>
  <c r="M1298" i="9"/>
  <c r="N1298" i="9" s="1"/>
  <c r="M1297" i="9"/>
  <c r="N1297" i="9" s="1"/>
  <c r="M1295" i="9"/>
  <c r="N1295" i="9" s="1"/>
  <c r="M1294" i="9"/>
  <c r="N1294" i="9" s="1"/>
  <c r="M1293" i="9"/>
  <c r="N1293" i="9" s="1"/>
  <c r="M1292" i="9"/>
  <c r="N1292" i="9" s="1"/>
  <c r="M1291" i="9"/>
  <c r="N1291" i="9" s="1"/>
  <c r="M1290" i="9"/>
  <c r="N1290" i="9" s="1"/>
  <c r="M1289" i="9"/>
  <c r="N1289" i="9" s="1"/>
  <c r="M1287" i="9"/>
  <c r="N1287" i="9" s="1"/>
  <c r="M1286" i="9"/>
  <c r="N1286" i="9" s="1"/>
  <c r="M1285" i="9"/>
  <c r="N1285" i="9" s="1"/>
  <c r="M1284" i="9"/>
  <c r="N1284" i="9" s="1"/>
  <c r="M1282" i="9"/>
  <c r="N1282" i="9" s="1"/>
  <c r="M1281" i="9"/>
  <c r="N1281" i="9" s="1"/>
  <c r="M1280" i="9"/>
  <c r="N1280" i="9" s="1"/>
  <c r="M1279" i="9"/>
  <c r="N1279" i="9" s="1"/>
  <c r="M1278" i="9"/>
  <c r="N1278" i="9" s="1"/>
  <c r="M1277" i="9"/>
  <c r="N1277" i="9" s="1"/>
  <c r="M1276" i="9"/>
  <c r="N1276" i="9" s="1"/>
  <c r="M1275" i="9"/>
  <c r="N1275" i="9" s="1"/>
  <c r="M1274" i="9"/>
  <c r="N1274" i="9" s="1"/>
  <c r="M1273" i="9"/>
  <c r="N1273" i="9" s="1"/>
  <c r="M1272" i="9"/>
  <c r="N1272" i="9" s="1"/>
  <c r="M1271" i="9"/>
  <c r="N1271" i="9" s="1"/>
  <c r="M1270" i="9"/>
  <c r="N1270" i="9" s="1"/>
  <c r="M1269" i="9"/>
  <c r="N1269" i="9" s="1"/>
  <c r="M1267" i="9"/>
  <c r="N1267" i="9" s="1"/>
  <c r="M1266" i="9"/>
  <c r="N1266" i="9" s="1"/>
  <c r="M1265" i="9"/>
  <c r="N1265" i="9" s="1"/>
  <c r="M1264" i="9"/>
  <c r="N1264" i="9" s="1"/>
  <c r="M1263" i="9"/>
  <c r="N1263" i="9" s="1"/>
  <c r="M1262" i="9"/>
  <c r="N1262" i="9" s="1"/>
  <c r="M1261" i="9"/>
  <c r="N1261" i="9" s="1"/>
  <c r="M1260" i="9"/>
  <c r="N1260" i="9" s="1"/>
  <c r="M1259" i="9"/>
  <c r="N1259" i="9" s="1"/>
  <c r="M1258" i="9"/>
  <c r="N1258" i="9" s="1"/>
  <c r="M1257" i="9"/>
  <c r="N1257" i="9" s="1"/>
  <c r="M1256" i="9"/>
  <c r="N1256" i="9" s="1"/>
  <c r="M1255" i="9"/>
  <c r="N1255" i="9" s="1"/>
  <c r="M1254" i="9"/>
  <c r="N1254" i="9" s="1"/>
  <c r="M1253" i="9"/>
  <c r="N1253" i="9" s="1"/>
  <c r="M1252" i="9"/>
  <c r="N1252" i="9" s="1"/>
  <c r="M1251" i="9"/>
  <c r="N1251" i="9" s="1"/>
  <c r="M1250" i="9"/>
  <c r="N1250" i="9" s="1"/>
  <c r="M1249" i="9"/>
  <c r="N1249" i="9" s="1"/>
  <c r="M1248" i="9"/>
  <c r="N1248" i="9" s="1"/>
  <c r="M1247" i="9"/>
  <c r="N1247" i="9" s="1"/>
  <c r="M1246" i="9"/>
  <c r="N1246" i="9" s="1"/>
  <c r="M1245" i="9"/>
  <c r="N1245" i="9" s="1"/>
  <c r="M1244" i="9"/>
  <c r="N1244" i="9" s="1"/>
  <c r="M1243" i="9"/>
  <c r="N1243" i="9" s="1"/>
  <c r="M1242" i="9"/>
  <c r="N1242" i="9" s="1"/>
  <c r="M1241" i="9"/>
  <c r="N1241" i="9" s="1"/>
  <c r="M1240" i="9"/>
  <c r="N1240" i="9" s="1"/>
  <c r="M1239" i="9"/>
  <c r="N1239" i="9" s="1"/>
  <c r="M1238" i="9"/>
  <c r="N1238" i="9" s="1"/>
  <c r="M1237" i="9"/>
  <c r="N1237" i="9" s="1"/>
  <c r="M1236" i="9"/>
  <c r="N1236" i="9" s="1"/>
  <c r="M1235" i="9"/>
  <c r="N1235" i="9" s="1"/>
  <c r="M1234" i="9"/>
  <c r="N1234" i="9" s="1"/>
  <c r="M1233" i="9"/>
  <c r="N1233" i="9" s="1"/>
  <c r="M1232" i="9"/>
  <c r="N1232" i="9" s="1"/>
  <c r="M1230" i="9"/>
  <c r="N1230" i="9" s="1"/>
  <c r="M1229" i="9"/>
  <c r="N1229" i="9" s="1"/>
  <c r="M1228" i="9"/>
  <c r="N1228" i="9" s="1"/>
  <c r="M1227" i="9"/>
  <c r="N1227" i="9" s="1"/>
  <c r="M1226" i="9"/>
  <c r="N1226" i="9" s="1"/>
  <c r="M1225" i="9"/>
  <c r="N1225" i="9" s="1"/>
  <c r="M1224" i="9"/>
  <c r="N1224" i="9" s="1"/>
  <c r="M1223" i="9"/>
  <c r="N1223" i="9" s="1"/>
  <c r="M1222" i="9"/>
  <c r="N1222" i="9" s="1"/>
  <c r="M1221" i="9"/>
  <c r="N1221" i="9" s="1"/>
  <c r="M1220" i="9"/>
  <c r="N1220" i="9" s="1"/>
  <c r="M1219" i="9"/>
  <c r="N1219" i="9" s="1"/>
  <c r="M1218" i="9"/>
  <c r="N1218" i="9" s="1"/>
  <c r="M1217" i="9"/>
  <c r="N1217" i="9" s="1"/>
  <c r="M1215" i="9"/>
  <c r="N1215" i="9" s="1"/>
  <c r="M1214" i="9"/>
  <c r="N1214" i="9" s="1"/>
  <c r="M1213" i="9"/>
  <c r="N1213" i="9" s="1"/>
  <c r="M1212" i="9"/>
  <c r="N1212" i="9" s="1"/>
  <c r="M1210" i="9"/>
  <c r="N1210" i="9" s="1"/>
  <c r="M1209" i="9"/>
  <c r="N1209" i="9" s="1"/>
  <c r="M1208" i="9"/>
  <c r="N1208" i="9" s="1"/>
  <c r="M1207" i="9"/>
  <c r="N1207" i="9" s="1"/>
  <c r="M1206" i="9"/>
  <c r="N1206" i="9" s="1"/>
  <c r="M1205" i="9"/>
  <c r="N1205" i="9" s="1"/>
  <c r="M1204" i="9"/>
  <c r="N1204" i="9" s="1"/>
  <c r="M1203" i="9"/>
  <c r="N1203" i="9" s="1"/>
  <c r="M1202" i="9"/>
  <c r="N1202" i="9" s="1"/>
  <c r="M1201" i="9"/>
  <c r="N1201" i="9" s="1"/>
  <c r="M1199" i="9"/>
  <c r="N1199" i="9" s="1"/>
  <c r="M1198" i="9"/>
  <c r="N1198" i="9" s="1"/>
  <c r="M1197" i="9"/>
  <c r="N1197" i="9" s="1"/>
  <c r="M1196" i="9"/>
  <c r="N1196" i="9" s="1"/>
  <c r="M1195" i="9"/>
  <c r="N1195" i="9" s="1"/>
  <c r="M1194" i="9"/>
  <c r="N1194" i="9" s="1"/>
  <c r="M1193" i="9"/>
  <c r="N1193" i="9" s="1"/>
  <c r="M1192" i="9"/>
  <c r="N1192" i="9" s="1"/>
  <c r="M1191" i="9"/>
  <c r="N1191" i="9" s="1"/>
  <c r="M1190" i="9"/>
  <c r="N1190" i="9" s="1"/>
  <c r="M1189" i="9"/>
  <c r="N1189" i="9" s="1"/>
  <c r="M1187" i="9"/>
  <c r="N1187" i="9" s="1"/>
  <c r="M1185" i="9"/>
  <c r="N1185" i="9" s="1"/>
  <c r="M1184" i="9"/>
  <c r="N1184" i="9" s="1"/>
  <c r="M1183" i="9"/>
  <c r="N1183" i="9" s="1"/>
  <c r="M1182" i="9"/>
  <c r="N1182" i="9" s="1"/>
  <c r="M1181" i="9"/>
  <c r="N1181" i="9" s="1"/>
  <c r="M1180" i="9"/>
  <c r="N1180" i="9" s="1"/>
  <c r="M1179" i="9"/>
  <c r="N1179" i="9" s="1"/>
  <c r="M1178" i="9"/>
  <c r="N1178" i="9" s="1"/>
  <c r="M1177" i="9"/>
  <c r="N1177" i="9" s="1"/>
  <c r="M1176" i="9"/>
  <c r="N1176" i="9" s="1"/>
  <c r="M1175" i="9"/>
  <c r="N1175" i="9" s="1"/>
  <c r="M1174" i="9"/>
  <c r="N1174" i="9" s="1"/>
  <c r="M1173" i="9"/>
  <c r="N1173" i="9" s="1"/>
  <c r="M1172" i="9"/>
  <c r="N1172" i="9" s="1"/>
  <c r="M1171" i="9"/>
  <c r="N1171" i="9" s="1"/>
  <c r="M1170" i="9"/>
  <c r="N1170" i="9" s="1"/>
  <c r="M1169" i="9"/>
  <c r="N1169" i="9" s="1"/>
  <c r="M1168" i="9"/>
  <c r="N1168" i="9" s="1"/>
  <c r="M1167" i="9"/>
  <c r="N1167" i="9" s="1"/>
  <c r="M1166" i="9"/>
  <c r="N1166" i="9" s="1"/>
  <c r="M1165" i="9"/>
  <c r="N1165" i="9" s="1"/>
  <c r="M1163" i="9"/>
  <c r="N1163" i="9" s="1"/>
  <c r="M1162" i="9"/>
  <c r="N1162" i="9" s="1"/>
  <c r="M1161" i="9"/>
  <c r="N1161" i="9" s="1"/>
  <c r="M1160" i="9"/>
  <c r="N1160" i="9" s="1"/>
  <c r="M1159" i="9"/>
  <c r="N1159" i="9" s="1"/>
  <c r="M1158" i="9"/>
  <c r="N1158" i="9" s="1"/>
  <c r="M1157" i="9"/>
  <c r="N1157" i="9" s="1"/>
  <c r="M1156" i="9"/>
  <c r="N1156" i="9" s="1"/>
  <c r="M1155" i="9"/>
  <c r="N1155" i="9" s="1"/>
  <c r="M1154" i="9"/>
  <c r="N1154" i="9" s="1"/>
  <c r="M1152" i="9"/>
  <c r="N1152" i="9" s="1"/>
  <c r="M1151" i="9"/>
  <c r="N1151" i="9" s="1"/>
  <c r="M1149" i="9"/>
  <c r="N1149" i="9" s="1"/>
  <c r="M1147" i="9"/>
  <c r="N1147" i="9" s="1"/>
  <c r="M1146" i="9"/>
  <c r="N1146" i="9" s="1"/>
  <c r="M1145" i="9"/>
  <c r="N1145" i="9" s="1"/>
  <c r="M1144" i="9"/>
  <c r="N1144" i="9" s="1"/>
  <c r="M1143" i="9"/>
  <c r="N1143" i="9" s="1"/>
  <c r="M1142" i="9"/>
  <c r="N1142" i="9" s="1"/>
  <c r="M1141" i="9"/>
  <c r="N1141" i="9" s="1"/>
  <c r="M1140" i="9"/>
  <c r="N1140" i="9" s="1"/>
  <c r="M1138" i="9"/>
  <c r="N1138" i="9" s="1"/>
  <c r="M1137" i="9"/>
  <c r="N1137" i="9" s="1"/>
  <c r="M1136" i="9"/>
  <c r="N1136" i="9" s="1"/>
  <c r="M1135" i="9"/>
  <c r="N1135" i="9" s="1"/>
  <c r="M1133" i="9"/>
  <c r="N1133" i="9" s="1"/>
  <c r="M1132" i="9"/>
  <c r="N1132" i="9" s="1"/>
  <c r="M1131" i="9"/>
  <c r="N1131" i="9" s="1"/>
  <c r="M1130" i="9"/>
  <c r="N1130" i="9" s="1"/>
  <c r="M1129" i="9"/>
  <c r="N1129" i="9" s="1"/>
  <c r="M1128" i="9"/>
  <c r="N1128" i="9" s="1"/>
  <c r="M1127" i="9"/>
  <c r="N1127" i="9" s="1"/>
  <c r="M1126" i="9"/>
  <c r="N1126" i="9" s="1"/>
  <c r="M1125" i="9"/>
  <c r="M1124" i="9"/>
  <c r="N1124" i="9" s="1"/>
  <c r="M1123" i="9"/>
  <c r="N1123" i="9" s="1"/>
  <c r="M1122" i="9"/>
  <c r="N1122" i="9" s="1"/>
  <c r="M1121" i="9"/>
  <c r="N1121" i="9" s="1"/>
  <c r="M1120" i="9"/>
  <c r="N1120" i="9" s="1"/>
  <c r="M1119" i="9"/>
  <c r="N1119" i="9" s="1"/>
  <c r="M1118" i="9"/>
  <c r="N1118" i="9" s="1"/>
  <c r="M1117" i="9"/>
  <c r="N1117" i="9" s="1"/>
  <c r="M1116" i="9"/>
  <c r="N1116" i="9" s="1"/>
  <c r="M1115" i="9"/>
  <c r="N1115" i="9" s="1"/>
  <c r="M1114" i="9"/>
  <c r="N1114" i="9" s="1"/>
  <c r="M1113" i="9"/>
  <c r="N1113" i="9" s="1"/>
  <c r="M1112" i="9"/>
  <c r="N1112" i="9" s="1"/>
  <c r="M1111" i="9"/>
  <c r="N1111" i="9" s="1"/>
  <c r="M1110" i="9"/>
  <c r="N1110" i="9" s="1"/>
  <c r="M1109" i="9"/>
  <c r="M1108" i="9"/>
  <c r="N1108" i="9" s="1"/>
  <c r="M1107" i="9"/>
  <c r="N1107" i="9" s="1"/>
  <c r="M1106" i="9"/>
  <c r="N1106" i="9" s="1"/>
  <c r="M1105" i="9"/>
  <c r="N1105" i="9" s="1"/>
  <c r="M1104" i="9"/>
  <c r="N1104" i="9" s="1"/>
  <c r="M1103" i="9"/>
  <c r="N1103" i="9" s="1"/>
  <c r="M1101" i="9"/>
  <c r="N1101" i="9" s="1"/>
  <c r="M1100" i="9"/>
  <c r="N1100" i="9" s="1"/>
  <c r="M1099" i="9"/>
  <c r="N1099" i="9" s="1"/>
  <c r="M1098" i="9"/>
  <c r="N1098" i="9" s="1"/>
  <c r="M1097" i="9"/>
  <c r="N1097" i="9" s="1"/>
  <c r="M1096" i="9"/>
  <c r="N1096" i="9" s="1"/>
  <c r="M1095" i="9"/>
  <c r="N1095" i="9" s="1"/>
  <c r="M1094" i="9"/>
  <c r="N1094" i="9" s="1"/>
  <c r="M1093" i="9"/>
  <c r="N1093" i="9" s="1"/>
  <c r="M1092" i="9"/>
  <c r="N1092" i="9" s="1"/>
  <c r="M1091" i="9"/>
  <c r="N1091" i="9" s="1"/>
  <c r="M1090" i="9"/>
  <c r="N1090" i="9" s="1"/>
  <c r="M1089" i="9"/>
  <c r="N1089" i="9" s="1"/>
  <c r="M1088" i="9"/>
  <c r="N1088" i="9" s="1"/>
  <c r="M1087" i="9"/>
  <c r="N1087" i="9" s="1"/>
  <c r="M1086" i="9"/>
  <c r="N1086" i="9" s="1"/>
  <c r="M1085" i="9"/>
  <c r="N1085" i="9" s="1"/>
  <c r="M1084" i="9"/>
  <c r="N1084" i="9" s="1"/>
  <c r="M1083" i="9"/>
  <c r="N1083" i="9" s="1"/>
  <c r="M1082" i="9"/>
  <c r="N1082" i="9" s="1"/>
  <c r="M1081" i="9"/>
  <c r="N1081" i="9" s="1"/>
  <c r="M1080" i="9"/>
  <c r="N1080" i="9" s="1"/>
  <c r="M1079" i="9"/>
  <c r="N1079" i="9" s="1"/>
  <c r="M1078" i="9"/>
  <c r="N1078" i="9" s="1"/>
  <c r="M1077" i="9"/>
  <c r="N1077" i="9" s="1"/>
  <c r="M1076" i="9"/>
  <c r="N1076" i="9" s="1"/>
  <c r="M1075" i="9"/>
  <c r="N1075" i="9" s="1"/>
  <c r="M1074" i="9"/>
  <c r="N1074" i="9" s="1"/>
  <c r="M1073" i="9"/>
  <c r="N1073" i="9" s="1"/>
  <c r="M1072" i="9"/>
  <c r="N1072" i="9" s="1"/>
  <c r="M1071" i="9"/>
  <c r="N1071" i="9" s="1"/>
  <c r="M1070" i="9"/>
  <c r="N1070" i="9" s="1"/>
  <c r="M1069" i="9"/>
  <c r="N1069" i="9" s="1"/>
  <c r="M1068" i="9"/>
  <c r="N1068" i="9" s="1"/>
  <c r="M1066" i="9"/>
  <c r="N1066" i="9" s="1"/>
  <c r="M1065" i="9"/>
  <c r="N1065" i="9" s="1"/>
  <c r="M1064" i="9"/>
  <c r="N1064" i="9" s="1"/>
  <c r="M1063" i="9"/>
  <c r="N1063" i="9" s="1"/>
  <c r="M1062" i="9"/>
  <c r="N1062" i="9" s="1"/>
  <c r="M1060" i="9"/>
  <c r="N1060" i="9" s="1"/>
  <c r="M1059" i="9"/>
  <c r="N1059" i="9" s="1"/>
  <c r="M1058" i="9"/>
  <c r="N1058" i="9" s="1"/>
  <c r="M1057" i="9"/>
  <c r="N1057" i="9" s="1"/>
  <c r="M1056" i="9"/>
  <c r="N1056" i="9" s="1"/>
  <c r="M1055" i="9"/>
  <c r="N1055" i="9" s="1"/>
  <c r="M1054" i="9"/>
  <c r="N1054" i="9" s="1"/>
  <c r="M1053" i="9"/>
  <c r="N1053" i="9" s="1"/>
  <c r="M1052" i="9"/>
  <c r="N1052" i="9" s="1"/>
  <c r="M1051" i="9"/>
  <c r="N1051" i="9" s="1"/>
  <c r="M1050" i="9"/>
  <c r="N1050" i="9" s="1"/>
  <c r="M1049" i="9"/>
  <c r="N1049" i="9" s="1"/>
  <c r="M1048" i="9"/>
  <c r="N1048" i="9" s="1"/>
  <c r="M1047" i="9"/>
  <c r="N1047" i="9" s="1"/>
  <c r="M1046" i="9"/>
  <c r="N1046" i="9" s="1"/>
  <c r="M1045" i="9"/>
  <c r="M1044" i="9"/>
  <c r="N1044" i="9" s="1"/>
  <c r="M1043" i="9"/>
  <c r="N1043" i="9" s="1"/>
  <c r="M1042" i="9"/>
  <c r="N1042" i="9" s="1"/>
  <c r="M1041" i="9"/>
  <c r="N1041" i="9" s="1"/>
  <c r="M1040" i="9"/>
  <c r="N1040" i="9" s="1"/>
  <c r="M1039" i="9"/>
  <c r="N1039" i="9" s="1"/>
  <c r="M1038" i="9"/>
  <c r="N1038" i="9" s="1"/>
  <c r="M1037" i="9"/>
  <c r="N1037" i="9" s="1"/>
  <c r="M1036" i="9"/>
  <c r="N1036" i="9" s="1"/>
  <c r="M1034" i="9"/>
  <c r="N1034" i="9" s="1"/>
  <c r="M1033" i="9"/>
  <c r="N1033" i="9" s="1"/>
  <c r="M1032" i="9"/>
  <c r="N1032" i="9" s="1"/>
  <c r="M1031" i="9"/>
  <c r="N1031" i="9" s="1"/>
  <c r="M1029" i="9"/>
  <c r="N1029" i="9" s="1"/>
  <c r="M1028" i="9"/>
  <c r="N1028" i="9" s="1"/>
  <c r="M1027" i="9"/>
  <c r="N1027" i="9" s="1"/>
  <c r="M1026" i="9"/>
  <c r="N1026" i="9" s="1"/>
  <c r="M1025" i="9"/>
  <c r="N1025" i="9" s="1"/>
  <c r="M1024" i="9"/>
  <c r="N1024" i="9" s="1"/>
  <c r="M1023" i="9"/>
  <c r="N1023" i="9" s="1"/>
  <c r="M1022" i="9"/>
  <c r="N1022" i="9" s="1"/>
  <c r="M1021" i="9"/>
  <c r="N1021" i="9" s="1"/>
  <c r="M1020" i="9"/>
  <c r="N1020" i="9" s="1"/>
  <c r="M1019" i="9"/>
  <c r="N1019" i="9" s="1"/>
  <c r="M1018" i="9"/>
  <c r="N1018" i="9" s="1"/>
  <c r="M1017" i="9"/>
  <c r="N1017" i="9" s="1"/>
  <c r="M1016" i="9"/>
  <c r="N1016" i="9" s="1"/>
  <c r="M1015" i="9"/>
  <c r="N1015" i="9" s="1"/>
  <c r="M1014" i="9"/>
  <c r="N1014" i="9" s="1"/>
  <c r="M1012" i="9"/>
  <c r="N1012" i="9" s="1"/>
  <c r="M1011" i="9"/>
  <c r="N1011" i="9" s="1"/>
  <c r="M1010" i="9"/>
  <c r="N1010" i="9" s="1"/>
  <c r="M1009" i="9"/>
  <c r="N1009" i="9" s="1"/>
  <c r="M1008" i="9"/>
  <c r="N1008" i="9" s="1"/>
  <c r="M1007" i="9"/>
  <c r="N1007" i="9" s="1"/>
  <c r="M1006" i="9"/>
  <c r="N1006" i="9" s="1"/>
  <c r="M1004" i="9"/>
  <c r="N1004" i="9" s="1"/>
  <c r="M1003" i="9"/>
  <c r="N1003" i="9" s="1"/>
  <c r="M1002" i="9"/>
  <c r="N1002" i="9" s="1"/>
  <c r="M1001" i="9"/>
  <c r="N1001" i="9" s="1"/>
  <c r="M1000" i="9"/>
  <c r="N1000" i="9" s="1"/>
  <c r="M999" i="9"/>
  <c r="N999" i="9" s="1"/>
  <c r="M998" i="9"/>
  <c r="N998" i="9" s="1"/>
  <c r="M996" i="9"/>
  <c r="N996" i="9" s="1"/>
  <c r="M995" i="9"/>
  <c r="N995" i="9" s="1"/>
  <c r="M994" i="9"/>
  <c r="N994" i="9" s="1"/>
  <c r="M993" i="9"/>
  <c r="N993" i="9" s="1"/>
  <c r="M992" i="9"/>
  <c r="N992" i="9" s="1"/>
  <c r="M991" i="9"/>
  <c r="N991" i="9" s="1"/>
  <c r="M990" i="9"/>
  <c r="N990" i="9" s="1"/>
  <c r="M989" i="9"/>
  <c r="N989" i="9" s="1"/>
  <c r="M988" i="9"/>
  <c r="N988" i="9" s="1"/>
  <c r="M987" i="9"/>
  <c r="N987" i="9" s="1"/>
  <c r="M986" i="9"/>
  <c r="N986" i="9" s="1"/>
  <c r="M985" i="9"/>
  <c r="N985" i="9" s="1"/>
  <c r="M984" i="9"/>
  <c r="N984" i="9" s="1"/>
  <c r="M983" i="9"/>
  <c r="N983" i="9" s="1"/>
  <c r="M982" i="9"/>
  <c r="N982" i="9" s="1"/>
  <c r="M981" i="9"/>
  <c r="N981" i="9" s="1"/>
  <c r="M980" i="9"/>
  <c r="N980" i="9" s="1"/>
  <c r="M979" i="9"/>
  <c r="N979" i="9" s="1"/>
  <c r="M978" i="9"/>
  <c r="N978" i="9" s="1"/>
  <c r="M977" i="9"/>
  <c r="N977" i="9" s="1"/>
  <c r="M976" i="9"/>
  <c r="N976" i="9" s="1"/>
  <c r="M975" i="9"/>
  <c r="N975" i="9" s="1"/>
  <c r="M974" i="9"/>
  <c r="N974" i="9" s="1"/>
  <c r="M973" i="9"/>
  <c r="N973" i="9" s="1"/>
  <c r="M972" i="9"/>
  <c r="N972" i="9" s="1"/>
  <c r="M971" i="9"/>
  <c r="N971" i="9" s="1"/>
  <c r="M970" i="9"/>
  <c r="M969" i="9"/>
  <c r="M968" i="9"/>
  <c r="N968" i="9" s="1"/>
  <c r="M967" i="9"/>
  <c r="N967" i="9" s="1"/>
  <c r="M966" i="9"/>
  <c r="N966" i="9" s="1"/>
  <c r="M965" i="9"/>
  <c r="N965" i="9" s="1"/>
  <c r="M964" i="9"/>
  <c r="N964" i="9" s="1"/>
  <c r="M963" i="9"/>
  <c r="N963" i="9" s="1"/>
  <c r="M962" i="9"/>
  <c r="N962" i="9" s="1"/>
  <c r="M961" i="9"/>
  <c r="N961" i="9" s="1"/>
  <c r="M960" i="9"/>
  <c r="N960" i="9" s="1"/>
  <c r="M959" i="9"/>
  <c r="N959" i="9" s="1"/>
  <c r="M958" i="9"/>
  <c r="N958" i="9" s="1"/>
  <c r="M957" i="9"/>
  <c r="N957" i="9" s="1"/>
  <c r="M956" i="9"/>
  <c r="N956" i="9" s="1"/>
  <c r="M955" i="9"/>
  <c r="N955" i="9" s="1"/>
  <c r="M954" i="9"/>
  <c r="N954" i="9" s="1"/>
  <c r="M953" i="9"/>
  <c r="N953" i="9" s="1"/>
  <c r="M952" i="9"/>
  <c r="N952" i="9" s="1"/>
  <c r="M951" i="9"/>
  <c r="N951" i="9" s="1"/>
  <c r="M950" i="9"/>
  <c r="N950" i="9" s="1"/>
  <c r="M949" i="9"/>
  <c r="N949" i="9" s="1"/>
  <c r="M948" i="9"/>
  <c r="N948" i="9" s="1"/>
  <c r="M947" i="9"/>
  <c r="N947" i="9" s="1"/>
  <c r="M945" i="9"/>
  <c r="N945" i="9" s="1"/>
  <c r="M944" i="9"/>
  <c r="N944" i="9" s="1"/>
  <c r="M943" i="9"/>
  <c r="N943" i="9" s="1"/>
  <c r="M942" i="9"/>
  <c r="N942" i="9" s="1"/>
  <c r="M941" i="9"/>
  <c r="N941" i="9" s="1"/>
  <c r="M940" i="9"/>
  <c r="N940" i="9" s="1"/>
  <c r="M939" i="9"/>
  <c r="N939" i="9" s="1"/>
  <c r="M938" i="9"/>
  <c r="N938" i="9" s="1"/>
  <c r="M937" i="9"/>
  <c r="N937" i="9" s="1"/>
  <c r="M936" i="9"/>
  <c r="N936" i="9" s="1"/>
  <c r="M935" i="9"/>
  <c r="N935" i="9" s="1"/>
  <c r="M934" i="9"/>
  <c r="N934" i="9" s="1"/>
  <c r="M933" i="9"/>
  <c r="N933" i="9" s="1"/>
  <c r="M932" i="9"/>
  <c r="N932" i="9" s="1"/>
  <c r="M930" i="9"/>
  <c r="N930" i="9" s="1"/>
  <c r="M929" i="9"/>
  <c r="N929" i="9" s="1"/>
  <c r="M927" i="9"/>
  <c r="N927" i="9" s="1"/>
  <c r="M926" i="9"/>
  <c r="N926" i="9" s="1"/>
  <c r="M924" i="9"/>
  <c r="N924" i="9" s="1"/>
  <c r="M923" i="9"/>
  <c r="N923" i="9" s="1"/>
  <c r="M921" i="9"/>
  <c r="N921" i="9" s="1"/>
  <c r="M920" i="9"/>
  <c r="N920" i="9" s="1"/>
  <c r="M918" i="9"/>
  <c r="N918" i="9" s="1"/>
  <c r="M917" i="9"/>
  <c r="N917" i="9" s="1"/>
  <c r="M915" i="9"/>
  <c r="N915" i="9" s="1"/>
  <c r="M913" i="9"/>
  <c r="N913" i="9" s="1"/>
  <c r="M911" i="9"/>
  <c r="N911" i="9" s="1"/>
  <c r="M909" i="9"/>
  <c r="N909" i="9" s="1"/>
  <c r="M907" i="9"/>
  <c r="N907" i="9" s="1"/>
  <c r="M906" i="9"/>
  <c r="N906" i="9" s="1"/>
  <c r="M905" i="9"/>
  <c r="N905" i="9" s="1"/>
  <c r="M904" i="9"/>
  <c r="N904" i="9" s="1"/>
  <c r="M903" i="9"/>
  <c r="N903" i="9" s="1"/>
  <c r="M902" i="9"/>
  <c r="N902" i="9" s="1"/>
  <c r="M901" i="9"/>
  <c r="N901" i="9" s="1"/>
  <c r="M900" i="9"/>
  <c r="N900" i="9" s="1"/>
  <c r="M899" i="9"/>
  <c r="N899" i="9" s="1"/>
  <c r="M898" i="9"/>
  <c r="N898" i="9" s="1"/>
  <c r="M897" i="9"/>
  <c r="N897" i="9" s="1"/>
  <c r="M896" i="9"/>
  <c r="N896" i="9" s="1"/>
  <c r="M895" i="9"/>
  <c r="N895" i="9" s="1"/>
  <c r="M894" i="9"/>
  <c r="N894" i="9" s="1"/>
  <c r="M893" i="9"/>
  <c r="N893" i="9" s="1"/>
  <c r="M892" i="9"/>
  <c r="N892" i="9" s="1"/>
  <c r="M891" i="9"/>
  <c r="N891" i="9" s="1"/>
  <c r="M890" i="9"/>
  <c r="N890" i="9" s="1"/>
  <c r="M889" i="9"/>
  <c r="N889" i="9" s="1"/>
  <c r="M888" i="9"/>
  <c r="N888" i="9" s="1"/>
  <c r="M887" i="9"/>
  <c r="N887" i="9" s="1"/>
  <c r="M886" i="9"/>
  <c r="N886" i="9" s="1"/>
  <c r="M885" i="9"/>
  <c r="N885" i="9" s="1"/>
  <c r="M884" i="9"/>
  <c r="N884" i="9" s="1"/>
  <c r="M883" i="9"/>
  <c r="N883" i="9" s="1"/>
  <c r="M882" i="9"/>
  <c r="N882" i="9" s="1"/>
  <c r="M881" i="9"/>
  <c r="N881" i="9" s="1"/>
  <c r="M880" i="9"/>
  <c r="N880" i="9" s="1"/>
  <c r="M879" i="9"/>
  <c r="N879" i="9" s="1"/>
  <c r="M878" i="9"/>
  <c r="N878" i="9" s="1"/>
  <c r="M877" i="9"/>
  <c r="N877" i="9" s="1"/>
  <c r="M876" i="9"/>
  <c r="N876" i="9" s="1"/>
  <c r="M875" i="9"/>
  <c r="N875" i="9" s="1"/>
  <c r="M874" i="9"/>
  <c r="N874" i="9" s="1"/>
  <c r="M873" i="9"/>
  <c r="N873" i="9" s="1"/>
  <c r="M872" i="9"/>
  <c r="N872" i="9" s="1"/>
  <c r="M871" i="9"/>
  <c r="N871" i="9" s="1"/>
  <c r="M870" i="9"/>
  <c r="N870" i="9" s="1"/>
  <c r="M869" i="9"/>
  <c r="N869" i="9" s="1"/>
  <c r="M868" i="9"/>
  <c r="N868" i="9" s="1"/>
  <c r="M867" i="9"/>
  <c r="N867" i="9" s="1"/>
  <c r="M866" i="9"/>
  <c r="N866" i="9" s="1"/>
  <c r="M865" i="9"/>
  <c r="N865" i="9" s="1"/>
  <c r="M864" i="9"/>
  <c r="N864" i="9" s="1"/>
  <c r="M863" i="9"/>
  <c r="N863" i="9" s="1"/>
  <c r="M861" i="9"/>
  <c r="N861" i="9" s="1"/>
  <c r="M860" i="9"/>
  <c r="N860" i="9" s="1"/>
  <c r="M859" i="9"/>
  <c r="N859" i="9" s="1"/>
  <c r="M858" i="9"/>
  <c r="N858" i="9" s="1"/>
  <c r="M857" i="9"/>
  <c r="N857" i="9" s="1"/>
  <c r="M856" i="9"/>
  <c r="N856" i="9" s="1"/>
  <c r="M855" i="9"/>
  <c r="N855" i="9" s="1"/>
  <c r="M854" i="9"/>
  <c r="N854" i="9" s="1"/>
  <c r="M853" i="9"/>
  <c r="N853" i="9" s="1"/>
  <c r="M852" i="9"/>
  <c r="N852" i="9" s="1"/>
  <c r="M850" i="9"/>
  <c r="N850" i="9" s="1"/>
  <c r="M849" i="9"/>
  <c r="N849" i="9" s="1"/>
  <c r="M848" i="9"/>
  <c r="N848" i="9" s="1"/>
  <c r="M847" i="9"/>
  <c r="N847" i="9" s="1"/>
  <c r="M846" i="9"/>
  <c r="N846" i="9" s="1"/>
  <c r="M845" i="9"/>
  <c r="N845" i="9" s="1"/>
  <c r="M844" i="9"/>
  <c r="N844" i="9" s="1"/>
  <c r="M843" i="9"/>
  <c r="N843" i="9" s="1"/>
  <c r="M842" i="9"/>
  <c r="N842" i="9" s="1"/>
  <c r="M841" i="9"/>
  <c r="N841" i="9" s="1"/>
  <c r="M840" i="9"/>
  <c r="N840" i="9" s="1"/>
  <c r="M839" i="9"/>
  <c r="N839" i="9" s="1"/>
  <c r="M838" i="9"/>
  <c r="N838" i="9" s="1"/>
  <c r="M837" i="9"/>
  <c r="N837" i="9" s="1"/>
  <c r="M836" i="9"/>
  <c r="N836" i="9" s="1"/>
  <c r="M835" i="9"/>
  <c r="N835" i="9" s="1"/>
  <c r="M834" i="9"/>
  <c r="N834" i="9" s="1"/>
  <c r="M833" i="9"/>
  <c r="N833" i="9" s="1"/>
  <c r="M832" i="9"/>
  <c r="N832" i="9" s="1"/>
  <c r="M831" i="9"/>
  <c r="N831" i="9" s="1"/>
  <c r="M830" i="9"/>
  <c r="N830" i="9" s="1"/>
  <c r="M829" i="9"/>
  <c r="N829" i="9" s="1"/>
  <c r="M828" i="9"/>
  <c r="N828" i="9" s="1"/>
  <c r="M827" i="9"/>
  <c r="N827" i="9" s="1"/>
  <c r="M826" i="9"/>
  <c r="N826" i="9" s="1"/>
  <c r="M825" i="9"/>
  <c r="N825" i="9" s="1"/>
  <c r="M824" i="9"/>
  <c r="N824" i="9" s="1"/>
  <c r="M823" i="9"/>
  <c r="N823" i="9" s="1"/>
  <c r="M822" i="9"/>
  <c r="N822" i="9" s="1"/>
  <c r="M821" i="9"/>
  <c r="N821" i="9" s="1"/>
  <c r="M820" i="9"/>
  <c r="N820" i="9" s="1"/>
  <c r="M819" i="9"/>
  <c r="N819" i="9" s="1"/>
  <c r="M818" i="9"/>
  <c r="N818" i="9" s="1"/>
  <c r="M817" i="9"/>
  <c r="N817" i="9" s="1"/>
  <c r="M816" i="9"/>
  <c r="N816" i="9" s="1"/>
  <c r="M815" i="9"/>
  <c r="N815" i="9" s="1"/>
  <c r="M814" i="9"/>
  <c r="N814" i="9" s="1"/>
  <c r="M813" i="9"/>
  <c r="N813" i="9" s="1"/>
  <c r="M812" i="9"/>
  <c r="N812" i="9" s="1"/>
  <c r="M811" i="9"/>
  <c r="N811" i="9" s="1"/>
  <c r="M810" i="9"/>
  <c r="N810" i="9" s="1"/>
  <c r="M809" i="9"/>
  <c r="N809" i="9" s="1"/>
  <c r="M808" i="9"/>
  <c r="N808" i="9" s="1"/>
  <c r="M807" i="9"/>
  <c r="N807" i="9" s="1"/>
  <c r="M806" i="9"/>
  <c r="N806" i="9" s="1"/>
  <c r="M805" i="9"/>
  <c r="N805" i="9" s="1"/>
  <c r="M803" i="9"/>
  <c r="N803" i="9" s="1"/>
  <c r="M801" i="9"/>
  <c r="N801" i="9" s="1"/>
  <c r="M800" i="9"/>
  <c r="N800" i="9" s="1"/>
  <c r="M799" i="9"/>
  <c r="N799" i="9" s="1"/>
  <c r="M798" i="9"/>
  <c r="N798" i="9" s="1"/>
  <c r="M797" i="9"/>
  <c r="N797" i="9" s="1"/>
  <c r="M796" i="9"/>
  <c r="N796" i="9" s="1"/>
  <c r="M795" i="9"/>
  <c r="N795" i="9" s="1"/>
  <c r="M794" i="9"/>
  <c r="N794" i="9" s="1"/>
  <c r="M793" i="9"/>
  <c r="N793" i="9" s="1"/>
  <c r="M792" i="9"/>
  <c r="N792" i="9" s="1"/>
  <c r="M791" i="9"/>
  <c r="N791" i="9" s="1"/>
  <c r="M790" i="9"/>
  <c r="N790" i="9" s="1"/>
  <c r="M789" i="9"/>
  <c r="N789" i="9" s="1"/>
  <c r="M788" i="9"/>
  <c r="N788" i="9" s="1"/>
  <c r="M787" i="9"/>
  <c r="N787" i="9" s="1"/>
  <c r="M785" i="9"/>
  <c r="N785" i="9" s="1"/>
  <c r="M784" i="9"/>
  <c r="N784" i="9" s="1"/>
  <c r="M783" i="9"/>
  <c r="N783" i="9" s="1"/>
  <c r="M782" i="9"/>
  <c r="N782" i="9" s="1"/>
  <c r="M780" i="9"/>
  <c r="N780" i="9" s="1"/>
  <c r="M779" i="9"/>
  <c r="N779" i="9" s="1"/>
  <c r="M778" i="9"/>
  <c r="N778" i="9" s="1"/>
  <c r="M776" i="9"/>
  <c r="N776" i="9" s="1"/>
  <c r="M775" i="9"/>
  <c r="N775" i="9" s="1"/>
  <c r="M774" i="9"/>
  <c r="N774" i="9" s="1"/>
  <c r="M772" i="9"/>
  <c r="N772" i="9" s="1"/>
  <c r="M771" i="9"/>
  <c r="N771" i="9" s="1"/>
  <c r="M770" i="9"/>
  <c r="N770" i="9" s="1"/>
  <c r="M769" i="9"/>
  <c r="N769" i="9" s="1"/>
  <c r="M768" i="9"/>
  <c r="N768" i="9" s="1"/>
  <c r="M767" i="9"/>
  <c r="N767" i="9" s="1"/>
  <c r="M766" i="9"/>
  <c r="N766" i="9" s="1"/>
  <c r="M765" i="9"/>
  <c r="N765" i="9" s="1"/>
  <c r="M764" i="9"/>
  <c r="N764" i="9" s="1"/>
  <c r="M763" i="9"/>
  <c r="N763" i="9" s="1"/>
  <c r="M762" i="9"/>
  <c r="N762" i="9" s="1"/>
  <c r="M761" i="9"/>
  <c r="N761" i="9" s="1"/>
  <c r="M760" i="9"/>
  <c r="N760" i="9" s="1"/>
  <c r="M759" i="9"/>
  <c r="N759" i="9" s="1"/>
  <c r="M758" i="9"/>
  <c r="N758" i="9" s="1"/>
  <c r="M757" i="9"/>
  <c r="N757" i="9" s="1"/>
  <c r="M756" i="9"/>
  <c r="N756" i="9" s="1"/>
  <c r="M755" i="9"/>
  <c r="N755" i="9" s="1"/>
  <c r="M754" i="9"/>
  <c r="N754" i="9" s="1"/>
  <c r="M753" i="9"/>
  <c r="N753" i="9" s="1"/>
  <c r="M752" i="9"/>
  <c r="N752" i="9" s="1"/>
  <c r="M751" i="9"/>
  <c r="N751" i="9" s="1"/>
  <c r="M749" i="9"/>
  <c r="N749" i="9" s="1"/>
  <c r="M748" i="9"/>
  <c r="N748" i="9" s="1"/>
  <c r="M747" i="9"/>
  <c r="N747" i="9" s="1"/>
  <c r="M746" i="9"/>
  <c r="M745" i="9"/>
  <c r="N745" i="9" s="1"/>
  <c r="M744" i="9"/>
  <c r="N744" i="9" s="1"/>
  <c r="M743" i="9"/>
  <c r="N743" i="9" s="1"/>
  <c r="M741" i="9"/>
  <c r="N741" i="9" s="1"/>
  <c r="M740" i="9"/>
  <c r="N740" i="9" s="1"/>
  <c r="M738" i="9"/>
  <c r="N738" i="9" s="1"/>
  <c r="M737" i="9"/>
  <c r="N737" i="9" s="1"/>
  <c r="M736" i="9"/>
  <c r="N736" i="9" s="1"/>
  <c r="M735" i="9"/>
  <c r="N735" i="9" s="1"/>
  <c r="M734" i="9"/>
  <c r="N734" i="9" s="1"/>
  <c r="M733" i="9"/>
  <c r="N733" i="9" s="1"/>
  <c r="M732" i="9"/>
  <c r="N732" i="9" s="1"/>
  <c r="M731" i="9"/>
  <c r="N731" i="9" s="1"/>
  <c r="M730" i="9"/>
  <c r="N730" i="9" s="1"/>
  <c r="M728" i="9"/>
  <c r="N728" i="9" s="1"/>
  <c r="M727" i="9"/>
  <c r="N727" i="9" s="1"/>
  <c r="M726" i="9"/>
  <c r="N726" i="9" s="1"/>
  <c r="M725" i="9"/>
  <c r="N725" i="9" s="1"/>
  <c r="M724" i="9"/>
  <c r="N724" i="9" s="1"/>
  <c r="M723" i="9"/>
  <c r="N723" i="9" s="1"/>
  <c r="M722" i="9"/>
  <c r="N722" i="9" s="1"/>
  <c r="M721" i="9"/>
  <c r="N721" i="9" s="1"/>
  <c r="M720" i="9"/>
  <c r="N720" i="9" s="1"/>
  <c r="M719" i="9"/>
  <c r="N719" i="9" s="1"/>
  <c r="M718" i="9"/>
  <c r="N718" i="9" s="1"/>
  <c r="M716" i="9"/>
  <c r="N716" i="9" s="1"/>
  <c r="M715" i="9"/>
  <c r="N715" i="9" s="1"/>
  <c r="M714" i="9"/>
  <c r="N714" i="9" s="1"/>
  <c r="M713" i="9"/>
  <c r="N713" i="9" s="1"/>
  <c r="M712" i="9"/>
  <c r="N712" i="9" s="1"/>
  <c r="M711" i="9"/>
  <c r="N711" i="9" s="1"/>
  <c r="M710" i="9"/>
  <c r="N710" i="9" s="1"/>
  <c r="M708" i="9"/>
  <c r="N708" i="9" s="1"/>
  <c r="M707" i="9"/>
  <c r="N707" i="9" s="1"/>
  <c r="M705" i="9"/>
  <c r="N705" i="9" s="1"/>
  <c r="M704" i="9"/>
  <c r="N704" i="9" s="1"/>
  <c r="M702" i="9"/>
  <c r="N702" i="9" s="1"/>
  <c r="M701" i="9"/>
  <c r="N701" i="9" s="1"/>
  <c r="M700" i="9"/>
  <c r="N700" i="9" s="1"/>
  <c r="M699" i="9"/>
  <c r="N699" i="9" s="1"/>
  <c r="M697" i="9"/>
  <c r="N697" i="9" s="1"/>
  <c r="M696" i="9"/>
  <c r="N696" i="9" s="1"/>
  <c r="M695" i="9"/>
  <c r="N695" i="9" s="1"/>
  <c r="M694" i="9"/>
  <c r="N694" i="9" s="1"/>
  <c r="M693" i="9"/>
  <c r="N693" i="9" s="1"/>
  <c r="M692" i="9"/>
  <c r="N692" i="9" s="1"/>
  <c r="M691" i="9"/>
  <c r="N691" i="9" s="1"/>
  <c r="M690" i="9"/>
  <c r="N690" i="9" s="1"/>
  <c r="M689" i="9"/>
  <c r="N689" i="9" s="1"/>
  <c r="M688" i="9"/>
  <c r="N688" i="9" s="1"/>
  <c r="M687" i="9"/>
  <c r="N687" i="9" s="1"/>
  <c r="M686" i="9"/>
  <c r="N686" i="9" s="1"/>
  <c r="M685" i="9"/>
  <c r="N685" i="9" s="1"/>
  <c r="M684" i="9"/>
  <c r="N684" i="9" s="1"/>
  <c r="M683" i="9"/>
  <c r="N683" i="9" s="1"/>
  <c r="M682" i="9"/>
  <c r="N682" i="9" s="1"/>
  <c r="M681" i="9"/>
  <c r="N681" i="9" s="1"/>
  <c r="M680" i="9"/>
  <c r="N680" i="9" s="1"/>
  <c r="M679" i="9"/>
  <c r="N679" i="9" s="1"/>
  <c r="M678" i="9"/>
  <c r="N678" i="9" s="1"/>
  <c r="M677" i="9"/>
  <c r="N677" i="9" s="1"/>
  <c r="M676" i="9"/>
  <c r="N676" i="9" s="1"/>
  <c r="M675" i="9"/>
  <c r="N675" i="9" s="1"/>
  <c r="M674" i="9"/>
  <c r="N674" i="9" s="1"/>
  <c r="M673" i="9"/>
  <c r="N673" i="9" s="1"/>
  <c r="M672" i="9"/>
  <c r="N672" i="9" s="1"/>
  <c r="M671" i="9"/>
  <c r="N671" i="9" s="1"/>
  <c r="M670" i="9"/>
  <c r="N670" i="9" s="1"/>
  <c r="M669" i="9"/>
  <c r="N669" i="9" s="1"/>
  <c r="M668" i="9"/>
  <c r="N668" i="9" s="1"/>
  <c r="M667" i="9"/>
  <c r="N667" i="9" s="1"/>
  <c r="M666" i="9"/>
  <c r="N666" i="9" s="1"/>
  <c r="M665" i="9"/>
  <c r="N665" i="9" s="1"/>
  <c r="M664" i="9"/>
  <c r="N664" i="9" s="1"/>
  <c r="M663" i="9"/>
  <c r="N663" i="9" s="1"/>
  <c r="M662" i="9"/>
  <c r="N662" i="9" s="1"/>
  <c r="M661" i="9"/>
  <c r="N661" i="9" s="1"/>
  <c r="M660" i="9"/>
  <c r="N660" i="9" s="1"/>
  <c r="M659" i="9"/>
  <c r="N659" i="9" s="1"/>
  <c r="M658" i="9"/>
  <c r="N658" i="9" s="1"/>
  <c r="M657" i="9"/>
  <c r="N657" i="9" s="1"/>
  <c r="M656" i="9"/>
  <c r="N656" i="9" s="1"/>
  <c r="M655" i="9"/>
  <c r="N655" i="9" s="1"/>
  <c r="M654" i="9"/>
  <c r="N654" i="9" s="1"/>
  <c r="M652" i="9"/>
  <c r="N652" i="9" s="1"/>
  <c r="M651" i="9"/>
  <c r="N651" i="9" s="1"/>
  <c r="M650" i="9"/>
  <c r="N650" i="9" s="1"/>
  <c r="M649" i="9"/>
  <c r="N649" i="9" s="1"/>
  <c r="M648" i="9"/>
  <c r="N648" i="9" s="1"/>
  <c r="M646" i="9"/>
  <c r="N646" i="9" s="1"/>
  <c r="M644" i="9"/>
  <c r="N644" i="9" s="1"/>
  <c r="M643" i="9"/>
  <c r="N643" i="9" s="1"/>
  <c r="M642" i="9"/>
  <c r="N642" i="9" s="1"/>
  <c r="M641" i="9"/>
  <c r="N641" i="9" s="1"/>
  <c r="M640" i="9"/>
  <c r="N640" i="9" s="1"/>
  <c r="M639" i="9"/>
  <c r="N639" i="9" s="1"/>
  <c r="M638" i="9"/>
  <c r="N638" i="9" s="1"/>
  <c r="M637" i="9"/>
  <c r="N637" i="9" s="1"/>
  <c r="M636" i="9"/>
  <c r="N636" i="9" s="1"/>
  <c r="M635" i="9"/>
  <c r="N635" i="9" s="1"/>
  <c r="M634" i="9"/>
  <c r="N634" i="9" s="1"/>
  <c r="M633" i="9"/>
  <c r="N633" i="9" s="1"/>
  <c r="M632" i="9"/>
  <c r="N632" i="9" s="1"/>
  <c r="M631" i="9"/>
  <c r="N631" i="9" s="1"/>
  <c r="M630" i="9"/>
  <c r="N630" i="9" s="1"/>
  <c r="M629" i="9"/>
  <c r="N629" i="9" s="1"/>
  <c r="M628" i="9"/>
  <c r="N628" i="9" s="1"/>
  <c r="M627" i="9"/>
  <c r="N627" i="9" s="1"/>
  <c r="M626" i="9"/>
  <c r="N626" i="9" s="1"/>
  <c r="M625" i="9"/>
  <c r="N625" i="9" s="1"/>
  <c r="M624" i="9"/>
  <c r="N624" i="9" s="1"/>
  <c r="M623" i="9"/>
  <c r="N623" i="9" s="1"/>
  <c r="M622" i="9"/>
  <c r="N622" i="9" s="1"/>
  <c r="M621" i="9"/>
  <c r="N621" i="9" s="1"/>
  <c r="M620" i="9"/>
  <c r="N620" i="9" s="1"/>
  <c r="M619" i="9"/>
  <c r="N619" i="9" s="1"/>
  <c r="M618" i="9"/>
  <c r="N618" i="9" s="1"/>
  <c r="M617" i="9"/>
  <c r="N617" i="9" s="1"/>
  <c r="M616" i="9"/>
  <c r="N616" i="9" s="1"/>
  <c r="M615" i="9"/>
  <c r="N615" i="9" s="1"/>
  <c r="M614" i="9"/>
  <c r="N614" i="9" s="1"/>
  <c r="M613" i="9"/>
  <c r="N613" i="9" s="1"/>
  <c r="M612" i="9"/>
  <c r="N612" i="9" s="1"/>
  <c r="M611" i="9"/>
  <c r="N611" i="9" s="1"/>
  <c r="M610" i="9"/>
  <c r="N610" i="9" s="1"/>
  <c r="M609" i="9"/>
  <c r="N609" i="9" s="1"/>
  <c r="M608" i="9"/>
  <c r="N608" i="9" s="1"/>
  <c r="M607" i="9"/>
  <c r="N607" i="9" s="1"/>
  <c r="M606" i="9"/>
  <c r="N606" i="9" s="1"/>
  <c r="M605" i="9"/>
  <c r="N605" i="9" s="1"/>
  <c r="M604" i="9"/>
  <c r="N604" i="9" s="1"/>
  <c r="M602" i="9"/>
  <c r="N602" i="9" s="1"/>
  <c r="M601" i="9"/>
  <c r="N601" i="9" s="1"/>
  <c r="M600" i="9"/>
  <c r="N600" i="9" s="1"/>
  <c r="M599" i="9"/>
  <c r="N599" i="9" s="1"/>
  <c r="M598" i="9"/>
  <c r="N598" i="9" s="1"/>
  <c r="M597" i="9"/>
  <c r="N597" i="9" s="1"/>
  <c r="M596" i="9"/>
  <c r="N596" i="9" s="1"/>
  <c r="M595" i="9"/>
  <c r="N595" i="9" s="1"/>
  <c r="M594" i="9"/>
  <c r="N594" i="9" s="1"/>
  <c r="M593" i="9"/>
  <c r="N593" i="9" s="1"/>
  <c r="M592" i="9"/>
  <c r="N592" i="9" s="1"/>
  <c r="M591" i="9"/>
  <c r="N591" i="9" s="1"/>
  <c r="M589" i="9"/>
  <c r="N589" i="9" s="1"/>
  <c r="M588" i="9"/>
  <c r="N588" i="9" s="1"/>
  <c r="M587" i="9"/>
  <c r="M586" i="9"/>
  <c r="N586" i="9" s="1"/>
  <c r="M584" i="9"/>
  <c r="N584" i="9" s="1"/>
  <c r="M583" i="9"/>
  <c r="N583" i="9" s="1"/>
  <c r="M582" i="9"/>
  <c r="N582" i="9" s="1"/>
  <c r="M581" i="9"/>
  <c r="N581" i="9" s="1"/>
  <c r="M579" i="9"/>
  <c r="N579" i="9" s="1"/>
  <c r="M578" i="9"/>
  <c r="N578" i="9" s="1"/>
  <c r="M577" i="9"/>
  <c r="N577" i="9" s="1"/>
  <c r="M576" i="9"/>
  <c r="N576" i="9" s="1"/>
  <c r="M575" i="9"/>
  <c r="N575" i="9" s="1"/>
  <c r="M573" i="9"/>
  <c r="N573" i="9" s="1"/>
  <c r="M572" i="9"/>
  <c r="N572" i="9" s="1"/>
  <c r="M570" i="9"/>
  <c r="N570" i="9" s="1"/>
  <c r="M569" i="9"/>
  <c r="N569" i="9" s="1"/>
  <c r="M568" i="9"/>
  <c r="N568" i="9" s="1"/>
  <c r="M567" i="9"/>
  <c r="N567" i="9" s="1"/>
  <c r="M566" i="9"/>
  <c r="N566" i="9" s="1"/>
  <c r="M565" i="9"/>
  <c r="N565" i="9" s="1"/>
  <c r="M564" i="9"/>
  <c r="N564" i="9" s="1"/>
  <c r="M563" i="9"/>
  <c r="N563" i="9" s="1"/>
  <c r="M562" i="9"/>
  <c r="N562" i="9" s="1"/>
  <c r="M561" i="9"/>
  <c r="N561" i="9" s="1"/>
  <c r="M560" i="9"/>
  <c r="N560" i="9" s="1"/>
  <c r="M559" i="9"/>
  <c r="N559" i="9" s="1"/>
  <c r="M558" i="9"/>
  <c r="N558" i="9" s="1"/>
  <c r="M557" i="9"/>
  <c r="N557" i="9" s="1"/>
  <c r="M556" i="9"/>
  <c r="N556" i="9" s="1"/>
  <c r="M555" i="9"/>
  <c r="N555" i="9" s="1"/>
  <c r="M554" i="9"/>
  <c r="N554" i="9" s="1"/>
  <c r="M553" i="9"/>
  <c r="N553" i="9" s="1"/>
  <c r="M552" i="9"/>
  <c r="N552" i="9" s="1"/>
  <c r="M551" i="9"/>
  <c r="N551" i="9" s="1"/>
  <c r="M550" i="9"/>
  <c r="N550" i="9" s="1"/>
  <c r="M549" i="9"/>
  <c r="N549" i="9" s="1"/>
  <c r="M547" i="9"/>
  <c r="N547" i="9" s="1"/>
  <c r="M545" i="9"/>
  <c r="N545" i="9" s="1"/>
  <c r="M543" i="9"/>
  <c r="N543" i="9" s="1"/>
  <c r="M542" i="9"/>
  <c r="N542" i="9" s="1"/>
  <c r="M541" i="9"/>
  <c r="N541" i="9" s="1"/>
  <c r="M540" i="9"/>
  <c r="N540" i="9" s="1"/>
  <c r="M538" i="9"/>
  <c r="N538" i="9" s="1"/>
  <c r="M537" i="9"/>
  <c r="N537" i="9" s="1"/>
  <c r="M536" i="9"/>
  <c r="N536" i="9" s="1"/>
  <c r="M535" i="9"/>
  <c r="N535" i="9" s="1"/>
  <c r="M534" i="9"/>
  <c r="N534" i="9" s="1"/>
  <c r="M533" i="9"/>
  <c r="N533" i="9" s="1"/>
  <c r="M532" i="9"/>
  <c r="N532" i="9" s="1"/>
  <c r="M531" i="9"/>
  <c r="N531" i="9" s="1"/>
  <c r="M530" i="9"/>
  <c r="N530" i="9" s="1"/>
  <c r="M529" i="9"/>
  <c r="N529" i="9" s="1"/>
  <c r="M528" i="9"/>
  <c r="N528" i="9" s="1"/>
  <c r="M527" i="9"/>
  <c r="N527" i="9" s="1"/>
  <c r="M526" i="9"/>
  <c r="N526" i="9" s="1"/>
  <c r="M524" i="9"/>
  <c r="N524" i="9" s="1"/>
  <c r="M523" i="9"/>
  <c r="N523" i="9" s="1"/>
  <c r="M522" i="9"/>
  <c r="N522" i="9" s="1"/>
  <c r="M521" i="9"/>
  <c r="N521" i="9" s="1"/>
  <c r="M520" i="9"/>
  <c r="N520" i="9" s="1"/>
  <c r="M519" i="9"/>
  <c r="N519" i="9" s="1"/>
  <c r="M518" i="9"/>
  <c r="N518" i="9" s="1"/>
  <c r="M517" i="9"/>
  <c r="N517" i="9" s="1"/>
  <c r="M516" i="9"/>
  <c r="N516" i="9" s="1"/>
  <c r="M515" i="9"/>
  <c r="N515" i="9" s="1"/>
  <c r="M514" i="9"/>
  <c r="N514" i="9" s="1"/>
  <c r="M513" i="9"/>
  <c r="N513" i="9" s="1"/>
  <c r="M512" i="9"/>
  <c r="N512" i="9" s="1"/>
  <c r="M511" i="9"/>
  <c r="N511" i="9" s="1"/>
  <c r="M510" i="9"/>
  <c r="N510" i="9" s="1"/>
  <c r="M509" i="9"/>
  <c r="N509" i="9" s="1"/>
  <c r="M508" i="9"/>
  <c r="N508" i="9" s="1"/>
  <c r="M507" i="9"/>
  <c r="N507" i="9" s="1"/>
  <c r="M506" i="9"/>
  <c r="N506" i="9" s="1"/>
  <c r="M505" i="9"/>
  <c r="N505" i="9" s="1"/>
  <c r="M504" i="9"/>
  <c r="N504" i="9" s="1"/>
  <c r="M503" i="9"/>
  <c r="N503" i="9" s="1"/>
  <c r="M502" i="9"/>
  <c r="N502" i="9" s="1"/>
  <c r="M501" i="9"/>
  <c r="N501" i="9" s="1"/>
  <c r="M500" i="9"/>
  <c r="N500" i="9" s="1"/>
  <c r="M499" i="9"/>
  <c r="N499" i="9" s="1"/>
  <c r="M498" i="9"/>
  <c r="N498" i="9" s="1"/>
  <c r="M497" i="9"/>
  <c r="N497" i="9" s="1"/>
  <c r="M496" i="9"/>
  <c r="N496" i="9" s="1"/>
  <c r="M494" i="9"/>
  <c r="N494" i="9" s="1"/>
  <c r="M493" i="9"/>
  <c r="N493" i="9" s="1"/>
  <c r="M492" i="9"/>
  <c r="N492" i="9" s="1"/>
  <c r="M491" i="9"/>
  <c r="N491" i="9" s="1"/>
  <c r="M490" i="9"/>
  <c r="N490" i="9" s="1"/>
  <c r="M489" i="9"/>
  <c r="N489" i="9" s="1"/>
  <c r="M488" i="9"/>
  <c r="N488" i="9" s="1"/>
  <c r="M487" i="9"/>
  <c r="N487" i="9" s="1"/>
  <c r="M486" i="9"/>
  <c r="N486" i="9" s="1"/>
  <c r="M485" i="9"/>
  <c r="N485" i="9" s="1"/>
  <c r="M484" i="9"/>
  <c r="N484" i="9" s="1"/>
  <c r="M483" i="9"/>
  <c r="N483" i="9" s="1"/>
  <c r="M482" i="9"/>
  <c r="N482" i="9" s="1"/>
  <c r="M481" i="9"/>
  <c r="N481" i="9" s="1"/>
  <c r="M480" i="9"/>
  <c r="N480" i="9" s="1"/>
  <c r="M479" i="9"/>
  <c r="N479" i="9" s="1"/>
  <c r="M478" i="9"/>
  <c r="N478" i="9" s="1"/>
  <c r="M477" i="9"/>
  <c r="N477" i="9" s="1"/>
  <c r="M476" i="9"/>
  <c r="N476" i="9" s="1"/>
  <c r="M475" i="9"/>
  <c r="N475" i="9" s="1"/>
  <c r="M474" i="9"/>
  <c r="N474" i="9" s="1"/>
  <c r="M473" i="9"/>
  <c r="N473" i="9" s="1"/>
  <c r="M472" i="9"/>
  <c r="N472" i="9" s="1"/>
  <c r="M471" i="9"/>
  <c r="N471" i="9" s="1"/>
  <c r="M470" i="9"/>
  <c r="N470" i="9" s="1"/>
  <c r="M469" i="9"/>
  <c r="N469" i="9" s="1"/>
  <c r="M468" i="9"/>
  <c r="N468" i="9" s="1"/>
  <c r="M467" i="9"/>
  <c r="N467" i="9" s="1"/>
  <c r="M466" i="9"/>
  <c r="N466" i="9" s="1"/>
  <c r="M465" i="9"/>
  <c r="N465" i="9" s="1"/>
  <c r="M464" i="9"/>
  <c r="N464" i="9" s="1"/>
  <c r="M463" i="9"/>
  <c r="N463" i="9" s="1"/>
  <c r="M462" i="9"/>
  <c r="N462" i="9" s="1"/>
  <c r="M461" i="9"/>
  <c r="N461" i="9" s="1"/>
  <c r="M459" i="9"/>
  <c r="N459" i="9" s="1"/>
  <c r="M458" i="9"/>
  <c r="N458" i="9" s="1"/>
  <c r="M457" i="9"/>
  <c r="N457" i="9" s="1"/>
  <c r="M456" i="9"/>
  <c r="N456" i="9" s="1"/>
  <c r="M455" i="9"/>
  <c r="N455" i="9" s="1"/>
  <c r="M454" i="9"/>
  <c r="N454" i="9" s="1"/>
  <c r="M453" i="9"/>
  <c r="N453" i="9" s="1"/>
  <c r="M452" i="9"/>
  <c r="N452" i="9" s="1"/>
  <c r="M451" i="9"/>
  <c r="N451" i="9" s="1"/>
  <c r="M450" i="9"/>
  <c r="N450" i="9" s="1"/>
  <c r="M449" i="9"/>
  <c r="N449" i="9" s="1"/>
  <c r="M448" i="9"/>
  <c r="N448" i="9" s="1"/>
  <c r="M447" i="9"/>
  <c r="N447" i="9" s="1"/>
  <c r="M446" i="9"/>
  <c r="N446" i="9" s="1"/>
  <c r="M445" i="9"/>
  <c r="N445" i="9" s="1"/>
  <c r="M444" i="9"/>
  <c r="N444" i="9" s="1"/>
  <c r="M443" i="9"/>
  <c r="N443" i="9" s="1"/>
  <c r="M442" i="9"/>
  <c r="N442" i="9" s="1"/>
  <c r="M441" i="9"/>
  <c r="N441" i="9" s="1"/>
  <c r="M440" i="9"/>
  <c r="N440" i="9" s="1"/>
  <c r="M439" i="9"/>
  <c r="N439" i="9" s="1"/>
  <c r="M438" i="9"/>
  <c r="N438" i="9" s="1"/>
  <c r="M437" i="9"/>
  <c r="N437" i="9" s="1"/>
  <c r="M436" i="9"/>
  <c r="N436" i="9" s="1"/>
  <c r="M435" i="9"/>
  <c r="N435" i="9" s="1"/>
  <c r="M434" i="9"/>
  <c r="N434" i="9" s="1"/>
  <c r="M433" i="9"/>
  <c r="N433" i="9" s="1"/>
  <c r="M432" i="9"/>
  <c r="N432" i="9" s="1"/>
  <c r="M431" i="9"/>
  <c r="N431" i="9" s="1"/>
  <c r="M429" i="9"/>
  <c r="N429" i="9" s="1"/>
  <c r="M428" i="9"/>
  <c r="N428" i="9" s="1"/>
  <c r="M427" i="9"/>
  <c r="N427" i="9" s="1"/>
  <c r="M425" i="9"/>
  <c r="N425" i="9" s="1"/>
  <c r="M424" i="9"/>
  <c r="N424" i="9" s="1"/>
  <c r="M423" i="9"/>
  <c r="N423" i="9" s="1"/>
  <c r="M422" i="9"/>
  <c r="N422" i="9" s="1"/>
  <c r="M421" i="9"/>
  <c r="N421" i="9" s="1"/>
  <c r="M420" i="9"/>
  <c r="N420" i="9" s="1"/>
  <c r="M419" i="9"/>
  <c r="N419" i="9" s="1"/>
  <c r="M418" i="9"/>
  <c r="N418" i="9" s="1"/>
  <c r="M417" i="9"/>
  <c r="N417" i="9" s="1"/>
  <c r="M416" i="9"/>
  <c r="N416" i="9" s="1"/>
  <c r="M415" i="9"/>
  <c r="N415" i="9" s="1"/>
  <c r="M414" i="9"/>
  <c r="N414" i="9" s="1"/>
  <c r="M412" i="9"/>
  <c r="N412" i="9" s="1"/>
  <c r="M411" i="9"/>
  <c r="M410" i="9"/>
  <c r="M409" i="9"/>
  <c r="M408" i="9"/>
  <c r="N408" i="9" s="1"/>
  <c r="M407" i="9"/>
  <c r="N407" i="9" s="1"/>
  <c r="M406" i="9"/>
  <c r="N406" i="9" s="1"/>
  <c r="M405" i="9"/>
  <c r="N405" i="9" s="1"/>
  <c r="M404" i="9"/>
  <c r="N404" i="9" s="1"/>
  <c r="M402" i="9"/>
  <c r="N402" i="9" s="1"/>
  <c r="M401" i="9"/>
  <c r="N401" i="9" s="1"/>
  <c r="M399" i="9"/>
  <c r="N399" i="9" s="1"/>
  <c r="M398" i="9"/>
  <c r="N398" i="9" s="1"/>
  <c r="M397" i="9"/>
  <c r="N397" i="9" s="1"/>
  <c r="M396" i="9"/>
  <c r="N396" i="9" s="1"/>
  <c r="M395" i="9"/>
  <c r="N395" i="9" s="1"/>
  <c r="M394" i="9"/>
  <c r="N394" i="9" s="1"/>
  <c r="M393" i="9"/>
  <c r="N393" i="9" s="1"/>
  <c r="M392" i="9"/>
  <c r="N392" i="9" s="1"/>
  <c r="M391" i="9"/>
  <c r="N391" i="9" s="1"/>
  <c r="M390" i="9"/>
  <c r="N390" i="9" s="1"/>
  <c r="M389" i="9"/>
  <c r="N389" i="9" s="1"/>
  <c r="M388" i="9"/>
  <c r="N388" i="9" s="1"/>
  <c r="M387" i="9"/>
  <c r="N387" i="9" s="1"/>
  <c r="M386" i="9"/>
  <c r="N386" i="9" s="1"/>
  <c r="M385" i="9"/>
  <c r="N385" i="9" s="1"/>
  <c r="M384" i="9"/>
  <c r="N384" i="9" s="1"/>
  <c r="M383" i="9"/>
  <c r="N383" i="9" s="1"/>
  <c r="M382" i="9"/>
  <c r="N382" i="9" s="1"/>
  <c r="M380" i="9"/>
  <c r="N380" i="9" s="1"/>
  <c r="M379" i="9"/>
  <c r="N379" i="9" s="1"/>
  <c r="M378" i="9"/>
  <c r="N378" i="9" s="1"/>
  <c r="M377" i="9"/>
  <c r="N377" i="9" s="1"/>
  <c r="M376" i="9"/>
  <c r="N376" i="9" s="1"/>
  <c r="M375" i="9"/>
  <c r="N375" i="9" s="1"/>
  <c r="M374" i="9"/>
  <c r="N374" i="9" s="1"/>
  <c r="M373" i="9"/>
  <c r="N373" i="9" s="1"/>
  <c r="M372" i="9"/>
  <c r="N372" i="9" s="1"/>
  <c r="M371" i="9"/>
  <c r="N371" i="9" s="1"/>
  <c r="M370" i="9"/>
  <c r="N370" i="9" s="1"/>
  <c r="M369" i="9"/>
  <c r="N369" i="9" s="1"/>
  <c r="M368" i="9"/>
  <c r="N368" i="9" s="1"/>
  <c r="M367" i="9"/>
  <c r="N367" i="9" s="1"/>
  <c r="M366" i="9"/>
  <c r="N366" i="9" s="1"/>
  <c r="M365" i="9"/>
  <c r="N365" i="9" s="1"/>
  <c r="M364" i="9"/>
  <c r="N364" i="9" s="1"/>
  <c r="M363" i="9"/>
  <c r="N363" i="9" s="1"/>
  <c r="M362" i="9"/>
  <c r="N362" i="9" s="1"/>
  <c r="M361" i="9"/>
  <c r="N361" i="9" s="1"/>
  <c r="M360" i="9"/>
  <c r="N360" i="9" s="1"/>
  <c r="M359" i="9"/>
  <c r="N359" i="9" s="1"/>
  <c r="M358" i="9"/>
  <c r="N358" i="9" s="1"/>
  <c r="M357" i="9"/>
  <c r="N357" i="9" s="1"/>
  <c r="M356" i="9"/>
  <c r="N356" i="9" s="1"/>
  <c r="M355" i="9"/>
  <c r="N355" i="9" s="1"/>
  <c r="M353" i="9"/>
  <c r="N353" i="9" s="1"/>
  <c r="M352" i="9"/>
  <c r="N352" i="9" s="1"/>
  <c r="M351" i="9"/>
  <c r="N351" i="9" s="1"/>
  <c r="M350" i="9"/>
  <c r="N350" i="9" s="1"/>
  <c r="M349" i="9"/>
  <c r="N349" i="9" s="1"/>
  <c r="M347" i="9"/>
  <c r="N347" i="9" s="1"/>
  <c r="M346" i="9"/>
  <c r="N346" i="9" s="1"/>
  <c r="M345" i="9"/>
  <c r="N345" i="9" s="1"/>
  <c r="M343" i="9"/>
  <c r="N343" i="9" s="1"/>
  <c r="M342" i="9"/>
  <c r="N342" i="9" s="1"/>
  <c r="M341" i="9"/>
  <c r="N341" i="9" s="1"/>
  <c r="M340" i="9"/>
  <c r="N340" i="9" s="1"/>
  <c r="M339" i="9"/>
  <c r="N339" i="9" s="1"/>
  <c r="M338" i="9"/>
  <c r="N338" i="9" s="1"/>
  <c r="M337" i="9"/>
  <c r="N337" i="9" s="1"/>
  <c r="M336" i="9"/>
  <c r="N336" i="9" s="1"/>
  <c r="M335" i="9"/>
  <c r="N335" i="9" s="1"/>
  <c r="M334" i="9"/>
  <c r="N334" i="9" s="1"/>
  <c r="M333" i="9"/>
  <c r="N333" i="9" s="1"/>
  <c r="M332" i="9"/>
  <c r="N332" i="9" s="1"/>
  <c r="M331" i="9"/>
  <c r="N331" i="9" s="1"/>
  <c r="M330" i="9"/>
  <c r="N330" i="9" s="1"/>
  <c r="M329" i="9"/>
  <c r="N329" i="9" s="1"/>
  <c r="M328" i="9"/>
  <c r="N328" i="9" s="1"/>
  <c r="M327" i="9"/>
  <c r="N327" i="9" s="1"/>
  <c r="M326" i="9"/>
  <c r="N326" i="9" s="1"/>
  <c r="M325" i="9"/>
  <c r="N325" i="9" s="1"/>
  <c r="M324" i="9"/>
  <c r="N324" i="9" s="1"/>
  <c r="M323" i="9"/>
  <c r="N323" i="9" s="1"/>
  <c r="M322" i="9"/>
  <c r="N322" i="9" s="1"/>
  <c r="M321" i="9"/>
  <c r="N321" i="9" s="1"/>
  <c r="M320" i="9"/>
  <c r="N320" i="9" s="1"/>
  <c r="M319" i="9"/>
  <c r="N319" i="9" s="1"/>
  <c r="M318" i="9"/>
  <c r="N318" i="9" s="1"/>
  <c r="M317" i="9"/>
  <c r="N317" i="9" s="1"/>
  <c r="M316" i="9"/>
  <c r="N316" i="9" s="1"/>
  <c r="M315" i="9"/>
  <c r="N315" i="9" s="1"/>
  <c r="M314" i="9"/>
  <c r="N314" i="9" s="1"/>
  <c r="M313" i="9"/>
  <c r="M311" i="9"/>
  <c r="N311" i="9" s="1"/>
  <c r="M310" i="9"/>
  <c r="N310" i="9" s="1"/>
  <c r="M309" i="9"/>
  <c r="N309" i="9" s="1"/>
  <c r="M308" i="9"/>
  <c r="N308" i="9" s="1"/>
  <c r="M307" i="9"/>
  <c r="N307" i="9" s="1"/>
  <c r="M306" i="9"/>
  <c r="N306" i="9" s="1"/>
  <c r="M305" i="9"/>
  <c r="N305" i="9" s="1"/>
  <c r="M304" i="9"/>
  <c r="N304" i="9" s="1"/>
  <c r="M303" i="9"/>
  <c r="N303" i="9" s="1"/>
  <c r="M302" i="9"/>
  <c r="N302" i="9" s="1"/>
  <c r="M301" i="9"/>
  <c r="N301" i="9" s="1"/>
  <c r="M300" i="9"/>
  <c r="N300" i="9" s="1"/>
  <c r="M299" i="9"/>
  <c r="N299" i="9" s="1"/>
  <c r="M298" i="9"/>
  <c r="N298" i="9" s="1"/>
  <c r="M297" i="9"/>
  <c r="N297" i="9" s="1"/>
  <c r="M296" i="9"/>
  <c r="N296" i="9" s="1"/>
  <c r="M295" i="9"/>
  <c r="N295" i="9" s="1"/>
  <c r="M294" i="9"/>
  <c r="N294" i="9" s="1"/>
  <c r="M293" i="9"/>
  <c r="N293" i="9" s="1"/>
  <c r="M292" i="9"/>
  <c r="N292" i="9" s="1"/>
  <c r="M291" i="9"/>
  <c r="N291" i="9" s="1"/>
  <c r="M290" i="9"/>
  <c r="N290" i="9" s="1"/>
  <c r="M289" i="9"/>
  <c r="N289" i="9" s="1"/>
  <c r="M288" i="9"/>
  <c r="N288" i="9" s="1"/>
  <c r="M287" i="9"/>
  <c r="N287" i="9" s="1"/>
  <c r="M286" i="9"/>
  <c r="N286" i="9" s="1"/>
  <c r="M285" i="9"/>
  <c r="N285" i="9" s="1"/>
  <c r="M284" i="9"/>
  <c r="N284" i="9" s="1"/>
  <c r="M283" i="9"/>
  <c r="N283" i="9" s="1"/>
  <c r="M282" i="9"/>
  <c r="N282" i="9" s="1"/>
  <c r="M281" i="9"/>
  <c r="N281" i="9" s="1"/>
  <c r="M280" i="9"/>
  <c r="N280" i="9" s="1"/>
  <c r="M279" i="9"/>
  <c r="N279" i="9" s="1"/>
  <c r="M278" i="9"/>
  <c r="N278" i="9" s="1"/>
  <c r="M277" i="9"/>
  <c r="N277" i="9" s="1"/>
  <c r="M276" i="9"/>
  <c r="N276" i="9" s="1"/>
  <c r="M275" i="9"/>
  <c r="N275" i="9" s="1"/>
  <c r="M274" i="9"/>
  <c r="N274" i="9" s="1"/>
  <c r="M273" i="9"/>
  <c r="N273" i="9" s="1"/>
  <c r="M272" i="9"/>
  <c r="N272" i="9" s="1"/>
  <c r="M271" i="9"/>
  <c r="N271" i="9" s="1"/>
  <c r="M270" i="9"/>
  <c r="N270" i="9" s="1"/>
  <c r="M269" i="9"/>
  <c r="N269" i="9" s="1"/>
  <c r="M268" i="9"/>
  <c r="N268" i="9" s="1"/>
  <c r="M267" i="9"/>
  <c r="N267" i="9" s="1"/>
  <c r="M266" i="9"/>
  <c r="N266" i="9" s="1"/>
  <c r="M264" i="9"/>
  <c r="N264" i="9" s="1"/>
  <c r="M262" i="9"/>
  <c r="N262" i="9" s="1"/>
  <c r="M261" i="9"/>
  <c r="N261" i="9" s="1"/>
  <c r="M259" i="9"/>
  <c r="N259" i="9" s="1"/>
  <c r="M258" i="9"/>
  <c r="N258" i="9" s="1"/>
  <c r="M257" i="9"/>
  <c r="N257" i="9" s="1"/>
  <c r="M256" i="9"/>
  <c r="N256" i="9" s="1"/>
  <c r="M255" i="9"/>
  <c r="N255" i="9" s="1"/>
  <c r="M254" i="9"/>
  <c r="N254" i="9" s="1"/>
  <c r="M253" i="9"/>
  <c r="N253" i="9" s="1"/>
  <c r="M252" i="9"/>
  <c r="N252" i="9" s="1"/>
  <c r="M251" i="9"/>
  <c r="N251" i="9" s="1"/>
  <c r="M250" i="9"/>
  <c r="N250" i="9" s="1"/>
  <c r="M249" i="9"/>
  <c r="N249" i="9" s="1"/>
  <c r="M248" i="9"/>
  <c r="N248" i="9" s="1"/>
  <c r="M246" i="9"/>
  <c r="N246" i="9" s="1"/>
  <c r="M245" i="9"/>
  <c r="N245" i="9" s="1"/>
  <c r="M244" i="9"/>
  <c r="N244" i="9" s="1"/>
  <c r="M243" i="9"/>
  <c r="N243" i="9" s="1"/>
  <c r="M242" i="9"/>
  <c r="N242" i="9" s="1"/>
  <c r="M241" i="9"/>
  <c r="N241" i="9" s="1"/>
  <c r="M240" i="9"/>
  <c r="N240" i="9" s="1"/>
  <c r="M239" i="9"/>
  <c r="N239" i="9" s="1"/>
  <c r="M237" i="9"/>
  <c r="N237" i="9" s="1"/>
  <c r="M236" i="9"/>
  <c r="N236" i="9" s="1"/>
  <c r="M235" i="9"/>
  <c r="N235" i="9" s="1"/>
  <c r="M234" i="9"/>
  <c r="N234" i="9" s="1"/>
  <c r="M233" i="9"/>
  <c r="N233" i="9" s="1"/>
  <c r="M232" i="9"/>
  <c r="N232" i="9" s="1"/>
  <c r="M231" i="9"/>
  <c r="N231" i="9" s="1"/>
  <c r="M230" i="9"/>
  <c r="N230" i="9" s="1"/>
  <c r="M229" i="9"/>
  <c r="N229" i="9" s="1"/>
  <c r="M228" i="9"/>
  <c r="N228" i="9" s="1"/>
  <c r="M227" i="9"/>
  <c r="N227" i="9" s="1"/>
  <c r="M226" i="9"/>
  <c r="N226" i="9" s="1"/>
  <c r="M225" i="9"/>
  <c r="N225" i="9" s="1"/>
  <c r="M224" i="9"/>
  <c r="N224" i="9" s="1"/>
  <c r="M223" i="9"/>
  <c r="N223" i="9" s="1"/>
  <c r="M222" i="9"/>
  <c r="N222" i="9" s="1"/>
  <c r="M221" i="9"/>
  <c r="N221" i="9" s="1"/>
  <c r="M220" i="9"/>
  <c r="N220" i="9" s="1"/>
  <c r="M219" i="9"/>
  <c r="N219" i="9" s="1"/>
  <c r="M218" i="9"/>
  <c r="N218" i="9" s="1"/>
  <c r="M217" i="9"/>
  <c r="N217" i="9" s="1"/>
  <c r="M216" i="9"/>
  <c r="N216" i="9" s="1"/>
  <c r="M215" i="9"/>
  <c r="N215" i="9" s="1"/>
  <c r="M214" i="9"/>
  <c r="N214" i="9" s="1"/>
  <c r="M213" i="9"/>
  <c r="N213" i="9" s="1"/>
  <c r="M212" i="9"/>
  <c r="N212" i="9" s="1"/>
  <c r="M211" i="9"/>
  <c r="N211" i="9" s="1"/>
  <c r="M209" i="9"/>
  <c r="N209" i="9" s="1"/>
  <c r="M208" i="9"/>
  <c r="N208" i="9" s="1"/>
  <c r="M207" i="9"/>
  <c r="N207" i="9" s="1"/>
  <c r="M205" i="9"/>
  <c r="N205" i="9" s="1"/>
  <c r="M204" i="9"/>
  <c r="N204" i="9" s="1"/>
  <c r="M203" i="9"/>
  <c r="N203" i="9" s="1"/>
  <c r="M202" i="9"/>
  <c r="N202" i="9" s="1"/>
  <c r="M200" i="9"/>
  <c r="N200" i="9" s="1"/>
  <c r="M199" i="9"/>
  <c r="N199" i="9" s="1"/>
  <c r="M198" i="9"/>
  <c r="N198" i="9" s="1"/>
  <c r="M197" i="9"/>
  <c r="N197" i="9" s="1"/>
  <c r="M196" i="9"/>
  <c r="N196" i="9" s="1"/>
  <c r="M195" i="9"/>
  <c r="N195" i="9" s="1"/>
  <c r="M193" i="9"/>
  <c r="N193" i="9" s="1"/>
  <c r="M192" i="9"/>
  <c r="N192" i="9" s="1"/>
  <c r="M191" i="9"/>
  <c r="N191" i="9" s="1"/>
  <c r="M190" i="9"/>
  <c r="N190" i="9" s="1"/>
  <c r="M189" i="9"/>
  <c r="N189" i="9" s="1"/>
  <c r="M188" i="9"/>
  <c r="N188" i="9" s="1"/>
  <c r="M187" i="9"/>
  <c r="N187" i="9" s="1"/>
  <c r="M186" i="9"/>
  <c r="N186" i="9" s="1"/>
  <c r="M185" i="9"/>
  <c r="N185" i="9" s="1"/>
  <c r="M184" i="9"/>
  <c r="N184" i="9" s="1"/>
  <c r="M183" i="9"/>
  <c r="N183" i="9" s="1"/>
  <c r="M182" i="9"/>
  <c r="N182" i="9" s="1"/>
  <c r="M181" i="9"/>
  <c r="N181" i="9" s="1"/>
  <c r="M180" i="9"/>
  <c r="N180" i="9" s="1"/>
  <c r="M179" i="9"/>
  <c r="N179" i="9" s="1"/>
  <c r="M178" i="9"/>
  <c r="N178" i="9" s="1"/>
  <c r="M177" i="9"/>
  <c r="N177" i="9" s="1"/>
  <c r="M176" i="9"/>
  <c r="N176" i="9" s="1"/>
  <c r="M175" i="9"/>
  <c r="M174" i="9"/>
  <c r="N174" i="9" s="1"/>
  <c r="M173" i="9"/>
  <c r="N173" i="9" s="1"/>
  <c r="M172" i="9"/>
  <c r="N172" i="9" s="1"/>
  <c r="M171" i="9"/>
  <c r="N171" i="9" s="1"/>
  <c r="M170" i="9"/>
  <c r="N170" i="9" s="1"/>
  <c r="M168" i="9"/>
  <c r="N168" i="9" s="1"/>
  <c r="M167" i="9"/>
  <c r="N167" i="9" s="1"/>
  <c r="M165" i="9"/>
  <c r="N165" i="9" s="1"/>
  <c r="M164" i="9"/>
  <c r="N164" i="9" s="1"/>
  <c r="M163" i="9"/>
  <c r="N163" i="9" s="1"/>
  <c r="M162" i="9"/>
  <c r="N162" i="9" s="1"/>
  <c r="M161" i="9"/>
  <c r="N161" i="9" s="1"/>
  <c r="M160" i="9"/>
  <c r="N160" i="9" s="1"/>
  <c r="M159" i="9"/>
  <c r="N159" i="9" s="1"/>
  <c r="M158" i="9"/>
  <c r="N158" i="9" s="1"/>
  <c r="M157" i="9"/>
  <c r="N157" i="9" s="1"/>
  <c r="M156" i="9"/>
  <c r="N156" i="9" s="1"/>
  <c r="M155" i="9"/>
  <c r="N155" i="9" s="1"/>
  <c r="M154" i="9"/>
  <c r="N154" i="9" s="1"/>
  <c r="M153" i="9"/>
  <c r="N153" i="9" s="1"/>
  <c r="M152" i="9"/>
  <c r="N152" i="9" s="1"/>
  <c r="M151" i="9"/>
  <c r="N151" i="9" s="1"/>
  <c r="M150" i="9"/>
  <c r="N150" i="9" s="1"/>
  <c r="M149" i="9"/>
  <c r="N149" i="9" s="1"/>
  <c r="M148" i="9"/>
  <c r="N148" i="9" s="1"/>
  <c r="M147" i="9"/>
  <c r="N147" i="9" s="1"/>
  <c r="M146" i="9"/>
  <c r="N146" i="9" s="1"/>
  <c r="M145" i="9"/>
  <c r="N145" i="9" s="1"/>
  <c r="M144" i="9"/>
  <c r="N144" i="9" s="1"/>
  <c r="M143" i="9"/>
  <c r="N143" i="9" s="1"/>
  <c r="M141" i="9"/>
  <c r="N141" i="9" s="1"/>
  <c r="M140" i="9"/>
  <c r="N140" i="9" s="1"/>
  <c r="M139" i="9"/>
  <c r="N139" i="9" s="1"/>
  <c r="M138" i="9"/>
  <c r="N138" i="9" s="1"/>
  <c r="M136" i="9"/>
  <c r="N136" i="9" s="1"/>
  <c r="M134" i="9"/>
  <c r="N134" i="9" s="1"/>
  <c r="M132" i="9"/>
  <c r="N132" i="9" s="1"/>
  <c r="M130" i="9"/>
  <c r="N130" i="9" s="1"/>
  <c r="M129" i="9"/>
  <c r="N129" i="9" s="1"/>
  <c r="M127" i="9"/>
  <c r="N127" i="9" s="1"/>
  <c r="M126" i="9"/>
  <c r="N126" i="9" s="1"/>
  <c r="M125" i="9"/>
  <c r="N125" i="9" s="1"/>
  <c r="M124" i="9"/>
  <c r="N124" i="9" s="1"/>
  <c r="M123" i="9"/>
  <c r="N123" i="9" s="1"/>
  <c r="M121" i="9"/>
  <c r="N121" i="9" s="1"/>
  <c r="M120" i="9"/>
  <c r="N120" i="9" s="1"/>
  <c r="M119" i="9"/>
  <c r="N119" i="9" s="1"/>
  <c r="M118" i="9"/>
  <c r="N118" i="9" s="1"/>
  <c r="M117" i="9"/>
  <c r="N117" i="9" s="1"/>
  <c r="M116" i="9"/>
  <c r="N116" i="9" s="1"/>
  <c r="M115" i="9"/>
  <c r="N115" i="9" s="1"/>
  <c r="M114" i="9"/>
  <c r="N114" i="9" s="1"/>
  <c r="M113" i="9"/>
  <c r="N113" i="9" s="1"/>
  <c r="M112" i="9"/>
  <c r="N112" i="9" s="1"/>
  <c r="M111" i="9"/>
  <c r="N111" i="9" s="1"/>
  <c r="M110" i="9"/>
  <c r="N110" i="9" s="1"/>
  <c r="M109" i="9"/>
  <c r="N109" i="9" s="1"/>
  <c r="M108" i="9"/>
  <c r="N108" i="9" s="1"/>
  <c r="M107" i="9"/>
  <c r="N107" i="9" s="1"/>
  <c r="M106" i="9"/>
  <c r="N106" i="9" s="1"/>
  <c r="M105" i="9"/>
  <c r="N105" i="9" s="1"/>
  <c r="M104" i="9"/>
  <c r="N104" i="9" s="1"/>
  <c r="M103" i="9"/>
  <c r="N103" i="9" s="1"/>
  <c r="M101" i="9"/>
  <c r="N101" i="9" s="1"/>
  <c r="M99" i="9"/>
  <c r="N99" i="9" s="1"/>
  <c r="M98" i="9"/>
  <c r="N98" i="9" s="1"/>
  <c r="M97" i="9"/>
  <c r="N97" i="9" s="1"/>
  <c r="M96" i="9"/>
  <c r="N96" i="9" s="1"/>
  <c r="M95" i="9"/>
  <c r="N95" i="9" s="1"/>
  <c r="M94" i="9"/>
  <c r="N94" i="9" s="1"/>
  <c r="M93" i="9"/>
  <c r="N93" i="9" s="1"/>
  <c r="M91" i="9"/>
  <c r="N91" i="9" s="1"/>
  <c r="M90" i="9"/>
  <c r="N90" i="9" s="1"/>
  <c r="M88" i="9"/>
  <c r="N88" i="9" s="1"/>
  <c r="M87" i="9"/>
  <c r="N87" i="9" s="1"/>
  <c r="M86" i="9"/>
  <c r="N86" i="9" s="1"/>
  <c r="M84" i="9"/>
  <c r="N84" i="9" s="1"/>
  <c r="M83" i="9"/>
  <c r="N83" i="9" s="1"/>
  <c r="M82" i="9"/>
  <c r="N82" i="9" s="1"/>
  <c r="M81" i="9"/>
  <c r="N81" i="9" s="1"/>
  <c r="M80" i="9"/>
  <c r="N80" i="9" s="1"/>
  <c r="M79" i="9"/>
  <c r="N79" i="9" s="1"/>
  <c r="M78" i="9"/>
  <c r="N78" i="9" s="1"/>
  <c r="M76" i="9"/>
  <c r="N76" i="9" s="1"/>
  <c r="M75" i="9"/>
  <c r="N75" i="9" s="1"/>
  <c r="M74" i="9"/>
  <c r="N74" i="9" s="1"/>
  <c r="M73" i="9"/>
  <c r="N73" i="9" s="1"/>
  <c r="M72" i="9"/>
  <c r="N72" i="9" s="1"/>
  <c r="M70" i="9"/>
  <c r="N70" i="9" s="1"/>
  <c r="M69" i="9"/>
  <c r="N69" i="9" s="1"/>
  <c r="M68" i="9"/>
  <c r="N68" i="9" s="1"/>
  <c r="M67" i="9"/>
  <c r="N67" i="9" s="1"/>
  <c r="M66" i="9"/>
  <c r="N66" i="9" s="1"/>
  <c r="M65" i="9"/>
  <c r="N65" i="9" s="1"/>
  <c r="M64" i="9"/>
  <c r="N64" i="9" s="1"/>
  <c r="M63" i="9"/>
  <c r="N63" i="9" s="1"/>
  <c r="M62" i="9"/>
  <c r="N62" i="9" s="1"/>
  <c r="M61" i="9"/>
  <c r="N61" i="9" s="1"/>
  <c r="M59" i="9"/>
  <c r="N59" i="9" s="1"/>
  <c r="M58" i="9"/>
  <c r="N58" i="9" s="1"/>
  <c r="M57" i="9"/>
  <c r="N57" i="9" s="1"/>
  <c r="M56" i="9"/>
  <c r="N56" i="9" s="1"/>
  <c r="M55" i="9"/>
  <c r="N55" i="9" s="1"/>
  <c r="M54" i="9"/>
  <c r="N54" i="9" s="1"/>
  <c r="M53" i="9"/>
  <c r="N53" i="9" s="1"/>
  <c r="M51" i="9"/>
  <c r="N51" i="9" s="1"/>
  <c r="M50" i="9"/>
  <c r="N50" i="9" s="1"/>
  <c r="M49" i="9"/>
  <c r="N49" i="9" s="1"/>
  <c r="M48" i="9"/>
  <c r="N48" i="9" s="1"/>
  <c r="M47" i="9"/>
  <c r="N47" i="9" s="1"/>
  <c r="M46" i="9"/>
  <c r="N46" i="9" s="1"/>
  <c r="M45" i="9"/>
  <c r="N45" i="9" s="1"/>
  <c r="M44" i="9"/>
  <c r="N44" i="9" s="1"/>
  <c r="M43" i="9"/>
  <c r="N43" i="9" s="1"/>
  <c r="M41" i="9"/>
  <c r="N41" i="9" s="1"/>
  <c r="M40" i="9"/>
  <c r="N40" i="9" s="1"/>
  <c r="M39" i="9"/>
  <c r="N39" i="9" s="1"/>
  <c r="M38" i="9"/>
  <c r="N38" i="9" s="1"/>
  <c r="M37" i="9"/>
  <c r="N37" i="9" s="1"/>
  <c r="M36" i="9"/>
  <c r="N36" i="9" s="1"/>
  <c r="M35" i="9"/>
  <c r="N35" i="9" s="1"/>
  <c r="M33" i="9"/>
  <c r="N33" i="9" s="1"/>
  <c r="M31" i="9"/>
  <c r="N31" i="9" s="1"/>
  <c r="M29" i="9"/>
  <c r="N29" i="9" s="1"/>
  <c r="M28" i="9"/>
  <c r="N28" i="9" s="1"/>
  <c r="M27" i="9"/>
  <c r="N27" i="9" s="1"/>
  <c r="M25" i="9"/>
  <c r="N25" i="9" s="1"/>
  <c r="M24" i="9"/>
  <c r="N24" i="9" s="1"/>
  <c r="M23" i="9"/>
  <c r="N23" i="9" s="1"/>
  <c r="M22" i="9"/>
  <c r="N22" i="9" s="1"/>
  <c r="M21" i="9"/>
  <c r="N21" i="9" s="1"/>
  <c r="M20" i="9"/>
  <c r="N20" i="9" s="1"/>
  <c r="M19" i="9"/>
  <c r="N19" i="9" s="1"/>
  <c r="M18" i="9"/>
  <c r="N18" i="9" s="1"/>
  <c r="M17" i="9"/>
  <c r="M16" i="9"/>
  <c r="N16" i="9" s="1"/>
  <c r="M15" i="9"/>
  <c r="N15" i="9" s="1"/>
  <c r="M14" i="9"/>
  <c r="N14" i="9" s="1"/>
  <c r="M13" i="9"/>
  <c r="N13" i="9" s="1"/>
  <c r="M12" i="9"/>
  <c r="N12" i="9" s="1"/>
  <c r="M11" i="9"/>
  <c r="N11" i="9" s="1"/>
  <c r="M10" i="9"/>
  <c r="N10" i="9" s="1"/>
  <c r="M9" i="9"/>
  <c r="N9" i="9" s="1"/>
  <c r="M8" i="9"/>
  <c r="N8" i="9" s="1"/>
  <c r="M7" i="9"/>
  <c r="N7" i="9" s="1"/>
  <c r="M6" i="9"/>
  <c r="N6" i="9" s="1"/>
  <c r="M5" i="9"/>
  <c r="N5" i="9" s="1"/>
  <c r="M4" i="9"/>
  <c r="N4" i="9" s="1"/>
  <c r="M3" i="9"/>
  <c r="N3" i="9" s="1"/>
  <c r="I174" i="9"/>
  <c r="I175" i="9" s="1"/>
  <c r="B1336" i="9"/>
  <c r="B1334" i="9"/>
  <c r="B1332" i="9"/>
  <c r="B1326" i="9"/>
  <c r="B1323" i="9"/>
  <c r="B1318" i="9"/>
  <c r="B1315" i="9"/>
  <c r="B1313" i="9"/>
  <c r="B1310" i="9"/>
  <c r="B1306" i="9"/>
  <c r="B1304" i="9"/>
  <c r="B1302" i="9"/>
  <c r="B1300" i="9"/>
  <c r="B1298" i="9"/>
  <c r="B1296" i="9"/>
  <c r="B1292" i="9"/>
  <c r="B1288" i="9"/>
  <c r="B1283" i="9"/>
  <c r="B1276" i="9"/>
  <c r="B1268" i="9"/>
  <c r="B1264" i="9"/>
  <c r="B1260" i="9"/>
  <c r="B1256" i="9"/>
  <c r="B1252" i="9"/>
  <c r="B1248" i="9"/>
  <c r="B1246" i="9"/>
  <c r="B1242" i="9"/>
  <c r="B1238" i="9"/>
  <c r="B1233" i="9"/>
  <c r="B1231" i="9"/>
  <c r="B1220" i="9"/>
  <c r="B1216" i="9"/>
  <c r="B1211" i="9"/>
  <c r="B1200" i="9"/>
  <c r="B1196" i="9"/>
  <c r="B1192" i="9"/>
  <c r="B1188" i="9"/>
  <c r="B1186" i="9"/>
  <c r="B1184" i="9"/>
  <c r="B1164" i="9"/>
  <c r="B1153" i="9"/>
  <c r="B1150" i="9"/>
  <c r="B1146" i="9"/>
  <c r="B1139" i="9"/>
  <c r="B1134" i="9"/>
  <c r="B1125" i="9"/>
  <c r="B1109" i="9"/>
  <c r="B1102" i="9"/>
  <c r="B1097" i="9"/>
  <c r="B1095" i="9"/>
  <c r="B1091" i="9"/>
  <c r="B1067" i="9"/>
  <c r="B1061" i="9"/>
  <c r="B1056" i="9"/>
  <c r="B1045" i="9"/>
  <c r="B1040" i="9"/>
  <c r="B1035" i="9"/>
  <c r="B1030" i="9"/>
  <c r="B1013" i="9"/>
  <c r="B1005" i="9"/>
  <c r="B1003" i="9"/>
  <c r="B1000" i="9"/>
  <c r="B997" i="9"/>
  <c r="B985" i="9"/>
  <c r="B980" i="9"/>
  <c r="B946" i="9"/>
  <c r="B942" i="9"/>
  <c r="B935" i="9"/>
  <c r="B931" i="9"/>
  <c r="B928" i="9"/>
  <c r="B925" i="9"/>
  <c r="B922" i="9"/>
  <c r="B919" i="9"/>
  <c r="B916" i="9"/>
  <c r="B914" i="9"/>
  <c r="B912" i="9"/>
  <c r="B910" i="9"/>
  <c r="B908" i="9"/>
  <c r="B862" i="9"/>
  <c r="B855" i="9"/>
  <c r="B853" i="9"/>
  <c r="B851" i="9"/>
  <c r="B849" i="9"/>
  <c r="B847" i="9"/>
  <c r="B804" i="9"/>
  <c r="B802" i="9"/>
  <c r="B786" i="9"/>
  <c r="B781" i="9"/>
  <c r="B777" i="9"/>
  <c r="B773" i="9"/>
  <c r="B750" i="9"/>
  <c r="B746" i="9"/>
  <c r="B742" i="9"/>
  <c r="B739" i="9"/>
  <c r="B736" i="9"/>
  <c r="B733" i="9"/>
  <c r="B729" i="9"/>
  <c r="B717" i="9"/>
  <c r="B713" i="9"/>
  <c r="B709" i="9"/>
  <c r="B706" i="9"/>
  <c r="B703" i="9"/>
  <c r="B698" i="9"/>
  <c r="B686" i="9"/>
  <c r="B653" i="9"/>
  <c r="B651" i="9"/>
  <c r="B647" i="9"/>
  <c r="B645" i="9"/>
  <c r="B641" i="9"/>
  <c r="B603" i="9"/>
  <c r="B599" i="9"/>
  <c r="B589" i="9"/>
  <c r="B585" i="9"/>
  <c r="B580" i="9"/>
  <c r="B574" i="9"/>
  <c r="B571" i="9"/>
  <c r="B567" i="9"/>
  <c r="B548" i="9"/>
  <c r="B546" i="9"/>
  <c r="B544" i="9"/>
  <c r="B539" i="9"/>
  <c r="B525" i="9"/>
  <c r="B521" i="9"/>
  <c r="B517" i="9"/>
  <c r="B495" i="9"/>
  <c r="B460" i="9"/>
  <c r="B458" i="9"/>
  <c r="B449" i="9"/>
  <c r="B430" i="9"/>
  <c r="B426" i="9"/>
  <c r="B413" i="9"/>
  <c r="B408" i="9"/>
  <c r="B403" i="9"/>
  <c r="B400" i="9"/>
  <c r="B381" i="9"/>
  <c r="B379" i="9"/>
  <c r="B354" i="9"/>
  <c r="B351" i="9"/>
  <c r="B348" i="9"/>
  <c r="B344" i="9"/>
  <c r="B312" i="9"/>
  <c r="B308" i="9"/>
  <c r="B304" i="9"/>
  <c r="B302" i="9"/>
  <c r="B265" i="9"/>
  <c r="B263" i="9"/>
  <c r="B260" i="9"/>
  <c r="B258" i="9"/>
  <c r="B247" i="9"/>
  <c r="B238" i="9"/>
  <c r="B234" i="9"/>
  <c r="B210" i="9"/>
  <c r="B206" i="9"/>
  <c r="B201" i="9"/>
  <c r="B197" i="9"/>
  <c r="B194" i="9"/>
  <c r="B189" i="9"/>
  <c r="B177" i="9"/>
  <c r="B172" i="9"/>
  <c r="B169" i="9"/>
  <c r="B166" i="9"/>
  <c r="B162" i="9"/>
  <c r="B142" i="9"/>
  <c r="B137" i="9"/>
  <c r="B135" i="9"/>
  <c r="B133" i="9"/>
  <c r="B131" i="9"/>
  <c r="B128" i="9"/>
  <c r="B126" i="9"/>
  <c r="B122" i="9"/>
  <c r="B118" i="9"/>
  <c r="B116" i="9"/>
  <c r="B102" i="9"/>
  <c r="B100" i="9"/>
  <c r="B92" i="9"/>
  <c r="B89" i="9"/>
  <c r="B85" i="9"/>
  <c r="B77" i="9"/>
  <c r="B71" i="9"/>
  <c r="B66" i="9"/>
  <c r="B64" i="9"/>
  <c r="B60" i="9"/>
  <c r="B52" i="9"/>
  <c r="B49" i="9"/>
  <c r="B42" i="9"/>
  <c r="B39" i="9"/>
  <c r="B34" i="9"/>
  <c r="B32" i="9"/>
  <c r="B30" i="9"/>
  <c r="B26" i="9"/>
  <c r="B22" i="9"/>
  <c r="B16" i="9"/>
  <c r="B13" i="9"/>
  <c r="B2" i="9"/>
  <c r="N175" i="9" l="1"/>
  <c r="O1338" i="9"/>
  <c r="J1336" i="9"/>
  <c r="J1332" i="9"/>
  <c r="I1332" i="9"/>
  <c r="O1332" i="9"/>
  <c r="J1326" i="9"/>
  <c r="K1332" i="9" l="1"/>
  <c r="M1332" i="9"/>
  <c r="N1332" i="9" s="1"/>
  <c r="K1336" i="9"/>
  <c r="M1336" i="9"/>
  <c r="N1336" i="9" s="1"/>
  <c r="O1330" i="9"/>
  <c r="K1326" i="9"/>
  <c r="M1326" i="9" s="1"/>
  <c r="N1326" i="9" s="1"/>
  <c r="J1315" i="9" l="1"/>
  <c r="J1323" i="9"/>
  <c r="O1321" i="9"/>
  <c r="K1318" i="9"/>
  <c r="M1318" i="9" s="1"/>
  <c r="N1318" i="9" s="1"/>
  <c r="O1298" i="9"/>
  <c r="K1323" i="9" l="1"/>
  <c r="M1323" i="9" s="1"/>
  <c r="N1323" i="9" s="1"/>
  <c r="K1315" i="9"/>
  <c r="M1315" i="9" s="1"/>
  <c r="N1315" i="9" s="1"/>
  <c r="J1310" i="9"/>
  <c r="K1310" i="9" l="1"/>
  <c r="M1310" i="9"/>
  <c r="N1310" i="9" s="1"/>
  <c r="J1313" i="9"/>
  <c r="K1313" i="9" l="1"/>
  <c r="M1313" i="9" s="1"/>
  <c r="N1313" i="9" s="1"/>
  <c r="J1306" i="9"/>
  <c r="O1308" i="9"/>
  <c r="K1306" i="9" l="1"/>
  <c r="M1306" i="9" s="1"/>
  <c r="N1306" i="9" s="1"/>
  <c r="J1302" i="9" l="1"/>
  <c r="P1268" i="9"/>
  <c r="K1302" i="9" l="1"/>
  <c r="M1302" i="9" s="1"/>
  <c r="N1302" i="9" s="1"/>
  <c r="Q1201" i="9"/>
  <c r="O1286" i="9" l="1"/>
  <c r="J1296" i="9" l="1"/>
  <c r="J1268" i="9"/>
  <c r="O1294" i="9"/>
  <c r="P1292" i="9"/>
  <c r="O1290" i="9"/>
  <c r="J1288" i="9"/>
  <c r="J1283" i="9"/>
  <c r="O1274" i="9"/>
  <c r="P1200" i="9"/>
  <c r="K1283" i="9" l="1"/>
  <c r="M1283" i="9"/>
  <c r="N1283" i="9" s="1"/>
  <c r="K1288" i="9"/>
  <c r="M1288" i="9"/>
  <c r="N1288" i="9" s="1"/>
  <c r="K1268" i="9"/>
  <c r="M1268" i="9"/>
  <c r="N1268" i="9" s="1"/>
  <c r="K1296" i="9"/>
  <c r="M1296" i="9"/>
  <c r="N1296" i="9" s="1"/>
  <c r="O1264" i="9"/>
  <c r="O1260" i="9"/>
  <c r="O1256" i="9"/>
  <c r="O1244" i="9" l="1"/>
  <c r="O1235" i="9" l="1"/>
  <c r="O1229" i="9" l="1"/>
  <c r="O1240" i="9" l="1"/>
  <c r="R1201" i="9"/>
  <c r="K1231" i="9"/>
  <c r="M1231" i="9" s="1"/>
  <c r="N1231" i="9" s="1"/>
  <c r="O1218" i="9" l="1"/>
  <c r="J1216" i="9"/>
  <c r="O1214" i="9"/>
  <c r="O1209" i="9"/>
  <c r="J1200" i="9"/>
  <c r="J1211" i="9"/>
  <c r="R1189" i="9"/>
  <c r="O1198" i="9"/>
  <c r="R1167" i="9"/>
  <c r="O1179" i="9"/>
  <c r="J1164" i="9"/>
  <c r="J1188" i="9"/>
  <c r="J1186" i="9"/>
  <c r="F1278" i="9"/>
  <c r="O1281" i="9"/>
  <c r="O1164" i="9"/>
  <c r="R1139" i="9"/>
  <c r="J1150" i="9"/>
  <c r="P1139" i="9"/>
  <c r="K1153" i="9"/>
  <c r="M1153" i="9" s="1"/>
  <c r="P1153" i="9"/>
  <c r="O1162" i="9"/>
  <c r="K1211" i="9" l="1"/>
  <c r="M1211" i="9"/>
  <c r="N1211" i="9" s="1"/>
  <c r="K1188" i="9"/>
  <c r="M1188" i="9"/>
  <c r="N1188" i="9" s="1"/>
  <c r="K1164" i="9"/>
  <c r="M1164" i="9"/>
  <c r="N1164" i="9" s="1"/>
  <c r="K1216" i="9"/>
  <c r="M1216" i="9" s="1"/>
  <c r="N1216" i="9" s="1"/>
  <c r="K1186" i="9"/>
  <c r="M1186" i="9" s="1"/>
  <c r="N1186" i="9" s="1"/>
  <c r="K1200" i="9"/>
  <c r="M1200" i="9" s="1"/>
  <c r="N1200" i="9" s="1"/>
  <c r="O1182" i="9"/>
  <c r="J1148" i="9"/>
  <c r="I1153" i="9"/>
  <c r="N1153" i="9" s="1"/>
  <c r="K1150" i="9"/>
  <c r="O1150" i="9" s="1"/>
  <c r="O1144" i="9"/>
  <c r="M1150" i="9" l="1"/>
  <c r="N1150" i="9" s="1"/>
  <c r="O1148" i="9"/>
  <c r="K1148" i="9"/>
  <c r="M1148" i="9" s="1"/>
  <c r="N1148" i="9" s="1"/>
  <c r="O1131" i="9"/>
  <c r="I1125" i="9"/>
  <c r="N1125" i="9" s="1"/>
  <c r="K1139" i="9"/>
  <c r="M1139" i="9" s="1"/>
  <c r="N1139" i="9" s="1"/>
  <c r="O1137" i="9"/>
  <c r="J1134" i="9"/>
  <c r="P1109" i="9"/>
  <c r="O1123" i="9"/>
  <c r="K1134" i="9" l="1"/>
  <c r="M1134" i="9"/>
  <c r="N1134" i="9" s="1"/>
  <c r="I1109" i="9"/>
  <c r="N1109" i="9" s="1"/>
  <c r="O1087" i="9"/>
  <c r="P1067" i="9"/>
  <c r="O1107" i="9"/>
  <c r="O1083" i="9"/>
  <c r="J1102" i="9"/>
  <c r="K1102" i="9" l="1"/>
  <c r="M1102" i="9" s="1"/>
  <c r="N1102" i="9" s="1"/>
  <c r="O1089" i="9"/>
  <c r="O1093" i="9"/>
  <c r="O1099" i="9" l="1"/>
  <c r="K1067" i="9"/>
  <c r="M1067" i="9" s="1"/>
  <c r="N1067" i="9" s="1"/>
  <c r="J1035" i="9" l="1"/>
  <c r="K1035" i="9" l="1"/>
  <c r="M1035" i="9"/>
  <c r="N1035" i="9" s="1"/>
  <c r="P1013" i="9"/>
  <c r="O1064" i="9" l="1"/>
  <c r="J1061" i="9"/>
  <c r="O1033" i="9"/>
  <c r="O1125" i="9"/>
  <c r="O1132" i="9" s="1"/>
  <c r="K1061" i="9" l="1"/>
  <c r="M1061" i="9" s="1"/>
  <c r="N1061" i="9" s="1"/>
  <c r="O1059" i="9"/>
  <c r="P1005" i="9"/>
  <c r="R982" i="9" l="1"/>
  <c r="O1043" i="9" l="1"/>
  <c r="J1005" i="9"/>
  <c r="K1005" i="9" l="1"/>
  <c r="M1005" i="9"/>
  <c r="G1036" i="9"/>
  <c r="G1037" i="9" s="1"/>
  <c r="K1013" i="9"/>
  <c r="M1013" i="9" s="1"/>
  <c r="N1013" i="9" s="1"/>
  <c r="O1028" i="9"/>
  <c r="J1030" i="9"/>
  <c r="K1030" i="9" l="1"/>
  <c r="M1030" i="9" s="1"/>
  <c r="N1030" i="9" s="1"/>
  <c r="O1100" i="9"/>
  <c r="O1005" i="9"/>
  <c r="O1011" i="9" s="1"/>
  <c r="I1005" i="9" l="1"/>
  <c r="N1005" i="9" s="1"/>
  <c r="P946" i="9"/>
  <c r="R947" i="9"/>
  <c r="O978" i="9"/>
  <c r="O995" i="9" l="1"/>
  <c r="G943" i="9"/>
  <c r="K997" i="9"/>
  <c r="M997" i="9" s="1"/>
  <c r="N997" i="9" s="1"/>
  <c r="P985" i="9"/>
  <c r="I970" i="9"/>
  <c r="N970" i="9" s="1"/>
  <c r="I969" i="9"/>
  <c r="N969" i="9" s="1"/>
  <c r="Q980" i="9"/>
  <c r="R983" i="9"/>
  <c r="O983" i="9"/>
  <c r="R943" i="9" l="1"/>
  <c r="J946" i="9"/>
  <c r="O944" i="9"/>
  <c r="K946" i="9" l="1"/>
  <c r="M946" i="9"/>
  <c r="N946" i="9" s="1"/>
  <c r="P862" i="9"/>
  <c r="K851" i="9" l="1"/>
  <c r="M851" i="9" s="1"/>
  <c r="N851" i="9" s="1"/>
  <c r="O881" i="9" l="1"/>
  <c r="J931" i="9" l="1"/>
  <c r="O933" i="9"/>
  <c r="K931" i="9" l="1"/>
  <c r="M931" i="9"/>
  <c r="N931" i="9" s="1"/>
  <c r="O746" i="9"/>
  <c r="J928" i="9"/>
  <c r="J925" i="9"/>
  <c r="J922" i="9"/>
  <c r="J919" i="9"/>
  <c r="J916" i="9"/>
  <c r="K916" i="9" l="1"/>
  <c r="M916" i="9"/>
  <c r="N916" i="9" s="1"/>
  <c r="K919" i="9"/>
  <c r="M919" i="9"/>
  <c r="N919" i="9" s="1"/>
  <c r="K928" i="9"/>
  <c r="M928" i="9"/>
  <c r="N928" i="9" s="1"/>
  <c r="K922" i="9"/>
  <c r="M922" i="9"/>
  <c r="N922" i="9" s="1"/>
  <c r="K925" i="9"/>
  <c r="M925" i="9"/>
  <c r="N925" i="9" s="1"/>
  <c r="O872" i="9"/>
  <c r="O862" i="9"/>
  <c r="J914" i="9"/>
  <c r="O855" i="9"/>
  <c r="O906" i="9" l="1"/>
  <c r="K914" i="9"/>
  <c r="M914" i="9" s="1"/>
  <c r="J862" i="9"/>
  <c r="J912" i="9"/>
  <c r="J910" i="9"/>
  <c r="J908" i="9"/>
  <c r="K862" i="9" l="1"/>
  <c r="M862" i="9"/>
  <c r="N862" i="9" s="1"/>
  <c r="K908" i="9"/>
  <c r="M908" i="9"/>
  <c r="N908" i="9" s="1"/>
  <c r="K910" i="9"/>
  <c r="M910" i="9"/>
  <c r="N910" i="9" s="1"/>
  <c r="K912" i="9"/>
  <c r="M912" i="9"/>
  <c r="N912" i="9" s="1"/>
  <c r="P804" i="9"/>
  <c r="P805" i="9" s="1"/>
  <c r="P806" i="9" s="1"/>
  <c r="P807" i="9" s="1"/>
  <c r="P808" i="9" s="1"/>
  <c r="I1045" i="9"/>
  <c r="N1045" i="9" s="1"/>
  <c r="Q1049" i="9"/>
  <c r="O810" i="9" l="1"/>
  <c r="O834" i="9" l="1"/>
  <c r="O845" i="9" s="1"/>
  <c r="J781" i="9" l="1"/>
  <c r="K804" i="9"/>
  <c r="M804" i="9" s="1"/>
  <c r="N804" i="9" s="1"/>
  <c r="O784" i="9"/>
  <c r="O775" i="9"/>
  <c r="P750" i="9"/>
  <c r="O771" i="9"/>
  <c r="J802" i="9" l="1"/>
  <c r="K802" i="9" l="1"/>
  <c r="M802" i="9"/>
  <c r="N802" i="9" s="1"/>
  <c r="K786" i="9"/>
  <c r="M786" i="9" s="1"/>
  <c r="N786" i="9" s="1"/>
  <c r="P786" i="9"/>
  <c r="O800" i="9"/>
  <c r="K781" i="9" l="1"/>
  <c r="M781" i="9" s="1"/>
  <c r="N781" i="9" s="1"/>
  <c r="J777" i="9"/>
  <c r="J773" i="9"/>
  <c r="O779" i="9"/>
  <c r="K773" i="9" l="1"/>
  <c r="M773" i="9"/>
  <c r="N773" i="9" s="1"/>
  <c r="K777" i="9"/>
  <c r="M777" i="9"/>
  <c r="N777" i="9" s="1"/>
  <c r="I746" i="9"/>
  <c r="N746" i="9" s="1"/>
  <c r="J750" i="9"/>
  <c r="G744" i="9"/>
  <c r="K742" i="9"/>
  <c r="M742" i="9" s="1"/>
  <c r="N742" i="9" s="1"/>
  <c r="K750" i="9" l="1"/>
  <c r="M750" i="9" s="1"/>
  <c r="N750" i="9" s="1"/>
  <c r="R718" i="9"/>
  <c r="P717" i="9"/>
  <c r="O727" i="9"/>
  <c r="J739" i="9" l="1"/>
  <c r="K739" i="9" l="1"/>
  <c r="M739" i="9"/>
  <c r="N739" i="9" s="1"/>
  <c r="O731" i="9"/>
  <c r="K729" i="9"/>
  <c r="M729" i="9" s="1"/>
  <c r="N729" i="9" s="1"/>
  <c r="J717" i="9" l="1"/>
  <c r="K717" i="9" l="1"/>
  <c r="M717" i="9" s="1"/>
  <c r="N717" i="9" s="1"/>
  <c r="O715" i="9"/>
  <c r="O1049" i="9"/>
  <c r="O1054" i="9" s="1"/>
  <c r="O709" i="9"/>
  <c r="L709" i="9"/>
  <c r="M709" i="9" s="1"/>
  <c r="P706" i="9" l="1"/>
  <c r="O706" i="9"/>
  <c r="P653" i="9" l="1"/>
  <c r="K653" i="9"/>
  <c r="M653" i="9" s="1"/>
  <c r="N653" i="9" s="1"/>
  <c r="O682" i="9"/>
  <c r="J706" i="9"/>
  <c r="J703" i="9"/>
  <c r="O669" i="9"/>
  <c r="O668" i="9"/>
  <c r="O701" i="9"/>
  <c r="J698" i="9"/>
  <c r="G578" i="9"/>
  <c r="O588" i="9"/>
  <c r="K706" i="9" l="1"/>
  <c r="M706" i="9"/>
  <c r="N706" i="9" s="1"/>
  <c r="K698" i="9"/>
  <c r="M698" i="9"/>
  <c r="N698" i="9" s="1"/>
  <c r="K703" i="9"/>
  <c r="M703" i="9"/>
  <c r="N703" i="9" s="1"/>
  <c r="O684" i="9"/>
  <c r="P590" i="9"/>
  <c r="P603" i="9"/>
  <c r="J603" i="9" s="1"/>
  <c r="O639" i="9"/>
  <c r="H639" i="9" s="1"/>
  <c r="H527" i="9"/>
  <c r="H528" i="9" s="1"/>
  <c r="P645" i="9"/>
  <c r="J645" i="9" s="1"/>
  <c r="O645" i="9"/>
  <c r="O649" i="9"/>
  <c r="J647" i="9"/>
  <c r="O643" i="9"/>
  <c r="K645" i="9" l="1"/>
  <c r="M645" i="9"/>
  <c r="N645" i="9" s="1"/>
  <c r="K647" i="9"/>
  <c r="M647" i="9"/>
  <c r="N647" i="9" s="1"/>
  <c r="K603" i="9"/>
  <c r="M603" i="9"/>
  <c r="N603" i="9" s="1"/>
  <c r="P639" i="9"/>
  <c r="J580" i="9"/>
  <c r="K580" i="9" l="1"/>
  <c r="M580" i="9"/>
  <c r="N580" i="9" s="1"/>
  <c r="H581" i="9"/>
  <c r="R549" i="9" l="1"/>
  <c r="P548" i="9" l="1"/>
  <c r="O565" i="9"/>
  <c r="O578" i="9"/>
  <c r="O593" i="9" l="1"/>
  <c r="O597" i="9" s="1"/>
  <c r="O583" i="9"/>
  <c r="I587" i="9"/>
  <c r="N587" i="9" s="1"/>
  <c r="K585" i="9"/>
  <c r="M585" i="9" s="1"/>
  <c r="N585" i="9" s="1"/>
  <c r="K548" i="9"/>
  <c r="M548" i="9" s="1"/>
  <c r="N548" i="9" s="1"/>
  <c r="J574" i="9"/>
  <c r="J571" i="9"/>
  <c r="O569" i="9"/>
  <c r="K571" i="9" l="1"/>
  <c r="M571" i="9"/>
  <c r="N571" i="9" s="1"/>
  <c r="K574" i="9"/>
  <c r="M574" i="9"/>
  <c r="N574" i="9" s="1"/>
  <c r="K590" i="9"/>
  <c r="J546" i="9"/>
  <c r="P525" i="9"/>
  <c r="O537" i="9"/>
  <c r="J544" i="9"/>
  <c r="K546" i="9" l="1"/>
  <c r="M546" i="9"/>
  <c r="N546" i="9" s="1"/>
  <c r="K544" i="9"/>
  <c r="M544" i="9"/>
  <c r="N544" i="9" s="1"/>
  <c r="I590" i="9"/>
  <c r="M590" i="9"/>
  <c r="O542" i="9"/>
  <c r="J539" i="9"/>
  <c r="N590" i="9" l="1"/>
  <c r="K539" i="9"/>
  <c r="M539" i="9" s="1"/>
  <c r="N539" i="9" s="1"/>
  <c r="K525" i="9"/>
  <c r="M525" i="9" s="1"/>
  <c r="N525" i="9" s="1"/>
  <c r="P495" i="9" l="1"/>
  <c r="O513" i="9"/>
  <c r="O515" i="9" s="1"/>
  <c r="O523" i="9"/>
  <c r="O519" i="9"/>
  <c r="O481" i="9"/>
  <c r="R461" i="9"/>
  <c r="H488" i="9" s="1"/>
  <c r="H489" i="9" l="1"/>
  <c r="H490" i="9" s="1"/>
  <c r="J495" i="9"/>
  <c r="P460" i="9"/>
  <c r="O462" i="9"/>
  <c r="O482" i="9"/>
  <c r="O488" i="9"/>
  <c r="O489" i="9"/>
  <c r="O490" i="9"/>
  <c r="O483" i="9"/>
  <c r="K495" i="9" l="1"/>
  <c r="M495" i="9"/>
  <c r="N495" i="9" s="1"/>
  <c r="O493" i="9"/>
  <c r="J460" i="9"/>
  <c r="K460" i="9" l="1"/>
  <c r="I460" i="9" s="1"/>
  <c r="P430" i="9"/>
  <c r="O447" i="9"/>
  <c r="P449" i="9"/>
  <c r="O456" i="9"/>
  <c r="M460" i="9" l="1"/>
  <c r="N460" i="9" s="1"/>
  <c r="I426" i="9"/>
  <c r="K426" i="9"/>
  <c r="M426" i="9" s="1"/>
  <c r="N426" i="9" s="1"/>
  <c r="P426" i="9"/>
  <c r="O428" i="9"/>
  <c r="P413" i="9"/>
  <c r="J430" i="9" l="1"/>
  <c r="K430" i="9" l="1"/>
  <c r="I430" i="9" s="1"/>
  <c r="O419" i="9"/>
  <c r="M430" i="9" l="1"/>
  <c r="N430" i="9" s="1"/>
  <c r="R384" i="9"/>
  <c r="I410" i="9"/>
  <c r="N410" i="9" s="1"/>
  <c r="I409" i="9"/>
  <c r="N409" i="9" s="1"/>
  <c r="K413" i="9" l="1"/>
  <c r="M413" i="9" s="1"/>
  <c r="O413" i="9"/>
  <c r="O424" i="9" s="1"/>
  <c r="I413" i="9" l="1"/>
  <c r="N413" i="9" s="1"/>
  <c r="I313" i="9"/>
  <c r="N313" i="9" s="1"/>
  <c r="P381" i="9"/>
  <c r="O396" i="9"/>
  <c r="I411" i="9" l="1"/>
  <c r="N411" i="9" s="1"/>
  <c r="O392" i="9"/>
  <c r="O406" i="9"/>
  <c r="K403" i="9" l="1"/>
  <c r="J381" i="9"/>
  <c r="I403" i="9" l="1"/>
  <c r="M403" i="9"/>
  <c r="K381" i="9"/>
  <c r="M381" i="9" s="1"/>
  <c r="O387" i="9"/>
  <c r="N403" i="9" l="1"/>
  <c r="J400" i="9"/>
  <c r="K400" i="9" l="1"/>
  <c r="M400" i="9"/>
  <c r="N400" i="9" s="1"/>
  <c r="O400" i="9"/>
  <c r="O382" i="9" l="1"/>
  <c r="O398" i="9" s="1"/>
  <c r="I381" i="9" s="1"/>
  <c r="N381" i="9" s="1"/>
  <c r="F371" i="9"/>
  <c r="F372" i="9" s="1"/>
  <c r="P354" i="9" l="1"/>
  <c r="J354" i="9" l="1"/>
  <c r="O356" i="9"/>
  <c r="K354" i="9" l="1"/>
  <c r="M354" i="9" s="1"/>
  <c r="R315" i="9"/>
  <c r="O357" i="9" l="1"/>
  <c r="O377" i="9" l="1"/>
  <c r="I354" i="9" s="1"/>
  <c r="N354" i="9" s="1"/>
  <c r="P312" i="9"/>
  <c r="H349" i="9" l="1"/>
  <c r="J348" i="9" l="1"/>
  <c r="J344" i="9"/>
  <c r="K348" i="9" l="1"/>
  <c r="M348" i="9"/>
  <c r="N348" i="9" s="1"/>
  <c r="O326" i="9"/>
  <c r="K344" i="9" l="1"/>
  <c r="M344" i="9" s="1"/>
  <c r="N344" i="9" s="1"/>
  <c r="O322" i="9" l="1"/>
  <c r="O342" i="9" s="1"/>
  <c r="J312" i="9" l="1"/>
  <c r="K312" i="9" l="1"/>
  <c r="I312" i="9" s="1"/>
  <c r="P265" i="9"/>
  <c r="J265" i="9" s="1"/>
  <c r="M312" i="9" l="1"/>
  <c r="N312" i="9" s="1"/>
  <c r="O300" i="9"/>
  <c r="P308" i="9" l="1"/>
  <c r="O310" i="9"/>
  <c r="O306" i="9" l="1"/>
  <c r="K265" i="9" l="1"/>
  <c r="I265" i="9" l="1"/>
  <c r="M265" i="9"/>
  <c r="P247" i="9"/>
  <c r="N265" i="9" l="1"/>
  <c r="J263" i="9"/>
  <c r="K263" i="9" l="1"/>
  <c r="M263" i="9"/>
  <c r="N263" i="9" s="1"/>
  <c r="I260" i="9"/>
  <c r="J260" i="9" l="1"/>
  <c r="S119" i="9"/>
  <c r="K260" i="9" l="1"/>
  <c r="O260" i="9" s="1"/>
  <c r="O256" i="9"/>
  <c r="M260" i="9" l="1"/>
  <c r="N260" i="9" s="1"/>
  <c r="N483" i="8"/>
  <c r="L113" i="8" l="1"/>
  <c r="H274" i="8"/>
  <c r="J247" i="9" l="1"/>
  <c r="K247" i="9" l="1"/>
  <c r="M247" i="9"/>
  <c r="N247" i="9" s="1"/>
  <c r="P238" i="9"/>
  <c r="O245" i="9"/>
  <c r="K238" i="9" l="1"/>
  <c r="M238" i="9" s="1"/>
  <c r="N238" i="9" s="1"/>
  <c r="P210" i="9" l="1"/>
  <c r="O229" i="9" l="1"/>
  <c r="O231" i="9" s="1"/>
  <c r="R214" i="9" l="1"/>
  <c r="R216" i="9" l="1"/>
  <c r="Q207" i="9"/>
  <c r="J210" i="9" l="1"/>
  <c r="K210" i="9" l="1"/>
  <c r="M210" i="9" s="1"/>
  <c r="N210" i="9" s="1"/>
  <c r="O208" i="9"/>
  <c r="J206" i="9"/>
  <c r="K206" i="9" l="1"/>
  <c r="M206" i="9"/>
  <c r="Q202" i="9"/>
  <c r="J201" i="9"/>
  <c r="K201" i="9" l="1"/>
  <c r="M201" i="9"/>
  <c r="N201" i="9" s="1"/>
  <c r="Q198" i="9"/>
  <c r="Q143" i="9"/>
  <c r="O199" i="9"/>
  <c r="L194" i="9" l="1"/>
  <c r="M194" i="9" s="1"/>
  <c r="O189" i="9" l="1"/>
  <c r="R144" i="9" l="1"/>
  <c r="P142" i="9" l="1"/>
  <c r="J142" i="9" l="1"/>
  <c r="J166" i="9" l="1"/>
  <c r="K166" i="9" l="1"/>
  <c r="M166" i="9"/>
  <c r="N166" i="9" s="1"/>
  <c r="J169" i="9"/>
  <c r="K169" i="9" l="1"/>
  <c r="M169" i="9" s="1"/>
  <c r="K142" i="9" l="1"/>
  <c r="M142" i="9" s="1"/>
  <c r="N142" i="9" s="1"/>
  <c r="O144" i="9"/>
  <c r="O160" i="9" s="1"/>
  <c r="O135" i="9" l="1"/>
  <c r="O140" i="9" l="1"/>
  <c r="J137" i="9"/>
  <c r="K137" i="9" l="1"/>
  <c r="M137" i="9"/>
  <c r="N137" i="9" s="1"/>
  <c r="O128" i="9"/>
  <c r="K135" i="9" l="1"/>
  <c r="M135" i="9" s="1"/>
  <c r="I135" i="9"/>
  <c r="J133" i="9"/>
  <c r="N135" i="9" l="1"/>
  <c r="K133" i="9"/>
  <c r="O133" i="9" s="1"/>
  <c r="R103" i="9"/>
  <c r="J131" i="9"/>
  <c r="K131" i="9" l="1"/>
  <c r="M131" i="9"/>
  <c r="N131" i="9" s="1"/>
  <c r="M133" i="9"/>
  <c r="N133" i="9" s="1"/>
  <c r="J128" i="9"/>
  <c r="P102" i="9"/>
  <c r="O108" i="9"/>
  <c r="O107" i="9"/>
  <c r="K128" i="9" l="1"/>
  <c r="M128" i="9" s="1"/>
  <c r="N128" i="9" s="1"/>
  <c r="O114" i="9"/>
  <c r="J102" i="9"/>
  <c r="P122" i="9" l="1"/>
  <c r="J122" i="9" s="1"/>
  <c r="O124" i="9"/>
  <c r="K122" i="9" l="1"/>
  <c r="M122" i="9" s="1"/>
  <c r="N122" i="9" s="1"/>
  <c r="R119" i="9"/>
  <c r="K102" i="9" l="1"/>
  <c r="M102" i="9" s="1"/>
  <c r="N102" i="9" s="1"/>
  <c r="O68" i="9" l="1"/>
  <c r="O98" i="9" l="1"/>
  <c r="P92" i="9"/>
  <c r="J100" i="9" l="1"/>
  <c r="K100" i="9" l="1"/>
  <c r="M100" i="9" s="1"/>
  <c r="N100" i="9" s="1"/>
  <c r="J92" i="9"/>
  <c r="K92" i="9" l="1"/>
  <c r="M92" i="9" s="1"/>
  <c r="N92" i="9" s="1"/>
  <c r="J89" i="9"/>
  <c r="K89" i="9" l="1"/>
  <c r="M89" i="9" s="1"/>
  <c r="O75" i="9"/>
  <c r="P71" i="9" l="1"/>
  <c r="O87" i="9" l="1"/>
  <c r="P85" i="9"/>
  <c r="J85" i="9" s="1"/>
  <c r="O83" i="9"/>
  <c r="P77" i="9"/>
  <c r="O18" i="9" l="1"/>
  <c r="K85" i="9" l="1"/>
  <c r="M85" i="9" s="1"/>
  <c r="N85" i="9" s="1"/>
  <c r="J77" i="9" l="1"/>
  <c r="K77" i="9" l="1"/>
  <c r="I77" i="9" s="1"/>
  <c r="J71" i="9"/>
  <c r="K71" i="9" l="1"/>
  <c r="M71" i="9"/>
  <c r="N71" i="9" s="1"/>
  <c r="M77" i="9"/>
  <c r="N77" i="9" s="1"/>
  <c r="P52" i="9"/>
  <c r="O47" i="9"/>
  <c r="P42" i="9"/>
  <c r="K60" i="9" l="1"/>
  <c r="M60" i="9" s="1"/>
  <c r="N60" i="9" s="1"/>
  <c r="O58" i="9" l="1"/>
  <c r="K42" i="9" l="1"/>
  <c r="M42" i="9" s="1"/>
  <c r="N42" i="9" s="1"/>
  <c r="O49" i="9"/>
  <c r="J52" i="9" l="1"/>
  <c r="K52" i="9" l="1"/>
  <c r="M52" i="9" s="1"/>
  <c r="N52" i="9" s="1"/>
  <c r="P2" i="9"/>
  <c r="O11" i="9"/>
  <c r="J32" i="9" l="1"/>
  <c r="G36" i="9"/>
  <c r="K34" i="9"/>
  <c r="M34" i="9" s="1"/>
  <c r="N34" i="9" s="1"/>
  <c r="K32" i="9" l="1"/>
  <c r="M32" i="9"/>
  <c r="N32" i="9" s="1"/>
  <c r="J30" i="9"/>
  <c r="K30" i="9" l="1"/>
  <c r="M30" i="9" s="1"/>
  <c r="N30" i="9" s="1"/>
  <c r="K2" i="9"/>
  <c r="M2" i="9" s="1"/>
  <c r="N2" i="9" s="1"/>
  <c r="J26" i="9" l="1"/>
  <c r="O28" i="9"/>
  <c r="K26" i="9" l="1"/>
  <c r="M26" i="9"/>
  <c r="N26" i="9" s="1"/>
  <c r="O20" i="9"/>
  <c r="G23" i="9" l="1"/>
  <c r="G24" i="9" s="1"/>
  <c r="I17" i="9" l="1"/>
  <c r="N17" i="9" s="1"/>
  <c r="M1039" i="8" l="1"/>
  <c r="L1040" i="8"/>
  <c r="L1041" i="8" s="1"/>
  <c r="I1039" i="8" l="1"/>
  <c r="J1039" i="8" s="1"/>
  <c r="H1045" i="8" l="1"/>
  <c r="L1045" i="8"/>
  <c r="M1027" i="8" l="1"/>
  <c r="I1027" i="8" s="1"/>
  <c r="L1033" i="8"/>
  <c r="I1036" i="8" l="1"/>
  <c r="J1036" i="8" s="1"/>
  <c r="J1027" i="8" l="1"/>
  <c r="L1025" i="8" l="1"/>
  <c r="M1023" i="8"/>
  <c r="I1023" i="8" l="1"/>
  <c r="J1023" i="8" s="1"/>
  <c r="L1021" i="8" l="1"/>
  <c r="M1016" i="8"/>
  <c r="J1016" i="8" l="1"/>
  <c r="O1010" i="8" l="1"/>
  <c r="I1013" i="8" l="1"/>
  <c r="J1013" i="8" s="1"/>
  <c r="H1013" i="8"/>
  <c r="L1013" i="8" l="1"/>
  <c r="L999" i="8" l="1"/>
  <c r="L1000" i="8" s="1"/>
  <c r="H1000" i="8"/>
  <c r="H1002" i="8" l="1"/>
  <c r="H1006" i="8" s="1"/>
  <c r="M965" i="8" l="1"/>
  <c r="L969" i="8"/>
  <c r="L1006" i="8" l="1"/>
  <c r="O983" i="8" l="1"/>
  <c r="Q236" i="8" l="1"/>
  <c r="Q237" i="8" s="1"/>
  <c r="E995" i="8" l="1"/>
  <c r="H975" i="8" l="1"/>
  <c r="I988" i="8" l="1"/>
  <c r="J988" i="8" s="1"/>
  <c r="L978" i="8" l="1"/>
  <c r="I983" i="8" l="1"/>
  <c r="J983" i="8" s="1"/>
  <c r="L986" i="8"/>
  <c r="J975" i="8" l="1"/>
  <c r="I980" i="8"/>
  <c r="J980" i="8" s="1"/>
  <c r="H980" i="8"/>
  <c r="H973" i="8" l="1"/>
  <c r="L973" i="8"/>
  <c r="I965" i="8" l="1"/>
  <c r="J965" i="8" s="1"/>
  <c r="M960" i="8" l="1"/>
  <c r="I960" i="8" s="1"/>
  <c r="J960" i="8" s="1"/>
  <c r="L963" i="8"/>
  <c r="L1050" i="8" l="1"/>
  <c r="I958" i="8" l="1"/>
  <c r="L949" i="8" l="1"/>
  <c r="E877" i="8" l="1"/>
  <c r="L921" i="8" l="1"/>
  <c r="H921" i="8"/>
  <c r="H915" i="8"/>
  <c r="M928" i="8" l="1"/>
  <c r="L940" i="8" l="1"/>
  <c r="I928" i="8" l="1"/>
  <c r="L945" i="8" l="1"/>
  <c r="J866" i="8" l="1"/>
  <c r="I924" i="8" l="1"/>
  <c r="J924" i="8" s="1"/>
  <c r="M866" i="8" l="1"/>
  <c r="L871" i="8" l="1"/>
  <c r="J928" i="8" l="1"/>
  <c r="L926" i="8"/>
  <c r="H916" i="8" l="1"/>
  <c r="H917" i="8" s="1"/>
  <c r="L917" i="8"/>
  <c r="N914" i="8" l="1"/>
  <c r="J906" i="8" l="1"/>
  <c r="H908" i="8"/>
  <c r="L908" i="8"/>
  <c r="M879" i="8" l="1"/>
  <c r="L900" i="8"/>
  <c r="L904" i="8" s="1"/>
  <c r="J879" i="8" l="1"/>
  <c r="L883" i="8"/>
  <c r="L888" i="8" s="1"/>
  <c r="L768" i="8"/>
  <c r="I768" i="8"/>
  <c r="J768" i="8" s="1"/>
  <c r="E825" i="8"/>
  <c r="H825" i="8"/>
  <c r="I890" i="8" l="1"/>
  <c r="J890" i="8" s="1"/>
  <c r="L892" i="8"/>
  <c r="L877" i="8" l="1"/>
  <c r="L825" i="8"/>
  <c r="M862" i="8" l="1"/>
  <c r="L860" i="8"/>
  <c r="M854" i="8"/>
  <c r="H877" i="8"/>
  <c r="I862" i="8" l="1"/>
  <c r="J862" i="8" l="1"/>
  <c r="H862" i="8" s="1"/>
  <c r="H854" i="8" l="1"/>
  <c r="P825" i="8"/>
  <c r="M836" i="8" l="1"/>
  <c r="L845" i="8"/>
  <c r="L849" i="8" l="1"/>
  <c r="M851" i="8" l="1"/>
  <c r="I851" i="8" s="1"/>
  <c r="J851" i="8" s="1"/>
  <c r="I836" i="8" l="1"/>
  <c r="J836" i="8" s="1"/>
  <c r="L833" i="8"/>
  <c r="I831" i="8"/>
  <c r="J831" i="8" s="1"/>
  <c r="N812" i="8" l="1"/>
  <c r="L817" i="8" l="1"/>
  <c r="H817" i="8"/>
  <c r="H822" i="8" s="1"/>
  <c r="I812" i="8" l="1"/>
  <c r="J812" i="8" s="1"/>
  <c r="L815" i="8"/>
  <c r="M793" i="8" l="1"/>
  <c r="I793" i="8" s="1"/>
  <c r="J793" i="8" s="1"/>
  <c r="L806" i="8"/>
  <c r="N784" i="8" l="1"/>
  <c r="M771" i="8" l="1"/>
  <c r="L777" i="8"/>
  <c r="J781" i="8" l="1"/>
  <c r="I771" i="8"/>
  <c r="J771" i="8" s="1"/>
  <c r="I766" i="8" l="1"/>
  <c r="J766" i="8" s="1"/>
  <c r="L764" i="8"/>
  <c r="I762" i="8"/>
  <c r="L760" i="8" l="1"/>
  <c r="I758" i="8"/>
  <c r="J758" i="8" s="1"/>
  <c r="I754" i="8" l="1"/>
  <c r="J754" i="8" s="1"/>
  <c r="L752" i="8" l="1"/>
  <c r="J746" i="8" l="1"/>
  <c r="M746" i="8"/>
  <c r="L748" i="8"/>
  <c r="L744" i="8" l="1"/>
  <c r="M739" i="8"/>
  <c r="I739" i="8" l="1"/>
  <c r="J739" i="8" s="1"/>
  <c r="L734" i="8" l="1"/>
  <c r="L726" i="8" l="1"/>
  <c r="I722" i="8"/>
  <c r="J722" i="8" s="1"/>
  <c r="L720" i="8" l="1"/>
  <c r="H720" i="8"/>
  <c r="L715" i="8" l="1"/>
  <c r="J711" i="8" l="1"/>
  <c r="L711" i="8"/>
  <c r="L705" i="8" l="1"/>
  <c r="L695" i="8" l="1"/>
  <c r="L666" i="8" l="1"/>
  <c r="H707" i="8" l="1"/>
  <c r="J685" i="8" l="1"/>
  <c r="L688" i="8"/>
  <c r="L683" i="8" l="1"/>
  <c r="H695" i="8"/>
  <c r="L679" i="8" l="1"/>
  <c r="L675" i="8" l="1"/>
  <c r="M672" i="8"/>
  <c r="I672" i="8" s="1"/>
  <c r="J672" i="8" s="1"/>
  <c r="I668" i="8" l="1"/>
  <c r="J668" i="8" s="1"/>
  <c r="L670" i="8"/>
  <c r="G649" i="8"/>
  <c r="F649" i="8"/>
  <c r="I659" i="8" l="1"/>
  <c r="J659" i="8" s="1"/>
  <c r="L661" i="8"/>
  <c r="L656" i="8" l="1"/>
  <c r="M644" i="8" l="1"/>
  <c r="L652" i="8" l="1"/>
  <c r="N636" i="8" l="1"/>
  <c r="J644" i="8" l="1"/>
  <c r="I639" i="8" l="1"/>
  <c r="J639" i="8" s="1"/>
  <c r="L642" i="8"/>
  <c r="H520" i="8" l="1"/>
  <c r="L520" i="8"/>
  <c r="L625" i="8" l="1"/>
  <c r="L604" i="8" l="1"/>
  <c r="L605" i="8" s="1"/>
  <c r="I630" i="8" l="1"/>
  <c r="J630" i="8" s="1"/>
  <c r="E581" i="8"/>
  <c r="L609" i="8" l="1"/>
  <c r="I607" i="8"/>
  <c r="J607" i="8" s="1"/>
  <c r="I596" i="8" l="1"/>
  <c r="J596" i="8" s="1"/>
  <c r="L598" i="8"/>
  <c r="H580" i="8" l="1"/>
  <c r="H582" i="8" s="1"/>
  <c r="E584" i="8"/>
  <c r="E582" i="8"/>
  <c r="O581" i="8"/>
  <c r="E585" i="8" l="1"/>
  <c r="L591" i="8"/>
  <c r="H591" i="8"/>
  <c r="E587" i="8" l="1"/>
  <c r="L586" i="8"/>
  <c r="L589" i="8" s="1"/>
  <c r="L456" i="8" l="1"/>
  <c r="L383" i="8"/>
  <c r="L576" i="8" l="1"/>
  <c r="L564" i="8" l="1"/>
  <c r="L541" i="8" l="1"/>
  <c r="H560" i="8" l="1"/>
  <c r="F436" i="8" l="1"/>
  <c r="L550" i="8" l="1"/>
  <c r="L540" i="8" l="1"/>
  <c r="I533" i="8"/>
  <c r="L538" i="8" l="1"/>
  <c r="L543" i="8" s="1"/>
  <c r="J533" i="8" l="1"/>
  <c r="L529" i="8"/>
  <c r="L525" i="8" l="1"/>
  <c r="I516" i="8" l="1"/>
  <c r="J516" i="8" s="1"/>
  <c r="H380" i="8" l="1"/>
  <c r="M426" i="8" l="1"/>
  <c r="I426" i="8"/>
  <c r="J426" i="8"/>
  <c r="H426" i="8"/>
  <c r="L426" i="8"/>
  <c r="I492" i="8"/>
  <c r="L501" i="8" l="1"/>
  <c r="I495" i="8" l="1"/>
  <c r="J495" i="8" s="1"/>
  <c r="I506" i="8"/>
  <c r="J506" i="8" s="1"/>
  <c r="I504" i="8"/>
  <c r="J504" i="8" s="1"/>
  <c r="I485" i="8" l="1"/>
  <c r="J485" i="8" l="1"/>
  <c r="L489" i="8"/>
  <c r="L475" i="8" l="1"/>
  <c r="L480" i="8" l="1"/>
  <c r="M471" i="8" l="1"/>
  <c r="I471" i="8" s="1"/>
  <c r="J471" i="8" l="1"/>
  <c r="H469" i="8" l="1"/>
  <c r="L469" i="8"/>
  <c r="L467" i="8" l="1"/>
  <c r="H467" i="8"/>
  <c r="H463" i="8"/>
  <c r="L463" i="8"/>
  <c r="L454" i="8" l="1"/>
  <c r="L448" i="8" l="1"/>
  <c r="H446" i="8" s="1"/>
  <c r="I444" i="8" l="1"/>
  <c r="J444" i="8" s="1"/>
  <c r="H432" i="8" l="1"/>
  <c r="L433" i="8"/>
  <c r="L442" i="8" l="1"/>
  <c r="I440" i="8"/>
  <c r="J440" i="8" s="1"/>
  <c r="E434" i="8" l="1"/>
  <c r="E432" i="8"/>
  <c r="E435" i="8" l="1"/>
  <c r="F435" i="8" s="1"/>
  <c r="I428" i="8"/>
  <c r="J428" i="8" s="1"/>
  <c r="E437" i="8" l="1"/>
  <c r="L413" i="8"/>
  <c r="H413" i="8"/>
  <c r="L402" i="8" l="1"/>
  <c r="H402" i="8"/>
  <c r="J399" i="8" l="1"/>
  <c r="I399" i="8"/>
  <c r="L394" i="8" l="1"/>
  <c r="N388" i="8" l="1"/>
  <c r="L388" i="8"/>
  <c r="H388" i="8"/>
  <c r="E372" i="8" l="1"/>
  <c r="E374" i="8" l="1"/>
  <c r="E375" i="8" s="1"/>
  <c r="E377" i="8" l="1"/>
  <c r="G228" i="8" l="1"/>
  <c r="I364" i="8" l="1"/>
  <c r="L368" i="8"/>
  <c r="H368" i="8"/>
  <c r="L361" i="8" l="1"/>
  <c r="H361" i="8"/>
  <c r="I357" i="8" l="1"/>
  <c r="J357" i="8" s="1"/>
  <c r="L359" i="8"/>
  <c r="L353" i="8" l="1"/>
  <c r="I348" i="8" l="1"/>
  <c r="L346" i="8" l="1"/>
  <c r="H346" i="8"/>
  <c r="L342" i="8" l="1"/>
  <c r="H342" i="8"/>
  <c r="L337" i="8" l="1"/>
  <c r="H333" i="8" l="1"/>
  <c r="L333" i="8" l="1"/>
  <c r="Q225" i="8"/>
  <c r="M318" i="8" l="1"/>
  <c r="M333" i="8" s="1"/>
  <c r="E281" i="8"/>
  <c r="E282" i="8" s="1"/>
  <c r="I312" i="8" l="1"/>
  <c r="J312" i="8" s="1"/>
  <c r="L314" i="8"/>
  <c r="J225" i="8" l="1"/>
  <c r="L310" i="8" l="1"/>
  <c r="L300" i="8" l="1"/>
  <c r="L295" i="8" l="1"/>
  <c r="L283" i="8" l="1"/>
  <c r="G273" i="8"/>
  <c r="E272" i="8"/>
  <c r="E270" i="8"/>
  <c r="E273" i="8" l="1"/>
  <c r="E275" i="8" s="1"/>
  <c r="H281" i="8"/>
  <c r="H283" i="8" s="1"/>
  <c r="H279" i="8" l="1"/>
  <c r="H236" i="8" l="1"/>
  <c r="E259" i="8" l="1"/>
  <c r="E257" i="8"/>
  <c r="L257" i="8"/>
  <c r="E260" i="8" l="1"/>
  <c r="E262" i="8" s="1"/>
  <c r="L251" i="8"/>
  <c r="N286" i="8" l="1"/>
  <c r="L247" i="8" l="1"/>
  <c r="H233" i="8" l="1"/>
  <c r="H232" i="8"/>
  <c r="L234" i="8"/>
  <c r="H234" i="8" l="1"/>
  <c r="L225" i="8" l="1"/>
  <c r="P225" i="8" s="1"/>
  <c r="L222" i="8" l="1"/>
  <c r="L221" i="8"/>
  <c r="H221" i="8"/>
  <c r="H222" i="8" s="1"/>
  <c r="H223" i="8" s="1"/>
  <c r="L223" i="8" l="1"/>
  <c r="H219" i="8"/>
  <c r="L219" i="8"/>
  <c r="L215" i="8" l="1"/>
  <c r="H215" i="8"/>
  <c r="H206" i="8" l="1"/>
  <c r="L204" i="8" l="1"/>
  <c r="L177" i="8"/>
  <c r="H202" i="8" l="1"/>
  <c r="H204" i="8" s="1"/>
  <c r="I198" i="8" l="1"/>
  <c r="J198" i="8" s="1"/>
  <c r="H200" i="8"/>
  <c r="L200" i="8"/>
  <c r="L285" i="8" l="1"/>
  <c r="H196" i="8" l="1"/>
  <c r="L196" i="8"/>
  <c r="L192" i="8" l="1"/>
  <c r="H192" i="8"/>
  <c r="I191" i="8"/>
  <c r="I190" i="8"/>
  <c r="O160" i="8" l="1"/>
  <c r="J163" i="8" l="1"/>
  <c r="J165" i="8" l="1"/>
  <c r="H171" i="8" l="1"/>
  <c r="L171" i="8"/>
  <c r="I170" i="8" l="1"/>
  <c r="J170" i="8" s="1"/>
  <c r="I159" i="8" l="1"/>
  <c r="J159" i="8" s="1"/>
  <c r="L161" i="8"/>
  <c r="J157" i="8"/>
  <c r="H159" i="8" l="1"/>
  <c r="H151" i="8"/>
  <c r="L151" i="8"/>
  <c r="H147" i="8" l="1"/>
  <c r="L142" i="8" l="1"/>
  <c r="I139" i="8"/>
  <c r="J139" i="8" s="1"/>
  <c r="H139" i="8" l="1"/>
  <c r="N125" i="8"/>
  <c r="I129" i="8" l="1"/>
  <c r="J129" i="8" l="1"/>
  <c r="H129" i="8" s="1"/>
  <c r="L126" i="8" l="1"/>
  <c r="L125" i="8"/>
  <c r="L127" i="8" l="1"/>
  <c r="I125" i="8"/>
  <c r="H104" i="8"/>
  <c r="H98" i="8"/>
  <c r="L104" i="8"/>
  <c r="L98" i="8"/>
  <c r="J125" i="8" l="1"/>
  <c r="H125" i="8" s="1"/>
  <c r="H114" i="8"/>
  <c r="E106" i="8"/>
  <c r="H118" i="8" l="1"/>
  <c r="H116" i="8"/>
  <c r="I114" i="8" l="1"/>
  <c r="J114" i="8" s="1"/>
  <c r="L114" i="8"/>
  <c r="L92" i="8" l="1"/>
  <c r="H110" i="8" l="1"/>
  <c r="O83" i="8" l="1"/>
  <c r="L108" i="8" l="1"/>
  <c r="H108" i="8"/>
  <c r="J5" i="8" l="1"/>
  <c r="L75" i="8" l="1"/>
  <c r="L87" i="8" l="1"/>
  <c r="H78" i="8" l="1"/>
  <c r="H80" i="8" s="1"/>
  <c r="L80" i="8"/>
  <c r="H75" i="8" l="1"/>
  <c r="L76" i="8" s="1"/>
  <c r="L71" i="8" l="1"/>
  <c r="H70" i="8"/>
  <c r="H69" i="8"/>
  <c r="H71" i="8" l="1"/>
  <c r="H67" i="8"/>
  <c r="L8" i="8" l="1"/>
  <c r="H5" i="8"/>
  <c r="H8" i="8" s="1"/>
  <c r="H39" i="8" l="1"/>
  <c r="H40" i="8"/>
  <c r="H44" i="8" l="1"/>
  <c r="H43" i="8"/>
  <c r="L45" i="8"/>
  <c r="H42" i="8"/>
  <c r="H41" i="8"/>
  <c r="L53" i="8"/>
  <c r="H57" i="8"/>
  <c r="L50" i="8"/>
  <c r="H50" i="8"/>
  <c r="L61" i="8" l="1"/>
  <c r="H13" i="8"/>
  <c r="H59" i="8" l="1"/>
  <c r="H61" i="8" s="1"/>
  <c r="L37" i="8" l="1"/>
  <c r="L32" i="8" l="1"/>
  <c r="L25" i="8" l="1"/>
  <c r="H23" i="8" s="1"/>
  <c r="I3" i="8" l="1"/>
  <c r="J3" i="8" s="1"/>
  <c r="H45" i="8" l="1"/>
  <c r="I206" i="9"/>
  <c r="N206" i="9"/>
  <c r="I89" i="9"/>
  <c r="N89" i="9"/>
  <c r="I709" i="9"/>
  <c r="N709" i="9"/>
  <c r="N194" i="9"/>
  <c r="I194" i="9"/>
  <c r="I914" i="9"/>
  <c r="N914" i="9"/>
  <c r="N169" i="9"/>
  <c r="I16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 required!$B$1:$D$195" type="102" refreshedVersion="5" minRefreshableVersion="5">
    <extLst>
      <ext xmlns:x15="http://schemas.microsoft.com/office/spreadsheetml/2010/11/main" uri="{DE250136-89BD-433C-8126-D09CA5730AF9}">
        <x15:connection id="Range-9c669d34-9cae-45d7-aee1-7a4f5d6675d0" autoDelete="1" usedByAddin="1">
          <x15:rangePr sourceName="_xlcn.WorksheetConnection_DatarequiredB1D1951"/>
        </x15:connection>
      </ext>
    </extLst>
  </connection>
</connections>
</file>

<file path=xl/sharedStrings.xml><?xml version="1.0" encoding="utf-8"?>
<sst xmlns="http://schemas.openxmlformats.org/spreadsheetml/2006/main" count="7122" uniqueCount="3548">
  <si>
    <t>Pax</t>
  </si>
  <si>
    <t>Service</t>
  </si>
  <si>
    <t>CGST</t>
  </si>
  <si>
    <t>SGST</t>
  </si>
  <si>
    <t>IGST</t>
  </si>
  <si>
    <t>Margin</t>
  </si>
  <si>
    <t>Supplier GST</t>
  </si>
  <si>
    <t>Tickets</t>
  </si>
  <si>
    <t>Insurance</t>
  </si>
  <si>
    <t>Car</t>
  </si>
  <si>
    <t>TBO</t>
  </si>
  <si>
    <t>Ottila</t>
  </si>
  <si>
    <t>Harish Mehta</t>
  </si>
  <si>
    <t>-</t>
  </si>
  <si>
    <t>Package</t>
  </si>
  <si>
    <t>South Tourism</t>
  </si>
  <si>
    <t>Commission</t>
  </si>
  <si>
    <t>Atul Shah</t>
  </si>
  <si>
    <t>Anand Dharia</t>
  </si>
  <si>
    <t>Mona Jacob</t>
  </si>
  <si>
    <t>Nivalink</t>
  </si>
  <si>
    <t>Pragna Dharia</t>
  </si>
  <si>
    <t>Visa</t>
  </si>
  <si>
    <t>Bhupendra Dhanak</t>
  </si>
  <si>
    <t>Hotel</t>
  </si>
  <si>
    <t>Binal Shah</t>
  </si>
  <si>
    <t>Ticket</t>
  </si>
  <si>
    <t>Amit Bhalotia</t>
  </si>
  <si>
    <t>Parag Khimani</t>
  </si>
  <si>
    <t>HDFC</t>
  </si>
  <si>
    <t>Cheque</t>
  </si>
  <si>
    <t>ATUL SHAH</t>
  </si>
  <si>
    <t>Date</t>
  </si>
  <si>
    <t>Inv / CN No</t>
  </si>
  <si>
    <t>Pax Name</t>
  </si>
  <si>
    <t>GST</t>
  </si>
  <si>
    <t>Supplier</t>
  </si>
  <si>
    <t>Payment Date</t>
  </si>
  <si>
    <t>Receipt date</t>
  </si>
  <si>
    <t>Supplier Inv No</t>
  </si>
  <si>
    <t>Hotels</t>
  </si>
  <si>
    <t>Otilla</t>
  </si>
  <si>
    <t>Beatrix Hagmann</t>
  </si>
  <si>
    <t>2717CHE00033UN3</t>
  </si>
  <si>
    <t>Amt Recd</t>
  </si>
  <si>
    <t>Amt Paid</t>
  </si>
  <si>
    <t>Arushi Jacob</t>
  </si>
  <si>
    <t>Chetan Dharia</t>
  </si>
  <si>
    <t>Pallavi Rai</t>
  </si>
  <si>
    <t>Tanu Fouzdar</t>
  </si>
  <si>
    <t>Visa Lounge</t>
  </si>
  <si>
    <t>Anila Dhanak</t>
  </si>
  <si>
    <t>27AHYPG9826H2ZK</t>
  </si>
  <si>
    <t>Ajay Desai</t>
  </si>
  <si>
    <t>27AAGFJ4705R1ZU</t>
  </si>
  <si>
    <t>Jade</t>
  </si>
  <si>
    <t>TCS</t>
  </si>
  <si>
    <t>Asego</t>
  </si>
  <si>
    <t>VisaLounge</t>
  </si>
  <si>
    <t>ticket</t>
  </si>
  <si>
    <t>27AAIPS5670A1ZN</t>
  </si>
  <si>
    <t>27AAACC4592Q1Z2</t>
  </si>
  <si>
    <t>Falguni Kapadia</t>
  </si>
  <si>
    <t>Pallavi Rai Marwah</t>
  </si>
  <si>
    <t>Jade (Monica Shah)</t>
  </si>
  <si>
    <t>NA</t>
  </si>
  <si>
    <t>Sukalyan Fouzdar</t>
  </si>
  <si>
    <t>GSH/2022-23/00001</t>
  </si>
  <si>
    <t>Jade (Mansi Vora)</t>
  </si>
  <si>
    <t>IW/2223/44399</t>
  </si>
  <si>
    <t>IW/2223/45423</t>
  </si>
  <si>
    <t>IW/2223/45393</t>
  </si>
  <si>
    <t>GSH/2022-23/00002</t>
  </si>
  <si>
    <t>GSH/2022-23/00003</t>
  </si>
  <si>
    <t>Tickcets</t>
  </si>
  <si>
    <t>IW/2223/83893</t>
  </si>
  <si>
    <t>GSH/2022-23/00004</t>
  </si>
  <si>
    <t>Parag Khimani (Amit Bhalotia)</t>
  </si>
  <si>
    <t>GSH/2022-23/00005</t>
  </si>
  <si>
    <t>12053 on 7 april 2022</t>
  </si>
  <si>
    <t>GSH/2022-23/00006</t>
  </si>
  <si>
    <t>Jade Monica Bangalore Car</t>
  </si>
  <si>
    <t>GSH/2022-23/00007</t>
  </si>
  <si>
    <t>Jade (Navya Luthra)</t>
  </si>
  <si>
    <t>IW/2223/104888</t>
  </si>
  <si>
    <t xml:space="preserve"> IW/2223/104910</t>
  </si>
  <si>
    <t>GSH/2022-23/00008</t>
  </si>
  <si>
    <t>Jade (Monica Shah + Nehal Shah)</t>
  </si>
  <si>
    <t>IW/2223/135373</t>
  </si>
  <si>
    <t>IW/2223/135560</t>
  </si>
  <si>
    <t>cancellation charges</t>
  </si>
  <si>
    <t>IW/2223/142902</t>
  </si>
  <si>
    <t>GSH/2022-23/00009</t>
  </si>
  <si>
    <t>11 Apr (Cash)</t>
  </si>
  <si>
    <t>11 Apr (Cash 48000)</t>
  </si>
  <si>
    <t>12 Apr (Cash 10600)</t>
  </si>
  <si>
    <t>13 apr paid 8157</t>
  </si>
  <si>
    <t>GSH/2022-23/00010</t>
  </si>
  <si>
    <t>Jade (Monica DEL Car)</t>
  </si>
  <si>
    <t>CN/2022-23/00001</t>
  </si>
  <si>
    <t>Vidhi Anand Kapadia</t>
  </si>
  <si>
    <t>GSH/2022-23/00011</t>
  </si>
  <si>
    <t>TICKET</t>
  </si>
  <si>
    <t>GSH/2022-23/00012</t>
  </si>
  <si>
    <t>IW/2223/200064</t>
  </si>
  <si>
    <t>CHANAKYA (Nehal Vinod Shah)</t>
  </si>
  <si>
    <t>IW/2223/205579</t>
  </si>
  <si>
    <t>Vidhi and Anand Kapadia</t>
  </si>
  <si>
    <t>SUKALYAN FOUZDAR</t>
  </si>
  <si>
    <t>TICKETS</t>
  </si>
  <si>
    <t>Part XXL - GSH/2021-22/00075 dt 28 Mar 22</t>
  </si>
  <si>
    <t>CN/2022-23/00002</t>
  </si>
  <si>
    <t>15 Apr (200000+27280)</t>
  </si>
  <si>
    <t>Credit note of Vidhi (80618, adjusted)</t>
  </si>
  <si>
    <t>XXL - GSH/2021-22/00067 dt 11 Mar 22</t>
  </si>
  <si>
    <t>Paid 217584 (18 April 2022)</t>
  </si>
  <si>
    <t>ID/2233/24560</t>
  </si>
  <si>
    <t>IW/2223/192347</t>
  </si>
  <si>
    <t>IE/2223/28751</t>
  </si>
  <si>
    <t>CN/2022-23/00003</t>
  </si>
  <si>
    <t>Jade (Navya DEL + Monica DEL)</t>
  </si>
  <si>
    <t>PAID 33588 (NET BANKING) 15 APR</t>
  </si>
  <si>
    <t>Mansi Vora (Jade)</t>
  </si>
  <si>
    <t>Mansi Hotel</t>
  </si>
  <si>
    <t>Grand Hotel Delhi</t>
  </si>
  <si>
    <t>Monica Ticket cancellation</t>
  </si>
  <si>
    <t>Navya Ticket cancellation</t>
  </si>
  <si>
    <t>Navya New Ticket</t>
  </si>
  <si>
    <t xml:space="preserve"> IW/2223/241157</t>
  </si>
  <si>
    <t>IW/2223/241140</t>
  </si>
  <si>
    <t>adjusted with credit notes 25859</t>
  </si>
  <si>
    <t>Balance paid 227748 on 19 April</t>
  </si>
  <si>
    <t>paid 9286 on 19 Apr</t>
  </si>
  <si>
    <t>07-04-2022 (65500)</t>
  </si>
  <si>
    <t>13-04-2022 (54080)</t>
  </si>
  <si>
    <t>20 Apr 22 (310000)</t>
  </si>
  <si>
    <t>21 Apr 22 (100000)</t>
  </si>
  <si>
    <t>Received 25828 after adjusting cr notes of 25859 on 22 April 2022</t>
  </si>
  <si>
    <t>GSH/2022-23/00013</t>
  </si>
  <si>
    <t>Avantika Guhagarkar</t>
  </si>
  <si>
    <t>Isurance</t>
  </si>
  <si>
    <t>GSH/2022-23/00014</t>
  </si>
  <si>
    <t>GSH/2022-23/00015</t>
  </si>
  <si>
    <t>Nehal Vinod Shah (Dev Shah)</t>
  </si>
  <si>
    <t>28 Apr 22 (153900)</t>
  </si>
  <si>
    <t>GSH/2022-23/00016</t>
  </si>
  <si>
    <t>Jade (Darshana, Yashashwini)</t>
  </si>
  <si>
    <t>IW/2223/433722</t>
  </si>
  <si>
    <t>IW/2223/433750</t>
  </si>
  <si>
    <t>02 May (cash)</t>
  </si>
  <si>
    <t>GSH/2022-23/00017</t>
  </si>
  <si>
    <t>Mr Othmar Hardegger</t>
  </si>
  <si>
    <t>IW/2223/457787</t>
  </si>
  <si>
    <t xml:space="preserve"> IW/2223/458400</t>
  </si>
  <si>
    <t>GSH/2022-23/00018</t>
  </si>
  <si>
    <t>Jade (Monica)</t>
  </si>
  <si>
    <t>IW/2223/463954</t>
  </si>
  <si>
    <t>IW/2223/464046</t>
  </si>
  <si>
    <t>Nina Villars</t>
  </si>
  <si>
    <t>IW/2223/469833</t>
  </si>
  <si>
    <t>IW/2223/470026</t>
  </si>
  <si>
    <t>IW/2223/470166</t>
  </si>
  <si>
    <t>IRCTC</t>
  </si>
  <si>
    <t>Paid by NetBanking 04 May</t>
  </si>
  <si>
    <t>GSH/2022-23/00019</t>
  </si>
  <si>
    <t>GSH/2022-23/00020</t>
  </si>
  <si>
    <t>IW/2223/540699</t>
  </si>
  <si>
    <t>GSH/2022-23/00021</t>
  </si>
  <si>
    <t>IW/2223/548265</t>
  </si>
  <si>
    <t xml:space="preserve"> IW/2223/548235</t>
  </si>
  <si>
    <t>GSH/2022-23/00022</t>
  </si>
  <si>
    <t>Anjan Sivakumar (Amit Bhalotia)</t>
  </si>
  <si>
    <t>Yogesh Shantaram Shetty (Amit Bhalotia)</t>
  </si>
  <si>
    <t>IW/2223/548446</t>
  </si>
  <si>
    <t>IW/2223/548417</t>
  </si>
  <si>
    <t>GSH/2022-23/00023</t>
  </si>
  <si>
    <t>Surbhi Desai</t>
  </si>
  <si>
    <t>IW/2223/557977</t>
  </si>
  <si>
    <t>IW/2223/558043</t>
  </si>
  <si>
    <t>11 May 22 (95575)</t>
  </si>
  <si>
    <t xml:space="preserve"> IW/2223/581889</t>
  </si>
  <si>
    <t>GSH/2022-23/00024</t>
  </si>
  <si>
    <t>GSH/2022-23/00025</t>
  </si>
  <si>
    <t>Krishan Kumar Rathi</t>
  </si>
  <si>
    <t>GSH/2022-23/00026</t>
  </si>
  <si>
    <t>Aishvarya Guhagarkar</t>
  </si>
  <si>
    <t>GSH/2022-23/00027</t>
  </si>
  <si>
    <t>Samadhan Shrirang Jadhav (Jade)</t>
  </si>
  <si>
    <t>IW/2223/672374</t>
  </si>
  <si>
    <t>IW/2223/680735</t>
  </si>
  <si>
    <t>GSH/2022-23/00028</t>
  </si>
  <si>
    <t>CASH</t>
  </si>
  <si>
    <t>CHEQUE</t>
  </si>
  <si>
    <t>18-05-2022 (293956)</t>
  </si>
  <si>
    <t>ID/2223/88409</t>
  </si>
  <si>
    <t>ID/2223/88410</t>
  </si>
  <si>
    <t>11-05-2022 (11609)</t>
  </si>
  <si>
    <t>19 May 22 (4049)</t>
  </si>
  <si>
    <t>GSH/2022-23/00029</t>
  </si>
  <si>
    <t>GSH/2022-23/00030</t>
  </si>
  <si>
    <t>IW/2223/702430</t>
  </si>
  <si>
    <t>Nehal Vinod Shah</t>
  </si>
  <si>
    <t>IW/2223/707687</t>
  </si>
  <si>
    <t>Jade (Ravi Vinod)</t>
  </si>
  <si>
    <t>SM/2223/176812</t>
  </si>
  <si>
    <t>GSH/2022-23/00031</t>
  </si>
  <si>
    <t>GSH/2022-23/00032</t>
  </si>
  <si>
    <t>Kashish Bhalotia</t>
  </si>
  <si>
    <t>23 May 100 + 9900</t>
  </si>
  <si>
    <t>VW-221591</t>
  </si>
  <si>
    <t>27AAICS0138C1ZP</t>
  </si>
  <si>
    <t>Multiple Taask</t>
  </si>
  <si>
    <t>Yogesh Shetty</t>
  </si>
  <si>
    <t>GSH/2022-23/00033</t>
  </si>
  <si>
    <t>GSH/2022-23/00034</t>
  </si>
  <si>
    <t>VW/221612</t>
  </si>
  <si>
    <t>ID/2223/100155</t>
  </si>
  <si>
    <t xml:space="preserve"> IW/2223/781076</t>
  </si>
  <si>
    <t>IW/2223/780588</t>
  </si>
  <si>
    <t>IW/2223/780243</t>
  </si>
  <si>
    <t>GSH/2022-23/00035</t>
  </si>
  <si>
    <t>GSH/2022-23/00036</t>
  </si>
  <si>
    <t>to HDFC BANK OF TBO</t>
  </si>
  <si>
    <t>Dev Shah (Nehal Vinod Shah)</t>
  </si>
  <si>
    <t>ID/2223/106215</t>
  </si>
  <si>
    <t>GSH/2022-23/00037</t>
  </si>
  <si>
    <t>GSH/2022-23/00038</t>
  </si>
  <si>
    <t>IW/2223/822819</t>
  </si>
  <si>
    <t>IW/2223/822841</t>
  </si>
  <si>
    <t>GSH/2022-23/00039</t>
  </si>
  <si>
    <t>Rykka Corp (Amit Bhalotia)</t>
  </si>
  <si>
    <t>GSH/2022-23/00040</t>
  </si>
  <si>
    <t>IW/2223/852215</t>
  </si>
  <si>
    <t>IW/2223/853968</t>
  </si>
  <si>
    <t>IW/2223/853958</t>
  </si>
  <si>
    <t>SM/2223/148970</t>
  </si>
  <si>
    <t>GSH/2022-23/00041</t>
  </si>
  <si>
    <t>GSH/2022-23/00042</t>
  </si>
  <si>
    <t>GSH/2022-23/00043</t>
  </si>
  <si>
    <t>Monica (Jade)</t>
  </si>
  <si>
    <t>IW/2223/871610</t>
  </si>
  <si>
    <t>GSH/2022-23/00044</t>
  </si>
  <si>
    <t>IW/2223/871652</t>
  </si>
  <si>
    <t>IW/2223/872652</t>
  </si>
  <si>
    <t>IW/2223/872830</t>
  </si>
  <si>
    <t>Sushma Suresh Bane (Falguni Mehta)</t>
  </si>
  <si>
    <t>CN/2022-23/00004</t>
  </si>
  <si>
    <t>XXL inv dated 30 May - GSH/2022-23/00041</t>
  </si>
  <si>
    <t>IE/2223/131844</t>
  </si>
  <si>
    <t>IE/2223/131851</t>
  </si>
  <si>
    <t>29935 on 1 June 2022</t>
  </si>
  <si>
    <t>GSH/2022-23/00045</t>
  </si>
  <si>
    <t>IW/2223/888544</t>
  </si>
  <si>
    <t>GSH/2022-23/00046</t>
  </si>
  <si>
    <t>Amit and Khwaish Bhalotia</t>
  </si>
  <si>
    <t>IW/2223/888601</t>
  </si>
  <si>
    <t>GSH/2022-23/00047</t>
  </si>
  <si>
    <t>Rajeshwari and Yuvraj Bhalotia</t>
  </si>
  <si>
    <t>TCS 5%</t>
  </si>
  <si>
    <t>8492 0n 3 june 2022</t>
  </si>
  <si>
    <t>IW/2223/904465</t>
  </si>
  <si>
    <t>GSH/2022-23/00048</t>
  </si>
  <si>
    <t>Siddharth Nehal Shah</t>
  </si>
  <si>
    <t>RTGS DONE THRU ICICI</t>
  </si>
  <si>
    <t>GSH/2022-23/00049</t>
  </si>
  <si>
    <t>IW/2223/911987</t>
  </si>
  <si>
    <t>CN/2022-23/00005</t>
  </si>
  <si>
    <t>XXL - GSH/2022-23/00029 dt 17 May 22</t>
  </si>
  <si>
    <t>GSH/2022-23/00050</t>
  </si>
  <si>
    <t>IW/2223/929016</t>
  </si>
  <si>
    <t>IW/2223/928998</t>
  </si>
  <si>
    <t>MW/2223/55586</t>
  </si>
  <si>
    <t>GSH/2022-23/00051</t>
  </si>
  <si>
    <t>MW/2223/55948</t>
  </si>
  <si>
    <t>part pmt recd on 6 june 22</t>
  </si>
  <si>
    <t>GSH/2022-23/00052</t>
  </si>
  <si>
    <t>Sahil Mahesh Mankar (Sweety Mankar)</t>
  </si>
  <si>
    <t>IW/2223/972603</t>
  </si>
  <si>
    <t>IW/2223/972586</t>
  </si>
  <si>
    <t>GSH/2022-23/00053</t>
  </si>
  <si>
    <t>Monica Shah (Jade)</t>
  </si>
  <si>
    <t>IW/2223/989417</t>
  </si>
  <si>
    <t>03-06-2022 (640326)</t>
  </si>
  <si>
    <t>169+2=171 paid on 9 june</t>
  </si>
  <si>
    <t>ID/2223/135914</t>
  </si>
  <si>
    <t>18215 recievd on 9 june 22</t>
  </si>
  <si>
    <t>CN/2022-23/00006</t>
  </si>
  <si>
    <t>Sahil mankar (Sweety Mankar)</t>
  </si>
  <si>
    <t>XXL inv dated 7 June - GSH/2022-23/00052</t>
  </si>
  <si>
    <t>IE/2223/153568</t>
  </si>
  <si>
    <t>IE/2223/153569</t>
  </si>
  <si>
    <t>GSH/2022-23/00054</t>
  </si>
  <si>
    <t>IW/2223/1053916</t>
  </si>
  <si>
    <t>GSH/2022-23/00055</t>
  </si>
  <si>
    <t>IW/2223/1135412</t>
  </si>
  <si>
    <t>Paid 3511 (after adjusting credit note of 7892-sweety Mankar) - 16 Jun 2022</t>
  </si>
  <si>
    <t>GSH/2022-23/00056</t>
  </si>
  <si>
    <t>Anand Kapadia</t>
  </si>
  <si>
    <t>IW/2223/1167691</t>
  </si>
  <si>
    <t>GSH/2022-23/00057</t>
  </si>
  <si>
    <t>Daxa Mody</t>
  </si>
  <si>
    <t>IW/2223/1179470</t>
  </si>
  <si>
    <t>IW/2223/1179247</t>
  </si>
  <si>
    <t>GSH/2022-23/00058</t>
  </si>
  <si>
    <t>Kahan Mehta</t>
  </si>
  <si>
    <t>Devansh Shah</t>
  </si>
  <si>
    <t>24 Jun 22 (200000+103000)</t>
  </si>
  <si>
    <t>VW/222048</t>
  </si>
  <si>
    <t>Shobhana Kadakia</t>
  </si>
  <si>
    <t>Rajat Mody</t>
  </si>
  <si>
    <t>Kirit Modi</t>
  </si>
  <si>
    <t>GSH/2022-23/00059</t>
  </si>
  <si>
    <t>GSH/2022-23/00060</t>
  </si>
  <si>
    <t>Elizabeth Mech (Jade)</t>
  </si>
  <si>
    <t>75000 on 5 July</t>
  </si>
  <si>
    <t>GSH/2022-23/00061</t>
  </si>
  <si>
    <t>IW/2223/1368801</t>
  </si>
  <si>
    <t>GSH/2022-23/00062</t>
  </si>
  <si>
    <t>Sumeet patil (Shraddha Sawant)</t>
  </si>
  <si>
    <t>IW/2223/1327316</t>
  </si>
  <si>
    <t>IW/2223/1327480</t>
  </si>
  <si>
    <t>GSH/2022-23/00063</t>
  </si>
  <si>
    <t>MessageBird</t>
  </si>
  <si>
    <t>Commission for event</t>
  </si>
  <si>
    <t>Sofitel</t>
  </si>
  <si>
    <t>GSH/2022-23/00064</t>
  </si>
  <si>
    <t>IW/2223/1423566</t>
  </si>
  <si>
    <t>IW/2223/1423721</t>
  </si>
  <si>
    <t>GSH/2022-23/00065</t>
  </si>
  <si>
    <t>IW/2223/1471014</t>
  </si>
  <si>
    <t>IW/2223/1470989</t>
  </si>
  <si>
    <t>GSH/2022-23/00066</t>
  </si>
  <si>
    <t>15 Jul 22 (paid 23015)</t>
  </si>
  <si>
    <t>10943+12071</t>
  </si>
  <si>
    <t>Jade (Nehal Shah) - del</t>
  </si>
  <si>
    <t>Jade (MonicaShah) - blr</t>
  </si>
  <si>
    <t>refunded 15728 on 15 jul</t>
  </si>
  <si>
    <t>SM/2223/383924</t>
  </si>
  <si>
    <t>Train</t>
  </si>
  <si>
    <t>SM/2223/383955</t>
  </si>
  <si>
    <t>gst 2.5% on 24266</t>
  </si>
  <si>
    <t>TCS 5% on 25480 = 1274</t>
  </si>
  <si>
    <t>Kahan Deep Mehta</t>
  </si>
  <si>
    <t>GSH/2022-23/00067</t>
  </si>
  <si>
    <t>GSH/2022-23/00068</t>
  </si>
  <si>
    <t>GSH/2022-23/00069</t>
  </si>
  <si>
    <t>Dr Umesh Khanna</t>
  </si>
  <si>
    <t xml:space="preserve"> IW/2223/1538179</t>
  </si>
  <si>
    <t>98806 on 1 jul + 729276 on 5 Jul</t>
  </si>
  <si>
    <t>Refunded 187137 on 19 Jul</t>
  </si>
  <si>
    <t>Received 13377  (19 Jul)</t>
  </si>
  <si>
    <t>Devansh Shah (rajan Shah)</t>
  </si>
  <si>
    <t>GSH/2022-23/00070</t>
  </si>
  <si>
    <t>Rashmi Maurya</t>
  </si>
  <si>
    <t>Royal African Discoveries</t>
  </si>
  <si>
    <t>(Prakash Jha)</t>
  </si>
  <si>
    <t>(Paid thru Fly Remit)</t>
  </si>
  <si>
    <t>21 july (14460)</t>
  </si>
  <si>
    <t>GSH/2022-23/00071</t>
  </si>
  <si>
    <t>Visa lounge</t>
  </si>
  <si>
    <t>GSH/2022-23/00072</t>
  </si>
  <si>
    <t>21 Jul (3594)</t>
  </si>
  <si>
    <t>101545.6 recd on 21 Jul (HDFC)</t>
  </si>
  <si>
    <t>GSH/2022-23/00073</t>
  </si>
  <si>
    <t>GSH/2022-23/00074</t>
  </si>
  <si>
    <t>IW/2223/1618124</t>
  </si>
  <si>
    <t>Deep Mehta (Innovative Antares Pvt. Ltd.)</t>
  </si>
  <si>
    <t>27AACCI8265J1Z6</t>
  </si>
  <si>
    <t>25-07-2022 (HDFC)</t>
  </si>
  <si>
    <t>28 Jul (cash)</t>
  </si>
  <si>
    <t>274801.92 on 27 Jul (HDFC)</t>
  </si>
  <si>
    <t>GSH/2022-23/00075</t>
  </si>
  <si>
    <t>Jade (Nikhil Chauhan)</t>
  </si>
  <si>
    <t xml:space="preserve"> IW/2223/1651546</t>
  </si>
  <si>
    <t>TCS to be paid 17922</t>
  </si>
  <si>
    <t>28 Jul (cash) 13377</t>
  </si>
  <si>
    <t>IW/2223/1654594</t>
  </si>
  <si>
    <t>Elizabeth Mech</t>
  </si>
  <si>
    <t>ID/2223/241427</t>
  </si>
  <si>
    <t>292653 remitted on 28 Jul 22</t>
  </si>
  <si>
    <t>GSH/2022-23/00076</t>
  </si>
  <si>
    <t>IW/2223/1682371</t>
  </si>
  <si>
    <t xml:space="preserve"> IW/2223/1684006</t>
  </si>
  <si>
    <t>IW/2223/1683986</t>
  </si>
  <si>
    <t>Monica</t>
  </si>
  <si>
    <t>House of MG</t>
  </si>
  <si>
    <t>GSH/2022-23/00077</t>
  </si>
  <si>
    <t>GSH/2022-23/00078</t>
  </si>
  <si>
    <t>Jade (Monica - Transfer)</t>
  </si>
  <si>
    <t>GSH/2022-23/00079</t>
  </si>
  <si>
    <t>GSH/2022-23/00080</t>
  </si>
  <si>
    <t xml:space="preserve"> IW/2223/1705591</t>
  </si>
  <si>
    <t xml:space="preserve"> IW/2223/1705525</t>
  </si>
  <si>
    <t>Jade (Monica and Nehal DEL)</t>
  </si>
  <si>
    <t>Jade (Goa)</t>
  </si>
  <si>
    <t>IW/2223/1720303</t>
  </si>
  <si>
    <t>IW/2223/1727638</t>
  </si>
  <si>
    <t>IW/2223/1727628</t>
  </si>
  <si>
    <t>Arya bendkhale</t>
  </si>
  <si>
    <t>IW/2223/1727845</t>
  </si>
  <si>
    <t>Received 44191 (17644+26547)</t>
  </si>
  <si>
    <t>FOBILL1473</t>
  </si>
  <si>
    <t>Jade (Monica - Hotel)</t>
  </si>
  <si>
    <t>Diya+Ahana+priyanka</t>
  </si>
  <si>
    <t>IW/2223/1736992</t>
  </si>
  <si>
    <t>Rajpreet Singh</t>
  </si>
  <si>
    <t>IW/2223/1737378</t>
  </si>
  <si>
    <t>IW/2223/1737347</t>
  </si>
  <si>
    <t>IW/2223/1737575</t>
  </si>
  <si>
    <t>Karan Chawla</t>
  </si>
  <si>
    <t>GSH/2022-23/00081</t>
  </si>
  <si>
    <t>GSH/2022-23/00082</t>
  </si>
  <si>
    <t>36000+36000 on 1 July (Total 108000)</t>
  </si>
  <si>
    <t>Surbhi, Nikita, Krishna, Rihdima</t>
  </si>
  <si>
    <t>IW/2223/1739753</t>
  </si>
  <si>
    <t xml:space="preserve"> IW/2223/1739720</t>
  </si>
  <si>
    <t>Sana Ann Thampi</t>
  </si>
  <si>
    <t>IW/2223/1744658</t>
  </si>
  <si>
    <t>IW/2223/1744930</t>
  </si>
  <si>
    <t>Nikhil Chauhan</t>
  </si>
  <si>
    <t>IW/2223/1744991</t>
  </si>
  <si>
    <t>IW/2223/1747438</t>
  </si>
  <si>
    <t>83005 (04 Aug 22)</t>
  </si>
  <si>
    <t>IW/2223/1752470</t>
  </si>
  <si>
    <t>Monica Shah</t>
  </si>
  <si>
    <t>GSH/2022-23/00083</t>
  </si>
  <si>
    <t>Jade (Mukund Keshav Rane)</t>
  </si>
  <si>
    <t>IW/2223/1772083</t>
  </si>
  <si>
    <t>IW/2223/1772057</t>
  </si>
  <si>
    <t>GSH/2022-23/00084</t>
  </si>
  <si>
    <t>Jade (Arya)</t>
  </si>
  <si>
    <t>IW/2223/1776832</t>
  </si>
  <si>
    <t>IW/2223/1776847</t>
  </si>
  <si>
    <t>IW/2223/1777031</t>
  </si>
  <si>
    <t>Darshana, Sarita, ashish, sagar</t>
  </si>
  <si>
    <t>GSH/2022-23/00085</t>
  </si>
  <si>
    <t>IW/2223/1778157</t>
  </si>
  <si>
    <t>Dev Nehal Shah</t>
  </si>
  <si>
    <t>IW/2223/1778790</t>
  </si>
  <si>
    <t>IW/2223/1780949</t>
  </si>
  <si>
    <t>Recd 20882</t>
  </si>
  <si>
    <t>GSH/2022-23/00086</t>
  </si>
  <si>
    <t>GSH/2022-23/00087</t>
  </si>
  <si>
    <t>Jade (Mukund Rane)</t>
  </si>
  <si>
    <t>Taurus Sarovar Portico DEL</t>
  </si>
  <si>
    <t>GSH/2022-23/00088</t>
  </si>
  <si>
    <t>IW/2223/1835528</t>
  </si>
  <si>
    <t>189174 on 10 Aug 22</t>
  </si>
  <si>
    <t>183931 on 10 Aug 22</t>
  </si>
  <si>
    <t>11 Aug (398077)</t>
  </si>
  <si>
    <t>GSH/2022-23/00089</t>
  </si>
  <si>
    <t>ID/2223/272874</t>
  </si>
  <si>
    <t>Jade (Nehal and Zameer)</t>
  </si>
  <si>
    <t> IW/2223/1890921</t>
  </si>
  <si>
    <t>IW/2223/1890983</t>
  </si>
  <si>
    <t>GSH/2022-23/00090</t>
  </si>
  <si>
    <t>GSH/2022-23/00091</t>
  </si>
  <si>
    <t>Jade (Zameer Moon)</t>
  </si>
  <si>
    <t>IW/2223/1914908</t>
  </si>
  <si>
    <t>Credit Note No-IE/2223/282810 (Invoice No-IW/2223/1890983)</t>
  </si>
  <si>
    <t>GSH/2022-23/00092</t>
  </si>
  <si>
    <t>IW/2223/1925988</t>
  </si>
  <si>
    <t>IW/2223/1926096</t>
  </si>
  <si>
    <t>IW/2223/1932293</t>
  </si>
  <si>
    <t>IW/2223/1932255</t>
  </si>
  <si>
    <t>Pramila</t>
  </si>
  <si>
    <t>Karishma</t>
  </si>
  <si>
    <t>58080+58080 19 Aug</t>
  </si>
  <si>
    <t>GSH/2022-23/00093</t>
  </si>
  <si>
    <t>Unmesh Kamdar</t>
  </si>
  <si>
    <t>50000 19 Aug 22</t>
  </si>
  <si>
    <t>150000 20 Aug 22</t>
  </si>
  <si>
    <t>104800 on 22 Aug</t>
  </si>
  <si>
    <t>GSH/2022-23/00094</t>
  </si>
  <si>
    <t>400000 22 Aug 22</t>
  </si>
  <si>
    <t>BOS-127464</t>
  </si>
  <si>
    <t>INV-31691</t>
  </si>
  <si>
    <t>BOS-127666</t>
  </si>
  <si>
    <t>IW/2223/2011942</t>
  </si>
  <si>
    <t>IW/2223/2012068</t>
  </si>
  <si>
    <t>100000 Chetan Dharia 22 Aug</t>
  </si>
  <si>
    <t>84464 24 Aug 22</t>
  </si>
  <si>
    <t>Total received: 224160</t>
  </si>
  <si>
    <t>GSH/2022-23/00095</t>
  </si>
  <si>
    <t>Rajeshwari Bhalotia</t>
  </si>
  <si>
    <t>IW/2223/2030321</t>
  </si>
  <si>
    <t>IW/2223/2030430</t>
  </si>
  <si>
    <t>Recd on 24 Aug</t>
  </si>
  <si>
    <t>GSH/2022-23/00096</t>
  </si>
  <si>
    <t>278657 25 Aug 22</t>
  </si>
  <si>
    <t>326168 25 Aug 22</t>
  </si>
  <si>
    <t>GSH/2022-23/00097</t>
  </si>
  <si>
    <t>Lavesh (Innovative Antares Pvt. Ltd.)</t>
  </si>
  <si>
    <t>IW/2223/2050492</t>
  </si>
  <si>
    <t>Jade (Nehal Car DEL and Monica Car AMD)</t>
  </si>
  <si>
    <t xml:space="preserve"> ID/2223/299558</t>
  </si>
  <si>
    <t>Jade (Monica EWR date change)</t>
  </si>
  <si>
    <t>GSH/2022-23/00098</t>
  </si>
  <si>
    <t>Jade (Priyanka Rawat)</t>
  </si>
  <si>
    <t>IW/2223/2079134</t>
  </si>
  <si>
    <t>IW/2223/2079282</t>
  </si>
  <si>
    <t>100000 Chetan Dharia 26 Aug</t>
  </si>
  <si>
    <t>GSH/2022-23/00099</t>
  </si>
  <si>
    <t>Nehal Vinod Shah (Siddharth Seat)</t>
  </si>
  <si>
    <t>GSH/2022-23/00100</t>
  </si>
  <si>
    <t>Sunali Mehta (Innovative Antares Pvt. Ltd.)</t>
  </si>
  <si>
    <t>IW/2223/2093318</t>
  </si>
  <si>
    <t>IW/2223/2095618</t>
  </si>
  <si>
    <t>GSH/2022-23/00101</t>
  </si>
  <si>
    <t>Jade (Riya Jain)</t>
  </si>
  <si>
    <t>IW/2223/2099665</t>
  </si>
  <si>
    <t>IW/2223/2100062</t>
  </si>
  <si>
    <t>8800 on 29 Aug 22</t>
  </si>
  <si>
    <t>Sachin Parikh</t>
  </si>
  <si>
    <t>CN/2022-23/00007</t>
  </si>
  <si>
    <t>CN/2022-23/00008</t>
  </si>
  <si>
    <t>GSH/2022-23/00102</t>
  </si>
  <si>
    <t>Innovative Antares (Deep and Lavesh)</t>
  </si>
  <si>
    <t>GSH/2022-23/00103</t>
  </si>
  <si>
    <t>100000 cheque 31 Aug 22</t>
  </si>
  <si>
    <t>Settled on 29 Aug</t>
  </si>
  <si>
    <t>IW/2223/2164495</t>
  </si>
  <si>
    <t>GSH/2022-23/00104</t>
  </si>
  <si>
    <t>Payal Rai</t>
  </si>
  <si>
    <t>IW/2223/2192969</t>
  </si>
  <si>
    <t>GSH/2022-23/00105</t>
  </si>
  <si>
    <t>IW/2223/2211052</t>
  </si>
  <si>
    <t>2676 paid to TBO on 05-09-2022</t>
  </si>
  <si>
    <t>GSH/2022-23/00106</t>
  </si>
  <si>
    <t>Rajan Shah (Devansh shah)</t>
  </si>
  <si>
    <t>91250 (Devansh) 06 Sep 22</t>
  </si>
  <si>
    <t>IW/2223/2239845</t>
  </si>
  <si>
    <t>IW/2223/2239722</t>
  </si>
  <si>
    <t>GSH/2022-23/00107</t>
  </si>
  <si>
    <t>Total collected</t>
  </si>
  <si>
    <t>91250 (Kahan Cheque) 08 Sep 22</t>
  </si>
  <si>
    <t>GSH/2022-23/00108</t>
  </si>
  <si>
    <t>Vidhi (Anand Kapadia)</t>
  </si>
  <si>
    <t>39163 (Devansh) 08 Sep 22</t>
  </si>
  <si>
    <t>IW/2223/2261719</t>
  </si>
  <si>
    <t>GSH/2022-23/00109</t>
  </si>
  <si>
    <t>IW/2223/2268330</t>
  </si>
  <si>
    <t>IW/2223/2268261</t>
  </si>
  <si>
    <t>9 Sep 22 (Cheque)</t>
  </si>
  <si>
    <t>Karun Marwah (Endue Capital)</t>
  </si>
  <si>
    <t>Recd 66298 + 364 on 12 sep</t>
  </si>
  <si>
    <t>GSH/2022-23/00110</t>
  </si>
  <si>
    <t>CAR</t>
  </si>
  <si>
    <t>NCS/22-23/11</t>
  </si>
  <si>
    <t>IW/2223/2363619</t>
  </si>
  <si>
    <t>IW/2223/2363586</t>
  </si>
  <si>
    <t>GSH/2022-23/00111</t>
  </si>
  <si>
    <t>GSH/2022-23/00112</t>
  </si>
  <si>
    <t>Jade (dubai Visas)</t>
  </si>
  <si>
    <t>IW/2223/2370841</t>
  </si>
  <si>
    <t>GSH/2022-23/00113</t>
  </si>
  <si>
    <t>39163 (Kahan Cheque)</t>
  </si>
  <si>
    <t>5000 cheque 14 sep</t>
  </si>
  <si>
    <t>75000 Chetan Dharia 15 Sep</t>
  </si>
  <si>
    <t>50000 Chetan Dharia 29 Aug 22</t>
  </si>
  <si>
    <t>Chetan Dharia + Sachin Parikh</t>
  </si>
  <si>
    <t>Difference in Airfare</t>
  </si>
  <si>
    <t>Refer GSH/2022-23/00094</t>
  </si>
  <si>
    <t>Bhairavi Mody</t>
  </si>
  <si>
    <t>IW/2223/2396651</t>
  </si>
  <si>
    <t>IW/2223/2396893</t>
  </si>
  <si>
    <t>IW/2223/2396843</t>
  </si>
  <si>
    <t>GSH/2022-23/00114</t>
  </si>
  <si>
    <t>Jade (Dubai)</t>
  </si>
  <si>
    <t>IW/2223/2397532</t>
  </si>
  <si>
    <t>GSH/2022-23/00115</t>
  </si>
  <si>
    <t>GSH/2022-23/00116</t>
  </si>
  <si>
    <t>GSH/2022-23/00117</t>
  </si>
  <si>
    <t>IW/2223/2475628</t>
  </si>
  <si>
    <t>IW/2223/2475586</t>
  </si>
  <si>
    <t>100000 cheque 23 Sep 22</t>
  </si>
  <si>
    <t>GSH/2022-23/00118</t>
  </si>
  <si>
    <t>PAYAL RAI</t>
  </si>
  <si>
    <t>NCS/22-23/13</t>
  </si>
  <si>
    <t>NCS/22-23/12</t>
  </si>
  <si>
    <t>IW/2223/2550389</t>
  </si>
  <si>
    <t>IW/2223/2550537</t>
  </si>
  <si>
    <t>IW/2223/2567759</t>
  </si>
  <si>
    <t>GSH/2022-23/00119</t>
  </si>
  <si>
    <t>Jade (Nehal BLR)</t>
  </si>
  <si>
    <t>IW/2223/2567933</t>
  </si>
  <si>
    <t>IW/2223/2570186</t>
  </si>
  <si>
    <t>IW/2223/2570297</t>
  </si>
  <si>
    <t>(refund recd from TBO)</t>
  </si>
  <si>
    <t>GSH/2022-23/00120</t>
  </si>
  <si>
    <t>ID/2223/355598</t>
  </si>
  <si>
    <t>GSH/2022-23/00121</t>
  </si>
  <si>
    <t>IW/2223/2601567</t>
  </si>
  <si>
    <t>IW/2223/2601494</t>
  </si>
  <si>
    <t xml:space="preserve"> IW/2223/2615230</t>
  </si>
  <si>
    <t>IW/2223/2615221</t>
  </si>
  <si>
    <t>Mansi Vora del</t>
  </si>
  <si>
    <t>Monica Dubai</t>
  </si>
  <si>
    <t>IW/2223/2616551</t>
  </si>
  <si>
    <t>IW/2223/2620662</t>
  </si>
  <si>
    <t>GSH/2022-23/00122</t>
  </si>
  <si>
    <t>Monica Dubai Visa</t>
  </si>
  <si>
    <t>5000 cash 29 Sep</t>
  </si>
  <si>
    <t>Nehal (AMD)</t>
  </si>
  <si>
    <t>IW/2223/2622105</t>
  </si>
  <si>
    <t>Harish Mehta Dubai Visa</t>
  </si>
  <si>
    <t>Nehal BLR BOM</t>
  </si>
  <si>
    <t>IW/2223/2638126</t>
  </si>
  <si>
    <t>GSH/2022-23/00123</t>
  </si>
  <si>
    <t>GSH/2022-23/00124</t>
  </si>
  <si>
    <t>Jade Mansi vora del booking</t>
  </si>
  <si>
    <t>Grand New Delhi</t>
  </si>
  <si>
    <t>GSH/2022-23/00125</t>
  </si>
  <si>
    <t>GSH/2022-23/00126</t>
  </si>
  <si>
    <t>Pradnya and Pankaj Pandit</t>
  </si>
  <si>
    <t>Zameer CAR and Nehal BLR Car</t>
  </si>
  <si>
    <t>Cheque (01 Oct)</t>
  </si>
  <si>
    <t>CN/2022-23/00009</t>
  </si>
  <si>
    <t>Adjusted with CN/2022-23/00009</t>
  </si>
  <si>
    <t xml:space="preserve">To refund </t>
  </si>
  <si>
    <t>IE/2223/359093</t>
  </si>
  <si>
    <t>Adjusted with CN - IE/2223/359093</t>
  </si>
  <si>
    <t>20195 adjusted with Arjun Anand Payal Rai credit note</t>
  </si>
  <si>
    <t>16685 (02 Oct 22)</t>
  </si>
  <si>
    <t>Harish Mehta x 2 (Nehal Vinod Shah)</t>
  </si>
  <si>
    <t>115000 (1 OCT 22)</t>
  </si>
  <si>
    <t>150000 29 Aug 22 (Nivalink)</t>
  </si>
  <si>
    <t>GSH/2022-23/00127</t>
  </si>
  <si>
    <t>JADE (Monica LAX)</t>
  </si>
  <si>
    <t>IW/2223/2667496</t>
  </si>
  <si>
    <t>197400 (03 Oct 22) nivalink</t>
  </si>
  <si>
    <t>70000 (3 OCT 22)</t>
  </si>
  <si>
    <t>CN/2022-23/00010</t>
  </si>
  <si>
    <t>TANU FOUZDAR</t>
  </si>
  <si>
    <t>IE/2223/376819</t>
  </si>
  <si>
    <t>IE/2223/376820</t>
  </si>
  <si>
    <t>IE/2223/376829</t>
  </si>
  <si>
    <t>IE/2223/376831</t>
  </si>
  <si>
    <t>GSH/2022-23/00128</t>
  </si>
  <si>
    <t>Adjusted with credit note 10</t>
  </si>
  <si>
    <t>ID/2223/366096</t>
  </si>
  <si>
    <t>Adjusted with credit notes for Tanu Fouzdar (23288)</t>
  </si>
  <si>
    <t>Balance 18774 (5744+6744+5400+5400-4514) adjusted with Tanu Fouzdar credit note</t>
  </si>
  <si>
    <t>Paid 440373 (4 Octc)</t>
  </si>
  <si>
    <t>Paid 100000 (4 Oct)</t>
  </si>
  <si>
    <t>76966 recd on 3 Oct 22</t>
  </si>
  <si>
    <t>Recd 651656 on 3 Oct</t>
  </si>
  <si>
    <t>Refunded 9136 (4 Oct) after adjusting 6874 (Inv 128)</t>
  </si>
  <si>
    <t>GSH/2022-23/000129</t>
  </si>
  <si>
    <t>IW/2223/2695139</t>
  </si>
  <si>
    <t>IW/2223/2698376</t>
  </si>
  <si>
    <t>GSH/2022-23/00130</t>
  </si>
  <si>
    <t>Jade (Nehal and Zameer DEL)</t>
  </si>
  <si>
    <t>IW/2223/2698606</t>
  </si>
  <si>
    <t>GSH/2022-23/00131</t>
  </si>
  <si>
    <t>Jade (Monica Reissue DXB)</t>
  </si>
  <si>
    <t>IW/2223/2701578</t>
  </si>
  <si>
    <t>ID/2223/369306</t>
  </si>
  <si>
    <t>IW/2223/2717395</t>
  </si>
  <si>
    <t>IW/2223/2717396</t>
  </si>
  <si>
    <t>ID/2223/369830</t>
  </si>
  <si>
    <t>ID/2223/371031</t>
  </si>
  <si>
    <t>IW/2223/2734404</t>
  </si>
  <si>
    <t>IW/2223/2734592</t>
  </si>
  <si>
    <t>IW/2223/2734652</t>
  </si>
  <si>
    <t xml:space="preserve"> IW/2223/2734729</t>
  </si>
  <si>
    <t>GSH/2022-23/00132</t>
  </si>
  <si>
    <t>27AADPD3528P1ZJ</t>
  </si>
  <si>
    <t>Darren Bosco Das</t>
  </si>
  <si>
    <t>45272 paid on 9 Oct 22</t>
  </si>
  <si>
    <t>25668 (7 Oct 22)</t>
  </si>
  <si>
    <t>70000 (8 Oct 22)</t>
  </si>
  <si>
    <t>GSH/2022-23/00133</t>
  </si>
  <si>
    <t>IW/2223/2767398</t>
  </si>
  <si>
    <t>79142 (9Oct 22)</t>
  </si>
  <si>
    <t>GSH/2022-23/00134</t>
  </si>
  <si>
    <t>TCS 5% on 34861</t>
  </si>
  <si>
    <t>MW/2223/161080</t>
  </si>
  <si>
    <t>Mansi and Karishma Excess baggage</t>
  </si>
  <si>
    <t>GSH/2022-23/00135</t>
  </si>
  <si>
    <t>Jade (Nehal Shah)</t>
  </si>
  <si>
    <t>NCS/22-23/16</t>
  </si>
  <si>
    <t>69557 paid on 10 Oct</t>
  </si>
  <si>
    <t>Jade (Monica excess baggage)</t>
  </si>
  <si>
    <t>Kashish Bhalotia date change</t>
  </si>
  <si>
    <t>ID/2223/379422</t>
  </si>
  <si>
    <t>23105 (12 Oct 22) NEFT</t>
  </si>
  <si>
    <t>74232 (12 Oct 22)</t>
  </si>
  <si>
    <t>5520 paid on 13 Oct 22</t>
  </si>
  <si>
    <t>167385 paid on 13 Oct 22</t>
  </si>
  <si>
    <t>49000 cash (13 Oct 22)</t>
  </si>
  <si>
    <t>IW/2223/2803048</t>
  </si>
  <si>
    <t>GSH/2022-23/00136</t>
  </si>
  <si>
    <t>GSH/2022-23/00137</t>
  </si>
  <si>
    <t>48000 cash (14 Oct 22)</t>
  </si>
  <si>
    <t>GSH/2022-23/00138</t>
  </si>
  <si>
    <t>Received and adjusted from 75000 received on 15 Sep</t>
  </si>
  <si>
    <t>Paid 3100 on 18 Oct 22</t>
  </si>
  <si>
    <t>GSH/2022-23/00139</t>
  </si>
  <si>
    <t>6003 paid on 19 Oct 22</t>
  </si>
  <si>
    <t xml:space="preserve"> IW/2223/2889838</t>
  </si>
  <si>
    <t>GSH/2022-23/00140</t>
  </si>
  <si>
    <t>Farzana Patel</t>
  </si>
  <si>
    <t>IW/2223/2928126</t>
  </si>
  <si>
    <t xml:space="preserve"> IW/2223/2927884</t>
  </si>
  <si>
    <t xml:space="preserve"> IW/2223/2927690</t>
  </si>
  <si>
    <t>IW/2223/2927546</t>
  </si>
  <si>
    <t>IW/2223/2927654</t>
  </si>
  <si>
    <t>IW/2223/2927503</t>
  </si>
  <si>
    <t>GSH/2022-23/00141</t>
  </si>
  <si>
    <t>Alkesh Kadakia</t>
  </si>
  <si>
    <t>Hemant Desai</t>
  </si>
  <si>
    <t>Manish Desai</t>
  </si>
  <si>
    <t>48460 (cash on 18 Oct 22)</t>
  </si>
  <si>
    <t>70000 (21 Oct)</t>
  </si>
  <si>
    <t>50000 (21 Oct)</t>
  </si>
  <si>
    <t>163096 on 22 Oct 22</t>
  </si>
  <si>
    <t>70000 on 22 Oct 22</t>
  </si>
  <si>
    <t>281000 on 20 Oct 22</t>
  </si>
  <si>
    <t>20000 (22 Oct)</t>
  </si>
  <si>
    <t>281000 on 27 Oct 22</t>
  </si>
  <si>
    <t>Threeland - 3165 USD</t>
  </si>
  <si>
    <t>TCS 5% - 26762</t>
  </si>
  <si>
    <t>TCS 5% on 535238</t>
  </si>
  <si>
    <t>TCS 5% -1744</t>
  </si>
  <si>
    <t>Paid to Fly Remit on 27 Oct 22</t>
  </si>
  <si>
    <t> IW/2223/3007429</t>
  </si>
  <si>
    <t xml:space="preserve"> IW/2223/3007351</t>
  </si>
  <si>
    <t>IW/2223/3008375</t>
  </si>
  <si>
    <t>GSH/2022-23/00142</t>
  </si>
  <si>
    <t>Jade (Zameer Moon Delhi)</t>
  </si>
  <si>
    <t>IW/2223/3008470</t>
  </si>
  <si>
    <t>Mr. Josef Alois Bucheli</t>
  </si>
  <si>
    <t>GSH/2022-23/00143</t>
  </si>
  <si>
    <t>MW/2223/175638</t>
  </si>
  <si>
    <t>IW/2223/3017961</t>
  </si>
  <si>
    <t>IW/2223/3018071</t>
  </si>
  <si>
    <t>IW/2223/3018185</t>
  </si>
  <si>
    <t>IW/2223/3018262</t>
  </si>
  <si>
    <t>GSH/2022-23/00144</t>
  </si>
  <si>
    <t>Jade (Rashi Shah`)</t>
  </si>
  <si>
    <t>IW/2223/3049157</t>
  </si>
  <si>
    <t>IW/2223/3049144</t>
  </si>
  <si>
    <t>75000 (30 Oct 22)</t>
  </si>
  <si>
    <t>60000 (31 Oct 22)</t>
  </si>
  <si>
    <t>70000 (29 Oct)</t>
  </si>
  <si>
    <t>113600 on 31 Oct 22</t>
  </si>
  <si>
    <t>135500 (28 Oct 22)</t>
  </si>
  <si>
    <t>Azure Tides</t>
  </si>
  <si>
    <t>2100 paid on 31 Oct 22</t>
  </si>
  <si>
    <t>IW/2223/3057705</t>
  </si>
  <si>
    <t>Spearhead Destinations Pvt. Ltd 2100</t>
  </si>
  <si>
    <t>IW/2223/3080466</t>
  </si>
  <si>
    <t>GSH/2022-23/00145</t>
  </si>
  <si>
    <t>135500 (01 Nov22)</t>
  </si>
  <si>
    <t>IW/2223/3088976</t>
  </si>
  <si>
    <t>Nehal Vinod Shah (Harish Mehta DXB)</t>
  </si>
  <si>
    <t>MW/2223/180068</t>
  </si>
  <si>
    <t>MW/2223/180069</t>
  </si>
  <si>
    <t>MW/2223/180076</t>
  </si>
  <si>
    <t>140309 Paid to TBO on 02 Nov</t>
  </si>
  <si>
    <t>22500 paid to breakout hotel on 2 Nov</t>
  </si>
  <si>
    <t>Adjusted against credit note for Go First cancellation 4304 - IZ/2223/147242</t>
  </si>
  <si>
    <t>CN/2022-23/00011</t>
  </si>
  <si>
    <t>IZ/2223/147242</t>
  </si>
  <si>
    <t>Adjusted with Invoice 145 (3399) balance 905 to be adjusted</t>
  </si>
  <si>
    <t>GSH/2022-23/00146</t>
  </si>
  <si>
    <t>Adjusted with Invoice IW/2223/3057705 (2691) balance 1613 to be adjusted</t>
  </si>
  <si>
    <t>Adjusted 1613 against credit note for Go First cancellation 4304 - IZ/2223/147242</t>
  </si>
  <si>
    <t>Balance 4350 paid on 2 Nov</t>
  </si>
  <si>
    <t>Adjusted with Invoice IW/2223/3080466 (1613)</t>
  </si>
  <si>
    <t>Vidhi Kapadia</t>
  </si>
  <si>
    <t>GSH/2022-23/00147</t>
  </si>
  <si>
    <t>CN/2022-23/00012</t>
  </si>
  <si>
    <t>53428 paid on 31 Oct</t>
  </si>
  <si>
    <t>4966 paid on 4 Nov</t>
  </si>
  <si>
    <t>GSH/2022-23/00148</t>
  </si>
  <si>
    <t>NCS/22-23/18</t>
  </si>
  <si>
    <t>INV-34093</t>
  </si>
  <si>
    <t xml:space="preserve"> BOS-146261 </t>
  </si>
  <si>
    <t>46734 paid to Ottila on 4 Nov</t>
  </si>
  <si>
    <t>GSH/2022-23/00149</t>
  </si>
  <si>
    <t>IW/2223/3142695</t>
  </si>
  <si>
    <t>IW/2223/3142442</t>
  </si>
  <si>
    <t>IW/2223/3143174</t>
  </si>
  <si>
    <t>150000+40000 on 6 Nov</t>
  </si>
  <si>
    <t>27436 on 7 Nov</t>
  </si>
  <si>
    <t>Ketan Shah</t>
  </si>
  <si>
    <t>Pamba Heritage</t>
  </si>
  <si>
    <t>xxl -GSH/2022-23/00108</t>
  </si>
  <si>
    <t>208732 adjusted with Cr Note IE/2223/390331</t>
  </si>
  <si>
    <t>208732 (adjusted with credit note 11 dt 09 Oct)</t>
  </si>
  <si>
    <t>Adjusted against credit note 12 for Go First cancellation 4304 - IZ/2223/147242</t>
  </si>
  <si>
    <t>905 adjusted against Credit note 12 (4304-3399)</t>
  </si>
  <si>
    <t xml:space="preserve"> IE/2223/390331</t>
  </si>
  <si>
    <t>MZ/2223/133255</t>
  </si>
  <si>
    <t>IW/2223/3174875</t>
  </si>
  <si>
    <t>IW/2223/3175091</t>
  </si>
  <si>
    <t>GSH/2022-23/00150</t>
  </si>
  <si>
    <t>Jade (Monica and Karishma DEL)</t>
  </si>
  <si>
    <t>300 + 300 Paid NEFT on Vistara Website on 7 Nov 22</t>
  </si>
  <si>
    <t>8720 credit note of Bucheli adjusted</t>
  </si>
  <si>
    <t>IW/2223/3183480</t>
  </si>
  <si>
    <t>Nehal and Zameer DEL</t>
  </si>
  <si>
    <t>4307 received on 7 Nov</t>
  </si>
  <si>
    <t>IW/2223/3197062</t>
  </si>
  <si>
    <t>35073 paid to TBO on 9 Nov</t>
  </si>
  <si>
    <t>Vistara</t>
  </si>
  <si>
    <t>reissue</t>
  </si>
  <si>
    <t>ID/2223/427937</t>
  </si>
  <si>
    <t>IW/2223/3229634</t>
  </si>
  <si>
    <t>seat for reissue</t>
  </si>
  <si>
    <t>GSH/2022-23/00151</t>
  </si>
  <si>
    <t>IW/2223/3253938</t>
  </si>
  <si>
    <t xml:space="preserve"> IW/2223/3253933</t>
  </si>
  <si>
    <t>GSH/2022-23/00152</t>
  </si>
  <si>
    <t>IW/2223/3262554</t>
  </si>
  <si>
    <t>IW/2223/3262526</t>
  </si>
  <si>
    <t>GSH/2022-23/00153</t>
  </si>
  <si>
    <t>IW/2223/3270882</t>
  </si>
  <si>
    <t>IW/2223/3270848</t>
  </si>
  <si>
    <t>GSH/2022-23/00154</t>
  </si>
  <si>
    <t>Darius Rodrigues</t>
  </si>
  <si>
    <t>U&amp;I holidays</t>
  </si>
  <si>
    <t>Recd 100000 on 12 Nov 22</t>
  </si>
  <si>
    <t>8400 paid to TBO on 14 Nov</t>
  </si>
  <si>
    <t>Arushi Sarah Jacob (Mona Jacob)</t>
  </si>
  <si>
    <t>38500 (12 Nov 22)</t>
  </si>
  <si>
    <t>GSH/2022-23/00155</t>
  </si>
  <si>
    <t>IW/2223/3291546</t>
  </si>
  <si>
    <t>IW/2223/3291676</t>
  </si>
  <si>
    <t>IW/2223/3291809</t>
  </si>
  <si>
    <t>GSH/2022-23/00156</t>
  </si>
  <si>
    <t>Virendra Paswan</t>
  </si>
  <si>
    <t>Lal Paswan</t>
  </si>
  <si>
    <t>IW/2223/3319293</t>
  </si>
  <si>
    <t>2560 pd by net banking on 16 Nov 22</t>
  </si>
  <si>
    <t>Taj Online tickets</t>
  </si>
  <si>
    <t>63700 (16 Nov 22)</t>
  </si>
  <si>
    <t>148732 to TBO on 16 Nov 22</t>
  </si>
  <si>
    <t>Cash on 18 Nov 22</t>
  </si>
  <si>
    <t>GSH/2022-23/00157</t>
  </si>
  <si>
    <t>Urvi Shah</t>
  </si>
  <si>
    <t>One Above</t>
  </si>
  <si>
    <t>GSH/2022-23/00158</t>
  </si>
  <si>
    <t>NCS/22-23/20</t>
  </si>
  <si>
    <t>NCS/22-23/19</t>
  </si>
  <si>
    <t>Anu Sheth</t>
  </si>
  <si>
    <t>Pakage</t>
  </si>
  <si>
    <t>IW/2223/3406697</t>
  </si>
  <si>
    <t>IW/2223/3406654</t>
  </si>
  <si>
    <t>GSH/2022-23/00159</t>
  </si>
  <si>
    <t>GSH/2022-23/00160</t>
  </si>
  <si>
    <t>GSH/2022-23/00161</t>
  </si>
  <si>
    <t>Spearead</t>
  </si>
  <si>
    <t>5410 received on 22 Nov</t>
  </si>
  <si>
    <t>GSH/2022-23/00162</t>
  </si>
  <si>
    <t>IW/2223/3420243</t>
  </si>
  <si>
    <t>195000 received on 21 Nov</t>
  </si>
  <si>
    <t>39570 received on 22 Nov</t>
  </si>
  <si>
    <t>3050 paid on 22 Nov</t>
  </si>
  <si>
    <t>20000 + 100 received on 22 Nov 22</t>
  </si>
  <si>
    <t>GSH/2022-23/00163</t>
  </si>
  <si>
    <t>Recd 100000 on 21 Nov 22</t>
  </si>
  <si>
    <t>31214 paid to TBO on 23 Nov</t>
  </si>
  <si>
    <t>56500 recd on 24 nov</t>
  </si>
  <si>
    <t>VW/ 223675</t>
  </si>
  <si>
    <t>47399 recd on 24 Nov 22</t>
  </si>
  <si>
    <t>Paid 13330 by bank transfer on 27 Nov 22</t>
  </si>
  <si>
    <t>1000 received on 27 Nov 22</t>
  </si>
  <si>
    <t>5648 paid for visa by credit card on 22 Nov 22</t>
  </si>
  <si>
    <t>GSH/2022-23/00164</t>
  </si>
  <si>
    <t>2937 + 82324 paid to fly remit on 29 Nov 22</t>
  </si>
  <si>
    <t>Vietjet</t>
  </si>
  <si>
    <t>Paid 1165 by credit card on 27 Nov 22</t>
  </si>
  <si>
    <t>GSH/2022-23/00165</t>
  </si>
  <si>
    <t>127689 paid to One above on 29 Nov 22</t>
  </si>
  <si>
    <t>GSH/2022-23/00166</t>
  </si>
  <si>
    <t>IW/2223/3576648</t>
  </si>
  <si>
    <t>IW/2223/3576619</t>
  </si>
  <si>
    <t>GSH/2022-23/00167</t>
  </si>
  <si>
    <t>IW/2223/3578228</t>
  </si>
  <si>
    <t>Akasa Air</t>
  </si>
  <si>
    <t>Paid by net banking on 2 dec</t>
  </si>
  <si>
    <t>IW/2223/3578224</t>
  </si>
  <si>
    <t>03 Dec 22 (Cash)</t>
  </si>
  <si>
    <t>35000 to Nivalink on 3 Dec</t>
  </si>
  <si>
    <t>GSH/2022-23/00168</t>
  </si>
  <si>
    <t>IW/2223/3662531</t>
  </si>
  <si>
    <t>IW/2223/3662416</t>
  </si>
  <si>
    <t>IW/2223/3675164</t>
  </si>
  <si>
    <t>IW/2223/3675109</t>
  </si>
  <si>
    <t>Pramila Jodhpur</t>
  </si>
  <si>
    <t>CN/2022-23/00013</t>
  </si>
  <si>
    <t>IE/2223/516908</t>
  </si>
  <si>
    <t>IE/2223/516909</t>
  </si>
  <si>
    <t>IE/2223/516910</t>
  </si>
  <si>
    <t>IE/2223/516970</t>
  </si>
  <si>
    <t>IE/2223/516972</t>
  </si>
  <si>
    <t>IE/2223/516973</t>
  </si>
  <si>
    <t>GSH/2022-23/00169</t>
  </si>
  <si>
    <t>Jade (Pramila)</t>
  </si>
  <si>
    <t>Park Plaza Jodhpur Radisson</t>
  </si>
  <si>
    <t>64487 paid to TBO on 09 Dec 22</t>
  </si>
  <si>
    <t>Paid 27490 to TBO on 9 Dec</t>
  </si>
  <si>
    <t>Adjusted 6852 credit note of Bhupendra Dhanak</t>
  </si>
  <si>
    <t>GSH/2022-23/00170</t>
  </si>
  <si>
    <t>IW/2223/3716308</t>
  </si>
  <si>
    <t>IW/2223/3716348</t>
  </si>
  <si>
    <t>56500 CASH on 12 Dec</t>
  </si>
  <si>
    <t>IW/2223/3734852</t>
  </si>
  <si>
    <t>IW/2223/3734698</t>
  </si>
  <si>
    <t>12239 paid on 12-12-2022</t>
  </si>
  <si>
    <t>IW/2223/3734795</t>
  </si>
  <si>
    <t>Gagan Kohli x 3</t>
  </si>
  <si>
    <t>GSH/2022-23/00171</t>
  </si>
  <si>
    <t>NCS/22-23/22</t>
  </si>
  <si>
    <t>Returned cash on 12 Dec 22</t>
  </si>
  <si>
    <t>42285 paid on 13 Dec 22</t>
  </si>
  <si>
    <t>NCS/22-23/23</t>
  </si>
  <si>
    <t>72185 recd on 17 Dec 22</t>
  </si>
  <si>
    <t>GSH/2022-23/00172</t>
  </si>
  <si>
    <t>IW/2223/3853577</t>
  </si>
  <si>
    <t>IW/2223/3853558</t>
  </si>
  <si>
    <t>Nehal Vinod Shah (Siddharth Shah)</t>
  </si>
  <si>
    <t>IW/2223/3866653</t>
  </si>
  <si>
    <t>GSH/2022-23/00173</t>
  </si>
  <si>
    <t>30040 paid to Nivalink on 22 Dec 22</t>
  </si>
  <si>
    <t>GSH/2022-23/00174</t>
  </si>
  <si>
    <t>Anu SHETH</t>
  </si>
  <si>
    <t>IW/2223/3930341</t>
  </si>
  <si>
    <t>GSH/2022-23/00175</t>
  </si>
  <si>
    <t>Jade (Devesh and Darshika)</t>
  </si>
  <si>
    <t>IW/2223/3951439</t>
  </si>
  <si>
    <t xml:space="preserve"> IW/2223/3951392</t>
  </si>
  <si>
    <t>GSH/2022-23/00176</t>
  </si>
  <si>
    <t>IW/2223/4013737</t>
  </si>
  <si>
    <t>IW/2223/4013723</t>
  </si>
  <si>
    <t>GSH/2022-23/00177</t>
  </si>
  <si>
    <t xml:space="preserve"> BOS-158942</t>
  </si>
  <si>
    <t>gpay</t>
  </si>
  <si>
    <t>GSH/2022-23/00178</t>
  </si>
  <si>
    <t>Tanvi Kode</t>
  </si>
  <si>
    <t>300 reversal recd on 28 Dec</t>
  </si>
  <si>
    <t>GSH/2022-23/00179</t>
  </si>
  <si>
    <t>IW/2223/4097820</t>
  </si>
  <si>
    <t>IW/2223/4097722</t>
  </si>
  <si>
    <t>GSH/2022-23/00180</t>
  </si>
  <si>
    <t>Chanakya (Mukund  Rane)</t>
  </si>
  <si>
    <t>Taurus Sarovar</t>
  </si>
  <si>
    <t>Nehal Shah</t>
  </si>
  <si>
    <t>IW/2223/4113834</t>
  </si>
  <si>
    <t>IW/2223/4113926</t>
  </si>
  <si>
    <t>quickboard</t>
  </si>
  <si>
    <t>IW/2223/4118652</t>
  </si>
  <si>
    <t>IW/2223/4118653</t>
  </si>
  <si>
    <t>GSH/2022-23/00181</t>
  </si>
  <si>
    <t>30420 on 10 Jan 2023</t>
  </si>
  <si>
    <t>GSH/2022-23/00182</t>
  </si>
  <si>
    <t>GSH/2022-23/00183</t>
  </si>
  <si>
    <t>Pranaam Services</t>
  </si>
  <si>
    <t>10278 (29Dec) + 12248 (9Jan) + 15590 (excess payment recd from MP file)+4900 on 11 Jan</t>
  </si>
  <si>
    <t>GSH/2022-23/00184</t>
  </si>
  <si>
    <t>NCS/22-23/24</t>
  </si>
  <si>
    <t>GSH/2022-23/00185</t>
  </si>
  <si>
    <t>Jade (Darshana - Nikhil Chauhan)</t>
  </si>
  <si>
    <t xml:space="preserve"> IW/2223/4274792</t>
  </si>
  <si>
    <t>Shankarlal Bhalotia + Amit Bhalotia</t>
  </si>
  <si>
    <t>IW/2223/4289557</t>
  </si>
  <si>
    <t>Zameer Moon</t>
  </si>
  <si>
    <t>IW/2223/4298790</t>
  </si>
  <si>
    <t>IW/2223/4298845</t>
  </si>
  <si>
    <t>Air India</t>
  </si>
  <si>
    <t>Seat</t>
  </si>
  <si>
    <t>15 Jan Credit Card</t>
  </si>
  <si>
    <t>IW/2223/4331351</t>
  </si>
  <si>
    <t>16 Jan 23 (CASH)</t>
  </si>
  <si>
    <t>Archana Akil Kumar</t>
  </si>
  <si>
    <t>ID/2223/539826</t>
  </si>
  <si>
    <t>IW/2223/4335184</t>
  </si>
  <si>
    <t>ID/2223/539445</t>
  </si>
  <si>
    <t>IW/2223/4341707</t>
  </si>
  <si>
    <t>Nehal and Zameer</t>
  </si>
  <si>
    <t>IW/2223/4341894</t>
  </si>
  <si>
    <t>6e QUICKBOARD</t>
  </si>
  <si>
    <t>ai SEAT</t>
  </si>
  <si>
    <t>GSH/2022-23/00186</t>
  </si>
  <si>
    <t>Jade (Archana Kumar ref Darshana)</t>
  </si>
  <si>
    <t>Bawa International (Vijaydeep Hotels)</t>
  </si>
  <si>
    <t>16 Jan (Credit Card)</t>
  </si>
  <si>
    <t>IW/2223/4345691</t>
  </si>
  <si>
    <t>56924 paid on 17 Jan 23</t>
  </si>
  <si>
    <t>1000 paid by credit card to AI on 15 Jan</t>
  </si>
  <si>
    <t>GSH/2022-23/00187</t>
  </si>
  <si>
    <t>6e quickoard</t>
  </si>
  <si>
    <t>IW/2223/4352118</t>
  </si>
  <si>
    <t>CASH - 18 Jan 23</t>
  </si>
  <si>
    <t>GSH/2022-23/00188</t>
  </si>
  <si>
    <t>Dominique Vuigner</t>
  </si>
  <si>
    <t>193510 on 18 Jan 23 - HDFC</t>
  </si>
  <si>
    <t>193510 on 20 Jan 23 - HDFC</t>
  </si>
  <si>
    <t>150000 ON 18 Jan 23</t>
  </si>
  <si>
    <t>ID/2223/543237</t>
  </si>
  <si>
    <t>2118 PAID ON 20 Jan 23</t>
  </si>
  <si>
    <t>CN/2022-23/00014</t>
  </si>
  <si>
    <t>IE/2223/601199</t>
  </si>
  <si>
    <t>IE/2223/601208</t>
  </si>
  <si>
    <t>IE/2223/601217</t>
  </si>
  <si>
    <t>IZ/2223/196261</t>
  </si>
  <si>
    <t>IZ/2223/196404</t>
  </si>
  <si>
    <t>Adjusted with credit note 11167</t>
  </si>
  <si>
    <t>TO PAY 15440 - 11167 = 4273</t>
  </si>
  <si>
    <t>71782 recd on 20 Jan 23</t>
  </si>
  <si>
    <t>150000 ON 21 Jan 23</t>
  </si>
  <si>
    <t>Nehal Vinod Shah (Harish Mehta AMD)</t>
  </si>
  <si>
    <t>GSH/2022-23/00189</t>
  </si>
  <si>
    <t>IW/2223/4465106</t>
  </si>
  <si>
    <t xml:space="preserve"> IW/2223/4465053</t>
  </si>
  <si>
    <t>GSH/2022-23/00190</t>
  </si>
  <si>
    <t>IW/2223/4466091</t>
  </si>
  <si>
    <t>IW/2223/4466230</t>
  </si>
  <si>
    <t>IW/2223/4465473</t>
  </si>
  <si>
    <t>Narayani Sanjay Poy Raiturcar</t>
  </si>
  <si>
    <t>IW/2223/4466898</t>
  </si>
  <si>
    <t>193413.25 on 24 Jan HDFC</t>
  </si>
  <si>
    <t>GSH/2022-23/00191</t>
  </si>
  <si>
    <t>NCS/22-23/25</t>
  </si>
  <si>
    <t>Devesh and Darshita</t>
  </si>
  <si>
    <t>IW/2223/4482633</t>
  </si>
  <si>
    <t>IW/2223/4482592</t>
  </si>
  <si>
    <t>Jade (Nehal DEL)</t>
  </si>
  <si>
    <t>GSH/2022-23/00192</t>
  </si>
  <si>
    <t>Jade (Devesh and Darshita)</t>
  </si>
  <si>
    <t>La Place Sarovar Portico Lucknow</t>
  </si>
  <si>
    <t>Nikhil Chauhan and Archana Kumar</t>
  </si>
  <si>
    <t>IW/2223/4504442</t>
  </si>
  <si>
    <t xml:space="preserve">Nikhil Chauhan </t>
  </si>
  <si>
    <t>IW/2223/4504546</t>
  </si>
  <si>
    <t>IW/2223/4504621</t>
  </si>
  <si>
    <t>Paid 4273 on 25 Jan 23</t>
  </si>
  <si>
    <t>34831 on 27 Jan HDFC</t>
  </si>
  <si>
    <t>127407 Recd on 28 Jan 23</t>
  </si>
  <si>
    <t>GSH/2022-23/00193</t>
  </si>
  <si>
    <t xml:space="preserve">Jade </t>
  </si>
  <si>
    <t>Gagan Kohli and Divya Singh</t>
  </si>
  <si>
    <t>IW/2223/4556424</t>
  </si>
  <si>
    <t>IW/2223/4556655</t>
  </si>
  <si>
    <t>IW/2223/4556802</t>
  </si>
  <si>
    <t>Natwarlal Das x 3</t>
  </si>
  <si>
    <t>GSH/2022-23/00194</t>
  </si>
  <si>
    <t>Jade (Gagan Kohli and Divya Singh)</t>
  </si>
  <si>
    <t>Hotel Marine Plaza</t>
  </si>
  <si>
    <t>197670 on 28 jan 23</t>
  </si>
  <si>
    <t>Harsh Holidays</t>
  </si>
  <si>
    <t>Monica 6E Quickboard</t>
  </si>
  <si>
    <t>37037 Varada (1 Feb)</t>
  </si>
  <si>
    <t>Dr. Shweta Shriyan</t>
  </si>
  <si>
    <t>2. Dr. Varada Phule</t>
  </si>
  <si>
    <t>3. Dr. Binal Shah</t>
  </si>
  <si>
    <t>Zameer Bom DEL</t>
  </si>
  <si>
    <t>IW/2223/4636865</t>
  </si>
  <si>
    <t xml:space="preserve"> IW/2223/4637033</t>
  </si>
  <si>
    <t>IW/2223/4624904</t>
  </si>
  <si>
    <t>Monica and Narayani AMD Rooms</t>
  </si>
  <si>
    <t>Zameer DEL BOM</t>
  </si>
  <si>
    <t>100173 on 2 Feb</t>
  </si>
  <si>
    <t>50000 (3 Feb) + 23482 (4 Feb)</t>
  </si>
  <si>
    <t>Jade (Monica and Navya)</t>
  </si>
  <si>
    <t>IW/2223/4705959</t>
  </si>
  <si>
    <t>IW/2223/4705993</t>
  </si>
  <si>
    <t>riya jain</t>
  </si>
  <si>
    <t xml:space="preserve"> IW/2223/4729461</t>
  </si>
  <si>
    <t>IW/2223/4729471</t>
  </si>
  <si>
    <t>GSH/2022-23/00198</t>
  </si>
  <si>
    <t>GSH/2022-23/00195</t>
  </si>
  <si>
    <t>GSH/2022-23/00196</t>
  </si>
  <si>
    <t>GSH/2022-23/00197</t>
  </si>
  <si>
    <t>7000 on 8 Feb 23</t>
  </si>
  <si>
    <t>BOS-165301</t>
  </si>
  <si>
    <t>BOS-165300</t>
  </si>
  <si>
    <t>BOS-165299</t>
  </si>
  <si>
    <t>73482 Binal (6 Feb)</t>
  </si>
  <si>
    <t>148372 on 8 Feb</t>
  </si>
  <si>
    <t xml:space="preserve"> IW/2223/4766257</t>
  </si>
  <si>
    <t xml:space="preserve"> IW/2223/4766249</t>
  </si>
  <si>
    <t>GSH/2022-23/00199</t>
  </si>
  <si>
    <t>10643 on 9 Feb HDFC</t>
  </si>
  <si>
    <t>46940 recd on 29 Dec 22</t>
  </si>
  <si>
    <t>(11800 advance recd)</t>
  </si>
  <si>
    <t>Monica Shah Seat</t>
  </si>
  <si>
    <t>GSH/2022-23/00200</t>
  </si>
  <si>
    <t>Meet and Assist</t>
  </si>
  <si>
    <t>Encalm Hospitality Delhi airport</t>
  </si>
  <si>
    <t>Monica Shah and Navya Reissue</t>
  </si>
  <si>
    <t>IW/2223/4774391</t>
  </si>
  <si>
    <t>IW/2223/4774480</t>
  </si>
  <si>
    <t>Monica 6E quickboard</t>
  </si>
  <si>
    <t>GSH/2022-23/00201</t>
  </si>
  <si>
    <t>Zameer BOMDEL</t>
  </si>
  <si>
    <t>52001 on 9 Feb 23</t>
  </si>
  <si>
    <t>GSH/2022-23/00202</t>
  </si>
  <si>
    <t>IW/2223/4784783</t>
  </si>
  <si>
    <t>IW/2223/4783659</t>
  </si>
  <si>
    <t>GSH/2022-23/00203</t>
  </si>
  <si>
    <t>10 feb 23 (CASH)</t>
  </si>
  <si>
    <t>Guide</t>
  </si>
  <si>
    <t>KK Travels</t>
  </si>
  <si>
    <t>IW/2223/4792282</t>
  </si>
  <si>
    <t>GSH/2022-23/00204</t>
  </si>
  <si>
    <t>Anita Mohan Guhagarkar</t>
  </si>
  <si>
    <t>IW/2223/4800818</t>
  </si>
  <si>
    <t>IW/2223/4800888</t>
  </si>
  <si>
    <t>1750 on 13 Feb 23</t>
  </si>
  <si>
    <t>GSH/2022-23/00205</t>
  </si>
  <si>
    <t>1461.14 paid by credit card</t>
  </si>
  <si>
    <t>IW/2223/4842164</t>
  </si>
  <si>
    <t>IW/2223/4842285</t>
  </si>
  <si>
    <t>CN/2022-23/00015</t>
  </si>
  <si>
    <t>adjusted credit note 3499</t>
  </si>
  <si>
    <t>IE/2223/660520</t>
  </si>
  <si>
    <t>1471.35 paid by credit card on 15 Feb</t>
  </si>
  <si>
    <t>61875 on 15 Feb</t>
  </si>
  <si>
    <t>Avanti Kalagram</t>
  </si>
  <si>
    <t>GSH/2022-23/00206</t>
  </si>
  <si>
    <t>IW/2223/4896242</t>
  </si>
  <si>
    <t>IW/2223/4896292</t>
  </si>
  <si>
    <t>GSH/2022-23/00207</t>
  </si>
  <si>
    <t>Jade (Zameer)</t>
  </si>
  <si>
    <t>IW/2223/4896774</t>
  </si>
  <si>
    <t>IW/2223/4896876</t>
  </si>
  <si>
    <t>DEL BOM</t>
  </si>
  <si>
    <t>DEL BOM seat</t>
  </si>
  <si>
    <t>Air Vistara</t>
  </si>
  <si>
    <t>Paid on 16 Feb by credit card</t>
  </si>
  <si>
    <t>Fab Cars</t>
  </si>
  <si>
    <t>FD2223-013871</t>
  </si>
  <si>
    <t>GR2223-005138</t>
  </si>
  <si>
    <t>FD2223-013869</t>
  </si>
  <si>
    <t>Zameer Car 17 Feb</t>
  </si>
  <si>
    <t>paid 10278-3499=6779 on 20 Feb</t>
  </si>
  <si>
    <t>16720 Paid on 20 Feb</t>
  </si>
  <si>
    <t>JADE Monica Shah</t>
  </si>
  <si>
    <t>refund recd on credit card 19 Feb</t>
  </si>
  <si>
    <t>adjusted credit note 3499+1140</t>
  </si>
  <si>
    <t>20 Feb - CASH</t>
  </si>
  <si>
    <t>17792 to Fab Cras on 20 Feb</t>
  </si>
  <si>
    <t>5000 to Harsh Holidays on 1 Feb</t>
  </si>
  <si>
    <t>7350 to Nivalnk on 20 Feb</t>
  </si>
  <si>
    <t>GSH/2022-23/00208</t>
  </si>
  <si>
    <t>IW/2223/4947155</t>
  </si>
  <si>
    <t>IW/2223/4947102</t>
  </si>
  <si>
    <t>Karishma Rewari BOMAMD</t>
  </si>
  <si>
    <t>IW/2223/4949520</t>
  </si>
  <si>
    <t>IW/2223/4949604</t>
  </si>
  <si>
    <t>Karishma Rewari AMDBOM</t>
  </si>
  <si>
    <t>Nehal and Zameer (BOMAMD)</t>
  </si>
  <si>
    <t>IW/2223/4962677</t>
  </si>
  <si>
    <t>Darshana Bhave (BOMDEL)</t>
  </si>
  <si>
    <t>IW/2223/4964868</t>
  </si>
  <si>
    <t>IW/2223/4964839</t>
  </si>
  <si>
    <t>Darshana Bhave (DELBOM)</t>
  </si>
  <si>
    <t>PRIYA KHILNANI</t>
  </si>
  <si>
    <t>PACKAGE</t>
  </si>
  <si>
    <t>NAM HO DMC</t>
  </si>
  <si>
    <t>ADVANCE RECD</t>
  </si>
  <si>
    <t>Nehal and Zameer (AMDBOM)</t>
  </si>
  <si>
    <t>IW/2223/4975654</t>
  </si>
  <si>
    <t>Nehal and Zameer (seat)</t>
  </si>
  <si>
    <t>ID/2223/600195</t>
  </si>
  <si>
    <t>IW/2223/4997425</t>
  </si>
  <si>
    <t>IW/2223/4997439</t>
  </si>
  <si>
    <t>Vismay Mirgal</t>
  </si>
  <si>
    <t>8650 to Harsh Holidays on 23 Feb</t>
  </si>
  <si>
    <t>24629 on 23 Feb 23</t>
  </si>
  <si>
    <t>Nehal Car AMD 24 Feb</t>
  </si>
  <si>
    <t>11207 recd on 24 Feb</t>
  </si>
  <si>
    <t>72343 paid on 27 Feb</t>
  </si>
  <si>
    <t>GSH/2022-23/00209</t>
  </si>
  <si>
    <t>Nehal Vinod Shah (Sid PHL)</t>
  </si>
  <si>
    <t>IW/2223/5096932</t>
  </si>
  <si>
    <t>GSH/2022-23/00210</t>
  </si>
  <si>
    <t>GSH/2022-23/00211</t>
  </si>
  <si>
    <t>FD2223-014769</t>
  </si>
  <si>
    <t>FC2223-065163</t>
  </si>
  <si>
    <t>GSH/2022-23/00212</t>
  </si>
  <si>
    <t>IW/2223/5180579</t>
  </si>
  <si>
    <t>SM/2223/1185439</t>
  </si>
  <si>
    <t>GSH/2022-23/00213</t>
  </si>
  <si>
    <t>IW/2223/5191476</t>
  </si>
  <si>
    <t>GSH/2022-23/00214</t>
  </si>
  <si>
    <t>Jade (Natwar Das)</t>
  </si>
  <si>
    <t>IW/2223/5193066</t>
  </si>
  <si>
    <t> IW/2223/5193167</t>
  </si>
  <si>
    <t xml:space="preserve"> IW/2223/5193315</t>
  </si>
  <si>
    <t xml:space="preserve"> IW/2223/5194469</t>
  </si>
  <si>
    <t>GSH/2022-23/00215</t>
  </si>
  <si>
    <t>Nehal Vinod Shah (Dev LAX)</t>
  </si>
  <si>
    <t>7789 on 8 Mar 23</t>
  </si>
  <si>
    <t>1210 to KK traves on 8 Mar 23</t>
  </si>
  <si>
    <t>GSH/2022-23/00216</t>
  </si>
  <si>
    <t>IW/2223/5221618</t>
  </si>
  <si>
    <t>IW/2223/5221533</t>
  </si>
  <si>
    <t>IW/2223/5222723</t>
  </si>
  <si>
    <t>IW/2223/5222854</t>
  </si>
  <si>
    <t>GSH/2022-23/00217</t>
  </si>
  <si>
    <t>GSH/2022-23/00218</t>
  </si>
  <si>
    <t>Brinda Parikh</t>
  </si>
  <si>
    <t>IW/2223/5249326</t>
  </si>
  <si>
    <t>SM/2223/1210536</t>
  </si>
  <si>
    <t>GSH/2022-23/00219</t>
  </si>
  <si>
    <t>Himanshu Sheth</t>
  </si>
  <si>
    <t>IW/2223/5265933</t>
  </si>
  <si>
    <t>IW/2223/5266055</t>
  </si>
  <si>
    <t>IW/2223/5266164</t>
  </si>
  <si>
    <t>GSH/2022-23/00220</t>
  </si>
  <si>
    <t>IW/2223/5294016</t>
  </si>
  <si>
    <t>Daga Chemicals Pvt Ltd (Krishan Daga)</t>
  </si>
  <si>
    <t>27AAACD0537E1Z5</t>
  </si>
  <si>
    <t>Cash on 15 Mar 23</t>
  </si>
  <si>
    <t>8780 Recd on 14 March (cheque)</t>
  </si>
  <si>
    <t>GSH/2022-23/00221</t>
  </si>
  <si>
    <t>24AABCJ5069J1ZG</t>
  </si>
  <si>
    <t>Jeevan Chemicals Pvt Ltd (Sonir Shah and Krishan Daga)</t>
  </si>
  <si>
    <t>Pranaam</t>
  </si>
  <si>
    <t>TCS - 4678</t>
  </si>
  <si>
    <t>Total collection incl GST and TCS</t>
  </si>
  <si>
    <t>Paid on 14 Mar 23</t>
  </si>
  <si>
    <t>11Mar paid 121713</t>
  </si>
  <si>
    <t>3050 Cash on 15 Mar 23</t>
  </si>
  <si>
    <t>GSH/2022-23/00222</t>
  </si>
  <si>
    <t>IW/2223/5331904</t>
  </si>
  <si>
    <t>Winit Bekal</t>
  </si>
  <si>
    <t>: VW-222198</t>
  </si>
  <si>
    <t>VW-222197</t>
  </si>
  <si>
    <t>payment made for pick up and drop not invoiced</t>
  </si>
  <si>
    <t>6552 credit note for Siddharth Shah seats on LH adjusted</t>
  </si>
  <si>
    <t>1870 paid on 17 March</t>
  </si>
  <si>
    <t>GSH/2022-23/00223</t>
  </si>
  <si>
    <t>Micheal Vogel</t>
  </si>
  <si>
    <t xml:space="preserve"> IW/2223/5386003</t>
  </si>
  <si>
    <t>Paid on 18 Mar by Credit card</t>
  </si>
  <si>
    <t>Paid 39781 on 18 Mar</t>
  </si>
  <si>
    <t>credit card on 19 Mar</t>
  </si>
  <si>
    <t>CN/2022-23/00016</t>
  </si>
  <si>
    <t>Nehal Vinod Shah (Sid seats)</t>
  </si>
  <si>
    <t>(partial cancellation of GSH/2022-23/00099 dated 28 Aug 22</t>
  </si>
  <si>
    <t>IZ/2223/233416 (Invoice No-IW/2223/2095618)</t>
  </si>
  <si>
    <t>Adjusted with invoice 215 dated 7 march</t>
  </si>
  <si>
    <t>GSH/2022-23/00224</t>
  </si>
  <si>
    <t>BOS-174282</t>
  </si>
  <si>
    <t>adjusted credit note 6552</t>
  </si>
  <si>
    <t>133237 recd on 20 March</t>
  </si>
  <si>
    <t>38436 paid on 17 March</t>
  </si>
  <si>
    <t>98237 recd on 20 March</t>
  </si>
  <si>
    <t>Paid 13373+3070 to Ottila on 20 Mar</t>
  </si>
  <si>
    <t>Paid 4463 on 20 Mar</t>
  </si>
  <si>
    <t>GSH/2022-23/00225</t>
  </si>
  <si>
    <t>2280 at 21 Mar 23</t>
  </si>
  <si>
    <t>CN/2022-23/00017</t>
  </si>
  <si>
    <t>IE/2223/734093 and IE/2223/732750</t>
  </si>
  <si>
    <t>(partial cancellation of GSH/2022-23/00219 dated 11 March 23</t>
  </si>
  <si>
    <t>82195 PAID ON 22 MARCH AFTER ADJUSTING CREDIT NOTE 1583 (HIMANSHU SHETH)</t>
  </si>
  <si>
    <t>Paid 3308 on 22 March</t>
  </si>
  <si>
    <t>GSH/2022-23/00226</t>
  </si>
  <si>
    <t>Jade Life Style (Zameer Moon)</t>
  </si>
  <si>
    <t>IW/2223/5459471</t>
  </si>
  <si>
    <t>refund recd on 21 March</t>
  </si>
  <si>
    <t>Adjusted with Kashish Bhalotia ticket</t>
  </si>
  <si>
    <t>14000+9915=23915 recd on 24 Mar</t>
  </si>
  <si>
    <t>Sujata Assomull</t>
  </si>
  <si>
    <t>Remitted 156387 on 24 March 23</t>
  </si>
  <si>
    <t>IW/2223/5488189</t>
  </si>
  <si>
    <t>Paid by Credit card on 24 March</t>
  </si>
  <si>
    <t>GSH/2022-23/00227</t>
  </si>
  <si>
    <t>42354 paid on 25 Mar</t>
  </si>
  <si>
    <t>6850 paid by net banking</t>
  </si>
  <si>
    <t>5678-118 EXTRA PAID FOR DEV SHAH - 285 EXTRA PAID FOR SUJATA</t>
  </si>
  <si>
    <t>IW/2223/5499069</t>
  </si>
  <si>
    <t>GSH/2022-23/00228</t>
  </si>
  <si>
    <t>Jade (Abhay Nayampally)</t>
  </si>
  <si>
    <t>IW/2223/5509880</t>
  </si>
  <si>
    <t>Paid 10000 on 25 Mar</t>
  </si>
  <si>
    <t>Ruchika Mehta</t>
  </si>
  <si>
    <t>IW/2223/5510227</t>
  </si>
  <si>
    <t>Paid 6696 on 25 Mar</t>
  </si>
  <si>
    <t>PAID 5275 ON 25 March</t>
  </si>
  <si>
    <t>IW/2223/5513973</t>
  </si>
  <si>
    <t>ITC Grand Central Parel</t>
  </si>
  <si>
    <t>Paid 23010 on 26 March 2023</t>
  </si>
  <si>
    <t>Jade (Ruchika Mehta)</t>
  </si>
  <si>
    <t>Jade (Abhay Nayampally Car)</t>
  </si>
  <si>
    <t>Paid 350 by credit card on 27 Mar</t>
  </si>
  <si>
    <t>Paid 350 by credit card on 28 Mar</t>
  </si>
  <si>
    <t>IW/2223/5562902</t>
  </si>
  <si>
    <t>GSH/2022-23/00229</t>
  </si>
  <si>
    <t>Karishma Rewari</t>
  </si>
  <si>
    <t>IW/2223/5563254</t>
  </si>
  <si>
    <t>Paid by netbanking on 29 March</t>
  </si>
  <si>
    <t>GSH/2022-23/00230</t>
  </si>
  <si>
    <t>40003 paid by netbanking on 30 Mar 23</t>
  </si>
  <si>
    <t>18 Rs adjusted with earlier credit with TBO</t>
  </si>
  <si>
    <t>ID/2223/661083</t>
  </si>
  <si>
    <t>Sid Shah QR Reissue</t>
  </si>
  <si>
    <t>GSH/2022-23/00231</t>
  </si>
  <si>
    <t>GSH/2023-24/00001</t>
  </si>
  <si>
    <t xml:space="preserve"> IW/2324/775</t>
  </si>
  <si>
    <t>5381-adjusted with excess payment made to TBO</t>
  </si>
  <si>
    <t>3779 paid on 1 April</t>
  </si>
  <si>
    <t xml:space="preserve"> IW/2324/1415</t>
  </si>
  <si>
    <t>5260 paid to TBO on 26th march adjusted with Jade invoice dated 1 April</t>
  </si>
  <si>
    <t>GSH/2023-24/00002</t>
  </si>
  <si>
    <t>Ghungroo Shrivastava</t>
  </si>
  <si>
    <t>Heat Flexi Holidays</t>
  </si>
  <si>
    <t>99800 paid on 03 April</t>
  </si>
  <si>
    <t>50000 on 4 April</t>
  </si>
  <si>
    <t>GSH/2023-24/00003</t>
  </si>
  <si>
    <t>Nam Ho DMC / PawanSut Forex</t>
  </si>
  <si>
    <t>TOTAL</t>
  </si>
  <si>
    <t>GSH/2023-24/00004</t>
  </si>
  <si>
    <t>Amrita Vakil</t>
  </si>
  <si>
    <t>Heat Flexi</t>
  </si>
  <si>
    <t>327852 on 05 April 2023</t>
  </si>
  <si>
    <t>50000 on 14 Mar</t>
  </si>
  <si>
    <t>150000 on 15 Mar</t>
  </si>
  <si>
    <t>100000 on 24 Mar</t>
  </si>
  <si>
    <t>192482 on 05 Apr</t>
  </si>
  <si>
    <t>55700 on 5 April</t>
  </si>
  <si>
    <t>223581 on 05 April</t>
  </si>
  <si>
    <t>150429 on 17 March</t>
  </si>
  <si>
    <t>CASH recd on 05 April 2023</t>
  </si>
  <si>
    <t>246750 on 05 April 2023</t>
  </si>
  <si>
    <t>GSH/2023-24/00005</t>
  </si>
  <si>
    <t>IW/2324/91130</t>
  </si>
  <si>
    <t>IW/2324/91587</t>
  </si>
  <si>
    <t>Fab cars</t>
  </si>
  <si>
    <t>Divya Singh and Pooja Joshi</t>
  </si>
  <si>
    <t>IW/2324/94330</t>
  </si>
  <si>
    <t>IW/2324/94524</t>
  </si>
  <si>
    <t>210000 paid on 10 April 23</t>
  </si>
  <si>
    <t>10058 paid on 10 April 2023</t>
  </si>
  <si>
    <t>21450 paid on 10 April</t>
  </si>
  <si>
    <t>IW/2324/156046</t>
  </si>
  <si>
    <t>224160 on 10 April 23</t>
  </si>
  <si>
    <t>GSH/2023-24/00006</t>
  </si>
  <si>
    <t>BOS-181404</t>
  </si>
  <si>
    <t xml:space="preserve"> IW/2324/171692</t>
  </si>
  <si>
    <t>zameer Moon BOMAMD</t>
  </si>
  <si>
    <t>zameer Moon AMDDEL</t>
  </si>
  <si>
    <t>zameer Moon DELBOM</t>
  </si>
  <si>
    <t>IW/2324/171702</t>
  </si>
  <si>
    <t>Monica BOM DEL</t>
  </si>
  <si>
    <t>IW/2324/172275</t>
  </si>
  <si>
    <t>GSH/2023-24/00007</t>
  </si>
  <si>
    <t>IW/2324/173827</t>
  </si>
  <si>
    <t>GSH/2023-24/00008</t>
  </si>
  <si>
    <t>Priya Khilnani</t>
  </si>
  <si>
    <t>Nam Ho DMC // Pawansut Multimoney</t>
  </si>
  <si>
    <t>50000 (21 Feb 23)</t>
  </si>
  <si>
    <t>100000 (6 Mar 23)</t>
  </si>
  <si>
    <t>100000 (9 Mar 23)</t>
  </si>
  <si>
    <t>166904 (11 Apr 23)</t>
  </si>
  <si>
    <t>342302 on 11 Apr 23</t>
  </si>
  <si>
    <t>GSH/2023-24/00009</t>
  </si>
  <si>
    <t>Jade (Zameer DEL)</t>
  </si>
  <si>
    <t>Hilton Garden Inn DLF Delhi</t>
  </si>
  <si>
    <t>Zameer Moon - BLR</t>
  </si>
  <si>
    <t>Zameer Moon - AMD</t>
  </si>
  <si>
    <t>Zameer Moon - DEL</t>
  </si>
  <si>
    <t>Monica DEL BOM</t>
  </si>
  <si>
    <t>IW/2324/191640</t>
  </si>
  <si>
    <t>GSH/2023-24/00010</t>
  </si>
  <si>
    <t>GSH/2023-24/00011</t>
  </si>
  <si>
    <t>Jaunts and Journeys</t>
  </si>
  <si>
    <t>I2300029</t>
  </si>
  <si>
    <t>NCS/23-24/28</t>
  </si>
  <si>
    <t>Nivalink NCS</t>
  </si>
  <si>
    <t>GSH/2023-24/00012</t>
  </si>
  <si>
    <t>Design 19 (Meghna Gandhi)</t>
  </si>
  <si>
    <t>Travco Jordan</t>
  </si>
  <si>
    <t>50000 recd on 12 April 2023</t>
  </si>
  <si>
    <t>Jade (jagdish Sain)</t>
  </si>
  <si>
    <t>IW/2324/221009</t>
  </si>
  <si>
    <t xml:space="preserve"> IW/2324/221085</t>
  </si>
  <si>
    <t>37120 Paid on 14 Apr 23</t>
  </si>
  <si>
    <t>5650 paid on 12-04-2023</t>
  </si>
  <si>
    <t>I2300045</t>
  </si>
  <si>
    <t>500 paid on 15 April</t>
  </si>
  <si>
    <t>FB2324-000416</t>
  </si>
  <si>
    <t>IW/2324/251059</t>
  </si>
  <si>
    <t>Deepak Varma</t>
  </si>
  <si>
    <t>Jagdish Sain</t>
  </si>
  <si>
    <t>IW/2324/251042</t>
  </si>
  <si>
    <t>GSH/2023-24/00013</t>
  </si>
  <si>
    <t>3624 paid on 15 Apr</t>
  </si>
  <si>
    <t>6514 paid on 13 Apr</t>
  </si>
  <si>
    <t>Ankita Jain &amp; Jaya Lakshmi Nair</t>
  </si>
  <si>
    <t>IW/2324/257551</t>
  </si>
  <si>
    <t>IW/2324/257547</t>
  </si>
  <si>
    <t>PawanSut/Multimoney</t>
  </si>
  <si>
    <t xml:space="preserve">205041 on 17 April </t>
  </si>
  <si>
    <t>Avinash Kode / Tanvi Kode</t>
  </si>
  <si>
    <t>11800 recd on 29 Dec 22 (refer invoice GSH/2022-23/00178)</t>
  </si>
  <si>
    <t>213350 recd on 17 April</t>
  </si>
  <si>
    <t>52883 paid on 17 Apr</t>
  </si>
  <si>
    <t>GSH/2023-24/00014</t>
  </si>
  <si>
    <t>VL-28</t>
  </si>
  <si>
    <t>590 paid on 17 April 23</t>
  </si>
  <si>
    <t>recd 81554 on 17 April</t>
  </si>
  <si>
    <t>Monica Shah - DEL</t>
  </si>
  <si>
    <t>Priya Kapadia</t>
  </si>
  <si>
    <t>IW/2324/325351</t>
  </si>
  <si>
    <t>GSH/2023-24/00015</t>
  </si>
  <si>
    <t>Hemant Chhabria</t>
  </si>
  <si>
    <t>Just in Time</t>
  </si>
  <si>
    <t>27AACCJ3745N1Z6</t>
  </si>
  <si>
    <t>GSH/2023-24/00016</t>
  </si>
  <si>
    <t>IW/2324/342394</t>
  </si>
  <si>
    <t>IW/2324/342391</t>
  </si>
  <si>
    <t>FC2324-004136</t>
  </si>
  <si>
    <t>FD2324-000725</t>
  </si>
  <si>
    <t>GSH/2023-24/00017</t>
  </si>
  <si>
    <t>Jade (Krushika)</t>
  </si>
  <si>
    <t>IW/2324/351053</t>
  </si>
  <si>
    <t>IW/2324/351067</t>
  </si>
  <si>
    <t>GSH/2023-24/00018</t>
  </si>
  <si>
    <t>Dharmesh Nathwani</t>
  </si>
  <si>
    <t>IW/2324/364618</t>
  </si>
  <si>
    <t>IW/2324/364587</t>
  </si>
  <si>
    <t>Mukund Rane</t>
  </si>
  <si>
    <t>IW/2324/365051</t>
  </si>
  <si>
    <t>IW/2324/365035</t>
  </si>
  <si>
    <t>Ibis New Delhi Aerocity</t>
  </si>
  <si>
    <t>Paid on 21 Apr 23</t>
  </si>
  <si>
    <t>Paid on 22 Apr 23</t>
  </si>
  <si>
    <t xml:space="preserve">Reissue charges </t>
  </si>
  <si>
    <t>FD2324-000731</t>
  </si>
  <si>
    <t>9299 paid on 24 Apr</t>
  </si>
  <si>
    <t>9110 paid on 24 April</t>
  </si>
  <si>
    <t>VW 23-10038</t>
  </si>
  <si>
    <t>113583 paid on 24 Apr</t>
  </si>
  <si>
    <t>ID/2324/33614</t>
  </si>
  <si>
    <t>IW/2324/388929</t>
  </si>
  <si>
    <t>36450 paid on 24 Apr</t>
  </si>
  <si>
    <t>32400 paid on 24 Apr</t>
  </si>
  <si>
    <t>GSH/2023-24/00019</t>
  </si>
  <si>
    <t>IW/2324/409751</t>
  </si>
  <si>
    <t>80138 recd on 25 Apr</t>
  </si>
  <si>
    <t>GSH/2023-24/00020</t>
  </si>
  <si>
    <t>Jade (Rashi)</t>
  </si>
  <si>
    <t xml:space="preserve"> IW/2324/430180</t>
  </si>
  <si>
    <t>IW/2324/430600</t>
  </si>
  <si>
    <t>Divya Singh, Rahul Ranjan, Pooja Joshi</t>
  </si>
  <si>
    <t>GSH/2023-24/00021</t>
  </si>
  <si>
    <t>Vidhi Kapadia / Priya Kapadia</t>
  </si>
  <si>
    <t>Rashi Shah</t>
  </si>
  <si>
    <t>IW/2324/451417</t>
  </si>
  <si>
    <t>IW/2324/452854</t>
  </si>
  <si>
    <t>Shraddha Patel</t>
  </si>
  <si>
    <t>IW/2324/459113</t>
  </si>
  <si>
    <t xml:space="preserve"> IW/2324/459078</t>
  </si>
  <si>
    <t>Paid on 28 Apr 23</t>
  </si>
  <si>
    <t>recd on 28 Apr 23</t>
  </si>
  <si>
    <t>Tangerine Tours / Zenith Forex</t>
  </si>
  <si>
    <t>135000 paid on 28 Apr 23</t>
  </si>
  <si>
    <t>30BAUPS3914C1ZS</t>
  </si>
  <si>
    <t>GSH/2023-24/00022</t>
  </si>
  <si>
    <t>Jade (mansi and Rehan)</t>
  </si>
  <si>
    <t>IW/2324/602984</t>
  </si>
  <si>
    <t>IW/2324/603018</t>
  </si>
  <si>
    <t>GSH/2023-24/00023</t>
  </si>
  <si>
    <t>IW/2324/616942</t>
  </si>
  <si>
    <t>GSH/2023-24/00024</t>
  </si>
  <si>
    <t>Arushi Jacob / Mona Jacob</t>
  </si>
  <si>
    <t>104600 (adjusted with refund for Karishma Rewari and Hemant Chhabria)</t>
  </si>
  <si>
    <t>IW/2324/630087</t>
  </si>
  <si>
    <t>GSH/2023-24/00025</t>
  </si>
  <si>
    <t xml:space="preserve"> IW/2324/646080</t>
  </si>
  <si>
    <t>IW/2324/646195</t>
  </si>
  <si>
    <t>51863 paid on 08 May</t>
  </si>
  <si>
    <t>Divya Singh</t>
  </si>
  <si>
    <t>IW/2324/654682</t>
  </si>
  <si>
    <t>IW/2324/654641</t>
  </si>
  <si>
    <t>GSH/2023-24/00026</t>
  </si>
  <si>
    <t>ASEGO</t>
  </si>
  <si>
    <t>IW/2324/672799</t>
  </si>
  <si>
    <t>Mansi</t>
  </si>
  <si>
    <t>430018 on 10 May</t>
  </si>
  <si>
    <t>245039 on 10 May</t>
  </si>
  <si>
    <t>IZ/2324/25171</t>
  </si>
  <si>
    <t>IZ/2324/25172</t>
  </si>
  <si>
    <t>IW/2324/688906</t>
  </si>
  <si>
    <t>Monica x 5 BOM LEH</t>
  </si>
  <si>
    <t>IW/2324/689004</t>
  </si>
  <si>
    <t>Monica LEH BOM</t>
  </si>
  <si>
    <t>IW/2324/689106</t>
  </si>
  <si>
    <t>Darshana and Priyanka LEHBOM</t>
  </si>
  <si>
    <t>IW/2324/689312</t>
  </si>
  <si>
    <t>IW/2324/689394</t>
  </si>
  <si>
    <t>Nikhil Chauhan LEH DEL</t>
  </si>
  <si>
    <t>GSH/2023-24/00027</t>
  </si>
  <si>
    <t>Atul Bhardava</t>
  </si>
  <si>
    <t>GSH/2023-24/00028</t>
  </si>
  <si>
    <t>Nehal Vinod Shah (Dev REISSUE)</t>
  </si>
  <si>
    <t>ID/2324/62579</t>
  </si>
  <si>
    <t>95492 adjusted with credit note IE/2324/84757 (Harish Mehta)</t>
  </si>
  <si>
    <t>95492 adjusted with credit note IE/2324/84761 (Pratibha Mehta)</t>
  </si>
  <si>
    <t>CN/2023-24/00001</t>
  </si>
  <si>
    <t>Recd on 11 May</t>
  </si>
  <si>
    <t>IE/2324/84761 and IE/2324/84757</t>
  </si>
  <si>
    <t>GSH/2023-24/00029</t>
  </si>
  <si>
    <t>Paid on 11 May</t>
  </si>
  <si>
    <t>22302 paid on 10 May 23</t>
  </si>
  <si>
    <t>7400 paid on 15 May 23</t>
  </si>
  <si>
    <t>GSH/2023-24/00030</t>
  </si>
  <si>
    <t>Jade (Rashi and Richard)</t>
  </si>
  <si>
    <t>IW/2324/769026</t>
  </si>
  <si>
    <t>IW/2324/769201</t>
  </si>
  <si>
    <t>IW/2324/787466</t>
  </si>
  <si>
    <t>VW23/ 10178</t>
  </si>
  <si>
    <t>GSH/2023-24/00031</t>
  </si>
  <si>
    <t xml:space="preserve"> IW/2324/925725</t>
  </si>
  <si>
    <t>IW/2324/927556</t>
  </si>
  <si>
    <t>Divya DEL AMD</t>
  </si>
  <si>
    <t>Divya AMD DEL</t>
  </si>
  <si>
    <t>Zameer AMD BOM</t>
  </si>
  <si>
    <t>IW/2324/928000</t>
  </si>
  <si>
    <t>Monica (BOM DEL)</t>
  </si>
  <si>
    <t>IW/2324/931708</t>
  </si>
  <si>
    <t>IE/2324/111313</t>
  </si>
  <si>
    <t>IW/2324/927677 + IW/2324/927677</t>
  </si>
  <si>
    <t>Monica and Nehal (DEL HYD)</t>
  </si>
  <si>
    <t>IW/2324/939338</t>
  </si>
  <si>
    <t>IW/2324/939379</t>
  </si>
  <si>
    <t>Monica and Nehal (HYD BOM)</t>
  </si>
  <si>
    <t>6E quickboard service x 5 pax</t>
  </si>
  <si>
    <t>IW/2324/941814</t>
  </si>
  <si>
    <t>Smita Jain HYD BOM</t>
  </si>
  <si>
    <t>Smita Jain BOM HYD</t>
  </si>
  <si>
    <t>IW/2324/941741</t>
  </si>
  <si>
    <t>IW/2324/942218</t>
  </si>
  <si>
    <t>Monica and Nehal (BOM DEL)</t>
  </si>
  <si>
    <t>Nehal Pranaam</t>
  </si>
  <si>
    <t>IW/2324/943384</t>
  </si>
  <si>
    <t>GSH/2023-24/00032</t>
  </si>
  <si>
    <t>ECBOM23000000256</t>
  </si>
  <si>
    <t>Paid by CC on 25 May 23</t>
  </si>
  <si>
    <t>Nehal Atithya</t>
  </si>
  <si>
    <t>IE/2324/112251</t>
  </si>
  <si>
    <t xml:space="preserve"> IW/2324/949771 +  IW/2324/949772</t>
  </si>
  <si>
    <t>Nehal Encalm</t>
  </si>
  <si>
    <t xml:space="preserve"> IW/2324/987368</t>
  </si>
  <si>
    <t>Monica and Mansi (Bom AMD)</t>
  </si>
  <si>
    <t>Monica and Mansi (Bom AMD) - seat</t>
  </si>
  <si>
    <t>Paid by CC on 27 May 23</t>
  </si>
  <si>
    <t>IW/2324/987485</t>
  </si>
  <si>
    <t>Monica and Mansi (AMD BOM)</t>
  </si>
  <si>
    <t>GSH/2023-24/00033</t>
  </si>
  <si>
    <t>IW/2324/989405</t>
  </si>
  <si>
    <t>GSH/2023-24/00034</t>
  </si>
  <si>
    <t>Nehal Vinod Shah (Sid REISSUE)</t>
  </si>
  <si>
    <t>ID/2324/89188</t>
  </si>
  <si>
    <t>IW/2324/1012311</t>
  </si>
  <si>
    <t>IE/2324/120527
+ IE/2324/120528</t>
  </si>
  <si>
    <t>CN/2023-24/00003</t>
  </si>
  <si>
    <t>Part cancellation of Invoice GSH/2023-24/00031 dated 24 May</t>
  </si>
  <si>
    <t>Monica and Mansi AMD BOM</t>
  </si>
  <si>
    <t>Nehal Bom Amd</t>
  </si>
  <si>
    <t>CN/2023-24/00002</t>
  </si>
  <si>
    <t>Part cancellation of Invoice GSH/2023-24/00022 dated 05 May</t>
  </si>
  <si>
    <t>IE/2324/113422</t>
  </si>
  <si>
    <t>IE/2324/113249</t>
  </si>
  <si>
    <t>IE/2324/113250</t>
  </si>
  <si>
    <t>IE/2324/113251</t>
  </si>
  <si>
    <t>IE/2324/113252</t>
  </si>
  <si>
    <t>IE/2324/113253</t>
  </si>
  <si>
    <t>IE/2324/113256</t>
  </si>
  <si>
    <t>IE/2324/113259</t>
  </si>
  <si>
    <t>IE/2324/113262</t>
  </si>
  <si>
    <t>IE/2324/113263</t>
  </si>
  <si>
    <t>TBO CN value 264513 - 193731</t>
  </si>
  <si>
    <t xml:space="preserve">Bal left: </t>
  </si>
  <si>
    <t>TBO CN value 70782 - 43233</t>
  </si>
  <si>
    <t>Bal left 27549</t>
  </si>
  <si>
    <t>TBO CN value 27549 - 20843</t>
  </si>
  <si>
    <t>Bal left 6706</t>
  </si>
  <si>
    <t>TBO CN Balue 6706 - 281477</t>
  </si>
  <si>
    <t>To Pay 274771</t>
  </si>
  <si>
    <t>Ladakh tickets cancelled</t>
  </si>
  <si>
    <t>CN/2023-24/00004</t>
  </si>
  <si>
    <t>cancellation of Invoice GSH/2023-24/00015 dated 28 Apr</t>
  </si>
  <si>
    <t>GSH/2023-24/00035</t>
  </si>
  <si>
    <t>Mr Patrick Mueller</t>
  </si>
  <si>
    <t>Consulate General of Switzerland</t>
  </si>
  <si>
    <t>2917CHE00005UNY</t>
  </si>
  <si>
    <t>IW/2324/1078448</t>
  </si>
  <si>
    <t>GSH/2023-24/00036</t>
  </si>
  <si>
    <t>Jade Life Style India (Del and HYD car)</t>
  </si>
  <si>
    <t>FD2324-002772</t>
  </si>
  <si>
    <t>FC2324-015060</t>
  </si>
  <si>
    <t>Adjusted with credit notes</t>
  </si>
  <si>
    <t>38484 to be adjusted</t>
  </si>
  <si>
    <t>Adjusted with Credit note 3 and 2</t>
  </si>
  <si>
    <t>25124 to be adjusted</t>
  </si>
  <si>
    <t>SM/2324/249821</t>
  </si>
  <si>
    <t>Jade (Monica DXB Visa)</t>
  </si>
  <si>
    <t>GSH/2023-24/00037</t>
  </si>
  <si>
    <t>15764 to be adjusted</t>
  </si>
  <si>
    <t>CN/2023-24/00005</t>
  </si>
  <si>
    <t>GSH/2023-24/00038</t>
  </si>
  <si>
    <t>Jade (Monica DXB Hotel)</t>
  </si>
  <si>
    <t>SM/2324/251128</t>
  </si>
  <si>
    <t>MW/2324/68721</t>
  </si>
  <si>
    <t>GSH/2023-24/00039</t>
  </si>
  <si>
    <t>Darshana and Priyanka (BOM - LEH)</t>
  </si>
  <si>
    <t xml:space="preserve"> IW/2324/1174262</t>
  </si>
  <si>
    <t>Monica x 7 (BOM - LEH)</t>
  </si>
  <si>
    <t>IW/2324/1174537</t>
  </si>
  <si>
    <t>IW/2324/1174697</t>
  </si>
  <si>
    <t>IW/2324/1174854</t>
  </si>
  <si>
    <t>Tashi and Prince (LEH - BOM)</t>
  </si>
  <si>
    <t>Nirvair and Kanak (Leh - DEL)</t>
  </si>
  <si>
    <t>Danica and Sohail (LEH - BOM)</t>
  </si>
  <si>
    <t>IW/2324/1175043</t>
  </si>
  <si>
    <t>Monica x 3 (Leh - BOM)</t>
  </si>
  <si>
    <t>IW/2324/1175245</t>
  </si>
  <si>
    <t>Monica Seat</t>
  </si>
  <si>
    <t>IW/2324/1175246</t>
  </si>
  <si>
    <t>Refund of TDS 1%</t>
  </si>
  <si>
    <t>Monica Leh - BOM on Indigo 18 Jun</t>
  </si>
  <si>
    <t>IW/2324/1244565</t>
  </si>
  <si>
    <t>Monica Pranaam - 14Jun</t>
  </si>
  <si>
    <t xml:space="preserve"> ECBOM23000001867</t>
  </si>
  <si>
    <t>Paid by credit card on 12 June</t>
  </si>
  <si>
    <t>Monica Pranaam - 15Jun</t>
  </si>
  <si>
    <t>Adani One</t>
  </si>
  <si>
    <t xml:space="preserve"> ECBOM23000001869</t>
  </si>
  <si>
    <t xml:space="preserve"> IW/2324/1247643</t>
  </si>
  <si>
    <t>Kesha Raithatha BLR LEH</t>
  </si>
  <si>
    <t>Kesha Raithatha LEH - BLR</t>
  </si>
  <si>
    <t>IW/2324/1247716</t>
  </si>
  <si>
    <t>Anushka and Sarita LEH BOM</t>
  </si>
  <si>
    <t>IW/2324/1248623</t>
  </si>
  <si>
    <t>Anushka and Sarita BOM LEH</t>
  </si>
  <si>
    <t>IW/2324/1248727</t>
  </si>
  <si>
    <t>Mukta Nagpal BOM LEH</t>
  </si>
  <si>
    <t xml:space="preserve"> IW/2324/1249888</t>
  </si>
  <si>
    <t>IW/2324/1249953</t>
  </si>
  <si>
    <t>Mukta Nagpal LEH BOM</t>
  </si>
  <si>
    <t>IW/2324/1250114</t>
  </si>
  <si>
    <t>Ashish IXC LEH</t>
  </si>
  <si>
    <t>IW/2324/1250266</t>
  </si>
  <si>
    <t>Ashish LEH BOM</t>
  </si>
  <si>
    <t>IW/2324/1252191</t>
  </si>
  <si>
    <t>Nirvair and Kanak ( DEL-BOM)</t>
  </si>
  <si>
    <t>Kesha LEH - BLR (Reissue)</t>
  </si>
  <si>
    <t xml:space="preserve"> ID/2324/115631</t>
  </si>
  <si>
    <t>IW/2324/1254478</t>
  </si>
  <si>
    <t>Kesha LEH - BLR (seat)</t>
  </si>
  <si>
    <t>347929 paid on 13 Jun23</t>
  </si>
  <si>
    <t>GSH/2023-24/00040</t>
  </si>
  <si>
    <t>Shreedevi Nikam (Bom LEH)</t>
  </si>
  <si>
    <t>Shreedevi Nikam (LEH BOM)</t>
  </si>
  <si>
    <t>IW/2324/1266449</t>
  </si>
  <si>
    <t> IW/2324/1266381</t>
  </si>
  <si>
    <t>Shiv Prasad Gautam</t>
  </si>
  <si>
    <t>IW/2324/1280821</t>
  </si>
  <si>
    <t>Amol Prabhu + Vijaykumar Kori (BOM DEL)</t>
  </si>
  <si>
    <t>Amol Prabhu + Vijaykumar Kori (DEL BOM)</t>
  </si>
  <si>
    <t>IW/2324/1290890</t>
  </si>
  <si>
    <t xml:space="preserve"> IW/2324/1290961</t>
  </si>
  <si>
    <t>IW/2324/1306121</t>
  </si>
  <si>
    <t>Smita Jain + Devesh Chafekar (BOM VNS)</t>
  </si>
  <si>
    <t>Smita Jain + Devesh Chafekar (VNS BOM)</t>
  </si>
  <si>
    <t>IW/2324/1306224</t>
  </si>
  <si>
    <t>67154 recd on 15 June</t>
  </si>
  <si>
    <t>87757 pd on 19 Jun</t>
  </si>
  <si>
    <t xml:space="preserve">refunded on 9 jun </t>
  </si>
  <si>
    <t>Zameer Moon (BOM BLR)</t>
  </si>
  <si>
    <t>IW/2324/1370474</t>
  </si>
  <si>
    <t>IW/2324/1370565</t>
  </si>
  <si>
    <t>Segura (Asego) for Amit Bhalotia</t>
  </si>
  <si>
    <t>1134138641  ID/2324/8261</t>
  </si>
  <si>
    <t>Zameer Moon (BLR BOM)</t>
  </si>
  <si>
    <t>Zameer Moon ( SEAT BOM BLR)</t>
  </si>
  <si>
    <t>Paid by credit card on 21 Jun</t>
  </si>
  <si>
    <t>Zameer Moon ( SEAT BLR BOM)</t>
  </si>
  <si>
    <t>104330 on 10 dec 22</t>
  </si>
  <si>
    <t>Refunded Kirit Mody 19620 (25 Aug)</t>
  </si>
  <si>
    <t>20940 CASH 10 MAR 23</t>
  </si>
  <si>
    <t>Nehal Shah (BOM UDR - Biz)</t>
  </si>
  <si>
    <t>IW/2324/1406266</t>
  </si>
  <si>
    <t>Nehal Shah (UDR - BOM)</t>
  </si>
  <si>
    <t>IW/2324/1413417</t>
  </si>
  <si>
    <t>Nehal Shah 6E Quickboard</t>
  </si>
  <si>
    <t>IW/2324/1413906</t>
  </si>
  <si>
    <t>Jagdish Sain (BOM HYD)</t>
  </si>
  <si>
    <t>Jagdish Sain (HYD BOM)</t>
  </si>
  <si>
    <t>IW/2324/1424649</t>
  </si>
  <si>
    <t>IW/2324/1424731</t>
  </si>
  <si>
    <t>CN/2023-24/00006</t>
  </si>
  <si>
    <t>Recd on 2 May</t>
  </si>
  <si>
    <t>IE/2324/67321 + IE/2324/67322 + IE/2324/67324 + IE/2324/67325 + IE/2324/67326 + IE/2324/67327</t>
  </si>
  <si>
    <t>51241 paid on 26 June 2023</t>
  </si>
  <si>
    <t>Paid on 27 June (cash)</t>
  </si>
  <si>
    <t>GSH/2023-24/00041</t>
  </si>
  <si>
    <t>St Regis Mumbai</t>
  </si>
  <si>
    <t>Paid by credit card on 28 June 2023</t>
  </si>
  <si>
    <t>Monica Shah (Nehal Vinod Shah)</t>
  </si>
  <si>
    <t>GSH/2023-24/00042</t>
  </si>
  <si>
    <t>GSH/2023-24/00043</t>
  </si>
  <si>
    <t>Jade Life Style India (Zameer BLR car)</t>
  </si>
  <si>
    <t>FB2324-003024</t>
  </si>
  <si>
    <t>4195-233526</t>
  </si>
  <si>
    <t>paid on 30 June</t>
  </si>
  <si>
    <t>GSH/2023-24/00044</t>
  </si>
  <si>
    <t>Jade (Nehal + Monica + Siddharth)</t>
  </si>
  <si>
    <t>6E quickboard (Nehal + Monica + Siddharth)</t>
  </si>
  <si>
    <t>IW/2324/1575328</t>
  </si>
  <si>
    <t>IW/2324/1574322</t>
  </si>
  <si>
    <t>IW/2324/1575402</t>
  </si>
  <si>
    <t>Deepak Hariprasad Varma (BOM DEL)</t>
  </si>
  <si>
    <t>Deepak Hariprasad Varma (DEL BOM)</t>
  </si>
  <si>
    <t xml:space="preserve"> IW/2324/1575816</t>
  </si>
  <si>
    <t>Fast Forward (Nehal + Monica + Siddharth)</t>
  </si>
  <si>
    <t>IW/2324/1579976</t>
  </si>
  <si>
    <t>GSH/2023-24/00045</t>
  </si>
  <si>
    <t>Jade Life Style India (Nehal Delhi car)</t>
  </si>
  <si>
    <t>6570 on 02 jul</t>
  </si>
  <si>
    <t>Zameer Moon (BOM DEL)</t>
  </si>
  <si>
    <t>Zameer Moon (DEL BOM)</t>
  </si>
  <si>
    <t>IW/2324/1625096</t>
  </si>
  <si>
    <t xml:space="preserve"> IW/2324/1625265</t>
  </si>
  <si>
    <t>03 July (cash)</t>
  </si>
  <si>
    <t>75000 deposit on 1 April 2023 to Marc Asia returned</t>
  </si>
  <si>
    <t>Jade Life Style India (Zameer Delhi car)</t>
  </si>
  <si>
    <t>50159 paid on 4 July 23</t>
  </si>
  <si>
    <t>61385 recd on 3 July</t>
  </si>
  <si>
    <t>TDS CHALLAN FROM JADE</t>
  </si>
  <si>
    <t>Harshitha H (BLR DEL)</t>
  </si>
  <si>
    <t>Harshitha H (DEL BLR)</t>
  </si>
  <si>
    <t>GSH/2023-24/00046</t>
  </si>
  <si>
    <t>Namrata Mishra (Manish Jha)</t>
  </si>
  <si>
    <t>IW/2324/1783314</t>
  </si>
  <si>
    <t>IW/2324/1785610</t>
  </si>
  <si>
    <t>IW/2324/1786042</t>
  </si>
  <si>
    <t>Darshana Bhave (BOM JAI)</t>
  </si>
  <si>
    <t>IW/2324/1793255</t>
  </si>
  <si>
    <t>IW/2324/1793288</t>
  </si>
  <si>
    <t>Darshana Bhave (JAI DEL)</t>
  </si>
  <si>
    <t>IW/2324/1793315</t>
  </si>
  <si>
    <t>Darshana Bhave (DEL BOM)</t>
  </si>
  <si>
    <t>GSH/2023-24/00047</t>
  </si>
  <si>
    <t>Purvi Doshi</t>
  </si>
  <si>
    <t>IW/2324/1794962</t>
  </si>
  <si>
    <t>IW/2324/1795067</t>
  </si>
  <si>
    <t>Priyanka Doshi (BOM JAI)</t>
  </si>
  <si>
    <t>IW/2324/1804035</t>
  </si>
  <si>
    <t>IW/2324/1804176</t>
  </si>
  <si>
    <t>Priyanka Doshi (JAI BOM)</t>
  </si>
  <si>
    <t>IW/2324/1825370</t>
  </si>
  <si>
    <t>Darshana x 6 (BOM JAI)</t>
  </si>
  <si>
    <t>IW/2324/1831226</t>
  </si>
  <si>
    <t>Shrestha Rohan (BOM JAI)</t>
  </si>
  <si>
    <t>Priyadarshini Chatterjee (BLR JAI)</t>
  </si>
  <si>
    <t>IW/2324/1836625</t>
  </si>
  <si>
    <t>IW/2324/1836767</t>
  </si>
  <si>
    <t>Riddhi + palak + Dhananjay (BOM JAI)</t>
  </si>
  <si>
    <t>Priyadarshini Chatterjee (JAI BLR)</t>
  </si>
  <si>
    <t>IW/2324/1836966</t>
  </si>
  <si>
    <t>IW/2324/1837415</t>
  </si>
  <si>
    <t>Nikhil Chauhan (DEL JAI)</t>
  </si>
  <si>
    <t>IW/2324/1837537</t>
  </si>
  <si>
    <t>Nikhil Chauhan (JAI DEL)</t>
  </si>
  <si>
    <t>FD2324-004352</t>
  </si>
  <si>
    <t>FD2324-004353</t>
  </si>
  <si>
    <t>Esther+sehaz+shristi (BOM JAI)</t>
  </si>
  <si>
    <t>IW/2324/1838390</t>
  </si>
  <si>
    <t>Monica Shah (BOM JAI)</t>
  </si>
  <si>
    <t>IW/2324/1854073</t>
  </si>
  <si>
    <t>Vismay + Sagar (BOM JAI)</t>
  </si>
  <si>
    <t>IW/2324/1854124</t>
  </si>
  <si>
    <t>IW/2324/1854214</t>
  </si>
  <si>
    <t>Elton (HYD JAI)</t>
  </si>
  <si>
    <t>IW/2324/1854315</t>
  </si>
  <si>
    <t>Shrestha Rohan (JAI BOM)</t>
  </si>
  <si>
    <t>IW/2324/1860406</t>
  </si>
  <si>
    <t>IW/2324/1860606</t>
  </si>
  <si>
    <t>Mansi + Rajesh (JAI BOM)</t>
  </si>
  <si>
    <t>Riddhi x 4 (JAI BOM)</t>
  </si>
  <si>
    <t>IW/2324/1860860</t>
  </si>
  <si>
    <t>Priyanka x 5 (JAI BOM)</t>
  </si>
  <si>
    <t>IW/2324/1861058</t>
  </si>
  <si>
    <t>Elton (JAI BOM)</t>
  </si>
  <si>
    <t>IW/2324/1861162</t>
  </si>
  <si>
    <t>Sana Ann Thampi (GOA JAI)</t>
  </si>
  <si>
    <t>IW/2324/1861383</t>
  </si>
  <si>
    <t>Harsh x 2 (BOM JAI)</t>
  </si>
  <si>
    <t>Harsh x 2 (JAI BOM)</t>
  </si>
  <si>
    <t>IW/2324/1862452</t>
  </si>
  <si>
    <t>IW/2324/1862484</t>
  </si>
  <si>
    <t>Monica Shah (BOM JAI - FAST FORWARD)</t>
  </si>
  <si>
    <t>IW/2324/1865785</t>
  </si>
  <si>
    <t>GSH/2023-24/00048</t>
  </si>
  <si>
    <t>Jade (Tiana BOM JAI)</t>
  </si>
  <si>
    <t>IW/2324/1876548</t>
  </si>
  <si>
    <t>Gaurav Chaudhary (DEL JAI)</t>
  </si>
  <si>
    <t>Gaurav Chaudhary (JAI DEL)</t>
  </si>
  <si>
    <t>Nikhil Bhushan (BOM JAI)</t>
  </si>
  <si>
    <t>Nikhil Bhushan (JAI BOM)</t>
  </si>
  <si>
    <t>IW/2324/1876733</t>
  </si>
  <si>
    <t>IW/2324/1876799</t>
  </si>
  <si>
    <t>IW/2324/1876908</t>
  </si>
  <si>
    <t>IW/2324/1877015</t>
  </si>
  <si>
    <t>Monica Shah (JAI BOM)</t>
  </si>
  <si>
    <t>IW/2324/1890052</t>
  </si>
  <si>
    <t>Excess Baggage</t>
  </si>
  <si>
    <t>IW/2324/1891427</t>
  </si>
  <si>
    <t>heat flexi</t>
  </si>
  <si>
    <t>IW/2324/1903327</t>
  </si>
  <si>
    <t>Siddharth and Anoushka (Bom JAI)</t>
  </si>
  <si>
    <t>Siddharth and Anoushka (JAI BOM)</t>
  </si>
  <si>
    <t>IW/2324/1909118</t>
  </si>
  <si>
    <t>Mansi Agrawal (Seat)</t>
  </si>
  <si>
    <t>169354 paid on 18 July 23</t>
  </si>
  <si>
    <t>IW/2324/1914929</t>
  </si>
  <si>
    <t>Esther and Shrishti (Excess Baggage)</t>
  </si>
  <si>
    <t>Meals x 7 (RIDDHI + PALAK +ESTHER +SHRISTI +PRIYADARSHINI +ELTON +NIKHIL)</t>
  </si>
  <si>
    <t>55158 paid on 18 July 23</t>
  </si>
  <si>
    <t>Siddharth Shah Reissued ticket (JAI BOM)</t>
  </si>
  <si>
    <t>IW/2324/1930674</t>
  </si>
  <si>
    <t>IW/2324/1930069+IW/2324/1929671+IW/2324/1929598</t>
  </si>
  <si>
    <t xml:space="preserve"> ID/2324/176279</t>
  </si>
  <si>
    <t>Nikita and Krishna (BOMJAI)</t>
  </si>
  <si>
    <t>IW/2324/1935613</t>
  </si>
  <si>
    <t>CN/2023-24/00007</t>
  </si>
  <si>
    <t>IZ/2324/74884</t>
  </si>
  <si>
    <t>part cancellation of GSH/2023-24/00044 dated 1 July 2023</t>
  </si>
  <si>
    <t>IW/2324/1941793</t>
  </si>
  <si>
    <t>Soumya Padhi (DEL JAI)</t>
  </si>
  <si>
    <t>Meals x 5 (PRIYANKA + SARITA +DHANANJAY +SEHAZ +VISMAY)</t>
  </si>
  <si>
    <t>Monica Shah (JAI BOM) - reissue</t>
  </si>
  <si>
    <t>IE/2324/217251</t>
  </si>
  <si>
    <t>IW/2324/1942541</t>
  </si>
  <si>
    <t>IW/2324/1938586+IW/2324/1942598+ IW/2324/1942714+IW/2324/1943178+IW/2324/1946180</t>
  </si>
  <si>
    <t>Jade (Darshana and Riddhi)</t>
  </si>
  <si>
    <t>Monica Fast Forward</t>
  </si>
  <si>
    <t>Anushka + Riddhi (JAI BOM)</t>
  </si>
  <si>
    <t>IW/2324/1952361</t>
  </si>
  <si>
    <t>Purva Tawade (JAI BOM)</t>
  </si>
  <si>
    <t>IW/2324/1954586</t>
  </si>
  <si>
    <t>Darshana and Sagar (JAI BOM)</t>
  </si>
  <si>
    <t>IW/2324/1954943</t>
  </si>
  <si>
    <t>Sana Thampi (JAI GOX)</t>
  </si>
  <si>
    <t>IW/2324/1950908</t>
  </si>
  <si>
    <t>IW/2324/1957575</t>
  </si>
  <si>
    <t>Nikhil Bhushan Seat</t>
  </si>
  <si>
    <t>Paid by credit card on 20 jul 23</t>
  </si>
  <si>
    <t>Nikita and Krishna (JAI BOM)</t>
  </si>
  <si>
    <t>IW/2324/1960259</t>
  </si>
  <si>
    <t>Soumya Padhi (JAI DEL)</t>
  </si>
  <si>
    <t>IW/2324/1961049</t>
  </si>
  <si>
    <t>254313 received on 20 Jul</t>
  </si>
  <si>
    <t>Meals x 6 (Nikhil C + Monica + Harsh + Dinesh + Nikhil B+gauravC</t>
  </si>
  <si>
    <t>paid 32000 on 18 Jul</t>
  </si>
  <si>
    <t>paid 20000 on 18 Jul</t>
  </si>
  <si>
    <t>IW/2324/1963322</t>
  </si>
  <si>
    <t>IE/2324/220700</t>
  </si>
  <si>
    <t>part cancellation of GSH/2023-24/00048 dated 14 July 2023</t>
  </si>
  <si>
    <t>Adjust credit note 4766 (Darshana DEL BOM refund)+678 (Riddhi Gala refund)+2000 (Sana refund)</t>
  </si>
  <si>
    <t>CN/2023-24/00008</t>
  </si>
  <si>
    <t>Jade (Sana)</t>
  </si>
  <si>
    <t>CN/2023-24/00009</t>
  </si>
  <si>
    <t>Jade (TDS refund)</t>
  </si>
  <si>
    <t>TDS refund for invoice GSH/2023-24/00038 dated 6 June 23</t>
  </si>
  <si>
    <t>Rashi Shah (BLR BOM)</t>
  </si>
  <si>
    <t>IW/2324/1990416</t>
  </si>
  <si>
    <t>IW/2324/1990518</t>
  </si>
  <si>
    <t>Rashi Shah (BOM BLR)</t>
  </si>
  <si>
    <t>IW/2324/1990777</t>
  </si>
  <si>
    <t>IW/2324/1990794</t>
  </si>
  <si>
    <t>Divya+Neety (DELBOM)</t>
  </si>
  <si>
    <t>Divya+Neety (BOM DEL)</t>
  </si>
  <si>
    <t>GSH/2023-24/00049</t>
  </si>
  <si>
    <t>Jade - Nehal+Zameer+Anchita (BOM DEL)</t>
  </si>
  <si>
    <t>IW/2324/1995534</t>
  </si>
  <si>
    <t>IW/2324/1995607</t>
  </si>
  <si>
    <t>Nehal+Zameer+Anchita (DEL BOM)</t>
  </si>
  <si>
    <t>Pranaam+Athiya (nehal Delhi Meet and Assist)</t>
  </si>
  <si>
    <t>Paid by credit card on 22 Jul 23</t>
  </si>
  <si>
    <t>92887 paid on 22 Jul 23</t>
  </si>
  <si>
    <t>IW/2324/2020742</t>
  </si>
  <si>
    <t>Zishan Ansari (BOM DEL)</t>
  </si>
  <si>
    <t>Monica and Siddharth (BOM DEL)</t>
  </si>
  <si>
    <t>Monica and Siddharth (DEL BOM)</t>
  </si>
  <si>
    <t>Paid by credit card on 24 Jul 23</t>
  </si>
  <si>
    <t>Monica seat (BOM DEL)</t>
  </si>
  <si>
    <t>Monica seat (DEL BOM)</t>
  </si>
  <si>
    <t>IW/2324/2024737</t>
  </si>
  <si>
    <t xml:space="preserve"> IW/2324/2024871</t>
  </si>
  <si>
    <t>IW/2324/2049247+IW/2324/2049412</t>
  </si>
  <si>
    <t>Monica Seat for Reissue ticket (JAI BOM)</t>
  </si>
  <si>
    <t>IW/2324/1973228</t>
  </si>
  <si>
    <t>Nehal+Zameer Seats (BOM - DEL - BOM)</t>
  </si>
  <si>
    <t>52842 paid on 26 Jul 23</t>
  </si>
  <si>
    <t>Vismay (BOM DEL)</t>
  </si>
  <si>
    <t>Vismay (BOM JDH)</t>
  </si>
  <si>
    <t>Vismay (JDH BOM)</t>
  </si>
  <si>
    <t>IW/2324/2098929</t>
  </si>
  <si>
    <t>IW/2324/2098990</t>
  </si>
  <si>
    <t xml:space="preserve"> IW/2324/2099040</t>
  </si>
  <si>
    <t>Monica (Pranaam)</t>
  </si>
  <si>
    <t>Paid by credit card on 28 Jul 23</t>
  </si>
  <si>
    <t>Pranaam + Encalm</t>
  </si>
  <si>
    <t>IW/2324/2099291</t>
  </si>
  <si>
    <t>Darshana (BOM DEL)</t>
  </si>
  <si>
    <t>IW/2324/2099587</t>
  </si>
  <si>
    <t>GSH/2023-24/00050</t>
  </si>
  <si>
    <t>Amit Gugnani (DEL BOM)</t>
  </si>
  <si>
    <t>Amit Gugnani ( BOM DEL )</t>
  </si>
  <si>
    <t xml:space="preserve"> IW/2324/2102187</t>
  </si>
  <si>
    <t>IW/2324/2102260</t>
  </si>
  <si>
    <t>Rahul Joshi x 2 (DEL BOM)</t>
  </si>
  <si>
    <t>IW/2324/2102508</t>
  </si>
  <si>
    <t>Rahul Joshi x 2 (BOM DEL)</t>
  </si>
  <si>
    <t>IW/2324/2102748</t>
  </si>
  <si>
    <t>Recd 164432 on 28 Jul 23</t>
  </si>
  <si>
    <t>Monica (DEL BOM)</t>
  </si>
  <si>
    <t>Monica (Encalm)</t>
  </si>
  <si>
    <t>IW/2324/2108683</t>
  </si>
  <si>
    <t>Darshana (DEL BOM)</t>
  </si>
  <si>
    <t>IW/2324/2108903</t>
  </si>
  <si>
    <t>Sachin Parikh (Chetan Dharia)</t>
  </si>
  <si>
    <t>IW/2324/2144947</t>
  </si>
  <si>
    <t>GSH/2023-24/00051</t>
  </si>
  <si>
    <t>Jade - Zishan Ahmed (DEL BOM)</t>
  </si>
  <si>
    <t>IW/2324/2145207</t>
  </si>
  <si>
    <t>Nehal+Zameer+Anchita (BOM DEL)</t>
  </si>
  <si>
    <t>IW/2324/2148789</t>
  </si>
  <si>
    <t>Nehal Seat (BOM DEL)</t>
  </si>
  <si>
    <t>IW/2324/2148790</t>
  </si>
  <si>
    <t>111442 paid on 31 Jul 23</t>
  </si>
  <si>
    <t>Monica Shah Reissue (DEL BOM)</t>
  </si>
  <si>
    <t>IE/2324/238239 (Invoice No-IW/2324/989405)</t>
  </si>
  <si>
    <t>CN/2023-24/00010</t>
  </si>
  <si>
    <t>part cancellation of GSH/2023-24/00034 dated 28 May 2023</t>
  </si>
  <si>
    <t>Credit note recd on 31 Jul</t>
  </si>
  <si>
    <t>Adjust credit note for Chetan D of INR 952</t>
  </si>
  <si>
    <t>Nehal + Anchita (DEL BOM)</t>
  </si>
  <si>
    <t>Zameer (DEL BOM)</t>
  </si>
  <si>
    <t>IW/2324/2157138</t>
  </si>
  <si>
    <t>IW/2324/2157340</t>
  </si>
  <si>
    <t>Paid by credit card on 31 Jul 23</t>
  </si>
  <si>
    <t>Nehal (Pranaam and Encalm)</t>
  </si>
  <si>
    <t>GSH/2023-24/00052</t>
  </si>
  <si>
    <t>Anushka Date</t>
  </si>
  <si>
    <t xml:space="preserve"> IW/2324/2173453</t>
  </si>
  <si>
    <t>IW/2324/2173378</t>
  </si>
  <si>
    <t>IW/2324/2173379</t>
  </si>
  <si>
    <t>Amit Gugnani (Reissue BOM DEL)</t>
  </si>
  <si>
    <t>ID/2324/197032</t>
  </si>
  <si>
    <t>ID/2324/197867</t>
  </si>
  <si>
    <t>9559-952 = 8647 paid on 02 Aug 23</t>
  </si>
  <si>
    <t>Nehal + Anchita + Zameer (AMD BLR)</t>
  </si>
  <si>
    <t>Nehal + Anchita + Zameer (BLR BOM)</t>
  </si>
  <si>
    <t>Nehal + Anchita  (BOM AMD)</t>
  </si>
  <si>
    <t>IW/2324/2200908</t>
  </si>
  <si>
    <t>IW/2324/2201013</t>
  </si>
  <si>
    <t>IW/2324/2201141</t>
  </si>
  <si>
    <t>Nehal Pranaam (BOM, AMD)</t>
  </si>
  <si>
    <t>Paid by credit card on 02 Aug 23</t>
  </si>
  <si>
    <t>85833 paid on 03 Aug 23</t>
  </si>
  <si>
    <t>IW/2324/2215445</t>
  </si>
  <si>
    <t>Nehal + Anchita (AMD BOM)</t>
  </si>
  <si>
    <t>Nehal x 4 (BOM BLR)</t>
  </si>
  <si>
    <t>IW/2324/2216376</t>
  </si>
  <si>
    <t>Monica and Darshana (BLR BOM)</t>
  </si>
  <si>
    <t>IW/2324/2216875</t>
  </si>
  <si>
    <t>Paid by credit card on 03 Aug 23</t>
  </si>
  <si>
    <t>CN/2023-24/00011</t>
  </si>
  <si>
    <t>Jade (Nehal and Anchita)</t>
  </si>
  <si>
    <t>part cancellation of GSH/2023-24/00051 dated 30 July 2023</t>
  </si>
  <si>
    <t>IE/2324/245209+IE/2324/245210</t>
  </si>
  <si>
    <t>Nehal BLR meet and Assist</t>
  </si>
  <si>
    <t>JOINT TRIP HOSPITALITY PRIVATE LIMITED</t>
  </si>
  <si>
    <t>Nehal and Monica Pranaam (BOM)</t>
  </si>
  <si>
    <t>Adani</t>
  </si>
  <si>
    <t>3000 (recd 203906 on 3 Aug 23)</t>
  </si>
  <si>
    <t>Recd 203906 on 3 Aug 23</t>
  </si>
  <si>
    <t>adjusted with payment of inv 51</t>
  </si>
  <si>
    <t>GSH/2023-24/00053</t>
  </si>
  <si>
    <t>Jade (Nehal+Anchita)_AMDBOM reissue</t>
  </si>
  <si>
    <t>ID/2324/202770</t>
  </si>
  <si>
    <t>Kaleb (DEL - BLR)</t>
  </si>
  <si>
    <t>IW/2324/2234247</t>
  </si>
  <si>
    <t>Anchita (AMD BOM)</t>
  </si>
  <si>
    <t>IW/2324/2234449</t>
  </si>
  <si>
    <t>GSH/2023-24/00055</t>
  </si>
  <si>
    <t>Jade Zameer Hotel</t>
  </si>
  <si>
    <t>Regenta Royal Orchid Bangalore</t>
  </si>
  <si>
    <t>Paid by credit card on 04 Aug 23</t>
  </si>
  <si>
    <t>IE/2324/247508+IE/2324/247509</t>
  </si>
  <si>
    <t>adjust credit note 3725+4475=8200 and 3411+2411=6222</t>
  </si>
  <si>
    <t>Monica and Darshana (BOM BLR)</t>
  </si>
  <si>
    <t>IE/2324/247549+IE/2324/247551</t>
  </si>
  <si>
    <t>Anchita Meet and Assist Bangalore</t>
  </si>
  <si>
    <t>Paid by credit card on 05 Aug 23</t>
  </si>
  <si>
    <t>27579 paid on 5 Aug</t>
  </si>
  <si>
    <t>Adjust credit note 2383+2808=5191</t>
  </si>
  <si>
    <t>11590-5191=6399 paid on 6 Aug</t>
  </si>
  <si>
    <t>Nehal+zameer+Anchita (BOM DEL)</t>
  </si>
  <si>
    <t>IW/2324/2297337</t>
  </si>
  <si>
    <t>IW/2324/2297582</t>
  </si>
  <si>
    <t>Nehal+zameer+Anchita (DEL BOM)</t>
  </si>
  <si>
    <t>Paid by credit card on 07 Aug</t>
  </si>
  <si>
    <t>Panchal Vinita+Lavisha (AMD DEL)</t>
  </si>
  <si>
    <t>IW/2324/2298383</t>
  </si>
  <si>
    <t>Vismay X 4 (BOM Bhuj)</t>
  </si>
  <si>
    <t>Vismay X 4 (Bhuj BOM)</t>
  </si>
  <si>
    <t>IW/2324/2298642</t>
  </si>
  <si>
    <t>IW/2324/2298664</t>
  </si>
  <si>
    <t>Jade Vismay Bhuj Hotel</t>
  </si>
  <si>
    <t>Hotel Seven Sky Clarks Exotica</t>
  </si>
  <si>
    <t>Nehal+zameer+Anchita (BOM DEL seats)</t>
  </si>
  <si>
    <t>Paid 88130 on 8 august</t>
  </si>
  <si>
    <t>GSH/2023-24/00054</t>
  </si>
  <si>
    <t>Jade Monica (BOM DEL)</t>
  </si>
  <si>
    <t>IW/2324/2374703</t>
  </si>
  <si>
    <t>IW/2324/2374875</t>
  </si>
  <si>
    <t>IW/2324/2377280</t>
  </si>
  <si>
    <t>IW/2324/2377316</t>
  </si>
  <si>
    <t>Dharmesh Nathwani (BOM DEL)</t>
  </si>
  <si>
    <t>IW/2324/2422664</t>
  </si>
  <si>
    <t>IW/2324/2422776</t>
  </si>
  <si>
    <t>Dharmesh Nathwani (DEL BOM)</t>
  </si>
  <si>
    <t>Priyanka Doshi (BOM DEL)</t>
  </si>
  <si>
    <t>Priyanka Doshi (DEL BOM)</t>
  </si>
  <si>
    <t>IW/2324/2447943</t>
  </si>
  <si>
    <t>IW/2324/2474642</t>
  </si>
  <si>
    <t>Meghna Shah(BOM DEL)</t>
  </si>
  <si>
    <t>Meghna Shah (DEL BOM)</t>
  </si>
  <si>
    <t xml:space="preserve"> IW/2324/2475002</t>
  </si>
  <si>
    <t>IW/2324/2475064</t>
  </si>
  <si>
    <t>Rishita Shah (DEL BOM)</t>
  </si>
  <si>
    <t>Rishita Shah(BOM DEL)</t>
  </si>
  <si>
    <t>IW/2324/2475255</t>
  </si>
  <si>
    <t>IW/2324/2475317</t>
  </si>
  <si>
    <t>GSH/2023-24/00056</t>
  </si>
  <si>
    <t>Nehal Delhi 25 July</t>
  </si>
  <si>
    <t>Monica Delhi 25 July</t>
  </si>
  <si>
    <t>Monica Delhi 31 July</t>
  </si>
  <si>
    <t>Nehal Delhi 01 Aug</t>
  </si>
  <si>
    <t>Nehal AMD 4 Aug</t>
  </si>
  <si>
    <t>Nehal BLR 5 Aug</t>
  </si>
  <si>
    <t>Nehal Delhi 09 Aug</t>
  </si>
  <si>
    <t xml:space="preserve">FD2324-005324 </t>
  </si>
  <si>
    <t>FD2324-005323</t>
  </si>
  <si>
    <t>FD2324-005102</t>
  </si>
  <si>
    <t>FD2324-005719</t>
  </si>
  <si>
    <t>FC2324-033011</t>
  </si>
  <si>
    <t>FB2324-004461</t>
  </si>
  <si>
    <t>FD2324-005706</t>
  </si>
  <si>
    <t>32439 paid on 18 Aug</t>
  </si>
  <si>
    <t>Monica Enclam Delhi</t>
  </si>
  <si>
    <t>Paid by credit card on 18 Aug 23</t>
  </si>
  <si>
    <t>DWA/23-24/020143</t>
  </si>
  <si>
    <t>Encalm Hospitality</t>
  </si>
  <si>
    <t>Karishma + Dev + Siddharth (BOM DEL)</t>
  </si>
  <si>
    <t>Karishma + Dev + Siddharth (DEL BOM)</t>
  </si>
  <si>
    <t>IW/2324/2495544</t>
  </si>
  <si>
    <t xml:space="preserve"> IW/2324/2495587</t>
  </si>
  <si>
    <t>Zameer (BOM BLR)</t>
  </si>
  <si>
    <t>Zameer (BLR BOM)</t>
  </si>
  <si>
    <t>IW/2324/2497435</t>
  </si>
  <si>
    <t>IW/2324/2497492</t>
  </si>
  <si>
    <t>175171 paid on 19 Aug</t>
  </si>
  <si>
    <t>GSH/2023-24/00057</t>
  </si>
  <si>
    <t>GSH/2023-24/00058</t>
  </si>
  <si>
    <t>IW/2324/2510939</t>
  </si>
  <si>
    <t>IW/2324/2524898</t>
  </si>
  <si>
    <t>Sriram Sampath (BOM DEL)</t>
  </si>
  <si>
    <t>IW/2324/2542212</t>
  </si>
  <si>
    <t>10587 recd in BOB by gpay on 19 Aug</t>
  </si>
  <si>
    <t>300 recd in BOB by gpay on 21 Aug</t>
  </si>
  <si>
    <t>IW/2324/2543182</t>
  </si>
  <si>
    <t>Sriram Sampath (DEL BOM)</t>
  </si>
  <si>
    <t>Shriya+Praachi+Divyak+Ashwini (BOM DEL)</t>
  </si>
  <si>
    <t>IW/2324/2551462</t>
  </si>
  <si>
    <t>Shriya + Pranay (DEL BOM)</t>
  </si>
  <si>
    <t>IW/2324/2551662</t>
  </si>
  <si>
    <t>Praachi Raniwala (DEL BOM)</t>
  </si>
  <si>
    <t>Paid by credit card on 21 Aug 23</t>
  </si>
  <si>
    <t xml:space="preserve"> IW/2324/2551870</t>
  </si>
  <si>
    <t>Pranay Jaitly (BOM DEL)</t>
  </si>
  <si>
    <t>Pranay DEL BOM seat</t>
  </si>
  <si>
    <t>IW/2324/2552183</t>
  </si>
  <si>
    <t>Divyak Dsouza (DEL BOM)</t>
  </si>
  <si>
    <t>IW/2324/2552423</t>
  </si>
  <si>
    <t>Ashwini Arun Kumar (DEL BOM)</t>
  </si>
  <si>
    <t>Saionee Chakraborty (CCU DEL)</t>
  </si>
  <si>
    <t>IW/2324/2552773</t>
  </si>
  <si>
    <t xml:space="preserve"> IW/2324/2552541</t>
  </si>
  <si>
    <t>IW/2324/2552795</t>
  </si>
  <si>
    <t>Saionee Chakraborty (DEL CCU)</t>
  </si>
  <si>
    <t>Vinita Makhija (BOM DEL)</t>
  </si>
  <si>
    <t>IW/2324/2567982</t>
  </si>
  <si>
    <t>Paid by credit card on 22 Aug 23</t>
  </si>
  <si>
    <t>IW/2324/2570847</t>
  </si>
  <si>
    <t>Simran Grewal (IXC DEL)</t>
  </si>
  <si>
    <t>Simran Grewal (DEL IXC)</t>
  </si>
  <si>
    <t>IW/2324/2571031</t>
  </si>
  <si>
    <t>Vinita Makhija DEL BOM seat</t>
  </si>
  <si>
    <t>Simran Grewal (DEL IXC seat)</t>
  </si>
  <si>
    <t>Monica and Nehal (DEL BOM)</t>
  </si>
  <si>
    <t>IW/2324/2571698</t>
  </si>
  <si>
    <t>IW/2324/2571768</t>
  </si>
  <si>
    <t>Anchita (BOM DEL)</t>
  </si>
  <si>
    <t>Anchita (DEL BOM)</t>
  </si>
  <si>
    <t>IW/2324/2572132</t>
  </si>
  <si>
    <t>Nehal (Pranaam + Encalm)</t>
  </si>
  <si>
    <t>186674 recd on 22 Aug</t>
  </si>
  <si>
    <t>Anushka + Riddhi (BOM DEL)</t>
  </si>
  <si>
    <t>IW/2324/2577647</t>
  </si>
  <si>
    <t>Vinita Makhija BOM DEL seat</t>
  </si>
  <si>
    <t>Vinita Makhija (DEL BOM)</t>
  </si>
  <si>
    <t>IW/2324/2578068</t>
  </si>
  <si>
    <t>IW/2324/2582726</t>
  </si>
  <si>
    <t>Nehal and Monica Reissue</t>
  </si>
  <si>
    <t>Anchita Reissue</t>
  </si>
  <si>
    <t>Priyanka + Vismay (Bom DEL)</t>
  </si>
  <si>
    <t>Priyanka + Vismay (DEL BOM)</t>
  </si>
  <si>
    <t>Anushka excess baggage</t>
  </si>
  <si>
    <t>IW/2324/2599144</t>
  </si>
  <si>
    <t>ID/2324/234539+ID/2324/234533</t>
  </si>
  <si>
    <t>IW/2324/2597635+IW/2324/2597636</t>
  </si>
  <si>
    <t>ID/2324/234425</t>
  </si>
  <si>
    <t>IW/2324/2572226+IW/2324/2572227</t>
  </si>
  <si>
    <t>IW/2324/2524908+	IW/2324/2524909</t>
  </si>
  <si>
    <t>10887 - 23 Aug 23 (chq)</t>
  </si>
  <si>
    <t>IW/2324/2610968</t>
  </si>
  <si>
    <t>Vinita + Lavisha (DEL AMD)</t>
  </si>
  <si>
    <t>GSH/2023-24/00059</t>
  </si>
  <si>
    <t>Darshana+Riddhi+Anushka (DEL BOM)</t>
  </si>
  <si>
    <t>IW/2324/2623332</t>
  </si>
  <si>
    <t>Anchita BOM DEL seat</t>
  </si>
  <si>
    <t>259926 paid on 26 Aug 23</t>
  </si>
  <si>
    <t>Monica (BOM CCU)</t>
  </si>
  <si>
    <t>IW/2324/2657473</t>
  </si>
  <si>
    <t>Divya and Pooja (DEL CCU)</t>
  </si>
  <si>
    <t>IW/2324/2657754</t>
  </si>
  <si>
    <t>Divya and Pooja (CCU DEL)</t>
  </si>
  <si>
    <t>IW/2324/2657767</t>
  </si>
  <si>
    <t>Simran Grewal (BOM IXC)</t>
  </si>
  <si>
    <t>IW/2324/2670568</t>
  </si>
  <si>
    <t>IW/2324/2670615</t>
  </si>
  <si>
    <t>Simran Grewal ( IXC BOM)</t>
  </si>
  <si>
    <t>IW/2324/2673693</t>
  </si>
  <si>
    <t>Karishma Rewari (BOM - DXB - BOM)</t>
  </si>
  <si>
    <t>Divya + Pooja (DEL - DXB - DEL)</t>
  </si>
  <si>
    <t>IW/2324/2674211</t>
  </si>
  <si>
    <t>Nidhi Sanghvi (BOM CCU)</t>
  </si>
  <si>
    <t>Nidhi Sanghvi (CCU BOM)</t>
  </si>
  <si>
    <t>IW/2324/2679840</t>
  </si>
  <si>
    <t>IW/2324/2679876</t>
  </si>
  <si>
    <t>IW/2324/2683661</t>
  </si>
  <si>
    <t>Simran Grewal (IXC - DXB - IXC)</t>
  </si>
  <si>
    <t>Simran Grewal Meal</t>
  </si>
  <si>
    <t>IW/2324/2685202</t>
  </si>
  <si>
    <t>GSH/2023-24/00060</t>
  </si>
  <si>
    <t>IW/2324/2697572</t>
  </si>
  <si>
    <t>IW/2324/2697605</t>
  </si>
  <si>
    <t>Zameer + Natvarlal (BOM BLR)</t>
  </si>
  <si>
    <t>IW/2324/2697866</t>
  </si>
  <si>
    <t>Zameer + Natvarlal (BLR BOM)</t>
  </si>
  <si>
    <t>IW/2324/2697973</t>
  </si>
  <si>
    <t>Divya (Del DXB) Reissue</t>
  </si>
  <si>
    <t>Karishma (BOM DXB) reissue</t>
  </si>
  <si>
    <t>6800 recd on 12 Aug</t>
  </si>
  <si>
    <t>GSH/2023-24/00061</t>
  </si>
  <si>
    <t>IW/2324/2701778</t>
  </si>
  <si>
    <t>IW/2324/2701810</t>
  </si>
  <si>
    <t>IW/2324/2701096</t>
  </si>
  <si>
    <t>Monica (CCU BOM)</t>
  </si>
  <si>
    <t>IW/2324/2703332</t>
  </si>
  <si>
    <t>ID/2324/243554</t>
  </si>
  <si>
    <t>Nehal+Sid (BOM DXB BOM)</t>
  </si>
  <si>
    <t>ID/2324/243817</t>
  </si>
  <si>
    <t>ID/2324/243814</t>
  </si>
  <si>
    <t>Monica (BOM DXB BOM)</t>
  </si>
  <si>
    <t>GSH/2023-24/00062</t>
  </si>
  <si>
    <t>Darshana + Mansi (BOM BLR)</t>
  </si>
  <si>
    <t>IW/2324/2712944</t>
  </si>
  <si>
    <t>Darshana + Mansi (BLR BOM)</t>
  </si>
  <si>
    <t>IW/2324/2713075</t>
  </si>
  <si>
    <t>299049 on 30 Aug 23</t>
  </si>
  <si>
    <t>Siddharth + Nehal (BOM BLR)</t>
  </si>
  <si>
    <t>IW/2324/2715964</t>
  </si>
  <si>
    <t>Anchita (BOM BLR)</t>
  </si>
  <si>
    <t>Anchita (BLR BOM)</t>
  </si>
  <si>
    <t>IW/2324/2716076</t>
  </si>
  <si>
    <t>IW/2324/2716116</t>
  </si>
  <si>
    <t>Monica (BOM BLR)</t>
  </si>
  <si>
    <t>Monica + Nehal + Sid (BLR BOM)</t>
  </si>
  <si>
    <t xml:space="preserve"> IW/2324/2716204</t>
  </si>
  <si>
    <t>IW/2324/2716311</t>
  </si>
  <si>
    <t>Zameer (BLR BOM) reissue</t>
  </si>
  <si>
    <t>IW/2324/2720826</t>
  </si>
  <si>
    <t>Darshana (BOM DXB BOM)</t>
  </si>
  <si>
    <t>ID/2324/244837</t>
  </si>
  <si>
    <t>GSH/2023-24/00063</t>
  </si>
  <si>
    <t>Divya + Pooja + Nidhi CCU Hotel</t>
  </si>
  <si>
    <t>ITC Hotels</t>
  </si>
  <si>
    <t>Paid by credit card on 30 Aug 23</t>
  </si>
  <si>
    <t>Monica Shah CCU Hotel</t>
  </si>
  <si>
    <t>Anushka Date (BOM CCU)</t>
  </si>
  <si>
    <t>IW/2324/2735459</t>
  </si>
  <si>
    <t>Anushka Date (CCU BOM)</t>
  </si>
  <si>
    <t xml:space="preserve"> IW/2324/2735639</t>
  </si>
  <si>
    <t>Paid by credit card on 31 Aug 23</t>
  </si>
  <si>
    <t>Anushka Date CCU Hotel</t>
  </si>
  <si>
    <t>IW/2324/2751961</t>
  </si>
  <si>
    <t>IW/2324/2762061</t>
  </si>
  <si>
    <t>34827 paid to TBO on 2 Sep</t>
  </si>
  <si>
    <t>GSH/2023-24/00064</t>
  </si>
  <si>
    <t>Trident BKC</t>
  </si>
  <si>
    <t>Paid by credit card on 02 Sep 23</t>
  </si>
  <si>
    <t>IW/2324/2770121</t>
  </si>
  <si>
    <t>250000 paid on 02 Sep 23</t>
  </si>
  <si>
    <t>198065 paid on 02 Sep 23</t>
  </si>
  <si>
    <t>197497 paid on 2 sep</t>
  </si>
  <si>
    <t>173 excess paid adjusted with Florin Mueller AI seats</t>
  </si>
  <si>
    <t>200000 paid on 02 Sep 23</t>
  </si>
  <si>
    <t>GSH/2023-24/00065</t>
  </si>
  <si>
    <t>Anand Kapadia (Vidhi Kapadia)</t>
  </si>
  <si>
    <t>IW/2324/2784131</t>
  </si>
  <si>
    <t>Priyanka+Anushka+Devesh+vismay (BOMCCU)</t>
  </si>
  <si>
    <t>GSH/2023-24/00066</t>
  </si>
  <si>
    <t>IW/2324/2798564</t>
  </si>
  <si>
    <t>IW/2324/2798651</t>
  </si>
  <si>
    <t>Priyanka+Anushka+Devesh+vismay (CCUBOM)</t>
  </si>
  <si>
    <t>GSH/2023-24/00067</t>
  </si>
  <si>
    <t>IW/2324/2800659</t>
  </si>
  <si>
    <t>IW/2324/2800722</t>
  </si>
  <si>
    <t>Vismay + Srinivasan (BOM CJB)</t>
  </si>
  <si>
    <t>IW/2324/2807656</t>
  </si>
  <si>
    <t>Monica + Sid (BOM CCU)</t>
  </si>
  <si>
    <t>IW/2324/2809828</t>
  </si>
  <si>
    <t>GSH/2023-24/00068</t>
  </si>
  <si>
    <t>Jade Life Styles Dubai Visa</t>
  </si>
  <si>
    <t>SM/2324/606924</t>
  </si>
  <si>
    <t>1% TDS to be deducted</t>
  </si>
  <si>
    <t>Monica + Sid Meet and Greet</t>
  </si>
  <si>
    <t>Paid by credit card on 05 Sep</t>
  </si>
  <si>
    <t>Monica + Sid CCU BOM</t>
  </si>
  <si>
    <t>IW/2324/2830717</t>
  </si>
  <si>
    <t>Nehal + Zameer + Anchita (BOM BLR)</t>
  </si>
  <si>
    <t>IW/2324/2831486</t>
  </si>
  <si>
    <t>Nehal Meet and Greet</t>
  </si>
  <si>
    <t>IW/2324/2842318</t>
  </si>
  <si>
    <t>Jade Life Styles Shantiniketan Hotel</t>
  </si>
  <si>
    <t>GSH/2023-24/00069</t>
  </si>
  <si>
    <t>Ananda Resort Shnatiniketan</t>
  </si>
  <si>
    <t>6798+6794 recd on 06 Sep</t>
  </si>
  <si>
    <t>51719 recd on 06 Sep 23</t>
  </si>
  <si>
    <t>13592 recd on 6 Sep 23</t>
  </si>
  <si>
    <t>Vismay + Srinivasan (BLR BOM)</t>
  </si>
  <si>
    <t xml:space="preserve"> IW/2324/2848606</t>
  </si>
  <si>
    <t>paid 14560 on 5 Sep</t>
  </si>
  <si>
    <t>Paid 5096 on 6 Sep</t>
  </si>
  <si>
    <t>150000 paid to Nivalink on 6 sep 23</t>
  </si>
  <si>
    <t>recd 225000 on 31 Aug 23</t>
  </si>
  <si>
    <t>IW/2324/2855351</t>
  </si>
  <si>
    <t>Nehal + Zameer + Anchita (BLR BOM)</t>
  </si>
  <si>
    <t>IW/2324/2855623</t>
  </si>
  <si>
    <t>Zameer Seat</t>
  </si>
  <si>
    <t>Paid by credit card on 07 Sep</t>
  </si>
  <si>
    <t>Nehal + Zameer + Anchita (BOM AMD)</t>
  </si>
  <si>
    <t>IW/2324/2865608</t>
  </si>
  <si>
    <t>Paid 3712 on 7 Sep</t>
  </si>
  <si>
    <t>Nehal + Zameer + Anchita (AMD BOM)</t>
  </si>
  <si>
    <t>IW/2324/2870116</t>
  </si>
  <si>
    <t>Extras</t>
  </si>
  <si>
    <t>GSH/2023-24/00070</t>
  </si>
  <si>
    <t>ID/2324/257774</t>
  </si>
  <si>
    <t>Seat Blocking charges</t>
  </si>
  <si>
    <t>Recd 98000 on 13 July</t>
  </si>
  <si>
    <t xml:space="preserve">Monica Marhaba </t>
  </si>
  <si>
    <t>GSH/2023-24/00071</t>
  </si>
  <si>
    <t>Marhaba</t>
  </si>
  <si>
    <t>Marhaba Dnata</t>
  </si>
  <si>
    <t>NEHAL SHAH (Monica BOM DXB)</t>
  </si>
  <si>
    <t>Monica (DXB BOM)</t>
  </si>
  <si>
    <t>IW/2324/2883408</t>
  </si>
  <si>
    <t>Jade Cars</t>
  </si>
  <si>
    <t>Karishma Shah Delhi 25 Aug</t>
  </si>
  <si>
    <t>FD2324-006586</t>
  </si>
  <si>
    <t>Monica Shah Delhi 18 Aug</t>
  </si>
  <si>
    <t>FD2324-006647</t>
  </si>
  <si>
    <t>Nehal Shah Delhi 24 Aug</t>
  </si>
  <si>
    <t>FD2324-006651</t>
  </si>
  <si>
    <t>Simran Grewal Delhi 24, 25 and 26 Aug</t>
  </si>
  <si>
    <t>FD2324-006664
FD2324-006665
FD2324-006666</t>
  </si>
  <si>
    <t>Recd 146500 on 08 Sep 23</t>
  </si>
  <si>
    <t>Vismay Salem Hotel</t>
  </si>
  <si>
    <t>Grand Estancia Salem</t>
  </si>
  <si>
    <t>Paid from HDFC on 8 Sep</t>
  </si>
  <si>
    <t>IZ/2324/111118	
IE/2324/317148
IE/2324/317149</t>
  </si>
  <si>
    <t xml:space="preserve">paid on 9 sep </t>
  </si>
  <si>
    <t>Nehal Meet and Greet - AMD</t>
  </si>
  <si>
    <t>206676 paid on 09 Sep</t>
  </si>
  <si>
    <t>Recd 291761 on 8 Sep</t>
  </si>
  <si>
    <t>900 adjusted with earlier excess paid to TBO</t>
  </si>
  <si>
    <t>22560-17801=4759 paid on 09 sep</t>
  </si>
  <si>
    <t>refund recd 17801 for AI xxl</t>
  </si>
  <si>
    <t>IW/2324/2892040</t>
  </si>
  <si>
    <t>37066-2260-2484=32322 paid on 9 sep</t>
  </si>
  <si>
    <t>GSH/2023-24/00072</t>
  </si>
  <si>
    <t>Paid 93800 on 09 Sep</t>
  </si>
  <si>
    <t>Paid 58525 on 9 sep</t>
  </si>
  <si>
    <t>Click Start Go</t>
  </si>
  <si>
    <t>GSH/2023-24/00073</t>
  </si>
  <si>
    <t>Jade (Sriram Sampath BOM BLR)</t>
  </si>
  <si>
    <t>Sriram Sampath (BLR BOM)</t>
  </si>
  <si>
    <t>IW/2324/2906692</t>
  </si>
  <si>
    <t>IW/2324/2906716</t>
  </si>
  <si>
    <t>GSH/2023-24/00074</t>
  </si>
  <si>
    <t>IW/2324/2921183</t>
  </si>
  <si>
    <t>IW/2324/2921204</t>
  </si>
  <si>
    <t>CN/2023-24/00012</t>
  </si>
  <si>
    <t>XXL of INV GSH/2023-24/00070 dated 7 Sep 23</t>
  </si>
  <si>
    <t>Nehal Vinod Shah (Monica DXB) Cancellation</t>
  </si>
  <si>
    <t>E/2324/316907</t>
  </si>
  <si>
    <t>Cr note recd on 08 Sep adj with inv 70</t>
  </si>
  <si>
    <t>49098 recd on 11 Sep</t>
  </si>
  <si>
    <t>VijayKumar Kori (BOMBLR)</t>
  </si>
  <si>
    <t xml:space="preserve"> IW/2324/2963028</t>
  </si>
  <si>
    <t>GSH/2023-24/00075</t>
  </si>
  <si>
    <t>Jade Life Styles BLR Hotel Vijaykumar Kori</t>
  </si>
  <si>
    <t>Orchid Suites Bangalore</t>
  </si>
  <si>
    <t>Rishita Shah and Insiyah Bootwala (BOM BLR)</t>
  </si>
  <si>
    <t>IW/2324/2982825</t>
  </si>
  <si>
    <t>Rishita Shah and Insiyah Bootwala (BLR BOM)</t>
  </si>
  <si>
    <t>Rishita Shah and Insiyah Bootwala (Seat blocking)</t>
  </si>
  <si>
    <t>Paid by credit card on 13 Sep</t>
  </si>
  <si>
    <t>IW/2324/2982903</t>
  </si>
  <si>
    <t>GSH/2023-24/00076</t>
  </si>
  <si>
    <t>Veer Bardolia</t>
  </si>
  <si>
    <t>IW/2324/2994949</t>
  </si>
  <si>
    <t>247841 recd on 13 Sep</t>
  </si>
  <si>
    <t>Preet Nandwani (Bom DEL)</t>
  </si>
  <si>
    <t>IW/2324/3000150</t>
  </si>
  <si>
    <t>IW/2324/3000452</t>
  </si>
  <si>
    <t>IW/2324/3000497</t>
  </si>
  <si>
    <t>VijayKumar Kori (BLRBOM)</t>
  </si>
  <si>
    <t>IW/2324/3004594</t>
  </si>
  <si>
    <t>74585 recd on 14 Sep</t>
  </si>
  <si>
    <t>6272 paid on 12 Sep from HDFC. 3136 paid on 14 Sep</t>
  </si>
  <si>
    <t>Preet Nandwani +Sunil Kumar (DEL BLR)</t>
  </si>
  <si>
    <t>IW/2324/3005894</t>
  </si>
  <si>
    <t>IW/2324/3006015</t>
  </si>
  <si>
    <t>Divya Singh (DEL BLR)</t>
  </si>
  <si>
    <t>Rahul Ranjan (DEL BLR)</t>
  </si>
  <si>
    <t>IW/2324/3006087</t>
  </si>
  <si>
    <t>IW/2324/3006135</t>
  </si>
  <si>
    <t>Preet + Rahul (BLR DEL)</t>
  </si>
  <si>
    <t>Divya Singh (BLR DEL)</t>
  </si>
  <si>
    <t>IW/2324/3014219</t>
  </si>
  <si>
    <t>Sarita Talekar (BOM BLR)</t>
  </si>
  <si>
    <t>Sarita Talekar (BLR BOM)</t>
  </si>
  <si>
    <t>IW/2324/3019096</t>
  </si>
  <si>
    <t>IW/2324/3019110</t>
  </si>
  <si>
    <t>Dharmesh Nathwani (BOM BLR)</t>
  </si>
  <si>
    <t>Dharmesh Nathwani (BLR BOM)</t>
  </si>
  <si>
    <t>IW/2324/3019359</t>
  </si>
  <si>
    <t>IW/2324/3019400</t>
  </si>
  <si>
    <t>Darshana (BOM BLR)</t>
  </si>
  <si>
    <t>IW/2324/3019641</t>
  </si>
  <si>
    <t>Darshana ( BLR BOM)</t>
  </si>
  <si>
    <t>IW/2324/3019708</t>
  </si>
  <si>
    <t>Vinita Panchal + Lavisha Sanganeria (AMD BLR)</t>
  </si>
  <si>
    <t>IW/2324/3019858</t>
  </si>
  <si>
    <t>Lavisha Sanganeria (DEL AMD)</t>
  </si>
  <si>
    <t>IW/2324/3020083</t>
  </si>
  <si>
    <t>Mansi Shah (Bom BLR)</t>
  </si>
  <si>
    <t>Mansi Shah (BLR BOM)</t>
  </si>
  <si>
    <t>IW/2324/3020364</t>
  </si>
  <si>
    <t xml:space="preserve"> IW/2324/3020428</t>
  </si>
  <si>
    <t>Namrata Zakaria (BLR BOM)</t>
  </si>
  <si>
    <t>Namrata Zakaria (BOM BLR)</t>
  </si>
  <si>
    <t>IW/2324/3021638</t>
  </si>
  <si>
    <t>IW/2324/3021741</t>
  </si>
  <si>
    <t>Shriti Das (BOM BLR)</t>
  </si>
  <si>
    <t>Shriti Das (BLR BOM)</t>
  </si>
  <si>
    <t>IW/2324/3022331</t>
  </si>
  <si>
    <t>IW/2324/3022350</t>
  </si>
  <si>
    <t>Vinita Panchal (BLR AMD)</t>
  </si>
  <si>
    <t>IW/2324/3027751</t>
  </si>
  <si>
    <t>Lavisha Sanganeria ( AMDDEL )</t>
  </si>
  <si>
    <t>IW/2324/3027778</t>
  </si>
  <si>
    <t>Darshana and Riddhi (BOM BLR)</t>
  </si>
  <si>
    <t>Darshana and Riddhi (BLR BOM)</t>
  </si>
  <si>
    <t>IW/2324/3040776</t>
  </si>
  <si>
    <t>IW/2324/3040780</t>
  </si>
  <si>
    <t>Priyanka Doshi (BOM BLR)</t>
  </si>
  <si>
    <t>IW/2324/3045752</t>
  </si>
  <si>
    <t>IW/2324/3045934</t>
  </si>
  <si>
    <t>Namrata Zakaria (BOM BLR - seat)</t>
  </si>
  <si>
    <t>Zameer Moon BLR 21 Aug</t>
  </si>
  <si>
    <t>Nehal Shah Delhi 25 Aug</t>
  </si>
  <si>
    <t>FB2324-004510</t>
  </si>
  <si>
    <t>FD2324-006404</t>
  </si>
  <si>
    <t>FD2324-006424</t>
  </si>
  <si>
    <t>Nehal Shah Delhi 25 Aug - 2ND CAR</t>
  </si>
  <si>
    <t>237838 paid on 18 Sep</t>
  </si>
  <si>
    <t>GSH/2023-24/00077</t>
  </si>
  <si>
    <t xml:space="preserve">Brinda Parikh (Asego) </t>
  </si>
  <si>
    <t>GSH/2023-24/00078</t>
  </si>
  <si>
    <t>Jade Life Styles Darshana Dubai reissue</t>
  </si>
  <si>
    <t>Insiyah Bootwala Reissue</t>
  </si>
  <si>
    <t>Nehal + Zameer + Anchita (BOM BLR) - SEATS</t>
  </si>
  <si>
    <t>IW/2324/3055365</t>
  </si>
  <si>
    <t>Nehal Pranaam 20 Sep</t>
  </si>
  <si>
    <t>Paid by credit card on 18 Sep</t>
  </si>
  <si>
    <t>Divya Singh Excess baggage</t>
  </si>
  <si>
    <t>Lavisha Sanganeria (BLR AMD)</t>
  </si>
  <si>
    <t>IW/2324/3060105</t>
  </si>
  <si>
    <t>ID/2324/275066</t>
  </si>
  <si>
    <t xml:space="preserve">	IW/2324/3055366</t>
  </si>
  <si>
    <t>ID/2324/275375</t>
  </si>
  <si>
    <t>Nishtha Parwani (BOM BLR)</t>
  </si>
  <si>
    <t>IW/2324/3060916</t>
  </si>
  <si>
    <t>IW/2324/3060971</t>
  </si>
  <si>
    <t>Nishtha Parwani (BLR BOM)</t>
  </si>
  <si>
    <t>Pranaam Adani one</t>
  </si>
  <si>
    <t>IW/2324/3081440</t>
  </si>
  <si>
    <t>IW/2324/3067282</t>
  </si>
  <si>
    <t>Nehal Shah (BLR JAI)</t>
  </si>
  <si>
    <t>IW/2324/3088312</t>
  </si>
  <si>
    <t>IW/2324/3088370</t>
  </si>
  <si>
    <t>Nehal Shah (JAI BOM)</t>
  </si>
  <si>
    <t>Nehal Pranaam 23 Sep</t>
  </si>
  <si>
    <t>Paid by credit card on 20 Sep</t>
  </si>
  <si>
    <t>GSH/2023-24/00079</t>
  </si>
  <si>
    <t>SM/2324/667859</t>
  </si>
  <si>
    <t>SM/2324/667966</t>
  </si>
  <si>
    <t>Nehal Meet and Assist BLR 23 Sep</t>
  </si>
  <si>
    <t>SM/2324/669802</t>
  </si>
  <si>
    <t>IW/2324/3091926</t>
  </si>
  <si>
    <t>Anushka Date BOM BLR</t>
  </si>
  <si>
    <t>Anushka Date BLR BOM</t>
  </si>
  <si>
    <t>IW/2324/3092099</t>
  </si>
  <si>
    <t>Priyanka and Vismay (BOM BLR)</t>
  </si>
  <si>
    <t>Priyanka Doshi (BLR BOM)</t>
  </si>
  <si>
    <t>Vismay Mirgal (BLR BOM)</t>
  </si>
  <si>
    <t>Riddhi Gala BLR BOM</t>
  </si>
  <si>
    <t>Anushka Date + Riddhi Gala  BLR BOM seat</t>
  </si>
  <si>
    <t>IW/2324/3093681</t>
  </si>
  <si>
    <t>IW/2324/3093682+IW/2324/3092100</t>
  </si>
  <si>
    <t>Riddhi Gala Bom BLR reissue</t>
  </si>
  <si>
    <t>IW/2324/3098650</t>
  </si>
  <si>
    <t>IW/2324/3098742</t>
  </si>
  <si>
    <t xml:space="preserve"> IW/2324/3098786</t>
  </si>
  <si>
    <t>ID/2324/280410</t>
  </si>
  <si>
    <t>GSH/2023-24/00080</t>
  </si>
  <si>
    <t>MW/2324/166071</t>
  </si>
  <si>
    <t>GSH/2023-24/00081</t>
  </si>
  <si>
    <t>Paid by gsh credit card on 22 Sep</t>
  </si>
  <si>
    <t>Sharad More (BLR BOM)</t>
  </si>
  <si>
    <t>IW/2324/3120058</t>
  </si>
  <si>
    <t>Darshana + Sharad (BLR BOM)</t>
  </si>
  <si>
    <t>IW/2324/3131309</t>
  </si>
  <si>
    <t>IW/2324/3135315</t>
  </si>
  <si>
    <t>Zameer Moon (BOM AMD)</t>
  </si>
  <si>
    <t>IW/2324/3139474</t>
  </si>
  <si>
    <t>Zameer + Natvarlal Mistry (AMD BOM)</t>
  </si>
  <si>
    <t>Zameer + Natvarlal Mistry (AMD BOM) - seats</t>
  </si>
  <si>
    <t>IW/2324/3139713</t>
  </si>
  <si>
    <t>Pooja Joshi Dubai reissue</t>
  </si>
  <si>
    <t>IW/2324/3139714</t>
  </si>
  <si>
    <t>Darshana Bhave Excess baggage</t>
  </si>
  <si>
    <t>CN/2023-24/00013</t>
  </si>
  <si>
    <t>IE/2324/336218 (Invoice No-IW/2324/2716076)</t>
  </si>
  <si>
    <t>IE/2324/336291 (Invoice No-IW/2324/2715964)</t>
  </si>
  <si>
    <t>IE/2324/336414 (Invoice No-IW/2324/3020083)</t>
  </si>
  <si>
    <t>IE/2324/336453 (Invoice No-IW/2324/3027778)</t>
  </si>
  <si>
    <t>IE/2324/340226 (Invoice No-IW/2324/2716311)</t>
  </si>
  <si>
    <t>IZ/2324/123119 (Invoice No-IW/2324/3120058)</t>
  </si>
  <si>
    <t>Sharad More</t>
  </si>
  <si>
    <t>Lavisha sanganeria</t>
  </si>
  <si>
    <t>Jade Anchita Ghivalikar</t>
  </si>
  <si>
    <t>IZ/2324/123371 (Invoice No-IW/2324/3040780)</t>
  </si>
  <si>
    <t>Darshana Bhave</t>
  </si>
  <si>
    <t>Riddhi Gala</t>
  </si>
  <si>
    <t>IE/2324/347204 (Invoice No-IW/2324/3040780)</t>
  </si>
  <si>
    <t xml:space="preserve">Monica+Nehal+Sid Marhaba </t>
  </si>
  <si>
    <t>IW/2324/3148867</t>
  </si>
  <si>
    <t>Karishma Rewari Excess baggage</t>
  </si>
  <si>
    <t>ID/2324/285084</t>
  </si>
  <si>
    <t>IW/2324/3156501</t>
  </si>
  <si>
    <t>Credit notes 61437 adjusted (CN 13)</t>
  </si>
  <si>
    <t>Paid 164837 on 25 Sep 23</t>
  </si>
  <si>
    <t>61437 adjusted with inv 78 on 25 Sep</t>
  </si>
  <si>
    <t>Nehal (JAI BOM)</t>
  </si>
  <si>
    <t>GSH/2023-24/00082</t>
  </si>
  <si>
    <t>AW/2324/31661+AW/2324/31662+AW/2324/31663</t>
  </si>
  <si>
    <t>Credit note for AI seat refund</t>
  </si>
  <si>
    <t>IW/2324/3177278</t>
  </si>
  <si>
    <t>GSH/2023-24/00083</t>
  </si>
  <si>
    <t xml:space="preserve">	IW/2324/3173575</t>
  </si>
  <si>
    <t xml:space="preserve">	IW/2324/3178731</t>
  </si>
  <si>
    <t>641912 recd on 26 Sep</t>
  </si>
  <si>
    <t>Jade (Sunil Kumar BLR DEL)</t>
  </si>
  <si>
    <t>GSH/2023-24/00084</t>
  </si>
  <si>
    <t>IW/2324/3185504</t>
  </si>
  <si>
    <t>GSH/2023-24/00085</t>
  </si>
  <si>
    <t>IW/2324/3189176</t>
  </si>
  <si>
    <t>IW/2324/3189315</t>
  </si>
  <si>
    <t>GSH/2023-24/00086</t>
  </si>
  <si>
    <t>Kashmira Wadekar</t>
  </si>
  <si>
    <t>Atman Resort (Brij Hotel)</t>
  </si>
  <si>
    <t>170997 paid on 27 Sep 23</t>
  </si>
  <si>
    <t>Simran Grewal Reissue (DXB IXC)</t>
  </si>
  <si>
    <t>IZ/2324/125664 (Invoice No-IW/2324/3088370)</t>
  </si>
  <si>
    <t>GSH/2023-24/00087</t>
  </si>
  <si>
    <t>GSH/2023-24/00088</t>
  </si>
  <si>
    <t>Asego (Veer Bardolia comm)</t>
  </si>
  <si>
    <t>Vinay  Bardolia (Veer)</t>
  </si>
  <si>
    <t>Priyanka Doshi (Bom DEL)</t>
  </si>
  <si>
    <t>IW/2324/3211532</t>
  </si>
  <si>
    <t>ID/2324/291680</t>
  </si>
  <si>
    <t>Paid on 29 Sep</t>
  </si>
  <si>
    <t>Sumeet Dalvi + Nikita + Harsh (BOM DEL)</t>
  </si>
  <si>
    <t>IW/2324/3226155</t>
  </si>
  <si>
    <t>Nikita Pai + Harsh Jain (DEL BOM)</t>
  </si>
  <si>
    <t>Sumeet Dalvi (DEL BOM)</t>
  </si>
  <si>
    <t>IW/2324/3226261</t>
  </si>
  <si>
    <t>IW/2324/3226327</t>
  </si>
  <si>
    <t>IW/2324/3227848</t>
  </si>
  <si>
    <t>IW/2324/3227921</t>
  </si>
  <si>
    <t>Nehal + Zameer (BOM AMD)</t>
  </si>
  <si>
    <t>Nehal + Zameer ( AMD BOM)</t>
  </si>
  <si>
    <t>Paid by credit card on 30 Sep</t>
  </si>
  <si>
    <t>Jade to clarify the amount remitted</t>
  </si>
  <si>
    <t>300000 paid on 29 Sep 23</t>
  </si>
  <si>
    <t>cut and pay done</t>
  </si>
  <si>
    <t>GSH/2023-24/00089</t>
  </si>
  <si>
    <t>Patrick Mueller</t>
  </si>
  <si>
    <t>Adj CN 10836 (Jade)</t>
  </si>
  <si>
    <t>Adj CN 350*3=1050 (Florin Mueller)</t>
  </si>
  <si>
    <t>Paid TBO 71823 on 3 Oct</t>
  </si>
  <si>
    <t>Navroz Singporewala</t>
  </si>
  <si>
    <t>Cruise</t>
  </si>
  <si>
    <t>Guideline Travels</t>
  </si>
  <si>
    <t>46000 ON 3 Oct</t>
  </si>
  <si>
    <t>84550 paid on 3 Oct</t>
  </si>
  <si>
    <t>TCS 20%</t>
  </si>
  <si>
    <t>GSH/2023-24/00090</t>
  </si>
  <si>
    <t>GSH/2023-24/00091</t>
  </si>
  <si>
    <t>Jade Nehal+monica+Anchita (BOM DEL)</t>
  </si>
  <si>
    <t>IW/2324/3264190</t>
  </si>
  <si>
    <t>Paid by credit card on 03 Oct</t>
  </si>
  <si>
    <t>Darshana Bhave (BOM DEL)</t>
  </si>
  <si>
    <t>IW/2324/3268083</t>
  </si>
  <si>
    <t>IW/2324/3268183</t>
  </si>
  <si>
    <t>133680 recd on 3rd Oct</t>
  </si>
  <si>
    <t>135000 recd on 13 Jun</t>
  </si>
  <si>
    <t>50000 to Nivalink on 14 Jun</t>
  </si>
  <si>
    <t>(6430 adv GST paid in June)</t>
  </si>
  <si>
    <t>Rekha Wadekar</t>
  </si>
  <si>
    <t>Nehal+Monica+Zameer+Anchita (BOM AMD)</t>
  </si>
  <si>
    <t>IW/2324/3272892</t>
  </si>
  <si>
    <t>Paid by credit card on 04 Oct</t>
  </si>
  <si>
    <t>Nehal+Monica+Zameer+Anchita (BOM AMD SEATS)</t>
  </si>
  <si>
    <t>OS.254</t>
  </si>
  <si>
    <t>GSH/2023-24/00092</t>
  </si>
  <si>
    <t>Monica Goa (Nehal Vinod Shah)</t>
  </si>
  <si>
    <t>GSH/2023-24/00093</t>
  </si>
  <si>
    <t>GSH/2023-24/00094</t>
  </si>
  <si>
    <t>Tanya Pratap</t>
  </si>
  <si>
    <t>(560/3) paid for seat by credit card on 4 Oct</t>
  </si>
  <si>
    <t>IW/2324/3273773</t>
  </si>
  <si>
    <t xml:space="preserve"> IW/2324/3273698</t>
  </si>
  <si>
    <t>Nehal+Monica+Zameer+Anchita (AMD BOM)</t>
  </si>
  <si>
    <t>IW/2324/3274860</t>
  </si>
  <si>
    <t>IW/2324/3278347</t>
  </si>
  <si>
    <t>GSH/2023-24/00095</t>
  </si>
  <si>
    <t>Jade (Fab Cars)</t>
  </si>
  <si>
    <t>FB2324-005914</t>
  </si>
  <si>
    <t>FB2324-005915</t>
  </si>
  <si>
    <t>FB2324-005916</t>
  </si>
  <si>
    <t>FB2324-005917</t>
  </si>
  <si>
    <t>FB2324-005918</t>
  </si>
  <si>
    <t>FB2324-005919</t>
  </si>
  <si>
    <t>FB2324-005920</t>
  </si>
  <si>
    <t>FB2324-005921</t>
  </si>
  <si>
    <t>FB2324-005922</t>
  </si>
  <si>
    <t>FB2324-005923</t>
  </si>
  <si>
    <t>FC2324-043505</t>
  </si>
  <si>
    <t>FC2324-043507</t>
  </si>
  <si>
    <t>FC2324-043508</t>
  </si>
  <si>
    <t>Nehal Shah	21-09-2023	Bengaluru</t>
  </si>
  <si>
    <t>Nehal Shah	06-09-2023	Bengaluru</t>
  </si>
  <si>
    <t>Nehal Shah	07-09-2023	Bengaluru</t>
  </si>
  <si>
    <t>Zameer Moon	15-09-2023	Bengaluru</t>
  </si>
  <si>
    <t>Nehal Shah	20-09-2023	Bengaluru</t>
  </si>
  <si>
    <t>Monica Shah	21-09-2023	Bengaluru</t>
  </si>
  <si>
    <t>Siddharth Shah	21-09-2023	Bengaluru</t>
  </si>
  <si>
    <t>Nehal Shah	22-09-2023	Bengaluru</t>
  </si>
  <si>
    <t>Nehal Shah	23-09-2023	Bengaluru</t>
  </si>
  <si>
    <t>Monica Shah	23-09-2023	Bengaluru</t>
  </si>
  <si>
    <t>Nehal Shah	23-09-2023	Jaipur</t>
  </si>
  <si>
    <t>Nehal Shah	09-09-2023	Ahmedabad</t>
  </si>
  <si>
    <t>Zameer Moon	26-09-2023	Ahmedabad</t>
  </si>
  <si>
    <t>Nehal Pranaam (bom 6 oct)</t>
  </si>
  <si>
    <t>Nehal Pranaam (bom 10 oct)</t>
  </si>
  <si>
    <t>Nehal Pranaam (AMD 10 oct)</t>
  </si>
  <si>
    <t>GSH/2023-24/00096</t>
  </si>
  <si>
    <t>IW/2324/3287923</t>
  </si>
  <si>
    <t>IW/2324/3292329</t>
  </si>
  <si>
    <t>Mansi and Riddhi (BOM DEL)</t>
  </si>
  <si>
    <t>IW/2324/3292510</t>
  </si>
  <si>
    <t>46000 on 4 Oct</t>
  </si>
  <si>
    <t>11312 recd in BOB by gpay on 04 Oct</t>
  </si>
  <si>
    <t>153100 paid to Nivalink on 5 Oct</t>
  </si>
  <si>
    <t>Nehal x 6 (DEL BOM)</t>
  </si>
  <si>
    <t>IW/2324/3298081</t>
  </si>
  <si>
    <t>Nehal Meet and Assist (DEL 7 oct)</t>
  </si>
  <si>
    <t>Paid by credit card on 05 Oct</t>
  </si>
  <si>
    <t>Mansi Vora DEL BOM reissue</t>
  </si>
  <si>
    <t>11312 (chq BOM 7 Oct)</t>
  </si>
  <si>
    <t>30376 on 5 Oct</t>
  </si>
  <si>
    <t>Monica + Priyanka (BOM Bhuj)</t>
  </si>
  <si>
    <t>IW/2324/3323529</t>
  </si>
  <si>
    <t>Monica + Priyanka (Bhuj BOM)</t>
  </si>
  <si>
    <t>Paid by credit card on 07 Oct</t>
  </si>
  <si>
    <t>Monica + Priyanka (BOM Bhuj seats)</t>
  </si>
  <si>
    <t>IW/2324/3323568</t>
  </si>
  <si>
    <t>Monica + Priyanka (Bhuj BOM seats)</t>
  </si>
  <si>
    <t>Vismay Mirgal (BOM Bhuj)</t>
  </si>
  <si>
    <t>Vismay Mirgal (Bhuj BOM)</t>
  </si>
  <si>
    <t>IW/2324/3323839</t>
  </si>
  <si>
    <t>IW/2324/3323862</t>
  </si>
  <si>
    <t>ID/2324/305470</t>
  </si>
  <si>
    <t>54980 paid to TBO on 09 Oct 23</t>
  </si>
  <si>
    <t>56711 paid on 09 Oct</t>
  </si>
  <si>
    <t>27AAACA9076B2ZT</t>
  </si>
  <si>
    <t>ADOR WELDING LIMITED (Ninotchka Nagpal)</t>
  </si>
  <si>
    <t>175126 paid on 09 Oct</t>
  </si>
  <si>
    <t>112828 (recd on 10 Oct)</t>
  </si>
  <si>
    <t xml:space="preserve">Credit note 13 (68555) and invoice 95 adjusted with this payment </t>
  </si>
  <si>
    <t>GSH/2023-24/00097</t>
  </si>
  <si>
    <t>Jade Zameer BOM AMD</t>
  </si>
  <si>
    <t>IW/2324/3418288</t>
  </si>
  <si>
    <t>IW/2324/3418318</t>
  </si>
  <si>
    <t>15782 paid on 18 oct</t>
  </si>
  <si>
    <t>GSH/2023-24/00098</t>
  </si>
  <si>
    <t>IW/2324/3443800</t>
  </si>
  <si>
    <t>GSH/2023-24/00099</t>
  </si>
  <si>
    <t>Regine Borer</t>
  </si>
  <si>
    <t>18 Oct HDFC payment gateway</t>
  </si>
  <si>
    <t>325663 paid to Nivalink on 18 Oct</t>
  </si>
  <si>
    <t>JOERG KREBS</t>
  </si>
  <si>
    <t>Nehal + Zameer + Anchita (Bom AMD)</t>
  </si>
  <si>
    <t>IW/2324/3462184</t>
  </si>
  <si>
    <t>IW/2324/3462322</t>
  </si>
  <si>
    <t>Nehal Pranaam (bom 23 oct)</t>
  </si>
  <si>
    <t>Paid by credit card on 18 Oct</t>
  </si>
  <si>
    <t>IW/2324/3462682</t>
  </si>
  <si>
    <t>Nehal Pranaam (AMD 24 oct)</t>
  </si>
  <si>
    <t>Vismay Mirgal (HYD BOM)</t>
  </si>
  <si>
    <t>IW/2324/3463668</t>
  </si>
  <si>
    <t>Vismay Mirgal ( BOM HYD)</t>
  </si>
  <si>
    <t>IW/2324/3463749</t>
  </si>
  <si>
    <t xml:space="preserve"> IW/2324/3463899</t>
  </si>
  <si>
    <t>Vismay Mirgal ( BOM AMD)</t>
  </si>
  <si>
    <t>IW/2324/3463967</t>
  </si>
  <si>
    <t>Vismay Mirgal (AMD BOM)</t>
  </si>
  <si>
    <t>193510 Recd on 18 Oct on HDFC payment gateway</t>
  </si>
  <si>
    <t>Nehal + Monica (COK BOM)</t>
  </si>
  <si>
    <t>IW/2324/3473362</t>
  </si>
  <si>
    <t>Nehal + Monica (BOM COK)</t>
  </si>
  <si>
    <t>Nehal + Anchita (AMD BOM) - reissue</t>
  </si>
  <si>
    <t>Nehal + Anchita (AMD BOM) - SEATS</t>
  </si>
  <si>
    <t>Impulse Travel services</t>
  </si>
  <si>
    <t>19 Oct from HDFC</t>
  </si>
  <si>
    <t>ITS/23-24/080</t>
  </si>
  <si>
    <t>Sardargarh Heritage</t>
  </si>
  <si>
    <t>Recd 400000 on 20 Oct 23</t>
  </si>
  <si>
    <t>MP Incoming</t>
  </si>
  <si>
    <t>paid on 20 Oct</t>
  </si>
  <si>
    <t>Nandini Verma (DEL BOM)</t>
  </si>
  <si>
    <t>Nandini Verma ( BOM DEL)</t>
  </si>
  <si>
    <t>IW/2324/3484577</t>
  </si>
  <si>
    <t>IW/2324/3484604</t>
  </si>
  <si>
    <t>GopalanKrishnan Krishnan+Chithaiyan Seerangan (CJB BOM)</t>
  </si>
  <si>
    <t>GopalanKrishnan Krishnan+Chithaiyan Seerangan (BOM CJB)</t>
  </si>
  <si>
    <t>IW/2324/3492353</t>
  </si>
  <si>
    <t>IW/2324/3492357</t>
  </si>
  <si>
    <t>Ennam Madhavi + Ennam Shiva Kumar (HYD BOM)</t>
  </si>
  <si>
    <t>Ennam Madhavi + Ennam Shiva Kumar (BOM HYD)</t>
  </si>
  <si>
    <t>IW/2324/3492375</t>
  </si>
  <si>
    <t>IW/2324/3492376</t>
  </si>
  <si>
    <t>IW/2324/3492386</t>
  </si>
  <si>
    <t>Kahtri Salehabanu (BHUJ BOM)</t>
  </si>
  <si>
    <t>Khatri Salehabanu (Bom Bhuj)</t>
  </si>
  <si>
    <t>Khatri Nasrinbanu Gulamhusen (BOM BHUJ)</t>
  </si>
  <si>
    <t>IW/2324/3492398</t>
  </si>
  <si>
    <t>Nehal and Monica (BOM DEL)</t>
  </si>
  <si>
    <t>Nehal and Monica (DEL BOM)</t>
  </si>
  <si>
    <t>IW/2324/3495939</t>
  </si>
  <si>
    <t>IW/2324/3495966</t>
  </si>
  <si>
    <t>Anchita  (BOM DEL)</t>
  </si>
  <si>
    <t>Anchita  (DEL BOM)</t>
  </si>
  <si>
    <t>IW/2324/3496044</t>
  </si>
  <si>
    <t>IW/2324/3496074</t>
  </si>
  <si>
    <t>Bhurabhai Dohat x 4 (AMD BOM)</t>
  </si>
  <si>
    <t>Bhurabhai Dohat x 4 (BOM AMD)</t>
  </si>
  <si>
    <t>IW/2324/3496437</t>
  </si>
  <si>
    <t>IW/2324/3496454</t>
  </si>
  <si>
    <t>GopalanKrishnan Krishnan+Chithaiyan Seerangan (CJB BOM) - reissue</t>
  </si>
  <si>
    <t>Ennam Madhavi + Ennam Shiva Kumar (HYD BOM) reissue</t>
  </si>
  <si>
    <t>Kahtri Salehabanu (BHUJ BOM) - reissue</t>
  </si>
  <si>
    <t>IW/2324/3492392</t>
  </si>
  <si>
    <t>ID/2324/330658+	IW/2324/3497038</t>
  </si>
  <si>
    <t>ID/2324/330950</t>
  </si>
  <si>
    <t>IW/2324/3511726</t>
  </si>
  <si>
    <t>Zameer BOM DEL</t>
  </si>
  <si>
    <t xml:space="preserve"> IW/2324/3512015</t>
  </si>
  <si>
    <t>Zameer BOM DEL Seat</t>
  </si>
  <si>
    <t>IW/2324/3512016</t>
  </si>
  <si>
    <t>Khatri Salehabanu ( BOM Bhuj) - reissue</t>
  </si>
  <si>
    <t>ID/2324/332821</t>
  </si>
  <si>
    <t>KHATRI NASRINBANU GULAMHUSEN reissue</t>
  </si>
  <si>
    <t>ID/2324/333104</t>
  </si>
  <si>
    <t>Govind (Bom JDH)</t>
  </si>
  <si>
    <t>IW/2324/3516182</t>
  </si>
  <si>
    <t>Govind JDH BOM</t>
  </si>
  <si>
    <t>IW/2324/3516245</t>
  </si>
  <si>
    <t>ID/2324/333272</t>
  </si>
  <si>
    <t>GSH/2023-24/00100</t>
  </si>
  <si>
    <t>GSH/2023-24/00101</t>
  </si>
  <si>
    <t>Jade Zameer AMD Hotel</t>
  </si>
  <si>
    <t>SM/2324/805003</t>
  </si>
  <si>
    <t>IW/2324/3462185+ IW/2324/3462683</t>
  </si>
  <si>
    <t>Recd 119000 on 23 Oct 23</t>
  </si>
  <si>
    <t>Nehal and Monica (DEL BOM) - REISSUE</t>
  </si>
  <si>
    <t>IW/2324/3528725</t>
  </si>
  <si>
    <t>Paid on 25 Oct 23</t>
  </si>
  <si>
    <t>CN/2023-24/00014</t>
  </si>
  <si>
    <t>Nehal Vinod Shah (monica Goa)</t>
  </si>
  <si>
    <t>GSH/2023-24/00102</t>
  </si>
  <si>
    <t>Jade Anchita Del BOM reissue</t>
  </si>
  <si>
    <t>24 Oct 23 (TBO CN)</t>
  </si>
  <si>
    <t>CN/2023-24/00015</t>
  </si>
  <si>
    <t>CN/2023-24/00016</t>
  </si>
  <si>
    <t>46140 adjusted with Goa Tickets credit notes (dt 24 Oct)</t>
  </si>
  <si>
    <t>392712 paid on 25 Oct 23</t>
  </si>
  <si>
    <t>IW/2324/3537923</t>
  </si>
  <si>
    <t>IW/2324/3538024</t>
  </si>
  <si>
    <t>IW/2324/3538025</t>
  </si>
  <si>
    <t>GSH/2023-24/00103</t>
  </si>
  <si>
    <t>Darshan Doshi</t>
  </si>
  <si>
    <t>Refund recd 53800 on 23 Oct</t>
  </si>
  <si>
    <t>Paid 22175 on 26 Oct</t>
  </si>
  <si>
    <t>Refund 5583 on 26 Oct</t>
  </si>
  <si>
    <t>Vinita Panchal x 4 (AMD BOM)</t>
  </si>
  <si>
    <t>IW/2324/3554094</t>
  </si>
  <si>
    <t>IW/2324/3554231</t>
  </si>
  <si>
    <t>Vinita Panchal x 4 ( BOM AMD)</t>
  </si>
  <si>
    <t>IW/2324/3554345</t>
  </si>
  <si>
    <t>Sunil Kumar (DEL BOM)</t>
  </si>
  <si>
    <t>Sunil Kumar (BOM DEL)</t>
  </si>
  <si>
    <t>GSH/2023-24/00104</t>
  </si>
  <si>
    <t>Preet + Sunil (DEL AMD)</t>
  </si>
  <si>
    <t>IW/2324/3556517</t>
  </si>
  <si>
    <t>Anchita x 4 (Bom AMD)</t>
  </si>
  <si>
    <t>IW/2324/3556655</t>
  </si>
  <si>
    <t>ID/2324/338273+IW/2324/3549822</t>
  </si>
  <si>
    <t>IW/2324/3554535</t>
  </si>
  <si>
    <t>GSH/2023-24/00105</t>
  </si>
  <si>
    <t>IW/2324/3560576</t>
  </si>
  <si>
    <t>IW/2324/3560591</t>
  </si>
  <si>
    <t>Simran Grewal (IXC BOM)</t>
  </si>
  <si>
    <t>IW/2324/3560754+IW/2324/3560755</t>
  </si>
  <si>
    <t>refunded on 27 Oct 23</t>
  </si>
  <si>
    <t>GSH/2023-24/00106</t>
  </si>
  <si>
    <t>Sonal Schneider</t>
  </si>
  <si>
    <t>GSH/2023-24/00107</t>
  </si>
  <si>
    <t>Maya Mehta</t>
  </si>
  <si>
    <t>GSH/2023-24/00108</t>
  </si>
  <si>
    <t>Priti Merchant</t>
  </si>
  <si>
    <t>GSH/2023-24/00109</t>
  </si>
  <si>
    <t>Sonal Pali</t>
  </si>
  <si>
    <t>VLI-VISA-11933</t>
  </si>
  <si>
    <t>GSH/2023-24/00110</t>
  </si>
  <si>
    <t>Jade Simran Grewal Hotel</t>
  </si>
  <si>
    <t>Paid Nivalink 90000 on 30 Oct</t>
  </si>
  <si>
    <t>Paid Sardargarh 13924 on 19 Oct 23</t>
  </si>
  <si>
    <t>1500 paid on 30 Oct</t>
  </si>
  <si>
    <t>SM/2324/823845</t>
  </si>
  <si>
    <t>SM/2324/827636</t>
  </si>
  <si>
    <t>IW/2324/3593747</t>
  </si>
  <si>
    <t>IW/2324/3593833</t>
  </si>
  <si>
    <t>RAJASHREEDEVI NAVAKUMAR SINGHA (AMD BOM)</t>
  </si>
  <si>
    <t>RAJASHREEDEVI NAVAKUMAR SINGHA (GOX AMD)</t>
  </si>
  <si>
    <t>Ruchira Sawant x 9 (BOM AMD)</t>
  </si>
  <si>
    <t>Ruchira Sawant x 9 (AMD BOM)</t>
  </si>
  <si>
    <t>IW/2324/3595280</t>
  </si>
  <si>
    <t>IW/2324/3595545</t>
  </si>
  <si>
    <t>ZEEBA SHAIKH X 9 (BOM AMD)</t>
  </si>
  <si>
    <t> IW/2324/3595723</t>
  </si>
  <si>
    <t>IW/2324/3595956</t>
  </si>
  <si>
    <t>IW/2324/3596079</t>
  </si>
  <si>
    <t>ZEEBA SHAIKH X 9 (AMD BOM)</t>
  </si>
  <si>
    <t>Shahrukh Ansari x 6 (BOM AMD)</t>
  </si>
  <si>
    <t>Shahrukh Ansari x 6 (AMD BOM)</t>
  </si>
  <si>
    <t>IW/2324/3596246</t>
  </si>
  <si>
    <t>IW/2324/3598453</t>
  </si>
  <si>
    <t>Vahbiz Mehta (BOM AMD)</t>
  </si>
  <si>
    <t>Vahbiz Mehta (AMD BOM)</t>
  </si>
  <si>
    <t>IW/2324/3598577</t>
  </si>
  <si>
    <t xml:space="preserve"> IW/2324/3598616</t>
  </si>
  <si>
    <t>IW/2324/3601176</t>
  </si>
  <si>
    <t>IW/2324/3601305</t>
  </si>
  <si>
    <t>Nehal + Monica + Anchita + Darshana (BOM AMD)</t>
  </si>
  <si>
    <t>Nehal + Monica + Anchita + Darshana (AMD BOM)</t>
  </si>
  <si>
    <t>Dharmesh and Darshana Reissue (Bom AMD)</t>
  </si>
  <si>
    <t>Anchita Reissue (Bom AMD)</t>
  </si>
  <si>
    <t>Pranaam Nehal BOM</t>
  </si>
  <si>
    <t>Pranaam Nehal AMD</t>
  </si>
  <si>
    <t>Paid by credit card on 31 Oct</t>
  </si>
  <si>
    <t>Dhananjay Singh (BOM AMD)</t>
  </si>
  <si>
    <t>IW/2324/3604151</t>
  </si>
  <si>
    <t>Dhananjay Singh (AMD DEL)</t>
  </si>
  <si>
    <t>IW/2324/3607959</t>
  </si>
  <si>
    <t>CHAYAN PAL X 5 (CCU AMD)</t>
  </si>
  <si>
    <t>IW/2324/3609768</t>
  </si>
  <si>
    <t>Preet + Sunil (AMD DEL)</t>
  </si>
  <si>
    <t>IW/2324/3610618</t>
  </si>
  <si>
    <t>ID/2324/345059</t>
  </si>
  <si>
    <t>ID/2324/345049</t>
  </si>
  <si>
    <t>Recd 507402 on 31 Oct</t>
  </si>
  <si>
    <t>CHAYAN PAL X 5 (AMD CCU)</t>
  </si>
  <si>
    <t>IW/2324/3611735</t>
  </si>
  <si>
    <t>CN/2023-24/00017</t>
  </si>
  <si>
    <t>Amee Sodha Bom DEL</t>
  </si>
  <si>
    <t>Amee Sodha DEL BOM</t>
  </si>
  <si>
    <t>Amee Sodha DEL BOM seat</t>
  </si>
  <si>
    <t>Jade Riddhi Bom AMD cancellation</t>
  </si>
  <si>
    <t>IE/2324/410511 (Invoice No-IW/2324/3556655)</t>
  </si>
  <si>
    <t>Dhananjay BOM AMD reissue</t>
  </si>
  <si>
    <t>79889 paid on 1 Nov</t>
  </si>
  <si>
    <t>ID/2324/348153</t>
  </si>
  <si>
    <t>Karishma Rewari (Bom AMD)</t>
  </si>
  <si>
    <t>IW/2324/3623819</t>
  </si>
  <si>
    <t>IW/2324/3623845</t>
  </si>
  <si>
    <t>Karishma Rewari (AMD BOM)</t>
  </si>
  <si>
    <t>Priyanka Doshi (Bom AMD)</t>
  </si>
  <si>
    <t>Vismay Mirgal (BOM AMD)</t>
  </si>
  <si>
    <t>Priyanka + Vismay (AMD BOM)</t>
  </si>
  <si>
    <t>IW/2324/3624490</t>
  </si>
  <si>
    <t>IW/2324/3624580</t>
  </si>
  <si>
    <t>IW/2324/3624695</t>
  </si>
  <si>
    <t>Anchita + Darshana + Dharmesh (AMD BOM</t>
  </si>
  <si>
    <t>IW/2324/3625566</t>
  </si>
  <si>
    <t>Divya Singh (DEL AMD)</t>
  </si>
  <si>
    <t>IW/2324/3625680</t>
  </si>
  <si>
    <t>Puja Mehta (BOM AMD)</t>
  </si>
  <si>
    <t>Puja Mehta (AMD BOM)</t>
  </si>
  <si>
    <t>IW/2324/3630204</t>
  </si>
  <si>
    <t>IW/2324/3630210</t>
  </si>
  <si>
    <t>Ennam Shiva Kumar + Siddula Ramakrishna (HYD AMD)</t>
  </si>
  <si>
    <t>IW/2324/3630280</t>
  </si>
  <si>
    <t>193510 Recd on 01 nOV on HDFC payment gateway</t>
  </si>
  <si>
    <t>GSH/2023-24/00111</t>
  </si>
  <si>
    <t xml:space="preserve">Sabina UNAZHOKOVA	</t>
  </si>
  <si>
    <t>IW/2324/3631553</t>
  </si>
  <si>
    <t>IW/2324/3631603</t>
  </si>
  <si>
    <t>adjust credit note</t>
  </si>
  <si>
    <t>GSH/2023-24/00112</t>
  </si>
  <si>
    <t>JADE (Simran Grewal - IXC AMD)</t>
  </si>
  <si>
    <t>IW/2324/3632093</t>
  </si>
  <si>
    <t>IW/2324/3632632</t>
  </si>
  <si>
    <t>Nehal Shah (AMD BOM)</t>
  </si>
  <si>
    <t>Nehal Shah (BOM AMD)</t>
  </si>
  <si>
    <t>IW/2324/3632766</t>
  </si>
  <si>
    <t>IE/2324/415164 (Invoice No-IW/2324/3595956)</t>
  </si>
  <si>
    <t>Darshana Reissue (BOM AMD)</t>
  </si>
  <si>
    <t>Nidhi Singh (DEL AMD)</t>
  </si>
  <si>
    <t>IW/2324/3636534</t>
  </si>
  <si>
    <t>ID/2324/350541</t>
  </si>
  <si>
    <t>Paid on 2 Nov</t>
  </si>
  <si>
    <t>Paid 10623-1193=9430 on 02 Nov</t>
  </si>
  <si>
    <t>Kaustav Dey (BLR AMD)</t>
  </si>
  <si>
    <t>Kaustav Dey (AMD BLR)</t>
  </si>
  <si>
    <t>IW/2324/3636934</t>
  </si>
  <si>
    <t>IW/2324/3636947</t>
  </si>
  <si>
    <t>IW/2324/3638050</t>
  </si>
  <si>
    <t>Simran Grewal (AMD IXC)</t>
  </si>
  <si>
    <t>Monica Shah (BOM AMD)</t>
  </si>
  <si>
    <t>IW/2324/3639328</t>
  </si>
  <si>
    <t>IW/2324/3639436</t>
  </si>
  <si>
    <t>500000 paid on 2 Nov</t>
  </si>
  <si>
    <t>24378 paid on 2 Nov</t>
  </si>
  <si>
    <t>Part Cancelled Invoice GSH/2023-24/00103 dated 24 Oct</t>
  </si>
  <si>
    <t>IE/2324/416574 (Invoice No-IW/2324/3630210)</t>
  </si>
  <si>
    <t>IE/2324/416575 (Invoice No-IW/2324/3630204)</t>
  </si>
  <si>
    <t>IW/2324/3645958</t>
  </si>
  <si>
    <t>Anchita BOM AMD reissue</t>
  </si>
  <si>
    <t>Paid by credit card on 3 Nov</t>
  </si>
  <si>
    <t>ID/2324/352669</t>
  </si>
  <si>
    <t>Dhananjay Singh Meal charges</t>
  </si>
  <si>
    <t>IW/2324/3646000</t>
  </si>
  <si>
    <t>IW/2324/3651655</t>
  </si>
  <si>
    <t>Anushka Date (BOM AMD)</t>
  </si>
  <si>
    <t>IW/2324/3652890</t>
  </si>
  <si>
    <t>ID/2324/353481</t>
  </si>
  <si>
    <t>Monica Shah (AMD BOM)</t>
  </si>
  <si>
    <t>IW/2324/3653572</t>
  </si>
  <si>
    <t>Priyanka Doshi (Reissue)</t>
  </si>
  <si>
    <t>Smita Jain (BOM AMD)</t>
  </si>
  <si>
    <t>IW/2324/3660112</t>
  </si>
  <si>
    <t>IW/2324/3662643</t>
  </si>
  <si>
    <t>IW/2324/3662675</t>
  </si>
  <si>
    <t>Miss NATALIIA MUSIICHUK</t>
  </si>
  <si>
    <t>To pay TBO 13660</t>
  </si>
  <si>
    <t>ID/2324/355232</t>
  </si>
  <si>
    <t>Nehal Seat AMD BOM</t>
  </si>
  <si>
    <t>Paid by credit card on 4 Nov</t>
  </si>
  <si>
    <t>Nehal Shah (Reissue) AMD BOM - 7 Nov</t>
  </si>
  <si>
    <t>Nehal Shah (Reissue) AMD BOM - 6 Nov</t>
  </si>
  <si>
    <t>Nehal Shah (Reissue) AMD BOM - 4 Nov</t>
  </si>
  <si>
    <t>GSH/2023-24/00113</t>
  </si>
  <si>
    <t>GSH/2023-24/00114</t>
  </si>
  <si>
    <t>Cars</t>
  </si>
  <si>
    <t>FD2324-008283</t>
  </si>
  <si>
    <t>Nehal Shah		06 October 2023		Delhi</t>
  </si>
  <si>
    <t>Nehal Shah		07 October 2023		Delhi</t>
  </si>
  <si>
    <t>Nehal Shah		02 October 2023		Ahmedabad</t>
  </si>
  <si>
    <t>Nehal Shah		10 October 2023		Ahmedabad</t>
  </si>
  <si>
    <t>Zameer Moon		16 October 2023		Ahmedabad</t>
  </si>
  <si>
    <t>FD2324-008284</t>
  </si>
  <si>
    <t>FC2324-048429</t>
  </si>
  <si>
    <t>FC2324-048430</t>
  </si>
  <si>
    <t>FC2324-048431</t>
  </si>
  <si>
    <t>FD2324-009117</t>
  </si>
  <si>
    <t>FD2324-009180</t>
  </si>
  <si>
    <t>FC2324-051371</t>
  </si>
  <si>
    <t>Nehal Shah x 4	27-10-2023	Delhi</t>
  </si>
  <si>
    <t>Nehal Shah x 4	28-10-2023	Delhi</t>
  </si>
  <si>
    <t>Nehal Shah x 3	23-10-2023	Ahmedabad</t>
  </si>
  <si>
    <t>Monica Shah 11 and 12 Oct   BHUJ</t>
  </si>
  <si>
    <t>GSH/2023-24/00115</t>
  </si>
  <si>
    <t>Kamlesh Gandhi</t>
  </si>
  <si>
    <t>9550 - 6 Nov</t>
  </si>
  <si>
    <t>38098 to Fabcars on 06 Nov</t>
  </si>
  <si>
    <t>627932 recd on 04 Nov</t>
  </si>
  <si>
    <t>Cheque dep 06 Nov</t>
  </si>
  <si>
    <t>ID/2324/357642</t>
  </si>
  <si>
    <t>NCS/22-23/27</t>
  </si>
  <si>
    <t>11540 to Nivalinkon 6 Nov</t>
  </si>
  <si>
    <t>Zishan Ansari (AMD BOM)</t>
  </si>
  <si>
    <t>IW/2324/3685418</t>
  </si>
  <si>
    <t>IW/2324/3697393</t>
  </si>
  <si>
    <t>Divya + Nidhi (AMD DEL)</t>
  </si>
  <si>
    <t>Nehal and Monica (AMD BOM)</t>
  </si>
  <si>
    <t>Nehal and Monica (AMD BOM Vistara)</t>
  </si>
  <si>
    <t>IW/2324/3698359</t>
  </si>
  <si>
    <t>Paid by credit card on 7 Nov</t>
  </si>
  <si>
    <t>IE/2324/422358 (Invoice No-IW/2324/3632766)</t>
  </si>
  <si>
    <t>Arya Gift</t>
  </si>
  <si>
    <t>6000 to Arya on 08 Nov</t>
  </si>
  <si>
    <t>Preet Nandwani (Reissue) AMD DEL - 10 Nov</t>
  </si>
  <si>
    <t>Anushka Date ( AMD BOM)</t>
  </si>
  <si>
    <t>IW/2324/3709201</t>
  </si>
  <si>
    <t>Devesh Chafekar ( AMD BOM)</t>
  </si>
  <si>
    <t>IW/2324/3709643</t>
  </si>
  <si>
    <t>ID/2324/362843</t>
  </si>
  <si>
    <t>ID/2324/357900</t>
  </si>
  <si>
    <t>ID/2324/361517</t>
  </si>
  <si>
    <t>13660 pd to TBO on 10 Nov</t>
  </si>
  <si>
    <t>4797 credit note adjusted</t>
  </si>
  <si>
    <t>Paid TBO 160769 after adjusting credit note of 41192 on 10 Nov</t>
  </si>
  <si>
    <t>CASH on 6 Nov</t>
  </si>
  <si>
    <t>Paid by credit card on 13 Nov</t>
  </si>
  <si>
    <t>IW/2324/3750264</t>
  </si>
  <si>
    <t>Gujarat Trails</t>
  </si>
  <si>
    <t>GSH/2023-24/00116</t>
  </si>
  <si>
    <t>Destination Management</t>
  </si>
  <si>
    <t>GSH/2023-24/00117</t>
  </si>
  <si>
    <t>7000 cash deposited on 15 Nov 23</t>
  </si>
  <si>
    <t>refunded on 01 Nov 23</t>
  </si>
  <si>
    <t>14 Nov (Cheque)</t>
  </si>
  <si>
    <t>GSH/2023-24/00118</t>
  </si>
  <si>
    <t>Nehal Vinod Shah (DEV LAX ticket reissue)</t>
  </si>
  <si>
    <t>8648 adjusted with invoice 118</t>
  </si>
  <si>
    <t>GSH/2023-24/00119</t>
  </si>
  <si>
    <t>44320 RECD ON 14 Nov cheque</t>
  </si>
  <si>
    <t>TBO (taj View Agra)</t>
  </si>
  <si>
    <t xml:space="preserve">	MW/2324/211357</t>
  </si>
  <si>
    <t>Ottila (Udai Kothi)</t>
  </si>
  <si>
    <t xml:space="preserve">BOS-272454 </t>
  </si>
  <si>
    <t>BOS-272457</t>
  </si>
  <si>
    <t>Ottila (Taj Mahal)</t>
  </si>
  <si>
    <t>BOS-272455</t>
  </si>
  <si>
    <t>Ottila (Radisson Jaipur)</t>
  </si>
  <si>
    <t>200000 paid to Nivalink on 16 Nov 23</t>
  </si>
  <si>
    <t>13122 Paid to GT on 16 Nov</t>
  </si>
  <si>
    <t>JADE (Simran Grewal - IXC BOM)</t>
  </si>
  <si>
    <t>IW/2324/3789673</t>
  </si>
  <si>
    <t>65246 recd on 16 Nov</t>
  </si>
  <si>
    <t>GSH/2023-24/00120</t>
  </si>
  <si>
    <t>paid on 16 Nov</t>
  </si>
  <si>
    <t>IW/2324/3807147</t>
  </si>
  <si>
    <t>Deepak varma (BOM HYD)</t>
  </si>
  <si>
    <t>IW/2324/3814664</t>
  </si>
  <si>
    <t>Deepak Varma (BLR BOM)</t>
  </si>
  <si>
    <t>IW/2324/3815079</t>
  </si>
  <si>
    <t>17 Nov gpay</t>
  </si>
  <si>
    <t>GSH/2023-24/00121</t>
  </si>
  <si>
    <t>Go City Pass</t>
  </si>
  <si>
    <t>Global destinations</t>
  </si>
  <si>
    <t>Spearhead</t>
  </si>
  <si>
    <t>Marvel Tours Pvt Ltd</t>
  </si>
  <si>
    <t>GSH/2023-24/00122</t>
  </si>
  <si>
    <t>IW/2324/3834527</t>
  </si>
  <si>
    <t>IW/2324/3834561</t>
  </si>
  <si>
    <t>Simran Grewal IXC BOM (29 Nov)</t>
  </si>
  <si>
    <t>IW/2324/3835962</t>
  </si>
  <si>
    <t>GDGC/0023/22-23</t>
  </si>
  <si>
    <t>Naveena Guleria (DEL BOM)</t>
  </si>
  <si>
    <t>Naveena Guleria (BOM DEL)</t>
  </si>
  <si>
    <t>IW/2324/3843420</t>
  </si>
  <si>
    <t>IW/2324/3843425</t>
  </si>
  <si>
    <t>IW/2324/3853762</t>
  </si>
  <si>
    <t>IW/2324/3853799</t>
  </si>
  <si>
    <t>Siddharth Shah (JFK - BOM - JFK)</t>
  </si>
  <si>
    <t>IW/2324/3858209</t>
  </si>
  <si>
    <t>Nehal + Monica (BOM JAI)</t>
  </si>
  <si>
    <t>23000 paid to parallel hotel on 22 Nov</t>
  </si>
  <si>
    <t>Parallel Hotel</t>
  </si>
  <si>
    <t>Simran Grewal IXC BOM - Reissue</t>
  </si>
  <si>
    <t>Nehal and Anchita AMD BOM reissue on Vistara 23 Oct</t>
  </si>
  <si>
    <t>ID/2324/383884</t>
  </si>
  <si>
    <t>ID/2324/379679</t>
  </si>
  <si>
    <t xml:space="preserve">	IW/2324/3854451</t>
  </si>
  <si>
    <t>Sumeet Dalvi + Nikita Pai (Bom BLR)</t>
  </si>
  <si>
    <t>Sumeet Dalvi + Nikita Pai (BLR BOM)</t>
  </si>
  <si>
    <t>IW/2324/3872656</t>
  </si>
  <si>
    <t>IW/2324/3872722</t>
  </si>
  <si>
    <t>GSH/2023-24/00123</t>
  </si>
  <si>
    <t>Florin Mueller</t>
  </si>
  <si>
    <t>IW/2324/3884615</t>
  </si>
  <si>
    <t>Nehal + Monica (JAI BOM)</t>
  </si>
  <si>
    <t>Nehal + Monica (JAI BOM) - REISSUE</t>
  </si>
  <si>
    <t>Nehal + Monica (JAI BOM) - Seats</t>
  </si>
  <si>
    <t>Adjusted with CN 00014 - INR 14908</t>
  </si>
  <si>
    <t>ID/2324/387121</t>
  </si>
  <si>
    <t>IW/2324/3898749</t>
  </si>
  <si>
    <t>IW/2324/3898775</t>
  </si>
  <si>
    <t>GSH/2023-24/00124</t>
  </si>
  <si>
    <t>Devesh Chafekar + Vinit Mistry (BOM CCU)</t>
  </si>
  <si>
    <t>IW/2324/3903271</t>
  </si>
  <si>
    <t>37187 paid to TBO on 25 Nov 23</t>
  </si>
  <si>
    <t>114397 paid on 25 Nov 23</t>
  </si>
  <si>
    <t>41373 paid to TBO on 25 Nov</t>
  </si>
  <si>
    <t>1200 Paid by credit card on 24 Nov</t>
  </si>
  <si>
    <t>7468 paid on 29 Nov</t>
  </si>
  <si>
    <t>215507 paid on 27 Nov</t>
  </si>
  <si>
    <t>Simran Grewal BOM IXC (30 Nov)</t>
  </si>
  <si>
    <t>IW/2324/3917574</t>
  </si>
  <si>
    <t>MW/2324/220335</t>
  </si>
  <si>
    <t>38737 paid on 27 Nov 23</t>
  </si>
  <si>
    <t>124003 paid on 27 Nov 23</t>
  </si>
  <si>
    <t>102213 paid on 16 Nov to Ottila</t>
  </si>
  <si>
    <t>13406 paid on 16 Nov to TBO</t>
  </si>
  <si>
    <t>Paid Nivalink 90350 on 27 Nov</t>
  </si>
  <si>
    <t>Indian Hotels Co for breakfast</t>
  </si>
  <si>
    <t>paid by credit card on 27 Nov 23</t>
  </si>
  <si>
    <t>GSH/2023-24/00125</t>
  </si>
  <si>
    <t>Nehal Vinod Shah (Dev)</t>
  </si>
  <si>
    <t>IW/2324/3929073</t>
  </si>
  <si>
    <t>IW/2324/3929087</t>
  </si>
  <si>
    <t>IW/2324/3929088</t>
  </si>
  <si>
    <t>Dev CCU BOM</t>
  </si>
  <si>
    <t>Dev CCU BOM - seat</t>
  </si>
  <si>
    <t>3600 to Nivalink on 7 Nov</t>
  </si>
  <si>
    <t>GSH/2023-24/00126</t>
  </si>
  <si>
    <t>Indigo</t>
  </si>
  <si>
    <t>Paid by credit card on 29 Nov</t>
  </si>
  <si>
    <t>IW/2324/3965400</t>
  </si>
  <si>
    <t>Jade (Naveen Guleria Meal) - 30 Nov</t>
  </si>
  <si>
    <t>Devesh Chafekar + Vinit Mistry (BOM CCU) - 2 Dec</t>
  </si>
  <si>
    <t>GSH/2023-24/00127</t>
  </si>
  <si>
    <t>IW/2324/3979069</t>
  </si>
  <si>
    <t>Fishtail</t>
  </si>
  <si>
    <t>25234 to be recd from Jade</t>
  </si>
  <si>
    <t>120725 recd on 02 Dec</t>
  </si>
  <si>
    <t>215875 recd on 29 Nov</t>
  </si>
  <si>
    <t>66800 Paid on 1 Dec</t>
  </si>
  <si>
    <t>37402 paid on 4 Dec</t>
  </si>
  <si>
    <t>21530 on 4 dec</t>
  </si>
  <si>
    <t>GSH/2023-24/00128</t>
  </si>
  <si>
    <t>2545 paid on 5 Dec</t>
  </si>
  <si>
    <t>28099 paid on 5 Dec</t>
  </si>
  <si>
    <t>Recd cheque on 6 Dec</t>
  </si>
  <si>
    <t>GSH/2023-24/00129</t>
  </si>
  <si>
    <t>06 Dec (cheque)</t>
  </si>
  <si>
    <t>Preet Nandwani - (DEL BLR) 25 Dec</t>
  </si>
  <si>
    <t>IW/2324/4049189</t>
  </si>
  <si>
    <t>Simran Grewal (DEL IXC) - 8 Dec</t>
  </si>
  <si>
    <t>IW/2324/4049476</t>
  </si>
  <si>
    <t>Design 19 (Pradeep Nigam)</t>
  </si>
  <si>
    <t>VW-12164</t>
  </si>
  <si>
    <t>Nikita Khambe (BLR BOM) 13 Dec</t>
  </si>
  <si>
    <t>Nikita Khambe (BOM BLR) 11 Dec</t>
  </si>
  <si>
    <t>IW/2324/4060179</t>
  </si>
  <si>
    <t>IW/2324/4060137</t>
  </si>
  <si>
    <t>Darshana (BOM DEL) - 12 Dec</t>
  </si>
  <si>
    <t>IW/2324/4065040</t>
  </si>
  <si>
    <t>Dhananjay + Kavita + Freya (BOM DEL) - 13 Dec</t>
  </si>
  <si>
    <t>IW/2324/4067900</t>
  </si>
  <si>
    <t>Anushka Date (Bom DEL) - 13 Dec</t>
  </si>
  <si>
    <t>IW/2324/4070435</t>
  </si>
  <si>
    <t>Monica Shah (BOM DEL) - 14 Dec</t>
  </si>
  <si>
    <t>IW/2324/4070519</t>
  </si>
  <si>
    <t>34471 recd on 11 dec</t>
  </si>
  <si>
    <t>Simran Grewal (IXC DEL) - 13 Dec</t>
  </si>
  <si>
    <t>IW/2324/4097316</t>
  </si>
  <si>
    <t>Thomas Reithinger</t>
  </si>
  <si>
    <t>Winnie Yu</t>
  </si>
  <si>
    <t>IW/2324/4102803</t>
  </si>
  <si>
    <t>80707 paid on 11 Dec</t>
  </si>
  <si>
    <t>21354 paid on 11 Dec</t>
  </si>
  <si>
    <t>25593 (25234+359) recd on 11 dec</t>
  </si>
  <si>
    <t>GSH/2023-24/00130</t>
  </si>
  <si>
    <t>Jade Darshana (Delhi hotel) - 12 Dec</t>
  </si>
  <si>
    <t>Darshana + Anushka + Kavita + Freya + Dhananjay (Delhi Hotel) 13-15 Dec</t>
  </si>
  <si>
    <t>MW/2324/232296</t>
  </si>
  <si>
    <t>SM/2324/1002527</t>
  </si>
  <si>
    <t>400000 paid to Nivalink on 12 Dec</t>
  </si>
  <si>
    <t>400000 recd in HDFC from Winnie CHARLES SCHWAB AND COMPANY INC on 12 Dec</t>
  </si>
  <si>
    <t>Vahbiz Mehta (BOM DEL) -  13 Dec</t>
  </si>
  <si>
    <t>IW/2324/4113233</t>
  </si>
  <si>
    <t>IW/2324/4113409</t>
  </si>
  <si>
    <t>Vahbiz Mehta (DEL BOM) -  15 Dec</t>
  </si>
  <si>
    <t>Monica Shah (DELBOM) - 15 Dec</t>
  </si>
  <si>
    <t>IW/2324/4120699</t>
  </si>
  <si>
    <t>Vahbiz Mehta Delhi Hotel 13-15 Dec</t>
  </si>
  <si>
    <t>MW/2324/233471</t>
  </si>
  <si>
    <t>Dev Shah (BOM DEL) - 14 Dec</t>
  </si>
  <si>
    <t>Dev Shah (DEL BOM) - 15 Dec</t>
  </si>
  <si>
    <t>IW/2324/4127170</t>
  </si>
  <si>
    <t>IW/2324/4127553</t>
  </si>
  <si>
    <t>Dev Shah (BOM DEL) - 14 Dec - Reissue</t>
  </si>
  <si>
    <t>IW/2324/4136902+IW/2324/4136903</t>
  </si>
  <si>
    <t>Anushka +Dhananjay + Kavita + Freya (DELBOM) - 16 Dec</t>
  </si>
  <si>
    <t>IW/2324/4154072</t>
  </si>
  <si>
    <t>Darshana Bhave (DEL BOM) - 16 Dec</t>
  </si>
  <si>
    <t>IW/2324/4154162</t>
  </si>
  <si>
    <t>Anushka x 3 Delhi Hotel (15-16 Dec)</t>
  </si>
  <si>
    <t>Darshana x 2 Delhi Hotel (15-16 Dec)</t>
  </si>
  <si>
    <t>Paid on 15 Dec</t>
  </si>
  <si>
    <t>Simran Grewal (DEL IXC) - 16 Dec</t>
  </si>
  <si>
    <t>IW/2324/4159568</t>
  </si>
  <si>
    <t>Karishma Rewari (AMD BOM) - 22 Dec</t>
  </si>
  <si>
    <t>IW/2324/4160370</t>
  </si>
  <si>
    <t>Karishma Rewari (BOM AMD) - 21 Dec</t>
  </si>
  <si>
    <t>IW/2324/4160396</t>
  </si>
  <si>
    <t>Impulse Travel</t>
  </si>
  <si>
    <t>ITS/23-24/099</t>
  </si>
  <si>
    <t>185903 paid on 18 Dec</t>
  </si>
  <si>
    <t>100188 Paid on 18 Dec</t>
  </si>
  <si>
    <t>200000 recd in HDFC from Thomas Reithinger on 13 Dec</t>
  </si>
  <si>
    <t>35917 recd on 16 Dec on HDFC payment gateway</t>
  </si>
  <si>
    <t>GSH/2023-24/00131</t>
  </si>
  <si>
    <t>Nehal Shah x 2	24-11-2023	Jaipur</t>
  </si>
  <si>
    <t>Simran Grewal	09-11-2023	Ahmedabad</t>
  </si>
  <si>
    <t>Nehal Shah x 2	09-11-2023	Ahmedabad</t>
  </si>
  <si>
    <t>Simran Grewal	08-11-2023	Ahmedabad</t>
  </si>
  <si>
    <t>Mrs Monica Shah x 1	08-11-2023	Ahmedabad</t>
  </si>
  <si>
    <t>Simran Grewal	07-11-2023	Ahmedabad</t>
  </si>
  <si>
    <t>Mrs Monica Shah x 1	07-11-2023	Ahmedabad</t>
  </si>
  <si>
    <t>Miss Vahbiz Mehta x 1	06-11-2023	Ahmedabad</t>
  </si>
  <si>
    <t>Simran Grewal	06-11-2023	Ahmedabad</t>
  </si>
  <si>
    <t>Mrs Monica Shah x 1	06-11-2023	Ahmedabad</t>
  </si>
  <si>
    <t>Mrs Monica Shah x 1	05-11-2023	Ahmedabad</t>
  </si>
  <si>
    <t>Nehal Shah x 2	04-11-2023	Ahmedabad</t>
  </si>
  <si>
    <t>Mr Nehal Shah x 4	01-11-2023	Ahmedabad</t>
  </si>
  <si>
    <t>FC2324-059508</t>
  </si>
  <si>
    <t>FC2324-059509</t>
  </si>
  <si>
    <t>FC2324-059510</t>
  </si>
  <si>
    <t>FC2324-059511</t>
  </si>
  <si>
    <t>FC2324-059512</t>
  </si>
  <si>
    <t>FC2324-059513</t>
  </si>
  <si>
    <t>FC2324-059514</t>
  </si>
  <si>
    <t>FC2324-059515</t>
  </si>
  <si>
    <t>FC2324-059516</t>
  </si>
  <si>
    <t>FC2324-059517</t>
  </si>
  <si>
    <t>FC2324-059518</t>
  </si>
  <si>
    <t>FC2324-059519</t>
  </si>
  <si>
    <t>FC2324-059520</t>
  </si>
  <si>
    <t>200000 recd in HDFC from Thomas Reithinger on 18 Dec</t>
  </si>
  <si>
    <t>GSH/2023-24/00132</t>
  </si>
  <si>
    <t>Paid on 20 Dec</t>
  </si>
  <si>
    <t>ID/2324/429598</t>
  </si>
  <si>
    <t>ID/2324/428838</t>
  </si>
  <si>
    <t>GSH/2023-24/00133</t>
  </si>
  <si>
    <t>IW/2324/4247444</t>
  </si>
  <si>
    <t>Jade Preet Nandwani (BLRDEL 30 Dec)</t>
  </si>
  <si>
    <t>Nehal Vinod Shah (Dev CCU BOM) - Reissue</t>
  </si>
  <si>
    <t>Dev BOM CCU - Reissue</t>
  </si>
  <si>
    <t>Devesh Chafekar (BOM CCU) - 3 Jan</t>
  </si>
  <si>
    <t>IW/2324/4272702</t>
  </si>
  <si>
    <t>Sid Shah BOM JFK Reissue</t>
  </si>
  <si>
    <t>FC2324-062637 and FC2324-062638</t>
  </si>
  <si>
    <t>GSH/2023-24/00134</t>
  </si>
  <si>
    <t>7366 paid on 02 Jan</t>
  </si>
  <si>
    <t>Darshana + Sagar Pawar (Bom AMD) - 9 Jan</t>
  </si>
  <si>
    <t>IW/2324/4346980</t>
  </si>
  <si>
    <t>Darshana + Sagar Pawar (AMD BOM) - 9 Jan</t>
  </si>
  <si>
    <t>IW/2324/4347087</t>
  </si>
  <si>
    <t>562051 recd on 30 Dec</t>
  </si>
  <si>
    <t>ID/2324/437600</t>
  </si>
  <si>
    <t>GSH/2023-24/00135</t>
  </si>
  <si>
    <t>300000 paid to Nivalink on 04 Jan 24</t>
  </si>
  <si>
    <t>GSH/2023-24/00136</t>
  </si>
  <si>
    <t>Simran Grewal x 1	13/12/2023	Delhi</t>
  </si>
  <si>
    <t>Simran Grewal x 1	14/12/2023	Delhi</t>
  </si>
  <si>
    <t>Monica Shah	14/12/2023	Delhi</t>
  </si>
  <si>
    <t>Monica Shah	15/12/2023	Delhi</t>
  </si>
  <si>
    <t>Miss Vahbiz Mehta x 1	13/12/2023	Gurgaon</t>
  </si>
  <si>
    <t>Miss Vahbiz Mehta x 1	14/12/2023 Gurgaon</t>
  </si>
  <si>
    <t>Miss Vahbiz Mehta x 1	15/12/2023	Gurgaon</t>
  </si>
  <si>
    <t>Simran Grewal x 1	15/12/2023	Gurgaon</t>
  </si>
  <si>
    <t>Paid 34867 on 4 Jan 24</t>
  </si>
  <si>
    <t>FD2324-010833</t>
  </si>
  <si>
    <t>FD2324-010834</t>
  </si>
  <si>
    <t>FD2324-010969</t>
  </si>
  <si>
    <t>FD2324-010970</t>
  </si>
  <si>
    <t>GR2324-014307</t>
  </si>
  <si>
    <t>GR2324-014308</t>
  </si>
  <si>
    <t>GR2324-014309</t>
  </si>
  <si>
    <t>GR2324-014310</t>
  </si>
  <si>
    <t>158678 recd from Winnie HDFC payment gateway on 5 Jan</t>
  </si>
  <si>
    <t>18 Dec (HDFC) paid to Impulse</t>
  </si>
  <si>
    <t>Devesh Chafekar (CCUBOM) - 6 Jan</t>
  </si>
  <si>
    <t>IW/2324/4386302</t>
  </si>
  <si>
    <t>IE/2324/506163
(Invoice No- ID/2324/429598)</t>
  </si>
  <si>
    <t>CN/2023-24/00018</t>
  </si>
  <si>
    <t>Dev Shah CCU BOM Cancellation</t>
  </si>
  <si>
    <t xml:space="preserve"> IE/2324/503616
(Invoice No- IW/2324/4247444)</t>
  </si>
  <si>
    <t>IE/2324/503614
(Invoice No- IW/2324/4049189)</t>
  </si>
  <si>
    <t>Jade Preet Nandwani Cancellation (DEL BLR)</t>
  </si>
  <si>
    <t>Jade Preet Nandwani Cancellation (BLR DEL)</t>
  </si>
  <si>
    <t>5426 adjusted with Credit note 18</t>
  </si>
  <si>
    <t>CN/2023-24/00019</t>
  </si>
  <si>
    <t xml:space="preserve">(8042-5426=2616) </t>
  </si>
  <si>
    <t>adjusted with invoice 134</t>
  </si>
  <si>
    <t>20339 paid on</t>
  </si>
  <si>
    <t>2616 adjusted with invoice 134</t>
  </si>
  <si>
    <t>CN 18 and 19 adjusted.</t>
  </si>
  <si>
    <t>Adjusted with credit note 19</t>
  </si>
  <si>
    <t>adjusted with invoice 133. Bal 4335 to be adjusted</t>
  </si>
  <si>
    <t>GSH/2023-24/00137</t>
  </si>
  <si>
    <t>Jade - Devesh Chafekar (CCU - BOM) MEAL</t>
  </si>
  <si>
    <t>paid by credit card on 05 Jan 24</t>
  </si>
  <si>
    <t xml:space="preserve">	ID/2324/452217</t>
  </si>
  <si>
    <t>Smita Jain (BOM CCU) - 11 Jan</t>
  </si>
  <si>
    <t>IW/2324/4418817</t>
  </si>
  <si>
    <t>Jade - Devesh Chafekar (CCU - BOM) Reissue - 7 Jan</t>
  </si>
  <si>
    <t>Smita Jain (CCU BOM) - 11 Jan</t>
  </si>
  <si>
    <t>IW/2324/4418878</t>
  </si>
  <si>
    <t>164000 recd from Thomas on 09 Jan HDFC</t>
  </si>
  <si>
    <t>Simran Grewal (DEL IXC) - 10 Jan</t>
  </si>
  <si>
    <t>IW/2324/4439694</t>
  </si>
  <si>
    <t>30566 paid on 10 Jan</t>
  </si>
  <si>
    <t>77320 paid to Nivalink on 10 Jan</t>
  </si>
  <si>
    <t>11 Jan (cheque)</t>
  </si>
  <si>
    <t>Karishma Rewari (BOM AMD) - 30 Jan</t>
  </si>
  <si>
    <t>Karishma Rewari (AMD BOM) - 30 Jan</t>
  </si>
  <si>
    <t>Karishma Rewari (BOM AMD) - 5 FEB</t>
  </si>
  <si>
    <t>Karishma Rewari (AMD BOM) - 7 Feb</t>
  </si>
  <si>
    <t>IW/2324/4481369</t>
  </si>
  <si>
    <t>IW/2324/4481451</t>
  </si>
  <si>
    <t>IW/2324/4481537</t>
  </si>
  <si>
    <t>IW/2324/4481611</t>
  </si>
  <si>
    <t>Anju Motihar (comm)</t>
  </si>
  <si>
    <t>Simran Grewal (IXC JAI) - 24 Jan</t>
  </si>
  <si>
    <t>Simran Grewal (JAI IXC) - 25 Jan</t>
  </si>
  <si>
    <t>IW/2324/4482960</t>
  </si>
  <si>
    <t xml:space="preserve"> IW/2324/4483024</t>
  </si>
  <si>
    <t>GSH/2023-24/00138</t>
  </si>
  <si>
    <t>Jade Simran Grewal Jai Hotel</t>
  </si>
  <si>
    <t>Kanota Resorts (Narain Niwas JAI)</t>
  </si>
  <si>
    <t>Kartik + Arabesh (CCU BOM) - 15 Jan</t>
  </si>
  <si>
    <t>Dayaben + Pratik (AMD BOM) - 15 Jan</t>
  </si>
  <si>
    <t>Gopalakrishnan Krishnan (Salem BOM) - 15 Jan</t>
  </si>
  <si>
    <t xml:space="preserve"> IW/2324/4497354</t>
  </si>
  <si>
    <t>IW/2324/4497579</t>
  </si>
  <si>
    <t>IW/2324/4497655</t>
  </si>
  <si>
    <t>Chayan Pal (CCU BOM) - 15 Jan</t>
  </si>
  <si>
    <t>IW/2324/4502724</t>
  </si>
  <si>
    <t>GSH/2023-24/00139</t>
  </si>
  <si>
    <t>Nehal Vinod Shah (Sid Shah Seats EY)</t>
  </si>
  <si>
    <t>IW/2324/4499924</t>
  </si>
  <si>
    <t>CN/2023-24/00020</t>
  </si>
  <si>
    <t>Jade Kartik Manna Cancellation (CCUBOM)</t>
  </si>
  <si>
    <t>15 Jan (cheque Anu sheth)</t>
  </si>
  <si>
    <t>Gopalakrishnan Krishnan (BOM CJB) - 16 Jan</t>
  </si>
  <si>
    <t>IW/2324/4520647</t>
  </si>
  <si>
    <t>Arabesh Mal + Chayan Pal (BOM CCU) 16 Jan</t>
  </si>
  <si>
    <t>IW/2324/4520813</t>
  </si>
  <si>
    <t>77923 recd on 15 Jan</t>
  </si>
  <si>
    <t>7216 adjusted with payment recd. 77923 recd on 15 Jan</t>
  </si>
  <si>
    <t>GSH/2023-24/00140</t>
  </si>
  <si>
    <t>IW/2324/4532299</t>
  </si>
  <si>
    <t>Dayaben + Pratik (BOM AMD) - 21 Jan</t>
  </si>
  <si>
    <t>IW/2324/4540212</t>
  </si>
  <si>
    <t>23000 paid to parallel hotel on 18 Jan</t>
  </si>
  <si>
    <t>Adjusted with TBO payment for Inv 139. Bal 82 adjusted with TBO payment for inv 136</t>
  </si>
  <si>
    <t>111367 paid to TBO on 18 Jan</t>
  </si>
  <si>
    <t>GSH/2023-24/00141</t>
  </si>
  <si>
    <t>adjusted with credit note 20 (8129-8057)</t>
  </si>
  <si>
    <t>72 adjusted from CN 20</t>
  </si>
  <si>
    <t>Jade Smita Jain (BOM DEL) - 23 Jan</t>
  </si>
  <si>
    <t>Jade Smita Jain (DEL BOM) - 24 Jan</t>
  </si>
  <si>
    <t>IW/2324/4576352</t>
  </si>
  <si>
    <t>IW/2324/4576535</t>
  </si>
  <si>
    <t>GSH/2023-24/00142</t>
  </si>
  <si>
    <t>Nehal Vinod Shah (Sid Shah and Dev Shah Pranaam)</t>
  </si>
  <si>
    <t>Pranaam Adani One</t>
  </si>
  <si>
    <t>Paid by credit card on 19 Jan</t>
  </si>
  <si>
    <t xml:space="preserve">Dev SFO BOM Ticket </t>
  </si>
  <si>
    <t>IW/2324/4587055</t>
  </si>
  <si>
    <t>GSH/2023-24/00143</t>
  </si>
  <si>
    <t>Sarayu Patel</t>
  </si>
  <si>
    <t>IW/2324/4590441</t>
  </si>
  <si>
    <t>IW/2324/4590518</t>
  </si>
  <si>
    <t>GSH/2023-24/00144</t>
  </si>
  <si>
    <t>Sanhouet Marie Estelle GERBER</t>
  </si>
  <si>
    <t>Pranaam Service</t>
  </si>
  <si>
    <t>Paid by credit card on 22 Jan</t>
  </si>
  <si>
    <t>IW/2324/4609297</t>
  </si>
  <si>
    <t>GSH/2023-24/00145</t>
  </si>
  <si>
    <t>TBOI</t>
  </si>
  <si>
    <t>IW/2324/4616754</t>
  </si>
  <si>
    <t xml:space="preserve"> MW/2324/266520</t>
  </si>
  <si>
    <t>GSH/2023-24/00146</t>
  </si>
  <si>
    <t>Transport</t>
  </si>
  <si>
    <t>167207 recd on 24 Jan</t>
  </si>
  <si>
    <t>BOS-290540</t>
  </si>
  <si>
    <t>Simran Grewal (Jai DEL)</t>
  </si>
  <si>
    <t>IW/2324/4651584</t>
  </si>
  <si>
    <t>18465 (4730+13735) paid to Ottila on 25 Jan</t>
  </si>
  <si>
    <t>Paid TBO on 25 Jan</t>
  </si>
  <si>
    <t>Simran JAI IXC cancellation</t>
  </si>
  <si>
    <t>IZ/2324/216338</t>
  </si>
  <si>
    <t>20181 paid to TBO on 25 Jan</t>
  </si>
  <si>
    <t>22819-3752=19067 paid on 25 Jan</t>
  </si>
  <si>
    <t>3752 adjusted with pmt made on 25 Jan to TBO INV 141</t>
  </si>
  <si>
    <t>4151+9656=13807 paid to TBO on 25 Jan</t>
  </si>
  <si>
    <t>Paid on 25 Jan</t>
  </si>
  <si>
    <t>GSH/2023-24/00147</t>
  </si>
  <si>
    <t>IW/2324/4664207</t>
  </si>
  <si>
    <t>IW/2324/4664249</t>
  </si>
  <si>
    <t>Monica (BOMDEL) 30 Jan</t>
  </si>
  <si>
    <t>IW/2324/4667353</t>
  </si>
  <si>
    <t>Amantra Travels</t>
  </si>
  <si>
    <t>Monica DEL BOM 30 Jan</t>
  </si>
  <si>
    <t>IW/2324/4685331</t>
  </si>
  <si>
    <t>Paid by credit card on 29 Jan</t>
  </si>
  <si>
    <t>Monica Pranaam DEL 30 Jan</t>
  </si>
  <si>
    <t>Received INR 8647-4335=4312 on 23 Jan</t>
  </si>
  <si>
    <t>1785 Paid on 25 Jan</t>
  </si>
  <si>
    <t>GSH/2023-24/00148</t>
  </si>
  <si>
    <t>Hotel Residency Fort</t>
  </si>
  <si>
    <t>BOS-291524</t>
  </si>
  <si>
    <t>5499 paid to ottila on 29 Jan</t>
  </si>
  <si>
    <t>BOS-291624</t>
  </si>
  <si>
    <t>Pooja Joshi (DEL BLR) 6 Feb</t>
  </si>
  <si>
    <t>IW/2324/4724081</t>
  </si>
  <si>
    <t>Pooja Joshi (BLR DEL) 6 Feb</t>
  </si>
  <si>
    <t>IW/2324/4724147</t>
  </si>
  <si>
    <t>IW/2324/4727803</t>
  </si>
  <si>
    <t>Paid on 29 Jan 24</t>
  </si>
  <si>
    <t>Consulate General of Switzerland (SCHAEFFLER, Marc Pierre)</t>
  </si>
  <si>
    <t>GSH/2023-24/00149</t>
  </si>
  <si>
    <t>Karin Monika Sutter-Breitenmoser</t>
  </si>
  <si>
    <t>BOS-292036</t>
  </si>
  <si>
    <t>Paid on 31 Jan 24</t>
  </si>
  <si>
    <t>Recd in HDFC on 1 Feb</t>
  </si>
  <si>
    <t>GSH/2023-24/00150</t>
  </si>
  <si>
    <t>Paid by credit card on 31 Jan</t>
  </si>
  <si>
    <t>`</t>
  </si>
  <si>
    <t>IW/2324/4755378</t>
  </si>
  <si>
    <t>Simran Grewal (DEL IXC) 2 Feb</t>
  </si>
  <si>
    <t>17283 paid on 31 jan</t>
  </si>
  <si>
    <t>GSH/2023-24/00151</t>
  </si>
  <si>
    <t>GSH/2023-24/00152</t>
  </si>
  <si>
    <t>GSH/2023-24/00153</t>
  </si>
  <si>
    <t>GSH/2023-24/00154</t>
  </si>
  <si>
    <t>GSH/2023-24/00155</t>
  </si>
  <si>
    <t>Part Cancellation of GSH/2023-24/00136 dated 5 Jan</t>
  </si>
  <si>
    <t>11055 adjusted with invoice no 141 dt 19 Jan</t>
  </si>
  <si>
    <t>GSH/2023-24/00156</t>
  </si>
  <si>
    <t>Jade Simran Grewal (DEL - IXC) - 06 Feb</t>
  </si>
  <si>
    <t>IW/2324/4825573</t>
  </si>
  <si>
    <t>Simran Grewal (IXC BLR) 08 Feb</t>
  </si>
  <si>
    <t>IW/2324/4825758</t>
  </si>
  <si>
    <t>Simran Grewal (BLR DEL) 08 Feb</t>
  </si>
  <si>
    <t>IW/2324/4825875</t>
  </si>
  <si>
    <t>59265 paid on 6 Feb 24</t>
  </si>
  <si>
    <t>GSH/2023-24/00157</t>
  </si>
  <si>
    <t>IW/2324/4839842</t>
  </si>
  <si>
    <t>IW/2324/4839579</t>
  </si>
  <si>
    <t>GSH/2023-24/00158</t>
  </si>
  <si>
    <t>Consulate General of Switzerland (Mr Pascal Joseph Elie Gravot)</t>
  </si>
  <si>
    <t>IW/2324/4845608</t>
  </si>
  <si>
    <t>Paid by credit card on 6 Feb</t>
  </si>
  <si>
    <t>IW/2324/4847206</t>
  </si>
  <si>
    <t>9100 recd on 7 Feb</t>
  </si>
  <si>
    <t>1000 recd on 7 Feb</t>
  </si>
  <si>
    <t>GSH/2023-24/00159</t>
  </si>
  <si>
    <t>FabCars</t>
  </si>
  <si>
    <t>Jade - Monica Delhi 30 Jan</t>
  </si>
  <si>
    <t>Simran Jaipur 24 and 25 Jan</t>
  </si>
  <si>
    <t>FC2324-069901</t>
  </si>
  <si>
    <t>FD2324-015481</t>
  </si>
  <si>
    <t>cash deposited on 06 Feb</t>
  </si>
  <si>
    <t>101716 recd on 7 Feb</t>
  </si>
  <si>
    <t>Simran Grewal (DEL IXC) - 09 Feb</t>
  </si>
  <si>
    <t>IW/2324/4903158</t>
  </si>
  <si>
    <t>GSH/2023-24/00160</t>
  </si>
  <si>
    <t>ID/2324/507018</t>
  </si>
  <si>
    <t>36453 paid on 12 Feb</t>
  </si>
  <si>
    <t>99766 paid on 12 Feb 24</t>
  </si>
  <si>
    <t>6209 paid on 12 Feb 24</t>
  </si>
  <si>
    <t>13036 paid on 7 Feb</t>
  </si>
  <si>
    <t>66563 paid on 12 Feb</t>
  </si>
  <si>
    <t>recd on 15 Feb</t>
  </si>
  <si>
    <t>Paid on 12 Feb</t>
  </si>
  <si>
    <t>VW23/ 13017</t>
  </si>
  <si>
    <t>Recd 99763 on 17 Feb</t>
  </si>
  <si>
    <t>GSH/2023-24/00161</t>
  </si>
  <si>
    <t>Simran Grewal (DEL AMD) - 27 Feb</t>
  </si>
  <si>
    <t>Simran Grewal (AMD DEL) -  27 Feb</t>
  </si>
  <si>
    <t>IW/2324/5145760</t>
  </si>
  <si>
    <t>IW/2324/5145860</t>
  </si>
  <si>
    <t>GSH/2023-24/00162</t>
  </si>
  <si>
    <t>Jade Nehal Delhi Car 1 Feb</t>
  </si>
  <si>
    <t>GR2324-016544</t>
  </si>
  <si>
    <t>GSH/2023-24/00163</t>
  </si>
  <si>
    <t>KEYSTONE REALTORS LIMITED</t>
  </si>
  <si>
    <t>27AAACK2499Q1ZS</t>
  </si>
  <si>
    <t>IW/2324/5239151</t>
  </si>
  <si>
    <t>Amit Bhalotia Commission Invoice</t>
  </si>
  <si>
    <t>GSH/2023-24/00164</t>
  </si>
  <si>
    <t>582 recd on 12 Feb</t>
  </si>
  <si>
    <t>9799 paid on 2 March</t>
  </si>
  <si>
    <t>GSH/2023-24/00165</t>
  </si>
  <si>
    <t>Paid on 02 March 2024</t>
  </si>
  <si>
    <t>SM/2324/1336184</t>
  </si>
  <si>
    <t>Riya Forex / White Lillies</t>
  </si>
  <si>
    <t xml:space="preserve">1% TDS WILL BE DEDUCTED. </t>
  </si>
  <si>
    <t>Paid on 04 March 2024</t>
  </si>
  <si>
    <t>336486 (AFTER tds)</t>
  </si>
  <si>
    <t>GSH/2023-24/00166</t>
  </si>
  <si>
    <t>Simran Grewal</t>
  </si>
  <si>
    <t>GSH/2023-24/00167</t>
  </si>
  <si>
    <t>Consulate General of Switzerland (Mrs Cynthia Cagli)</t>
  </si>
  <si>
    <t>IW/2324/5294340</t>
  </si>
  <si>
    <t>BOS-301800</t>
  </si>
  <si>
    <t>Recd on 4 March</t>
  </si>
  <si>
    <t>Recd 339885 on 5 March</t>
  </si>
  <si>
    <t>Refunded 3399 TDS on 5 March</t>
  </si>
  <si>
    <t>recd on 5 March</t>
  </si>
  <si>
    <t>13401 recd in BOB on 5 March</t>
  </si>
  <si>
    <t>GSH/2023-24/00168</t>
  </si>
  <si>
    <t>Bird Group Vietjet Airline</t>
  </si>
  <si>
    <t>Paid on 6 March 2024</t>
  </si>
  <si>
    <t>IW/2324/5327220</t>
  </si>
  <si>
    <t>200049 Paid on 04 March 2024</t>
  </si>
  <si>
    <t>47250 Paid on 02 March 2024</t>
  </si>
  <si>
    <t>SM/2324/1359083</t>
  </si>
  <si>
    <t>GSH/2023-24/00169</t>
  </si>
  <si>
    <t>GSH/2023-24/00170</t>
  </si>
  <si>
    <t>IW/2324/5338820</t>
  </si>
  <si>
    <t>366+24000 on 7 March</t>
  </si>
  <si>
    <t>Paid on 7 March</t>
  </si>
  <si>
    <t xml:space="preserve">Transferred to ICICI on 8 March </t>
  </si>
  <si>
    <t>54674 recd on 8 March</t>
  </si>
  <si>
    <t>paid on 2 March</t>
  </si>
  <si>
    <t>Paid on 8 March</t>
  </si>
  <si>
    <t>59427+6750=66177 paid on 8 March</t>
  </si>
  <si>
    <t>43000 recd on 8 March</t>
  </si>
  <si>
    <t>114875 (AFTER tds)</t>
  </si>
  <si>
    <t>114875 recd on 11 March 2024</t>
  </si>
  <si>
    <t>2614 deposited on 11 March 24</t>
  </si>
  <si>
    <t>GSH/2023-24/00171</t>
  </si>
  <si>
    <t>Consulate General of Switzerland (Mr Ivo Ralph Egger)</t>
  </si>
  <si>
    <t>IW/2324/5419909</t>
  </si>
  <si>
    <t>IW/2324/5419972</t>
  </si>
  <si>
    <t>Paid by credit card on 13 Mar 24</t>
  </si>
  <si>
    <t>GSH/2023-24/00172</t>
  </si>
  <si>
    <t>12120 paid on 15 March 2024</t>
  </si>
  <si>
    <t>65606 paid to TBO on 16 March</t>
  </si>
  <si>
    <t>Shilpa Patkar</t>
  </si>
  <si>
    <t>GSH/2023-24/00173</t>
  </si>
  <si>
    <t>IW/2324/5475108</t>
  </si>
  <si>
    <t>241108 recd on 19 March 2024</t>
  </si>
  <si>
    <t>21560 recd on 16 March 2024</t>
  </si>
  <si>
    <t>234028 paid on 19 March 2024</t>
  </si>
  <si>
    <t>84638 recd on 19 March 24</t>
  </si>
  <si>
    <t>GSH/2023-24/00174</t>
  </si>
  <si>
    <t>Bird Travels Vietjet</t>
  </si>
  <si>
    <t>Paid on 20 March 2024</t>
  </si>
  <si>
    <t>Paid by credit card on 27 MaRCH</t>
  </si>
  <si>
    <t>7339 recd on 02 April</t>
  </si>
  <si>
    <t>1719 cash on 4 April</t>
  </si>
  <si>
    <t>Anurag Mody</t>
  </si>
  <si>
    <t>Parul Dharia</t>
  </si>
  <si>
    <t>Prachi Dharia</t>
  </si>
  <si>
    <t>Bindi Shah</t>
  </si>
  <si>
    <t>Abhay Singh</t>
  </si>
  <si>
    <t>Padma Desai</t>
  </si>
  <si>
    <t xml:space="preserve">Month </t>
  </si>
  <si>
    <t>Revenue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</si>
  <si>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</si>
  <si>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</si>
  <si>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</si>
  <si>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</si>
  <si>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</si>
  <si>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</si>
  <si>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</si>
  <si>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</si>
  <si>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</si>
  <si>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</si>
  <si>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</si>
  <si>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</si>
  <si>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 GST</t>
  </si>
  <si>
    <t>Row Labels</t>
  </si>
  <si>
    <t>Grand Total</t>
  </si>
  <si>
    <t>Sum of Revenue</t>
  </si>
  <si>
    <t>Month</t>
  </si>
  <si>
    <t xml:space="preserve">Business type </t>
  </si>
  <si>
    <t>Others</t>
  </si>
  <si>
    <t xml:space="preserve">Top 3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</si>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</sst>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"/>
    <numFmt numFmtId="166" formatCode="_ * #,##0_ ;_ * \-#,##0_ ;_ 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sz val="9"/>
      <name val="Arial Narrow"/>
      <family val="2"/>
    </font>
    <font>
      <sz val="9"/>
      <color rgb="FF222222"/>
      <name val="Arial Narrow"/>
      <family val="2"/>
    </font>
    <font>
      <b/>
      <sz val="9"/>
      <color rgb="FF222222"/>
      <name val="Arial Narrow"/>
      <family val="2"/>
    </font>
    <font>
      <sz val="9"/>
      <color rgb="FF002060"/>
      <name val="Arial Narrow"/>
      <family val="2"/>
    </font>
    <font>
      <b/>
      <sz val="9"/>
      <color theme="5"/>
      <name val="Arial Narrow"/>
      <family val="2"/>
    </font>
    <font>
      <b/>
      <sz val="9"/>
      <color theme="5" tint="-0.249977111117893"/>
      <name val="Arial Narrow"/>
      <family val="2"/>
    </font>
    <font>
      <sz val="9"/>
      <color theme="4" tint="-0.249977111117893"/>
      <name val="Arial Narrow"/>
      <family val="2"/>
    </font>
    <font>
      <b/>
      <sz val="9"/>
      <color theme="8"/>
      <name val="Arial Narrow"/>
      <family val="2"/>
    </font>
    <font>
      <sz val="9"/>
      <color theme="5" tint="-0.249977111117893"/>
      <name val="Arial Narrow"/>
      <family val="2"/>
    </font>
    <font>
      <sz val="9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9"/>
      <color rgb="FF00B0F0"/>
      <name val="Arial Narrow"/>
      <family val="2"/>
    </font>
    <font>
      <b/>
      <sz val="9"/>
      <name val="Arial Narrow"/>
      <family val="2"/>
    </font>
    <font>
      <sz val="9"/>
      <color theme="8" tint="-0.249977111117893"/>
      <name val="Arial Narrow"/>
      <family val="2"/>
    </font>
    <font>
      <b/>
      <sz val="9"/>
      <color theme="8" tint="-0.249977111117893"/>
      <name val="Arial Narrow"/>
      <family val="2"/>
    </font>
    <font>
      <sz val="9"/>
      <color rgb="FFC00000"/>
      <name val="Arial Narrow"/>
      <family val="2"/>
    </font>
    <font>
      <sz val="9"/>
      <color rgb="FF00B050"/>
      <name val="Arial Narrow"/>
      <family val="2"/>
    </font>
    <font>
      <sz val="9"/>
      <color rgb="FF0070C0"/>
      <name val="Arial Narrow"/>
      <family val="2"/>
    </font>
    <font>
      <sz val="9"/>
      <color rgb="FF000000"/>
      <name val="Arial Narrow"/>
      <family val="2"/>
    </font>
    <font>
      <b/>
      <sz val="9"/>
      <color rgb="FF00B050"/>
      <name val="Arial Narrow"/>
      <family val="2"/>
    </font>
    <font>
      <sz val="9"/>
      <color theme="7" tint="-0.249977111117893"/>
      <name val="Arial Narrow"/>
      <family val="2"/>
    </font>
    <font>
      <sz val="9"/>
      <color theme="4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5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" fontId="3" fillId="9" borderId="1" xfId="0" applyNumberFormat="1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5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5" fontId="6" fillId="0" borderId="1" xfId="0" applyNumberFormat="1" applyFont="1" applyBorder="1" applyAlignment="1">
      <alignment horizontal="center" vertical="center"/>
    </xf>
    <xf numFmtId="16" fontId="4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1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" fontId="3" fillId="9" borderId="1" xfId="0" applyNumberFormat="1" applyFont="1" applyFill="1" applyBorder="1" applyAlignment="1">
      <alignment horizontal="center" vertical="center" wrapText="1"/>
    </xf>
    <xf numFmtId="15" fontId="3" fillId="9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5" fontId="3" fillId="6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16" fontId="3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5" fontId="3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5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5" fontId="6" fillId="3" borderId="1" xfId="0" applyNumberFormat="1" applyFont="1" applyFill="1" applyBorder="1" applyAlignment="1">
      <alignment horizontal="center" vertical="center"/>
    </xf>
    <xf numFmtId="15" fontId="6" fillId="3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5" fontId="23" fillId="2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5" fontId="6" fillId="0" borderId="4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5" fontId="6" fillId="0" borderId="4" xfId="0" applyNumberFormat="1" applyFont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5" fontId="12" fillId="0" borderId="1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15" fontId="25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" fontId="25" fillId="2" borderId="1" xfId="0" applyNumberFormat="1" applyFont="1" applyFill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5" fontId="6" fillId="4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16" fontId="6" fillId="2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/>
    <xf numFmtId="43" fontId="0" fillId="0" borderId="0" xfId="2" applyFont="1"/>
    <xf numFmtId="14" fontId="0" fillId="0" borderId="1" xfId="0" applyNumberFormat="1" applyBorder="1"/>
    <xf numFmtId="0" fontId="0" fillId="0" borderId="1" xfId="0" applyBorder="1"/>
    <xf numFmtId="166" fontId="0" fillId="0" borderId="1" xfId="2" applyNumberFormat="1" applyFont="1" applyBorder="1"/>
    <xf numFmtId="0" fontId="29" fillId="0" borderId="0" xfId="0" applyFont="1"/>
    <xf numFmtId="14" fontId="28" fillId="16" borderId="1" xfId="0" applyNumberFormat="1" applyFont="1" applyFill="1" applyBorder="1"/>
    <xf numFmtId="0" fontId="28" fillId="16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1 '!$E$3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'Chart 1 '!$D$4:$D$15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1 '!$E$4:$E$15</c:f>
              <c:numCache>
                <c:formatCode>_(* #,##0.00_);_(* \(#,##0.00\);_(* "-"??_);_(@_)</c:formatCode>
                <c:ptCount val="12"/>
                <c:pt idx="0">
                  <c:v>1149326</c:v>
                </c:pt>
                <c:pt idx="1">
                  <c:v>2157626</c:v>
                </c:pt>
                <c:pt idx="2">
                  <c:v>928135</c:v>
                </c:pt>
                <c:pt idx="3">
                  <c:v>2921942</c:v>
                </c:pt>
                <c:pt idx="4">
                  <c:v>2705358</c:v>
                </c:pt>
                <c:pt idx="5">
                  <c:v>933060.9</c:v>
                </c:pt>
                <c:pt idx="6">
                  <c:v>930999</c:v>
                </c:pt>
                <c:pt idx="7">
                  <c:v>1758393</c:v>
                </c:pt>
                <c:pt idx="8">
                  <c:v>2273504</c:v>
                </c:pt>
                <c:pt idx="9">
                  <c:v>2410465</c:v>
                </c:pt>
                <c:pt idx="10">
                  <c:v>1868477</c:v>
                </c:pt>
                <c:pt idx="11">
                  <c:v>1202179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F-4904-8190-F9F495D3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49568"/>
        <c:axId val="151142496"/>
      </c:lineChart>
      <c:catAx>
        <c:axId val="1511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2496"/>
        <c:crosses val="autoZero"/>
        <c:auto val="1"/>
        <c:lblAlgn val="ctr"/>
        <c:lblOffset val="100"/>
        <c:noMultiLvlLbl val="0"/>
      </c:catAx>
      <c:valAx>
        <c:axId val="1511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4%</a:t>
            </a:r>
            <a:r>
              <a:rPr lang="en-IN" baseline="0"/>
              <a:t> </a:t>
            </a:r>
            <a:r>
              <a:rPr lang="en-IN"/>
              <a:t>Other</a:t>
            </a:r>
            <a:r>
              <a:rPr lang="en-IN" baseline="0"/>
              <a:t>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8D4-4725-AC4E-17CB855C67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8D4-4725-AC4E-17CB855C67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8D4-4725-AC4E-17CB855C67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8D4-4725-AC4E-17CB855C67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8D4-4725-AC4E-17CB855C67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8D4-4725-AC4E-17CB855C67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8D4-4725-AC4E-17CB855C67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8D4-4725-AC4E-17CB855C67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8D4-4725-AC4E-17CB855C679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D4-4725-AC4E-17CB855C679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D4-4725-AC4E-17CB855C679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D4-4725-AC4E-17CB855C679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4-4725-AC4E-17CB855C679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D4-4725-AC4E-17CB855C679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D4-4725-AC4E-17CB855C679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8D4-4725-AC4E-17CB855C679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2'!$D$4:$D$12</c:f>
              <c:strCache>
                <c:ptCount val="9"/>
                <c:pt idx="0">
                  <c:v>Car</c:v>
                </c:pt>
                <c:pt idx="1">
                  <c:v>Cruise</c:v>
                </c:pt>
                <c:pt idx="2">
                  <c:v>Go City Pass</c:v>
                </c:pt>
                <c:pt idx="3">
                  <c:v>Guide</c:v>
                </c:pt>
                <c:pt idx="4">
                  <c:v>Insurance</c:v>
                </c:pt>
                <c:pt idx="5">
                  <c:v>Marhaba</c:v>
                </c:pt>
                <c:pt idx="6">
                  <c:v>Meet and Assist</c:v>
                </c:pt>
                <c:pt idx="7">
                  <c:v>Transport</c:v>
                </c:pt>
                <c:pt idx="8">
                  <c:v>Visa</c:v>
                </c:pt>
              </c:strCache>
            </c:strRef>
          </c:cat>
          <c:val>
            <c:numRef>
              <c:f>'Chart 2'!$E$4:$E$12</c:f>
              <c:numCache>
                <c:formatCode>General</c:formatCode>
                <c:ptCount val="9"/>
                <c:pt idx="0">
                  <c:v>394135</c:v>
                </c:pt>
                <c:pt idx="1">
                  <c:v>99320</c:v>
                </c:pt>
                <c:pt idx="2">
                  <c:v>28060</c:v>
                </c:pt>
                <c:pt idx="3">
                  <c:v>4452</c:v>
                </c:pt>
                <c:pt idx="4">
                  <c:v>24339</c:v>
                </c:pt>
                <c:pt idx="5">
                  <c:v>26639</c:v>
                </c:pt>
                <c:pt idx="6">
                  <c:v>62220</c:v>
                </c:pt>
                <c:pt idx="7">
                  <c:v>23906</c:v>
                </c:pt>
                <c:pt idx="8">
                  <c:v>283168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D4-4725-AC4E-17CB855C67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96% Core</a:t>
            </a:r>
            <a:r>
              <a:rPr lang="en-IN" baseline="0"/>
              <a:t> business</a:t>
            </a:r>
          </a:p>
        </c:rich>
      </c:tx>
      <c:layout>
        <c:manualLayout>
          <c:xMode val="edge"/>
          <c:yMode val="edge"/>
          <c:x val="0.3286499826702185"/>
          <c:y val="3.200501327872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4A-4165-BECE-3287F2E65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4A-4165-BECE-3287F2E65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4A-4165-BECE-3287F2E6548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2'!$D$13:$D$15</c:f>
              <c:strCache>
                <c:ptCount val="3"/>
                <c:pt idx="0">
                  <c:v>Package</c:v>
                </c:pt>
                <c:pt idx="1">
                  <c:v>Ticket</c:v>
                </c:pt>
                <c:pt idx="2">
                  <c:v>Hotel</c:v>
                </c:pt>
              </c:strCache>
            </c:strRef>
          </c:cat>
          <c:val>
            <c:numRef>
              <c:f>'Chart 2'!$E$13:$E$15</c:f>
              <c:numCache>
                <c:formatCode>General</c:formatCode>
                <c:ptCount val="3"/>
                <c:pt idx="0">
                  <c:v>6181659.9000000004</c:v>
                </c:pt>
                <c:pt idx="1">
                  <c:v>12961265</c:v>
                </c:pt>
                <c:pt idx="2">
                  <c:v>1149485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4A-4165-BECE-3287F2E654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[BOOKINGS 2023-24_Aarav data cleaned.xlsx]Chart 3!PivotTable17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3'!$B$1:$B$2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3'!$B$3:$B$15</c:f>
              <c:numCache>
                <c:formatCode>General</c:formatCode>
                <c:ptCount val="12"/>
                <c:pt idx="3">
                  <c:v>25687</c:v>
                </c:pt>
                <c:pt idx="5">
                  <c:v>18612</c:v>
                </c:pt>
                <c:pt idx="6">
                  <c:v>9992</c:v>
                </c:pt>
                <c:pt idx="7">
                  <c:v>41189</c:v>
                </c:pt>
                <c:pt idx="8">
                  <c:v>0</c:v>
                </c:pt>
                <c:pt idx="9">
                  <c:v>78488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7DE-A4CE-B4D71CADB46D}"/>
            </c:ext>
          </c:extLst>
        </c:ser>
        <c:ser>
          <c:idx val="1"/>
          <c:order val="1"/>
          <c:tx>
            <c:strRef>
              <c:f>'Chart 3'!$C$1:$C$2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3'!$C$3:$C$15</c:f>
              <c:numCache>
                <c:formatCode>General</c:formatCode>
                <c:ptCount val="12"/>
                <c:pt idx="0">
                  <c:v>44867</c:v>
                </c:pt>
                <c:pt idx="1">
                  <c:v>22446</c:v>
                </c:pt>
                <c:pt idx="10">
                  <c:v>62138</c:v>
                </c:pt>
                <c:pt idx="11">
                  <c:v>90716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A-47DE-A4CE-B4D71CADB46D}"/>
            </c:ext>
          </c:extLst>
        </c:ser>
        <c:ser>
          <c:idx val="2"/>
          <c:order val="2"/>
          <c:tx>
            <c:strRef>
              <c:f>'Chart 3'!$D$1:$D$2</c:f>
              <c:strCache>
                <c:ptCount val="1"/>
                <c:pt idx="0">
                  <c:v>Cruise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3'!$D$3:$D$15</c:f>
              <c:numCache>
                <c:formatCode>General</c:formatCode>
                <c:ptCount val="12"/>
                <c:pt idx="9">
                  <c:v>99320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A-47DE-A4CE-B4D71CADB46D}"/>
            </c:ext>
          </c:extLst>
        </c:ser>
        <c:ser>
          <c:idx val="3"/>
          <c:order val="3"/>
          <c:tx>
            <c:strRef>
              <c:f>'Chart 3'!$E$1:$E$2</c:f>
              <c:strCache>
                <c:ptCount val="1"/>
                <c:pt idx="0">
                  <c:v>Go City Pass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3'!$E$3:$E$15</c:f>
              <c:numCache>
                <c:formatCode>General</c:formatCode>
                <c:ptCount val="12"/>
                <c:pt idx="10">
                  <c:v>28060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4A-47DE-A4CE-B4D71CADB46D}"/>
            </c:ext>
          </c:extLst>
        </c:ser>
        <c:ser>
          <c:idx val="4"/>
          <c:order val="4"/>
          <c:tx>
            <c:strRef>
              <c:f>'Chart 3'!$F$1:$F$2</c:f>
              <c:strCache>
                <c:ptCount val="1"/>
                <c:pt idx="0">
                  <c:v>Guide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3'!$F$3:$F$15</c:f>
              <c:numCache>
                <c:formatCode>General</c:formatCode>
                <c:ptCount val="12"/>
                <c:pt idx="10">
                  <c:v>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4A-47DE-A4CE-B4D71CADB46D}"/>
            </c:ext>
          </c:extLst>
        </c:ser>
        <c:ser>
          <c:idx val="5"/>
          <c:order val="5"/>
          <c:tx>
            <c:strRef>
              <c:f>'Chart 3'!$G$1:$G$2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3'!$G$3:$G$15</c:f>
              <c:numCache>
                <c:formatCode>General</c:formatCode>
                <c:ptCount val="12"/>
                <c:pt idx="0">
                  <c:v>27907</c:v>
                </c:pt>
                <c:pt idx="2">
                  <c:v>13041</c:v>
                </c:pt>
                <c:pt idx="3">
                  <c:v>74368</c:v>
                </c:pt>
                <c:pt idx="5">
                  <c:v>90348</c:v>
                </c:pt>
                <c:pt idx="7">
                  <c:v>108556</c:v>
                </c:pt>
                <c:pt idx="8">
                  <c:v>587071</c:v>
                </c:pt>
                <c:pt idx="9">
                  <c:v>42533</c:v>
                </c:pt>
                <c:pt idx="10">
                  <c:v>54601</c:v>
                </c:pt>
                <c:pt idx="11">
                  <c:v>151060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4A-47DE-A4CE-B4D71CADB46D}"/>
            </c:ext>
          </c:extLst>
        </c:ser>
        <c:ser>
          <c:idx val="6"/>
          <c:order val="6"/>
          <c:tx>
            <c:strRef>
              <c:f>'Chart 3'!$H$1:$H$2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3'!$H$3:$H$15</c:f>
              <c:numCache>
                <c:formatCode>General</c:formatCode>
                <c:ptCount val="12"/>
                <c:pt idx="0">
                  <c:v>390</c:v>
                </c:pt>
                <c:pt idx="1">
                  <c:v>492</c:v>
                </c:pt>
                <c:pt idx="4">
                  <c:v>17998</c:v>
                </c:pt>
                <c:pt idx="7">
                  <c:v>1001</c:v>
                </c:pt>
                <c:pt idx="8">
                  <c:v>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4A-47DE-A4CE-B4D71CADB46D}"/>
            </c:ext>
          </c:extLst>
        </c:ser>
        <c:ser>
          <c:idx val="7"/>
          <c:order val="7"/>
          <c:tx>
            <c:strRef>
              <c:f>'Chart 3'!$I$1:$I$2</c:f>
              <c:strCache>
                <c:ptCount val="1"/>
                <c:pt idx="0">
                  <c:v>Marhaba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3'!$I$3:$I$15</c:f>
              <c:numCache>
                <c:formatCode>General</c:formatCode>
                <c:ptCount val="12"/>
                <c:pt idx="8">
                  <c:v>26639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4A-47DE-A4CE-B4D71CADB46D}"/>
            </c:ext>
          </c:extLst>
        </c:ser>
        <c:ser>
          <c:idx val="8"/>
          <c:order val="8"/>
          <c:tx>
            <c:strRef>
              <c:f>'Chart 3'!$J$1:$J$2</c:f>
              <c:strCache>
                <c:ptCount val="1"/>
                <c:pt idx="0">
                  <c:v>Meet and Assist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3'!$J$3:$J$15</c:f>
              <c:numCache>
                <c:formatCode>General</c:formatCode>
                <c:ptCount val="12"/>
                <c:pt idx="0">
                  <c:v>62220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4A-47DE-A4CE-B4D71CADB46D}"/>
            </c:ext>
          </c:extLst>
        </c:ser>
        <c:ser>
          <c:idx val="9"/>
          <c:order val="9"/>
          <c:tx>
            <c:strRef>
              <c:f>'Chart 3'!$K$1:$K$2</c:f>
              <c:strCache>
                <c:ptCount val="1"/>
                <c:pt idx="0">
                  <c:v>Package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3'!$K$3:$K$15</c:f>
              <c:numCache>
                <c:formatCode>General</c:formatCode>
                <c:ptCount val="12"/>
                <c:pt idx="0">
                  <c:v>178040</c:v>
                </c:pt>
                <c:pt idx="1">
                  <c:v>1456547</c:v>
                </c:pt>
                <c:pt idx="2">
                  <c:v>514761</c:v>
                </c:pt>
                <c:pt idx="3">
                  <c:v>1672162</c:v>
                </c:pt>
                <c:pt idx="5">
                  <c:v>218293.9</c:v>
                </c:pt>
                <c:pt idx="9">
                  <c:v>560683</c:v>
                </c:pt>
                <c:pt idx="10">
                  <c:v>999368</c:v>
                </c:pt>
                <c:pt idx="11">
                  <c:v>581805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4A-47DE-A4CE-B4D71CADB46D}"/>
            </c:ext>
          </c:extLst>
        </c:ser>
        <c:ser>
          <c:idx val="10"/>
          <c:order val="10"/>
          <c:tx>
            <c:strRef>
              <c:f>'Chart 3'!$L$1:$L$2</c:f>
              <c:strCache>
                <c:ptCount val="1"/>
                <c:pt idx="0">
                  <c:v>Ticket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3'!$L$3:$L$15</c:f>
              <c:numCache>
                <c:formatCode>General</c:formatCode>
                <c:ptCount val="12"/>
                <c:pt idx="0">
                  <c:v>811996</c:v>
                </c:pt>
                <c:pt idx="1">
                  <c:v>657965</c:v>
                </c:pt>
                <c:pt idx="2">
                  <c:v>380213</c:v>
                </c:pt>
                <c:pt idx="3">
                  <c:v>1132173</c:v>
                </c:pt>
                <c:pt idx="4">
                  <c:v>2637490</c:v>
                </c:pt>
                <c:pt idx="5">
                  <c:v>596807</c:v>
                </c:pt>
                <c:pt idx="6">
                  <c:v>748852</c:v>
                </c:pt>
                <c:pt idx="7">
                  <c:v>1607647</c:v>
                </c:pt>
                <c:pt idx="8">
                  <c:v>1590936</c:v>
                </c:pt>
                <c:pt idx="9">
                  <c:v>1557861</c:v>
                </c:pt>
                <c:pt idx="10">
                  <c:v>689388</c:v>
                </c:pt>
                <c:pt idx="11">
                  <c:v>378598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4A-47DE-A4CE-B4D71CADB46D}"/>
            </c:ext>
          </c:extLst>
        </c:ser>
        <c:ser>
          <c:idx val="11"/>
          <c:order val="11"/>
          <c:tx>
            <c:strRef>
              <c:f>'Chart 3'!$M$1:$M$2</c:f>
              <c:strCache>
                <c:ptCount val="1"/>
                <c:pt idx="0">
                  <c:v>Tickets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3'!$M$3:$M$15</c:f>
              <c:numCache>
                <c:formatCode>General</c:formatCode>
                <c:ptCount val="12"/>
                <c:pt idx="6">
                  <c:v>171339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4A-47DE-A4CE-B4D71CADB46D}"/>
            </c:ext>
          </c:extLst>
        </c:ser>
        <c:ser>
          <c:idx val="12"/>
          <c:order val="12"/>
          <c:tx>
            <c:strRef>
              <c:f>'Chart 3'!$N$1:$N$2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3'!$N$3:$N$15</c:f>
              <c:numCache>
                <c:formatCode>General</c:formatCode>
                <c:ptCount val="12"/>
                <c:pt idx="0">
                  <c:v>23906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4A-47DE-A4CE-B4D71CADB46D}"/>
            </c:ext>
          </c:extLst>
        </c:ser>
        <c:ser>
          <c:idx val="13"/>
          <c:order val="13"/>
          <c:tx>
            <c:strRef>
              <c:f>'Chart 3'!$O$1:$O$2</c:f>
              <c:strCache>
                <c:ptCount val="1"/>
                <c:pt idx="0">
                  <c:v>Visa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3'!$A$3:$A$15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 3'!$O$3:$O$15</c:f>
              <c:numCache>
                <c:formatCode>General</c:formatCode>
                <c:ptCount val="12"/>
                <c:pt idx="1">
                  <c:v>20176</c:v>
                </c:pt>
                <c:pt idx="2">
                  <c:v>20120</c:v>
                </c:pt>
                <c:pt idx="3">
                  <c:v>17552</c:v>
                </c:pt>
                <c:pt idx="4">
                  <c:v>49870</c:v>
                </c:pt>
                <c:pt idx="5">
                  <c:v>9000</c:v>
                </c:pt>
                <c:pt idx="8">
                  <c:v>64400</c:v>
                </c:pt>
                <c:pt idx="9">
                  <c:v>71580</c:v>
                </c:pt>
                <c:pt idx="10">
                  <c:v>30470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4A-47DE-A4CE-B4D71CAD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1316272"/>
        <c:axId val="441311376"/>
      </c:barChart>
      <c:catAx>
        <c:axId val="4413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11376"/>
        <c:crosses val="autoZero"/>
        <c:auto val="1"/>
        <c:lblAlgn val="ctr"/>
        <c:lblOffset val="100"/>
        <c:noMultiLvlLbl val="0"/>
      </c:catAx>
      <c:valAx>
        <c:axId val="4413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2</xdr:row>
      <xdr:rowOff>12700</xdr:rowOff>
    </xdr:from>
    <xdr:to>
      <xdr:col>14</xdr:col>
      <xdr:colOff>492125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722968</xdr:colOff>
      <xdr:row>15</xdr:row>
      <xdr:rowOff>44824</xdr:rowOff>
    </xdr:from>
    <xdr:to>
      <xdr:col>13</xdr:col>
      <xdr:colOff>197223</xdr:colOff>
      <xdr:row>31</xdr:row>
      <xdr:rowOff>35858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632199</xdr:colOff>
      <xdr:row>1</xdr:row>
      <xdr:rowOff>9710</xdr:rowOff>
    </xdr:from>
    <xdr:to>
      <xdr:col>13</xdr:col>
      <xdr:colOff>164353</xdr:colOff>
      <xdr:row>13</xdr:row>
      <xdr:rowOff>149411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16</xdr:row>
      <xdr:rowOff>29210</xdr:rowOff>
    </xdr:from>
    <xdr:to>
      <xdr:col>13</xdr:col>
      <xdr:colOff>101600</xdr:colOff>
      <xdr:row>34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09.894665046297" createdVersion="5" refreshedVersion="5" minRefreshableVersion="3" recordCount="193" xr:uid="{00000000-000A-0000-FFFF-FFFF1E000000}">
  <cacheSource type="worksheet">
    <worksheetSource ref="B1:D194" sheet="Data required"/>
  </cacheSource>
  <cacheFields count="3">
    <cacheField name="Month " numFmtId="0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Revenue" numFmtId="166">
      <sharedItems containsSemiMixedTypes="0" containsString="0" containsNumber="1" minValue="0" maxValue="1069217"/>
    </cacheField>
    <cacheField name="Service" numFmtId="0">
      <sharedItems containsBlank="1" count="15">
        <s v="Ticket"/>
        <s v="Package"/>
        <s v="Hotel"/>
        <s v="Car"/>
        <s v="Visa"/>
        <s v="Insurance"/>
        <s v="Tickets"/>
        <s v="Marhaba"/>
        <s v="Cruise"/>
        <s v="Cars"/>
        <s v="Guide"/>
        <s v="Go City Pass"/>
        <s v="Meet and Assist"/>
        <s v="Transport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  <n v="71580"/>
    <x v="0"/>
  </r>
  <r>
    <x v="0"/>
    <n v="104800"/>
    <x v="0"/>
  </r>
  <r>
    <x v="0"/>
    <n v="446694"/>
    <x v="1"/>
  </r>
  <r>
    <x v="0"/>
    <n v="297370"/>
    <x v="1"/>
  </r>
  <r>
    <x v="0"/>
    <n v="222000"/>
    <x v="0"/>
  </r>
  <r>
    <x v="0"/>
    <n v="47413"/>
    <x v="2"/>
  </r>
  <r>
    <x v="0"/>
    <n v="461810"/>
    <x v="0"/>
  </r>
  <r>
    <x v="0"/>
    <n v="378143"/>
    <x v="1"/>
  </r>
  <r>
    <x v="0"/>
    <n v="9100"/>
    <x v="2"/>
  </r>
  <r>
    <x v="0"/>
    <n v="25687"/>
    <x v="3"/>
  </r>
  <r>
    <x v="0"/>
    <n v="7462"/>
    <x v="4"/>
  </r>
  <r>
    <x v="0"/>
    <n v="55683"/>
    <x v="0"/>
  </r>
  <r>
    <x v="0"/>
    <n v="238865"/>
    <x v="1"/>
  </r>
  <r>
    <x v="0"/>
    <n v="10090"/>
    <x v="4"/>
  </r>
  <r>
    <x v="0"/>
    <n v="311090"/>
    <x v="1"/>
  </r>
  <r>
    <x v="0"/>
    <n v="38550"/>
    <x v="0"/>
  </r>
  <r>
    <x v="0"/>
    <n v="34500"/>
    <x v="0"/>
  </r>
  <r>
    <x v="0"/>
    <n v="17855"/>
    <x v="2"/>
  </r>
  <r>
    <x v="0"/>
    <n v="71580"/>
    <x v="0"/>
  </r>
  <r>
    <x v="0"/>
    <n v="60834"/>
    <x v="0"/>
  </r>
  <r>
    <x v="0"/>
    <n v="10836"/>
    <x v="0"/>
  </r>
  <r>
    <x v="1"/>
    <n v="317052"/>
    <x v="0"/>
  </r>
  <r>
    <x v="1"/>
    <n v="22361"/>
    <x v="0"/>
  </r>
  <r>
    <x v="1"/>
    <n v="157463"/>
    <x v="0"/>
  </r>
  <r>
    <x v="1"/>
    <n v="682557"/>
    <x v="0"/>
  </r>
  <r>
    <x v="1"/>
    <n v="17998"/>
    <x v="5"/>
  </r>
  <r>
    <x v="1"/>
    <n v="29802"/>
    <x v="4"/>
  </r>
  <r>
    <x v="1"/>
    <n v="53241"/>
    <x v="0"/>
  </r>
  <r>
    <x v="1"/>
    <n v="189544"/>
    <x v="0"/>
  </r>
  <r>
    <x v="1"/>
    <n v="20068"/>
    <x v="4"/>
  </r>
  <r>
    <x v="1"/>
    <n v="335010"/>
    <x v="0"/>
  </r>
  <r>
    <x v="1"/>
    <n v="218141"/>
    <x v="0"/>
  </r>
  <r>
    <x v="1"/>
    <n v="282477"/>
    <x v="0"/>
  </r>
  <r>
    <x v="1"/>
    <n v="44433"/>
    <x v="0"/>
  </r>
  <r>
    <x v="1"/>
    <n v="71580"/>
    <x v="0"/>
  </r>
  <r>
    <x v="1"/>
    <n v="24341"/>
    <x v="0"/>
  </r>
  <r>
    <x v="1"/>
    <n v="239290"/>
    <x v="0"/>
  </r>
  <r>
    <x v="2"/>
    <n v="218293.9"/>
    <x v="1"/>
  </r>
  <r>
    <x v="2"/>
    <n v="71580"/>
    <x v="0"/>
  </r>
  <r>
    <x v="2"/>
    <n v="12722"/>
    <x v="3"/>
  </r>
  <r>
    <x v="2"/>
    <n v="9000"/>
    <x v="4"/>
  </r>
  <r>
    <x v="2"/>
    <n v="71580"/>
    <x v="2"/>
  </r>
  <r>
    <x v="2"/>
    <n v="371179"/>
    <x v="0"/>
  </r>
  <r>
    <x v="2"/>
    <n v="0"/>
    <x v="1"/>
  </r>
  <r>
    <x v="2"/>
    <n v="91607"/>
    <x v="0"/>
  </r>
  <r>
    <x v="2"/>
    <n v="54641"/>
    <x v="0"/>
  </r>
  <r>
    <x v="2"/>
    <n v="5890"/>
    <x v="3"/>
  </r>
  <r>
    <x v="2"/>
    <n v="7800"/>
    <x v="0"/>
  </r>
  <r>
    <x v="2"/>
    <n v="18768"/>
    <x v="2"/>
  </r>
  <r>
    <x v="3"/>
    <n v="240113"/>
    <x v="0"/>
  </r>
  <r>
    <x v="3"/>
    <n v="73444"/>
    <x v="0"/>
  </r>
  <r>
    <x v="3"/>
    <n v="50936"/>
    <x v="0"/>
  </r>
  <r>
    <x v="3"/>
    <n v="9992"/>
    <x v="3"/>
  </r>
  <r>
    <x v="3"/>
    <n v="171339"/>
    <x v="6"/>
  </r>
  <r>
    <x v="3"/>
    <n v="5354"/>
    <x v="0"/>
  </r>
  <r>
    <x v="3"/>
    <n v="1955"/>
    <x v="0"/>
  </r>
  <r>
    <x v="3"/>
    <n v="198134"/>
    <x v="0"/>
  </r>
  <r>
    <x v="3"/>
    <n v="6688"/>
    <x v="0"/>
  </r>
  <r>
    <x v="3"/>
    <n v="171384"/>
    <x v="0"/>
  </r>
  <r>
    <x v="3"/>
    <n v="844"/>
    <x v="0"/>
  </r>
  <r>
    <x v="4"/>
    <n v="10683"/>
    <x v="0"/>
  </r>
  <r>
    <x v="4"/>
    <n v="19235"/>
    <x v="0"/>
  </r>
  <r>
    <x v="4"/>
    <n v="122995"/>
    <x v="0"/>
  </r>
  <r>
    <x v="4"/>
    <n v="33909"/>
    <x v="2"/>
  </r>
  <r>
    <x v="4"/>
    <n v="191771"/>
    <x v="0"/>
  </r>
  <r>
    <x v="4"/>
    <n v="41189"/>
    <x v="3"/>
  </r>
  <r>
    <x v="4"/>
    <n v="1001"/>
    <x v="5"/>
  </r>
  <r>
    <x v="4"/>
    <n v="294801"/>
    <x v="0"/>
  </r>
  <r>
    <x v="4"/>
    <n v="676565"/>
    <x v="0"/>
  </r>
  <r>
    <x v="4"/>
    <n v="51629"/>
    <x v="0"/>
  </r>
  <r>
    <x v="4"/>
    <n v="27094"/>
    <x v="0"/>
  </r>
  <r>
    <x v="4"/>
    <n v="212874"/>
    <x v="0"/>
  </r>
  <r>
    <x v="4"/>
    <n v="74647"/>
    <x v="2"/>
  </r>
  <r>
    <x v="5"/>
    <n v="14067"/>
    <x v="2"/>
  </r>
  <r>
    <x v="5"/>
    <n v="255134"/>
    <x v="0"/>
  </r>
  <r>
    <x v="5"/>
    <n v="244926"/>
    <x v="0"/>
  </r>
  <r>
    <x v="5"/>
    <n v="12870"/>
    <x v="0"/>
  </r>
  <r>
    <x v="5"/>
    <n v="36800"/>
    <x v="4"/>
  </r>
  <r>
    <x v="5"/>
    <n v="34848"/>
    <x v="2"/>
  </r>
  <r>
    <x v="5"/>
    <n v="38066"/>
    <x v="0"/>
  </r>
  <r>
    <x v="5"/>
    <n v="10028"/>
    <x v="7"/>
  </r>
  <r>
    <x v="5"/>
    <n v="0"/>
    <x v="3"/>
  </r>
  <r>
    <x v="5"/>
    <n v="2104"/>
    <x v="0"/>
  </r>
  <r>
    <x v="5"/>
    <n v="255713"/>
    <x v="0"/>
  </r>
  <r>
    <x v="5"/>
    <n v="14222"/>
    <x v="0"/>
  </r>
  <r>
    <x v="5"/>
    <n v="11208"/>
    <x v="2"/>
  </r>
  <r>
    <x v="5"/>
    <n v="143873"/>
    <x v="0"/>
  </r>
  <r>
    <x v="5"/>
    <n v="2979"/>
    <x v="5"/>
  </r>
  <r>
    <x v="5"/>
    <n v="256249"/>
    <x v="0"/>
  </r>
  <r>
    <x v="5"/>
    <n v="71705"/>
    <x v="0"/>
  </r>
  <r>
    <x v="5"/>
    <n v="27600"/>
    <x v="4"/>
  </r>
  <r>
    <x v="5"/>
    <n v="10951"/>
    <x v="2"/>
  </r>
  <r>
    <x v="5"/>
    <n v="16611"/>
    <x v="7"/>
  </r>
  <r>
    <x v="5"/>
    <n v="71580"/>
    <x v="0"/>
  </r>
  <r>
    <x v="5"/>
    <n v="85877"/>
    <x v="0"/>
  </r>
  <r>
    <x v="5"/>
    <n v="97884"/>
    <x v="0"/>
  </r>
  <r>
    <x v="5"/>
    <n v="40733"/>
    <x v="0"/>
  </r>
  <r>
    <x v="5"/>
    <n v="1163"/>
    <x v="5"/>
  </r>
  <r>
    <x v="5"/>
    <n v="316"/>
    <x v="5"/>
  </r>
  <r>
    <x v="5"/>
    <n v="515997"/>
    <x v="2"/>
  </r>
  <r>
    <x v="6"/>
    <n v="99320"/>
    <x v="8"/>
  </r>
  <r>
    <x v="6"/>
    <n v="255885"/>
    <x v="1"/>
  </r>
  <r>
    <x v="6"/>
    <n v="212786"/>
    <x v="0"/>
  </r>
  <r>
    <x v="6"/>
    <n v="19148"/>
    <x v="0"/>
  </r>
  <r>
    <x v="6"/>
    <n v="19148"/>
    <x v="0"/>
  </r>
  <r>
    <x v="6"/>
    <n v="19048"/>
    <x v="0"/>
  </r>
  <r>
    <x v="6"/>
    <n v="78488"/>
    <x v="3"/>
  </r>
  <r>
    <x v="6"/>
    <n v="57711"/>
    <x v="0"/>
  </r>
  <r>
    <x v="6"/>
    <n v="495339"/>
    <x v="0"/>
  </r>
  <r>
    <x v="6"/>
    <n v="6677"/>
    <x v="0"/>
  </r>
  <r>
    <x v="6"/>
    <n v="14390"/>
    <x v="0"/>
  </r>
  <r>
    <x v="6"/>
    <n v="88094"/>
    <x v="1"/>
  </r>
  <r>
    <x v="6"/>
    <n v="6329"/>
    <x v="2"/>
  </r>
  <r>
    <x v="6"/>
    <n v="216704"/>
    <x v="1"/>
  </r>
  <r>
    <x v="6"/>
    <n v="582800"/>
    <x v="0"/>
  </r>
  <r>
    <x v="6"/>
    <n v="15308"/>
    <x v="0"/>
  </r>
  <r>
    <x v="6"/>
    <n v="15308"/>
    <x v="0"/>
  </r>
  <r>
    <x v="6"/>
    <n v="15308"/>
    <x v="0"/>
  </r>
  <r>
    <x v="6"/>
    <n v="71580"/>
    <x v="4"/>
  </r>
  <r>
    <x v="6"/>
    <n v="16978"/>
    <x v="0"/>
  </r>
  <r>
    <x v="6"/>
    <n v="16978"/>
    <x v="0"/>
  </r>
  <r>
    <x v="6"/>
    <n v="16978"/>
    <x v="0"/>
  </r>
  <r>
    <x v="6"/>
    <n v="16978"/>
    <x v="0"/>
  </r>
  <r>
    <x v="6"/>
    <n v="16978"/>
    <x v="0"/>
  </r>
  <r>
    <x v="6"/>
    <n v="36204"/>
    <x v="2"/>
  </r>
  <r>
    <x v="7"/>
    <n v="45611"/>
    <x v="0"/>
  </r>
  <r>
    <x v="7"/>
    <n v="10724"/>
    <x v="0"/>
  </r>
  <r>
    <x v="7"/>
    <n v="233336"/>
    <x v="0"/>
  </r>
  <r>
    <x v="7"/>
    <n v="14959"/>
    <x v="0"/>
  </r>
  <r>
    <x v="7"/>
    <n v="62138"/>
    <x v="9"/>
  </r>
  <r>
    <x v="7"/>
    <n v="20810"/>
    <x v="4"/>
  </r>
  <r>
    <x v="7"/>
    <n v="9660"/>
    <x v="4"/>
  </r>
  <r>
    <x v="7"/>
    <n v="4452"/>
    <x v="10"/>
  </r>
  <r>
    <x v="7"/>
    <n v="229775"/>
    <x v="0"/>
  </r>
  <r>
    <x v="7"/>
    <n v="132753"/>
    <x v="0"/>
  </r>
  <r>
    <x v="7"/>
    <n v="54601"/>
    <x v="2"/>
  </r>
  <r>
    <x v="7"/>
    <n v="28060"/>
    <x v="11"/>
  </r>
  <r>
    <x v="7"/>
    <n v="94608"/>
    <x v="1"/>
  </r>
  <r>
    <x v="7"/>
    <n v="708570"/>
    <x v="1"/>
  </r>
  <r>
    <x v="7"/>
    <n v="196190"/>
    <x v="1"/>
  </r>
  <r>
    <x v="7"/>
    <n v="22230"/>
    <x v="0"/>
  </r>
  <r>
    <x v="8"/>
    <n v="310859"/>
    <x v="0"/>
  </r>
  <r>
    <x v="8"/>
    <n v="152380"/>
    <x v="1"/>
  </r>
  <r>
    <x v="8"/>
    <n v="2930"/>
    <x v="0"/>
  </r>
  <r>
    <x v="8"/>
    <n v="26628"/>
    <x v="1"/>
  </r>
  <r>
    <x v="8"/>
    <n v="151060"/>
    <x v="2"/>
  </r>
  <r>
    <x v="8"/>
    <n v="90716"/>
    <x v="9"/>
  </r>
  <r>
    <x v="8"/>
    <n v="402797"/>
    <x v="1"/>
  </r>
  <r>
    <x v="8"/>
    <n v="7126"/>
    <x v="0"/>
  </r>
  <r>
    <x v="8"/>
    <n v="37586"/>
    <x v="0"/>
  </r>
  <r>
    <x v="8"/>
    <n v="7979"/>
    <x v="0"/>
  </r>
  <r>
    <x v="8"/>
    <n v="12118"/>
    <x v="0"/>
  </r>
  <r>
    <x v="9"/>
    <n v="44867"/>
    <x v="9"/>
  </r>
  <r>
    <x v="9"/>
    <n v="151015"/>
    <x v="0"/>
  </r>
  <r>
    <x v="9"/>
    <n v="390"/>
    <x v="5"/>
  </r>
  <r>
    <x v="9"/>
    <n v="14500"/>
    <x v="2"/>
  </r>
  <r>
    <x v="9"/>
    <n v="8557"/>
    <x v="0"/>
  </r>
  <r>
    <x v="9"/>
    <n v="11755"/>
    <x v="0"/>
  </r>
  <r>
    <x v="9"/>
    <n v="367903"/>
    <x v="0"/>
  </r>
  <r>
    <x v="9"/>
    <n v="92184"/>
    <x v="0"/>
  </r>
  <r>
    <x v="9"/>
    <n v="62220"/>
    <x v="12"/>
  </r>
  <r>
    <x v="9"/>
    <n v="22181"/>
    <x v="0"/>
  </r>
  <r>
    <x v="9"/>
    <n v="127034"/>
    <x v="1"/>
  </r>
  <r>
    <x v="9"/>
    <n v="149548"/>
    <x v="0"/>
  </r>
  <r>
    <x v="9"/>
    <n v="23906"/>
    <x v="13"/>
  </r>
  <r>
    <x v="9"/>
    <n v="8853"/>
    <x v="0"/>
  </r>
  <r>
    <x v="9"/>
    <n v="51006"/>
    <x v="1"/>
  </r>
  <r>
    <x v="9"/>
    <n v="13407"/>
    <x v="2"/>
  </r>
  <r>
    <x v="10"/>
    <n v="77466"/>
    <x v="1"/>
  </r>
  <r>
    <x v="10"/>
    <n v="77466"/>
    <x v="1"/>
  </r>
  <r>
    <x v="10"/>
    <n v="77466"/>
    <x v="1"/>
  </r>
  <r>
    <x v="10"/>
    <n v="77466"/>
    <x v="1"/>
  </r>
  <r>
    <x v="10"/>
    <n v="77466"/>
    <x v="1"/>
  </r>
  <r>
    <x v="10"/>
    <n v="48352"/>
    <x v="0"/>
  </r>
  <r>
    <x v="10"/>
    <n v="1069217"/>
    <x v="1"/>
  </r>
  <r>
    <x v="10"/>
    <n v="102266"/>
    <x v="0"/>
  </r>
  <r>
    <x v="10"/>
    <n v="16309"/>
    <x v="0"/>
  </r>
  <r>
    <x v="10"/>
    <n v="16786"/>
    <x v="9"/>
  </r>
  <r>
    <x v="10"/>
    <n v="71563"/>
    <x v="0"/>
  </r>
  <r>
    <x v="10"/>
    <n v="20176"/>
    <x v="4"/>
  </r>
  <r>
    <x v="10"/>
    <n v="5660"/>
    <x v="9"/>
  </r>
  <r>
    <x v="10"/>
    <n v="419475"/>
    <x v="0"/>
  </r>
  <r>
    <x v="10"/>
    <n v="492"/>
    <x v="5"/>
  </r>
  <r>
    <x v="11"/>
    <n v="323699"/>
    <x v="1"/>
  </r>
  <r>
    <x v="11"/>
    <n v="13041"/>
    <x v="2"/>
  </r>
  <r>
    <x v="11"/>
    <n v="61579"/>
    <x v="0"/>
  </r>
  <r>
    <x v="11"/>
    <n v="2560"/>
    <x v="0"/>
  </r>
  <r>
    <x v="11"/>
    <n v="110456"/>
    <x v="1"/>
  </r>
  <r>
    <x v="11"/>
    <n v="67006"/>
    <x v="0"/>
  </r>
  <r>
    <x v="11"/>
    <n v="80606"/>
    <x v="1"/>
  </r>
  <r>
    <x v="11"/>
    <n v="20120"/>
    <x v="4"/>
  </r>
  <r>
    <x v="11"/>
    <n v="240028"/>
    <x v="0"/>
  </r>
  <r>
    <x v="11"/>
    <n v="904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3"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6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8" firstHeaderRow="1" firstDataRow="1" firstDataCol="1"/>
  <pivotFields count="3">
    <pivotField showAll="0"/>
    <pivotField dataField="1" numFmtId="166" showAll="0"/>
    <pivotField axis="axisRow" showAll="0">
      <items count="16">
        <item x="3"/>
        <item x="9"/>
        <item x="8"/>
        <item x="11"/>
        <item x="10"/>
        <item x="2"/>
        <item x="5"/>
        <item x="7"/>
        <item x="12"/>
        <item x="1"/>
        <item x="0"/>
        <item x="6"/>
        <item x="13"/>
        <item x="4"/>
        <item m="1" x="1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5">
  <location ref="A1:P15" firstHeaderRow="1" firstDataRow="2" firstDataCol="1"/>
  <pivotFields count="3"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6" showAll="0"/>
    <pivotField axis="axisCol" showAll="0">
      <items count="16">
        <item x="3"/>
        <item x="9"/>
        <item x="8"/>
        <item x="11"/>
        <item x="10"/>
        <item x="2"/>
        <item x="5"/>
        <item x="7"/>
        <item x="12"/>
        <item x="1"/>
        <item x="0"/>
        <item x="6"/>
        <item x="13"/>
        <item x="4"/>
        <item m="1" x="14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Revenue" fld="1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6D9F1E-3760-4A89-9157-81B66E0E178F}" name="Table3" displayName="Table3" ref="A1:C11" totalsRowShown="0">
  <autoFilter ref="A1:C11" xr:uid="{2E6D9F1E-3760-4A89-9157-81B66E0E178F}"/>
  <tableColumns count="3">
    <tableColumn id="1" xr3:uid="{F43212CD-976D-4212-AB73-3C5F91058BC9}" name="Month "/>
    <tableColumn id="2" xr3:uid="{CA1E82BE-1501-4F97-B319-9F99D17B9959}" name="Revenue"/>
    <tableColumn id="3" xr3:uid="{F28856E9-1387-42D5-BD1F-5BF4DB1A766F}" name="Serv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2779BF-F29A-4A7E-A1BE-ED4BD0621E97}" name="Table4" displayName="Table4" ref="A1:C2" totalsRowShown="0">
  <autoFilter ref="A1:C2" xr:uid="{CC2779BF-F29A-4A7E-A1BE-ED4BD0621E97}"/>
  <tableColumns count="3">
    <tableColumn id="1" xr3:uid="{7CD3989A-A047-4D96-BAEB-6831B85F9EF6}" name="Month "/>
    <tableColumn id="2" xr3:uid="{3C1DAA8F-AE46-4C60-B2BD-1A47A5F8574A}" name="Revenue"/>
    <tableColumn id="3" xr3:uid="{73F739D2-A1F8-4E6C-BCF4-A220E2C55476}" name="Serv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workbookViewId="0">
      <selection activeCell="I20" sqref="I20"/>
    </sheetView>
  </sheetViews>
  <sheetFormatPr defaultRowHeight="14.4" x14ac:dyDescent="0.3"/>
  <cols>
    <col min="1" max="1" width="12.33203125" bestFit="1" customWidth="1"/>
    <col min="2" max="2" width="14.33203125" bestFit="1" customWidth="1"/>
    <col min="4" max="4" width="10.6640625" bestFit="1" customWidth="1"/>
    <col min="5" max="5" width="14.33203125" bestFit="1" customWidth="1"/>
  </cols>
  <sheetData>
    <row r="3" spans="1:5" x14ac:dyDescent="0.3">
      <c r="A3" s="170" t="s">
        <v>3540</v>
      </c>
      <c r="B3" t="s">
        <v>3542</v>
      </c>
      <c r="D3" t="s">
        <v>3543</v>
      </c>
      <c r="E3" t="s">
        <v>3542</v>
      </c>
    </row>
    <row r="4" spans="1:5" x14ac:dyDescent="0.3">
      <c r="A4" s="171" t="s">
        <v>3536</v>
      </c>
      <c r="B4">
        <v>1149326</v>
      </c>
      <c r="D4" t="s">
        <v>3536</v>
      </c>
      <c r="E4" s="163">
        <v>1149326</v>
      </c>
    </row>
    <row r="5" spans="1:5" x14ac:dyDescent="0.3">
      <c r="A5" s="171" t="s">
        <v>3537</v>
      </c>
      <c r="B5">
        <v>2157626</v>
      </c>
      <c r="D5" t="s">
        <v>3537</v>
      </c>
      <c r="E5" s="163">
        <v>2157626</v>
      </c>
    </row>
    <row r="6" spans="1:5" x14ac:dyDescent="0.3">
      <c r="A6" s="171" t="s">
        <v>3538</v>
      </c>
      <c r="B6">
        <v>928135</v>
      </c>
      <c r="D6" t="s">
        <v>3538</v>
      </c>
      <c r="E6" s="163">
        <v>928135</v>
      </c>
    </row>
    <row r="7" spans="1:5" x14ac:dyDescent="0.3">
      <c r="A7" s="171" t="s">
        <v>3527</v>
      </c>
      <c r="B7">
        <v>2921942</v>
      </c>
      <c r="D7" t="s">
        <v>3527</v>
      </c>
      <c r="E7" s="163">
        <v>2921942</v>
      </c>
    </row>
    <row r="8" spans="1:5" x14ac:dyDescent="0.3">
      <c r="A8" s="171" t="s">
        <v>3528</v>
      </c>
      <c r="B8">
        <v>2705358</v>
      </c>
      <c r="D8" t="s">
        <v>3528</v>
      </c>
      <c r="E8" s="163">
        <v>2705358</v>
      </c>
    </row>
    <row r="9" spans="1:5" x14ac:dyDescent="0.3">
      <c r="A9" s="171" t="s">
        <v>3529</v>
      </c>
      <c r="B9">
        <v>933060.9</v>
      </c>
      <c r="D9" t="s">
        <v>3529</v>
      </c>
      <c r="E9" s="163">
        <v>933060.9</v>
      </c>
    </row>
    <row r="10" spans="1:5" x14ac:dyDescent="0.3">
      <c r="A10" s="171" t="s">
        <v>3530</v>
      </c>
      <c r="B10">
        <v>930183</v>
      </c>
      <c r="D10" t="s">
        <v>3530</v>
      </c>
      <c r="E10" s="163">
        <v>930999</v>
      </c>
    </row>
    <row r="11" spans="1:5" x14ac:dyDescent="0.3">
      <c r="A11" s="171" t="s">
        <v>3531</v>
      </c>
      <c r="B11">
        <v>1758393</v>
      </c>
      <c r="D11" t="s">
        <v>3531</v>
      </c>
      <c r="E11" s="163">
        <v>1758393</v>
      </c>
    </row>
    <row r="12" spans="1:5" x14ac:dyDescent="0.3">
      <c r="A12" s="171" t="s">
        <v>3532</v>
      </c>
      <c r="B12">
        <v>2273504</v>
      </c>
      <c r="D12" t="s">
        <v>3532</v>
      </c>
      <c r="E12" s="163">
        <v>2273504</v>
      </c>
    </row>
    <row r="13" spans="1:5" x14ac:dyDescent="0.3">
      <c r="A13" s="171" t="s">
        <v>3533</v>
      </c>
      <c r="B13">
        <v>2410465</v>
      </c>
      <c r="D13" t="s">
        <v>3533</v>
      </c>
      <c r="E13" s="163">
        <v>2410465</v>
      </c>
    </row>
    <row r="14" spans="1:5" x14ac:dyDescent="0.3">
      <c r="A14" s="171" t="s">
        <v>3534</v>
      </c>
      <c r="B14">
        <v>1868477</v>
      </c>
      <c r="D14" t="s">
        <v>3534</v>
      </c>
      <c r="E14" s="163">
        <v>1868477</v>
      </c>
    </row>
    <row r="15" spans="1:5" x14ac:dyDescent="0.3">
      <c r="A15" s="171" t="s">
        <v>3535</v>
      </c>
      <c r="B15">
        <v>1202179</v>
      </c>
      <c r="D15" t="s">
        <v>3535</v>
      </c>
      <c r="E15" s="163">
        <v>1202179</v>
      </c>
    </row>
    <row r="16" spans="1:5" x14ac:dyDescent="0.3">
      <c r="A16" s="171" t="s">
        <v>3541</v>
      </c>
      <c r="B16">
        <v>21238648.899999999</v>
      </c>
      <c r="D16" t="s">
        <v>3541</v>
      </c>
      <c r="E16" s="163">
        <v>21239464.899999999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8"/>
  <sheetViews>
    <sheetView zoomScale="85" zoomScaleNormal="85" workbookViewId="0">
      <selection activeCell="O11" sqref="O11"/>
    </sheetView>
  </sheetViews>
  <sheetFormatPr defaultRowHeight="14.4" x14ac:dyDescent="0.3"/>
  <cols>
    <col min="1" max="1" width="14.109375" bestFit="1" customWidth="1"/>
    <col min="2" max="2" width="14.77734375" bestFit="1" customWidth="1"/>
    <col min="4" max="4" width="14.109375" bestFit="1" customWidth="1"/>
    <col min="5" max="5" width="14.33203125" bestFit="1" customWidth="1"/>
    <col min="7" max="7" width="11.6640625" bestFit="1" customWidth="1"/>
  </cols>
  <sheetData>
    <row r="3" spans="1:6" x14ac:dyDescent="0.3">
      <c r="A3" s="170" t="s">
        <v>3540</v>
      </c>
      <c r="B3" t="s">
        <v>3542</v>
      </c>
      <c r="D3" t="s">
        <v>3540</v>
      </c>
      <c r="E3" t="s">
        <v>3542</v>
      </c>
      <c r="F3" t="s">
        <v>3544</v>
      </c>
    </row>
    <row r="4" spans="1:6" x14ac:dyDescent="0.3">
      <c r="A4" s="171" t="s">
        <v>9</v>
      </c>
      <c r="B4">
        <v>173968</v>
      </c>
      <c r="D4" t="s">
        <v>9</v>
      </c>
      <c r="E4">
        <v>394135</v>
      </c>
      <c r="F4" t="s">
        <v>3545</v>
      </c>
    </row>
    <row r="5" spans="1:6" x14ac:dyDescent="0.3">
      <c r="A5" s="171" t="s">
        <v>2933</v>
      </c>
      <c r="B5">
        <v>220167</v>
      </c>
      <c r="D5" t="s">
        <v>2550</v>
      </c>
      <c r="E5">
        <v>99320</v>
      </c>
      <c r="F5" t="s">
        <v>3545</v>
      </c>
    </row>
    <row r="6" spans="1:6" x14ac:dyDescent="0.3">
      <c r="A6" s="171" t="s">
        <v>2550</v>
      </c>
      <c r="B6">
        <v>99320</v>
      </c>
      <c r="D6" t="s">
        <v>3019</v>
      </c>
      <c r="E6">
        <v>28060</v>
      </c>
      <c r="F6" t="s">
        <v>3545</v>
      </c>
    </row>
    <row r="7" spans="1:6" x14ac:dyDescent="0.3">
      <c r="A7" s="171" t="s">
        <v>3019</v>
      </c>
      <c r="B7">
        <v>28060</v>
      </c>
      <c r="D7" t="s">
        <v>1105</v>
      </c>
      <c r="E7">
        <v>4452</v>
      </c>
      <c r="F7" t="s">
        <v>3545</v>
      </c>
    </row>
    <row r="8" spans="1:6" x14ac:dyDescent="0.3">
      <c r="A8" s="171" t="s">
        <v>1105</v>
      </c>
      <c r="B8">
        <v>4452</v>
      </c>
      <c r="D8" t="s">
        <v>8</v>
      </c>
      <c r="E8">
        <v>24339</v>
      </c>
      <c r="F8" t="s">
        <v>3545</v>
      </c>
    </row>
    <row r="9" spans="1:6" x14ac:dyDescent="0.3">
      <c r="A9" s="171" t="s">
        <v>24</v>
      </c>
      <c r="B9">
        <v>1149485</v>
      </c>
      <c r="D9" t="s">
        <v>2287</v>
      </c>
      <c r="E9">
        <v>26639</v>
      </c>
      <c r="F9" t="s">
        <v>3545</v>
      </c>
    </row>
    <row r="10" spans="1:6" x14ac:dyDescent="0.3">
      <c r="A10" s="171" t="s">
        <v>8</v>
      </c>
      <c r="B10">
        <v>24339</v>
      </c>
      <c r="D10" t="s">
        <v>1091</v>
      </c>
      <c r="E10">
        <v>62220</v>
      </c>
      <c r="F10" t="s">
        <v>3545</v>
      </c>
    </row>
    <row r="11" spans="1:6" x14ac:dyDescent="0.3">
      <c r="A11" s="171" t="s">
        <v>2287</v>
      </c>
      <c r="B11">
        <v>26639</v>
      </c>
      <c r="D11" t="s">
        <v>3348</v>
      </c>
      <c r="E11">
        <v>23906</v>
      </c>
      <c r="F11" t="s">
        <v>3545</v>
      </c>
    </row>
    <row r="12" spans="1:6" x14ac:dyDescent="0.3">
      <c r="A12" s="171" t="s">
        <v>1091</v>
      </c>
      <c r="B12">
        <v>62220</v>
      </c>
      <c r="D12" t="s">
        <v>22</v>
      </c>
      <c r="E12">
        <v>283168</v>
      </c>
      <c r="F12" t="s">
        <v>3545</v>
      </c>
    </row>
    <row r="13" spans="1:6" x14ac:dyDescent="0.3">
      <c r="A13" s="171" t="s">
        <v>14</v>
      </c>
      <c r="B13">
        <v>6181659.9000000004</v>
      </c>
      <c r="D13" t="s">
        <v>14</v>
      </c>
      <c r="E13">
        <v>6181659.9000000004</v>
      </c>
      <c r="F13" t="s">
        <v>3546</v>
      </c>
    </row>
    <row r="14" spans="1:6" x14ac:dyDescent="0.3">
      <c r="A14" s="171" t="s">
        <v>26</v>
      </c>
      <c r="B14">
        <v>12789926</v>
      </c>
      <c r="D14" t="s">
        <v>26</v>
      </c>
      <c r="E14">
        <v>12961265</v>
      </c>
      <c r="F14" t="s">
        <v>3546</v>
      </c>
    </row>
    <row r="15" spans="1:6" x14ac:dyDescent="0.3">
      <c r="A15" s="171" t="s">
        <v>7</v>
      </c>
      <c r="B15">
        <v>171339</v>
      </c>
      <c r="D15" t="s">
        <v>24</v>
      </c>
      <c r="E15">
        <v>1149485</v>
      </c>
      <c r="F15" t="s">
        <v>3546</v>
      </c>
    </row>
    <row r="16" spans="1:6" x14ac:dyDescent="0.3">
      <c r="A16" s="171" t="s">
        <v>3348</v>
      </c>
      <c r="B16">
        <v>23906</v>
      </c>
    </row>
    <row r="17" spans="1:2" x14ac:dyDescent="0.3">
      <c r="A17" s="171" t="s">
        <v>22</v>
      </c>
      <c r="B17">
        <v>283168</v>
      </c>
    </row>
    <row r="18" spans="1:2" x14ac:dyDescent="0.3">
      <c r="A18" s="171" t="s">
        <v>3541</v>
      </c>
      <c r="B18">
        <v>21238648.899999999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8DBF-26A5-462F-853F-8C2D8A24EEF6}">
  <dimension ref="A1:C11"/>
  <sheetViews>
    <sheetView workbookViewId="0">
      <selection activeCell="F17" sqref="F17"/>
    </sheetView>
  </sheetViews>
  <sheetFormatPr defaultRowHeight="14.4" x14ac:dyDescent="0.3"/>
  <cols>
    <col min="1" max="1" width="9.109375" customWidth="1"/>
    <col min="2" max="2" width="10.21875" customWidth="1"/>
  </cols>
  <sheetData>
    <row r="1" spans="1:3" x14ac:dyDescent="0.3">
      <c r="A1" t="s">
        <v>3525</v>
      </c>
      <c r="B1" t="s">
        <v>3526</v>
      </c>
      <c r="C1" t="s">
        <v>1</v>
      </c>
    </row>
    <row r="2" spans="1:3" x14ac:dyDescent="0.3">
      <c r="A2" t="s">
        <v>3530</v>
      </c>
      <c r="B2">
        <v>844</v>
      </c>
      <c r="C2" t="s">
        <v>26</v>
      </c>
    </row>
    <row r="3" spans="1:3" x14ac:dyDescent="0.3">
      <c r="A3" t="s">
        <v>3530</v>
      </c>
      <c r="B3">
        <v>171384</v>
      </c>
      <c r="C3" t="s">
        <v>26</v>
      </c>
    </row>
    <row r="4" spans="1:3" x14ac:dyDescent="0.3">
      <c r="A4" t="s">
        <v>3530</v>
      </c>
      <c r="B4">
        <v>6688</v>
      </c>
      <c r="C4" t="s">
        <v>26</v>
      </c>
    </row>
    <row r="5" spans="1:3" x14ac:dyDescent="0.3">
      <c r="A5" t="s">
        <v>3530</v>
      </c>
      <c r="B5">
        <v>198134</v>
      </c>
      <c r="C5" t="s">
        <v>26</v>
      </c>
    </row>
    <row r="6" spans="1:3" x14ac:dyDescent="0.3">
      <c r="A6" t="s">
        <v>3530</v>
      </c>
      <c r="B6">
        <v>1955</v>
      </c>
      <c r="C6" t="s">
        <v>26</v>
      </c>
    </row>
    <row r="7" spans="1:3" x14ac:dyDescent="0.3">
      <c r="A7" t="s">
        <v>3530</v>
      </c>
      <c r="B7">
        <v>5354</v>
      </c>
      <c r="C7" t="s">
        <v>26</v>
      </c>
    </row>
    <row r="8" spans="1:3" x14ac:dyDescent="0.3">
      <c r="A8" t="s">
        <v>3530</v>
      </c>
      <c r="B8">
        <v>50936</v>
      </c>
      <c r="C8" t="s">
        <v>26</v>
      </c>
    </row>
    <row r="9" spans="1:3" x14ac:dyDescent="0.3">
      <c r="A9" t="s">
        <v>3530</v>
      </c>
      <c r="B9">
        <v>73444</v>
      </c>
      <c r="C9" t="s">
        <v>26</v>
      </c>
    </row>
    <row r="10" spans="1:3" x14ac:dyDescent="0.3">
      <c r="A10" t="s">
        <v>3530</v>
      </c>
      <c r="B10">
        <v>240113</v>
      </c>
      <c r="C10" t="s">
        <v>26</v>
      </c>
    </row>
    <row r="11" spans="1:3" x14ac:dyDescent="0.3">
      <c r="A11" t="s">
        <v>3530</v>
      </c>
      <c r="B11">
        <v>171339</v>
      </c>
      <c r="C11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71BA-1052-42B0-AD2C-909299EF93F2}">
  <dimension ref="A1:C1"/>
  <sheetViews>
    <sheetView workbookViewId="0">
      <selection activeCell="A2" sqref="A2"/>
    </sheetView>
  </sheetViews>
  <sheetFormatPr defaultRowHeight="14.4" x14ac:dyDescent="0.3"/>
  <cols>
    <col min="1" max="1" width="9.109375" customWidth="1"/>
    <col min="2" max="2" width="10.21875" customWidth="1"/>
  </cols>
  <sheetData>
    <row r="1" spans="1:3" x14ac:dyDescent="0.3">
      <c r="A1" t="s">
        <v>3525</v>
      </c>
      <c r="B1" t="s">
        <v>3526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"/>
  <sheetViews>
    <sheetView workbookViewId="0">
      <selection activeCell="C23" sqref="C23"/>
    </sheetView>
  </sheetViews>
  <sheetFormatPr defaultRowHeight="14.4" x14ac:dyDescent="0.3"/>
  <cols>
    <col min="1" max="1" width="14.33203125" bestFit="1" customWidth="1"/>
    <col min="2" max="2" width="15.21875" bestFit="1" customWidth="1"/>
    <col min="3" max="3" width="6.77734375" customWidth="1"/>
    <col min="4" max="4" width="6" customWidth="1"/>
    <col min="5" max="5" width="11" bestFit="1" customWidth="1"/>
    <col min="6" max="6" width="5.77734375" customWidth="1"/>
    <col min="7" max="7" width="7.77734375" customWidth="1"/>
    <col min="8" max="8" width="9" bestFit="1" customWidth="1"/>
    <col min="9" max="9" width="8.6640625" bestFit="1" customWidth="1"/>
    <col min="10" max="10" width="14.21875" bestFit="1" customWidth="1"/>
    <col min="11" max="11" width="9.77734375" bestFit="1" customWidth="1"/>
    <col min="12" max="12" width="8.77734375" bestFit="1" customWidth="1"/>
    <col min="13" max="13" width="6.77734375" customWidth="1"/>
    <col min="14" max="14" width="9.109375" bestFit="1" customWidth="1"/>
    <col min="15" max="15" width="6.77734375" customWidth="1"/>
    <col min="16" max="16" width="10.77734375" customWidth="1"/>
    <col min="17" max="17" width="10.77734375" bestFit="1" customWidth="1"/>
  </cols>
  <sheetData>
    <row r="1" spans="1:16" x14ac:dyDescent="0.3">
      <c r="A1" s="170" t="s">
        <v>3542</v>
      </c>
      <c r="B1" s="170" t="s">
        <v>3547</v>
      </c>
    </row>
    <row r="2" spans="1:16" x14ac:dyDescent="0.3">
      <c r="A2" s="170" t="s">
        <v>3540</v>
      </c>
      <c r="B2" t="s">
        <v>9</v>
      </c>
      <c r="C2" t="s">
        <v>2933</v>
      </c>
      <c r="D2" t="s">
        <v>2550</v>
      </c>
      <c r="E2" t="s">
        <v>3019</v>
      </c>
      <c r="F2" t="s">
        <v>1105</v>
      </c>
      <c r="G2" t="s">
        <v>24</v>
      </c>
      <c r="H2" t="s">
        <v>8</v>
      </c>
      <c r="I2" t="s">
        <v>2287</v>
      </c>
      <c r="J2" t="s">
        <v>1091</v>
      </c>
      <c r="K2" t="s">
        <v>14</v>
      </c>
      <c r="L2" t="s">
        <v>26</v>
      </c>
      <c r="M2" t="s">
        <v>7</v>
      </c>
      <c r="N2" t="s">
        <v>3348</v>
      </c>
      <c r="O2" t="s">
        <v>22</v>
      </c>
      <c r="P2" t="s">
        <v>3541</v>
      </c>
    </row>
    <row r="3" spans="1:16" x14ac:dyDescent="0.3">
      <c r="A3" s="171" t="s">
        <v>3536</v>
      </c>
      <c r="C3">
        <v>44867</v>
      </c>
      <c r="G3">
        <v>27907</v>
      </c>
      <c r="H3">
        <v>390</v>
      </c>
      <c r="J3">
        <v>62220</v>
      </c>
      <c r="K3">
        <v>178040</v>
      </c>
      <c r="L3">
        <v>811996</v>
      </c>
      <c r="N3">
        <v>23906</v>
      </c>
      <c r="P3">
        <v>1149326</v>
      </c>
    </row>
    <row r="4" spans="1:16" x14ac:dyDescent="0.3">
      <c r="A4" s="171" t="s">
        <v>3537</v>
      </c>
      <c r="C4">
        <v>22446</v>
      </c>
      <c r="H4">
        <v>492</v>
      </c>
      <c r="K4">
        <v>1456547</v>
      </c>
      <c r="L4">
        <v>657965</v>
      </c>
      <c r="O4">
        <v>20176</v>
      </c>
      <c r="P4">
        <v>2157626</v>
      </c>
    </row>
    <row r="5" spans="1:16" x14ac:dyDescent="0.3">
      <c r="A5" s="171" t="s">
        <v>3538</v>
      </c>
      <c r="G5">
        <v>13041</v>
      </c>
      <c r="K5">
        <v>514761</v>
      </c>
      <c r="L5">
        <v>380213</v>
      </c>
      <c r="O5">
        <v>20120</v>
      </c>
      <c r="P5">
        <v>928135</v>
      </c>
    </row>
    <row r="6" spans="1:16" x14ac:dyDescent="0.3">
      <c r="A6" s="171" t="s">
        <v>3527</v>
      </c>
      <c r="B6">
        <v>25687</v>
      </c>
      <c r="G6">
        <v>74368</v>
      </c>
      <c r="K6">
        <v>1672162</v>
      </c>
      <c r="L6">
        <v>1132173</v>
      </c>
      <c r="O6">
        <v>17552</v>
      </c>
      <c r="P6">
        <v>2921942</v>
      </c>
    </row>
    <row r="7" spans="1:16" x14ac:dyDescent="0.3">
      <c r="A7" s="171" t="s">
        <v>3528</v>
      </c>
      <c r="H7">
        <v>17998</v>
      </c>
      <c r="L7">
        <v>2637490</v>
      </c>
      <c r="O7">
        <v>49870</v>
      </c>
      <c r="P7">
        <v>2705358</v>
      </c>
    </row>
    <row r="8" spans="1:16" x14ac:dyDescent="0.3">
      <c r="A8" s="171" t="s">
        <v>3529</v>
      </c>
      <c r="B8">
        <v>18612</v>
      </c>
      <c r="G8">
        <v>90348</v>
      </c>
      <c r="K8">
        <v>218293.9</v>
      </c>
      <c r="L8">
        <v>596807</v>
      </c>
      <c r="O8">
        <v>9000</v>
      </c>
      <c r="P8">
        <v>933060.9</v>
      </c>
    </row>
    <row r="9" spans="1:16" x14ac:dyDescent="0.3">
      <c r="A9" s="171" t="s">
        <v>3530</v>
      </c>
      <c r="B9">
        <v>9992</v>
      </c>
      <c r="L9">
        <v>748852</v>
      </c>
      <c r="M9">
        <v>171339</v>
      </c>
      <c r="P9">
        <v>930183</v>
      </c>
    </row>
    <row r="10" spans="1:16" x14ac:dyDescent="0.3">
      <c r="A10" s="171" t="s">
        <v>3531</v>
      </c>
      <c r="B10">
        <v>41189</v>
      </c>
      <c r="G10">
        <v>108556</v>
      </c>
      <c r="H10">
        <v>1001</v>
      </c>
      <c r="L10">
        <v>1607647</v>
      </c>
      <c r="P10">
        <v>1758393</v>
      </c>
    </row>
    <row r="11" spans="1:16" x14ac:dyDescent="0.3">
      <c r="A11" s="171" t="s">
        <v>3532</v>
      </c>
      <c r="B11">
        <v>0</v>
      </c>
      <c r="G11">
        <v>587071</v>
      </c>
      <c r="H11">
        <v>4458</v>
      </c>
      <c r="I11">
        <v>26639</v>
      </c>
      <c r="L11">
        <v>1590936</v>
      </c>
      <c r="O11">
        <v>64400</v>
      </c>
      <c r="P11">
        <v>2273504</v>
      </c>
    </row>
    <row r="12" spans="1:16" x14ac:dyDescent="0.3">
      <c r="A12" s="171" t="s">
        <v>3533</v>
      </c>
      <c r="B12">
        <v>78488</v>
      </c>
      <c r="D12">
        <v>99320</v>
      </c>
      <c r="G12">
        <v>42533</v>
      </c>
      <c r="K12">
        <v>560683</v>
      </c>
      <c r="L12">
        <v>1557861</v>
      </c>
      <c r="O12">
        <v>71580</v>
      </c>
      <c r="P12">
        <v>2410465</v>
      </c>
    </row>
    <row r="13" spans="1:16" x14ac:dyDescent="0.3">
      <c r="A13" s="171" t="s">
        <v>3534</v>
      </c>
      <c r="C13">
        <v>62138</v>
      </c>
      <c r="E13">
        <v>28060</v>
      </c>
      <c r="F13">
        <v>4452</v>
      </c>
      <c r="G13">
        <v>54601</v>
      </c>
      <c r="K13">
        <v>999368</v>
      </c>
      <c r="L13">
        <v>689388</v>
      </c>
      <c r="O13">
        <v>30470</v>
      </c>
      <c r="P13">
        <v>1868477</v>
      </c>
    </row>
    <row r="14" spans="1:16" x14ac:dyDescent="0.3">
      <c r="A14" s="171" t="s">
        <v>3535</v>
      </c>
      <c r="C14">
        <v>90716</v>
      </c>
      <c r="G14">
        <v>151060</v>
      </c>
      <c r="K14">
        <v>581805</v>
      </c>
      <c r="L14">
        <v>378598</v>
      </c>
      <c r="P14">
        <v>1202179</v>
      </c>
    </row>
    <row r="15" spans="1:16" x14ac:dyDescent="0.3">
      <c r="A15" s="171" t="s">
        <v>3541</v>
      </c>
      <c r="B15">
        <v>173968</v>
      </c>
      <c r="C15">
        <v>220167</v>
      </c>
      <c r="D15">
        <v>99320</v>
      </c>
      <c r="E15">
        <v>28060</v>
      </c>
      <c r="F15">
        <v>4452</v>
      </c>
      <c r="G15">
        <v>1149485</v>
      </c>
      <c r="H15">
        <v>24339</v>
      </c>
      <c r="I15">
        <v>26639</v>
      </c>
      <c r="J15">
        <v>62220</v>
      </c>
      <c r="K15">
        <v>6181659.9000000004</v>
      </c>
      <c r="L15">
        <v>12789926</v>
      </c>
      <c r="M15">
        <v>171339</v>
      </c>
      <c r="N15">
        <v>23906</v>
      </c>
      <c r="O15">
        <v>283168</v>
      </c>
      <c r="P15">
        <v>21238648.899999999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38"/>
  <sheetViews>
    <sheetView zoomScale="90" zoomScaleNormal="90" workbookViewId="0">
      <pane ySplit="1" topLeftCell="A47" activePane="bottomLeft" state="frozen"/>
      <selection activeCell="D1" sqref="D1"/>
      <selection pane="bottomLeft" activeCell="P52" sqref="P52"/>
    </sheetView>
  </sheetViews>
  <sheetFormatPr defaultColWidth="8.77734375" defaultRowHeight="13.2" x14ac:dyDescent="0.3"/>
  <cols>
    <col min="1" max="1" width="7.109375" style="69" bestFit="1" customWidth="1"/>
    <col min="2" max="2" width="7.109375" style="69" customWidth="1"/>
    <col min="3" max="3" width="12.88671875" style="69" bestFit="1" customWidth="1"/>
    <col min="4" max="4" width="32.6640625" style="69" customWidth="1"/>
    <col min="5" max="5" width="2.88671875" style="69" bestFit="1" customWidth="1"/>
    <col min="6" max="6" width="13.21875" style="69" bestFit="1" customWidth="1"/>
    <col min="7" max="7" width="8.21875" style="69" bestFit="1" customWidth="1"/>
    <col min="8" max="8" width="20.33203125" style="69" bestFit="1" customWidth="1"/>
    <col min="9" max="9" width="6.88671875" style="69" bestFit="1" customWidth="1"/>
    <col min="10" max="11" width="5.109375" style="69" bestFit="1" customWidth="1"/>
    <col min="12" max="14" width="7.77734375" style="69" customWidth="1"/>
    <col min="15" max="15" width="6.5546875" style="69" bestFit="1" customWidth="1"/>
    <col min="16" max="16" width="5.21875" style="69" bestFit="1" customWidth="1"/>
    <col min="17" max="17" width="20.88671875" style="30" bestFit="1" customWidth="1"/>
    <col min="18" max="18" width="18.5546875" style="30" customWidth="1"/>
    <col min="19" max="19" width="14.77734375" style="69" customWidth="1"/>
    <col min="20" max="20" width="18.6640625" style="69" bestFit="1" customWidth="1"/>
    <col min="21" max="21" width="5" style="69" bestFit="1" customWidth="1"/>
    <col min="22" max="16384" width="8.77734375" style="69"/>
  </cols>
  <sheetData>
    <row r="1" spans="1:20" s="4" customFormat="1" x14ac:dyDescent="0.3">
      <c r="A1" s="77" t="s">
        <v>32</v>
      </c>
      <c r="B1" s="77" t="s">
        <v>3525</v>
      </c>
      <c r="C1" s="77" t="s">
        <v>33</v>
      </c>
      <c r="D1" s="77" t="s">
        <v>34</v>
      </c>
      <c r="E1" s="77" t="s">
        <v>0</v>
      </c>
      <c r="F1" s="77" t="s">
        <v>35</v>
      </c>
      <c r="G1" s="77" t="s">
        <v>1</v>
      </c>
      <c r="H1" s="77" t="s">
        <v>36</v>
      </c>
      <c r="I1" s="77" t="s">
        <v>44</v>
      </c>
      <c r="J1" s="77" t="s">
        <v>2</v>
      </c>
      <c r="K1" s="77" t="s">
        <v>3</v>
      </c>
      <c r="L1" s="77" t="s">
        <v>4</v>
      </c>
      <c r="M1" s="77"/>
      <c r="N1" s="77" t="s">
        <v>3526</v>
      </c>
      <c r="O1" s="77" t="s">
        <v>45</v>
      </c>
      <c r="P1" s="77" t="s">
        <v>5</v>
      </c>
      <c r="Q1" s="78" t="s">
        <v>38</v>
      </c>
      <c r="R1" s="78" t="s">
        <v>37</v>
      </c>
      <c r="S1" s="77" t="s">
        <v>39</v>
      </c>
      <c r="T1" s="77" t="s">
        <v>6</v>
      </c>
    </row>
    <row r="2" spans="1:20" x14ac:dyDescent="0.3">
      <c r="A2" s="15">
        <v>45017</v>
      </c>
      <c r="B2" s="15" t="str">
        <f>TEXT(A2,"mmmm")</f>
        <v>April</v>
      </c>
      <c r="C2" s="3" t="s">
        <v>1304</v>
      </c>
      <c r="D2" s="69" t="s">
        <v>457</v>
      </c>
      <c r="E2" s="69">
        <v>1</v>
      </c>
      <c r="F2" s="3" t="s">
        <v>54</v>
      </c>
      <c r="G2" s="69" t="s">
        <v>26</v>
      </c>
      <c r="H2" s="69" t="s">
        <v>10</v>
      </c>
      <c r="I2" s="16">
        <v>72274</v>
      </c>
      <c r="J2" s="69">
        <v>347</v>
      </c>
      <c r="K2" s="69">
        <f>J2</f>
        <v>347</v>
      </c>
      <c r="M2" s="69">
        <f>SUM(J2:L2)</f>
        <v>694</v>
      </c>
      <c r="N2" s="69">
        <f>I2-M2</f>
        <v>71580</v>
      </c>
      <c r="O2" s="69">
        <v>3779</v>
      </c>
      <c r="P2" s="69">
        <f>700+1400+350+700+700</f>
        <v>3850</v>
      </c>
      <c r="Q2" s="30" t="s">
        <v>1407</v>
      </c>
      <c r="R2" s="30" t="s">
        <v>1307</v>
      </c>
      <c r="S2" s="69" t="s">
        <v>1308</v>
      </c>
    </row>
    <row r="3" spans="1:20" ht="26.4" x14ac:dyDescent="0.3">
      <c r="A3" s="15"/>
      <c r="B3" s="15"/>
      <c r="M3" s="69">
        <f t="shared" ref="M3:M66" si="0">SUM(J3:L3)</f>
        <v>0</v>
      </c>
      <c r="N3" s="69">
        <f t="shared" ref="N3:N66" si="1">I3-M3</f>
        <v>0</v>
      </c>
      <c r="O3" s="69">
        <v>5381</v>
      </c>
      <c r="R3" s="102" t="s">
        <v>1306</v>
      </c>
      <c r="S3" s="69" t="s">
        <v>1305</v>
      </c>
      <c r="T3" s="30"/>
    </row>
    <row r="4" spans="1:20" x14ac:dyDescent="0.3">
      <c r="A4" s="15"/>
      <c r="B4" s="15"/>
      <c r="D4" s="69" t="s">
        <v>1335</v>
      </c>
      <c r="E4" s="69">
        <v>2</v>
      </c>
      <c r="M4" s="69">
        <f t="shared" si="0"/>
        <v>0</v>
      </c>
      <c r="N4" s="69">
        <f t="shared" si="1"/>
        <v>0</v>
      </c>
      <c r="O4" s="69">
        <v>13098</v>
      </c>
      <c r="R4" s="25" t="s">
        <v>1340</v>
      </c>
      <c r="S4" s="69" t="s">
        <v>1336</v>
      </c>
      <c r="T4" s="30"/>
    </row>
    <row r="5" spans="1:20" x14ac:dyDescent="0.3">
      <c r="A5" s="15"/>
      <c r="B5" s="15"/>
      <c r="M5" s="69">
        <f t="shared" si="0"/>
        <v>0</v>
      </c>
      <c r="N5" s="69">
        <f t="shared" si="1"/>
        <v>0</v>
      </c>
      <c r="O5" s="69">
        <v>8352</v>
      </c>
      <c r="R5" s="30" t="s">
        <v>1383</v>
      </c>
      <c r="S5" s="69" t="s">
        <v>1337</v>
      </c>
      <c r="T5" s="30"/>
    </row>
    <row r="6" spans="1:20" x14ac:dyDescent="0.3">
      <c r="A6" s="15"/>
      <c r="B6" s="15"/>
      <c r="D6" s="69" t="s">
        <v>1346</v>
      </c>
      <c r="M6" s="69">
        <f t="shared" si="0"/>
        <v>0</v>
      </c>
      <c r="N6" s="69">
        <f t="shared" si="1"/>
        <v>0</v>
      </c>
      <c r="O6" s="69">
        <v>5066</v>
      </c>
      <c r="R6" s="25"/>
      <c r="S6" s="69" t="s">
        <v>1341</v>
      </c>
      <c r="T6" s="30"/>
    </row>
    <row r="7" spans="1:20" x14ac:dyDescent="0.3">
      <c r="A7" s="15"/>
      <c r="B7" s="15"/>
      <c r="D7" s="69" t="s">
        <v>1347</v>
      </c>
      <c r="M7" s="69">
        <f t="shared" si="0"/>
        <v>0</v>
      </c>
      <c r="N7" s="69">
        <f t="shared" si="1"/>
        <v>0</v>
      </c>
      <c r="O7" s="69">
        <v>7663</v>
      </c>
      <c r="R7" s="25"/>
      <c r="S7" s="69" t="s">
        <v>1345</v>
      </c>
      <c r="T7" s="30"/>
    </row>
    <row r="8" spans="1:20" x14ac:dyDescent="0.3">
      <c r="A8" s="15"/>
      <c r="B8" s="15"/>
      <c r="D8" s="69" t="s">
        <v>1348</v>
      </c>
      <c r="M8" s="69">
        <f t="shared" si="0"/>
        <v>0</v>
      </c>
      <c r="N8" s="69">
        <f t="shared" si="1"/>
        <v>0</v>
      </c>
      <c r="O8" s="69">
        <v>7201</v>
      </c>
      <c r="R8" s="25"/>
      <c r="S8" s="69" t="s">
        <v>1349</v>
      </c>
      <c r="T8" s="30"/>
    </row>
    <row r="9" spans="1:20" x14ac:dyDescent="0.3">
      <c r="A9" s="15"/>
      <c r="B9" s="15"/>
      <c r="D9" s="69" t="s">
        <v>1350</v>
      </c>
      <c r="M9" s="69">
        <f t="shared" si="0"/>
        <v>0</v>
      </c>
      <c r="N9" s="69">
        <f t="shared" si="1"/>
        <v>0</v>
      </c>
      <c r="O9" s="69">
        <v>7089</v>
      </c>
      <c r="R9" s="25"/>
      <c r="S9" s="69" t="s">
        <v>1351</v>
      </c>
      <c r="T9" s="30"/>
    </row>
    <row r="10" spans="1:20" x14ac:dyDescent="0.3">
      <c r="A10" s="15"/>
      <c r="B10" s="15"/>
      <c r="D10" s="69" t="s">
        <v>1368</v>
      </c>
      <c r="M10" s="69">
        <f t="shared" si="0"/>
        <v>0</v>
      </c>
      <c r="N10" s="69">
        <f t="shared" si="1"/>
        <v>0</v>
      </c>
      <c r="O10" s="69">
        <v>10101</v>
      </c>
      <c r="R10" s="25"/>
      <c r="S10" s="69" t="s">
        <v>1369</v>
      </c>
      <c r="T10" s="30"/>
    </row>
    <row r="11" spans="1:20" x14ac:dyDescent="0.3">
      <c r="A11" s="15"/>
      <c r="B11" s="15"/>
      <c r="M11" s="69">
        <f t="shared" si="0"/>
        <v>0</v>
      </c>
      <c r="N11" s="69">
        <f t="shared" si="1"/>
        <v>0</v>
      </c>
      <c r="O11" s="16">
        <f>SUM(O2:O10)</f>
        <v>67730</v>
      </c>
    </row>
    <row r="12" spans="1:20" x14ac:dyDescent="0.3">
      <c r="A12" s="15"/>
      <c r="B12" s="15"/>
      <c r="M12" s="69">
        <f t="shared" si="0"/>
        <v>0</v>
      </c>
      <c r="N12" s="69">
        <f t="shared" si="1"/>
        <v>0</v>
      </c>
      <c r="Q12" s="79"/>
      <c r="R12" s="79"/>
    </row>
    <row r="13" spans="1:20" x14ac:dyDescent="0.3">
      <c r="A13" s="15">
        <v>45019</v>
      </c>
      <c r="B13" s="15" t="str">
        <f>TEXT(A13,"mmmm")</f>
        <v>April</v>
      </c>
      <c r="C13" s="69" t="s">
        <v>1310</v>
      </c>
      <c r="D13" s="69" t="s">
        <v>1311</v>
      </c>
      <c r="E13" s="69">
        <v>2</v>
      </c>
      <c r="F13" s="69" t="s">
        <v>1464</v>
      </c>
      <c r="G13" s="69" t="s">
        <v>26</v>
      </c>
      <c r="H13" s="69" t="s">
        <v>1312</v>
      </c>
      <c r="I13" s="16">
        <v>105700</v>
      </c>
      <c r="L13" s="69">
        <v>900</v>
      </c>
      <c r="M13" s="69">
        <f t="shared" si="0"/>
        <v>900</v>
      </c>
      <c r="N13" s="69">
        <f t="shared" si="1"/>
        <v>104800</v>
      </c>
      <c r="O13" s="16">
        <v>99800</v>
      </c>
      <c r="P13" s="69">
        <v>5000</v>
      </c>
      <c r="Q13" s="25" t="s">
        <v>1314</v>
      </c>
      <c r="R13" s="30" t="s">
        <v>1313</v>
      </c>
    </row>
    <row r="14" spans="1:20" x14ac:dyDescent="0.3">
      <c r="A14" s="15"/>
      <c r="B14" s="15"/>
      <c r="M14" s="69">
        <f t="shared" si="0"/>
        <v>0</v>
      </c>
      <c r="N14" s="69">
        <f t="shared" si="1"/>
        <v>0</v>
      </c>
      <c r="Q14" s="30" t="s">
        <v>1326</v>
      </c>
    </row>
    <row r="15" spans="1:20" x14ac:dyDescent="0.3">
      <c r="M15" s="69">
        <f t="shared" si="0"/>
        <v>0</v>
      </c>
      <c r="N15" s="69">
        <f t="shared" si="1"/>
        <v>0</v>
      </c>
    </row>
    <row r="16" spans="1:20" x14ac:dyDescent="0.3">
      <c r="A16" s="15">
        <v>45021</v>
      </c>
      <c r="B16" s="15" t="str">
        <f>TEXT(A16,"mmmm")</f>
        <v>April</v>
      </c>
      <c r="C16" s="69" t="s">
        <v>1315</v>
      </c>
      <c r="D16" s="69" t="s">
        <v>1231</v>
      </c>
      <c r="E16" s="69">
        <v>4</v>
      </c>
      <c r="G16" s="69" t="s">
        <v>14</v>
      </c>
      <c r="H16" s="69" t="s">
        <v>1316</v>
      </c>
      <c r="I16" s="16">
        <v>469030</v>
      </c>
      <c r="J16" s="69">
        <v>11168</v>
      </c>
      <c r="K16" s="69">
        <v>11168</v>
      </c>
      <c r="M16" s="69">
        <f t="shared" si="0"/>
        <v>22336</v>
      </c>
      <c r="N16" s="69">
        <f t="shared" si="1"/>
        <v>446694</v>
      </c>
      <c r="O16" s="69">
        <v>223581</v>
      </c>
      <c r="P16" s="69">
        <v>63574</v>
      </c>
      <c r="Q16" s="30" t="s">
        <v>1322</v>
      </c>
      <c r="R16" s="47" t="s">
        <v>1327</v>
      </c>
    </row>
    <row r="17" spans="1:19" x14ac:dyDescent="0.3">
      <c r="F17" s="118" t="s">
        <v>258</v>
      </c>
      <c r="G17" s="118">
        <v>23452</v>
      </c>
      <c r="H17" s="69" t="s">
        <v>10</v>
      </c>
      <c r="I17" s="69">
        <f>50000+150000+100000+192482</f>
        <v>492482</v>
      </c>
      <c r="M17" s="69">
        <f t="shared" si="0"/>
        <v>0</v>
      </c>
      <c r="N17" s="69">
        <f t="shared" si="1"/>
        <v>492482</v>
      </c>
      <c r="O17" s="69">
        <v>150429</v>
      </c>
      <c r="Q17" s="30" t="s">
        <v>1323</v>
      </c>
      <c r="R17" s="30" t="s">
        <v>1328</v>
      </c>
      <c r="S17" s="69" t="s">
        <v>1230</v>
      </c>
    </row>
    <row r="18" spans="1:19" x14ac:dyDescent="0.3">
      <c r="F18" s="16" t="s">
        <v>1317</v>
      </c>
      <c r="G18" s="16">
        <v>492482</v>
      </c>
      <c r="H18" s="69" t="s">
        <v>50</v>
      </c>
      <c r="M18" s="69">
        <f t="shared" si="0"/>
        <v>0</v>
      </c>
      <c r="N18" s="69">
        <f t="shared" si="1"/>
        <v>0</v>
      </c>
      <c r="O18" s="69">
        <f>8520+590</f>
        <v>9110</v>
      </c>
      <c r="Q18" s="30" t="s">
        <v>1324</v>
      </c>
      <c r="R18" s="30" t="s">
        <v>1437</v>
      </c>
      <c r="S18" s="69" t="s">
        <v>1438</v>
      </c>
    </row>
    <row r="19" spans="1:19" x14ac:dyDescent="0.3">
      <c r="M19" s="69">
        <f t="shared" si="0"/>
        <v>0</v>
      </c>
      <c r="N19" s="69">
        <f t="shared" si="1"/>
        <v>0</v>
      </c>
      <c r="Q19" s="30" t="s">
        <v>1325</v>
      </c>
    </row>
    <row r="20" spans="1:19" x14ac:dyDescent="0.3">
      <c r="M20" s="69">
        <f t="shared" si="0"/>
        <v>0</v>
      </c>
      <c r="N20" s="69">
        <f t="shared" si="1"/>
        <v>0</v>
      </c>
      <c r="O20" s="16">
        <f>SUM(O16:O19)</f>
        <v>383120</v>
      </c>
    </row>
    <row r="21" spans="1:19" x14ac:dyDescent="0.3">
      <c r="M21" s="69">
        <f t="shared" si="0"/>
        <v>0</v>
      </c>
      <c r="N21" s="69">
        <f t="shared" si="1"/>
        <v>0</v>
      </c>
    </row>
    <row r="22" spans="1:19" x14ac:dyDescent="0.3">
      <c r="A22" s="15">
        <v>45021</v>
      </c>
      <c r="B22" s="15" t="str">
        <f>TEXT(A22,"mmmm")</f>
        <v>April</v>
      </c>
      <c r="C22" s="69" t="s">
        <v>1318</v>
      </c>
      <c r="D22" s="69" t="s">
        <v>1319</v>
      </c>
      <c r="E22" s="69">
        <v>2</v>
      </c>
      <c r="G22" s="69" t="s">
        <v>14</v>
      </c>
      <c r="H22" s="69" t="s">
        <v>1320</v>
      </c>
      <c r="I22" s="16">
        <v>312240</v>
      </c>
      <c r="J22" s="69">
        <v>7435</v>
      </c>
      <c r="K22" s="69">
        <v>7435</v>
      </c>
      <c r="M22" s="69">
        <f t="shared" si="0"/>
        <v>14870</v>
      </c>
      <c r="N22" s="69">
        <f t="shared" si="1"/>
        <v>297370</v>
      </c>
      <c r="O22" s="16">
        <v>246750</v>
      </c>
      <c r="P22" s="69">
        <v>50620</v>
      </c>
      <c r="Q22" s="79" t="s">
        <v>1321</v>
      </c>
      <c r="R22" s="79" t="s">
        <v>1330</v>
      </c>
    </row>
    <row r="23" spans="1:19" x14ac:dyDescent="0.3">
      <c r="A23" s="15"/>
      <c r="B23" s="15"/>
      <c r="F23" s="118" t="s">
        <v>258</v>
      </c>
      <c r="G23" s="118">
        <f>I22*5%</f>
        <v>15612</v>
      </c>
      <c r="M23" s="69">
        <f t="shared" si="0"/>
        <v>0</v>
      </c>
      <c r="N23" s="69">
        <f t="shared" si="1"/>
        <v>0</v>
      </c>
      <c r="Q23" s="79"/>
      <c r="R23" s="79"/>
    </row>
    <row r="24" spans="1:19" x14ac:dyDescent="0.3">
      <c r="A24" s="15"/>
      <c r="B24" s="15"/>
      <c r="F24" s="16" t="s">
        <v>1317</v>
      </c>
      <c r="G24" s="16">
        <f>G23+I22</f>
        <v>327852</v>
      </c>
      <c r="M24" s="69">
        <f t="shared" si="0"/>
        <v>0</v>
      </c>
      <c r="N24" s="69">
        <f t="shared" si="1"/>
        <v>0</v>
      </c>
      <c r="Q24" s="79"/>
      <c r="R24" s="79"/>
    </row>
    <row r="25" spans="1:19" x14ac:dyDescent="0.3">
      <c r="A25" s="15"/>
      <c r="B25" s="15"/>
      <c r="F25" s="16"/>
      <c r="G25" s="16"/>
      <c r="M25" s="69">
        <f t="shared" si="0"/>
        <v>0</v>
      </c>
      <c r="N25" s="69">
        <f t="shared" si="1"/>
        <v>0</v>
      </c>
      <c r="Q25" s="79"/>
      <c r="R25" s="79"/>
    </row>
    <row r="26" spans="1:19" x14ac:dyDescent="0.3">
      <c r="A26" s="15">
        <v>45022</v>
      </c>
      <c r="B26" s="15" t="str">
        <f>TEXT(A26,"mmmm")</f>
        <v>April</v>
      </c>
      <c r="C26" s="69" t="s">
        <v>1331</v>
      </c>
      <c r="D26" s="69" t="s">
        <v>1409</v>
      </c>
      <c r="E26" s="69">
        <v>3</v>
      </c>
      <c r="G26" s="69" t="s">
        <v>26</v>
      </c>
      <c r="H26" s="69" t="s">
        <v>10</v>
      </c>
      <c r="I26" s="16">
        <v>224160</v>
      </c>
      <c r="J26" s="69">
        <f>P26*9%</f>
        <v>1080</v>
      </c>
      <c r="K26" s="69">
        <f>J26</f>
        <v>1080</v>
      </c>
      <c r="M26" s="69">
        <f t="shared" si="0"/>
        <v>2160</v>
      </c>
      <c r="N26" s="69">
        <f t="shared" si="1"/>
        <v>222000</v>
      </c>
      <c r="O26" s="69">
        <v>75210</v>
      </c>
      <c r="P26" s="69">
        <v>12000</v>
      </c>
      <c r="Q26" s="25" t="s">
        <v>1342</v>
      </c>
      <c r="R26" s="25" t="s">
        <v>1338</v>
      </c>
      <c r="S26" s="69" t="s">
        <v>1332</v>
      </c>
    </row>
    <row r="27" spans="1:19" x14ac:dyDescent="0.3">
      <c r="A27" s="15"/>
      <c r="B27" s="15"/>
      <c r="M27" s="69">
        <f t="shared" si="0"/>
        <v>0</v>
      </c>
      <c r="N27" s="69">
        <f t="shared" si="1"/>
        <v>0</v>
      </c>
      <c r="O27" s="69">
        <v>134790</v>
      </c>
      <c r="Q27" s="79"/>
      <c r="R27" s="79"/>
      <c r="S27" s="69" t="s">
        <v>1333</v>
      </c>
    </row>
    <row r="28" spans="1:19" x14ac:dyDescent="0.3">
      <c r="A28" s="15"/>
      <c r="B28" s="15"/>
      <c r="I28" s="16"/>
      <c r="M28" s="69">
        <f t="shared" si="0"/>
        <v>0</v>
      </c>
      <c r="N28" s="69">
        <f t="shared" si="1"/>
        <v>0</v>
      </c>
      <c r="O28" s="16">
        <f>SUM(O26:O27)</f>
        <v>210000</v>
      </c>
      <c r="Q28" s="79"/>
      <c r="R28" s="79"/>
    </row>
    <row r="29" spans="1:19" x14ac:dyDescent="0.3">
      <c r="A29" s="15"/>
      <c r="B29" s="15"/>
      <c r="I29" s="16"/>
      <c r="M29" s="69">
        <f t="shared" si="0"/>
        <v>0</v>
      </c>
      <c r="N29" s="69">
        <f t="shared" si="1"/>
        <v>0</v>
      </c>
      <c r="O29" s="16"/>
      <c r="Q29" s="79"/>
      <c r="R29" s="79"/>
    </row>
    <row r="30" spans="1:19" x14ac:dyDescent="0.3">
      <c r="A30" s="15">
        <v>45026</v>
      </c>
      <c r="B30" s="15" t="str">
        <f>TEXT(A30,"mmmm")</f>
        <v>April</v>
      </c>
      <c r="C30" s="69" t="s">
        <v>1343</v>
      </c>
      <c r="D30" s="69" t="s">
        <v>3519</v>
      </c>
      <c r="E30" s="69">
        <v>4</v>
      </c>
      <c r="G30" s="69" t="s">
        <v>24</v>
      </c>
      <c r="H30" s="69" t="s">
        <v>11</v>
      </c>
      <c r="I30" s="16">
        <v>47755</v>
      </c>
      <c r="J30" s="69">
        <f>P30*9%</f>
        <v>171</v>
      </c>
      <c r="K30" s="69">
        <f>J30</f>
        <v>171</v>
      </c>
      <c r="M30" s="69">
        <f t="shared" si="0"/>
        <v>342</v>
      </c>
      <c r="N30" s="69">
        <f t="shared" si="1"/>
        <v>47413</v>
      </c>
      <c r="O30" s="16">
        <v>45513</v>
      </c>
      <c r="P30" s="69">
        <v>1900</v>
      </c>
      <c r="Q30" s="38">
        <v>45026</v>
      </c>
      <c r="R30" s="38">
        <v>45027</v>
      </c>
      <c r="S30" s="69" t="s">
        <v>1344</v>
      </c>
    </row>
    <row r="31" spans="1:19" x14ac:dyDescent="0.3">
      <c r="A31" s="15"/>
      <c r="B31" s="15"/>
      <c r="I31" s="16"/>
      <c r="M31" s="69">
        <f t="shared" si="0"/>
        <v>0</v>
      </c>
      <c r="N31" s="69">
        <f t="shared" si="1"/>
        <v>0</v>
      </c>
      <c r="O31" s="16"/>
      <c r="Q31" s="79"/>
      <c r="R31" s="79"/>
    </row>
    <row r="32" spans="1:19" x14ac:dyDescent="0.3">
      <c r="A32" s="15">
        <v>45027</v>
      </c>
      <c r="B32" s="15" t="str">
        <f>TEXT(A32,"mmmm")</f>
        <v>April</v>
      </c>
      <c r="C32" s="69" t="s">
        <v>1352</v>
      </c>
      <c r="D32" s="69" t="s">
        <v>17</v>
      </c>
      <c r="E32" s="69">
        <v>1</v>
      </c>
      <c r="G32" s="69" t="s">
        <v>26</v>
      </c>
      <c r="H32" s="69" t="s">
        <v>10</v>
      </c>
      <c r="I32" s="16">
        <v>462350</v>
      </c>
      <c r="J32" s="69">
        <f>P32*9%</f>
        <v>270</v>
      </c>
      <c r="K32" s="69">
        <f>J32</f>
        <v>270</v>
      </c>
      <c r="M32" s="69">
        <f t="shared" si="0"/>
        <v>540</v>
      </c>
      <c r="N32" s="69">
        <f t="shared" si="1"/>
        <v>461810</v>
      </c>
      <c r="O32" s="16">
        <v>458810</v>
      </c>
      <c r="P32" s="69">
        <v>3000</v>
      </c>
      <c r="Q32" s="38">
        <v>45029</v>
      </c>
      <c r="R32" s="38">
        <v>45030</v>
      </c>
      <c r="S32" s="69" t="s">
        <v>1353</v>
      </c>
    </row>
    <row r="33" spans="1:19" x14ac:dyDescent="0.3">
      <c r="A33" s="15"/>
      <c r="B33" s="15"/>
      <c r="M33" s="69">
        <f t="shared" si="0"/>
        <v>0</v>
      </c>
      <c r="N33" s="69">
        <f t="shared" si="1"/>
        <v>0</v>
      </c>
      <c r="Q33" s="79"/>
      <c r="R33" s="79"/>
    </row>
    <row r="34" spans="1:19" ht="26.4" x14ac:dyDescent="0.3">
      <c r="A34" s="15">
        <v>45027</v>
      </c>
      <c r="B34" s="15" t="str">
        <f>TEXT(A34,"mmmm")</f>
        <v>April</v>
      </c>
      <c r="C34" s="69" t="s">
        <v>1354</v>
      </c>
      <c r="D34" s="69" t="s">
        <v>1355</v>
      </c>
      <c r="E34" s="69">
        <v>5</v>
      </c>
      <c r="G34" s="69" t="s">
        <v>14</v>
      </c>
      <c r="H34" s="30" t="s">
        <v>1356</v>
      </c>
      <c r="I34" s="16">
        <v>397051</v>
      </c>
      <c r="J34" s="69">
        <v>9454</v>
      </c>
      <c r="K34" s="69">
        <f>J34</f>
        <v>9454</v>
      </c>
      <c r="M34" s="69">
        <f t="shared" si="0"/>
        <v>18908</v>
      </c>
      <c r="N34" s="69">
        <f t="shared" si="1"/>
        <v>378143</v>
      </c>
      <c r="O34" s="16">
        <v>342302</v>
      </c>
      <c r="P34" s="69">
        <v>35841</v>
      </c>
      <c r="Q34" s="79" t="s">
        <v>1357</v>
      </c>
      <c r="R34" s="79" t="s">
        <v>1361</v>
      </c>
    </row>
    <row r="35" spans="1:19" x14ac:dyDescent="0.3">
      <c r="A35" s="15"/>
      <c r="B35" s="15"/>
      <c r="E35" s="118"/>
      <c r="F35" s="118" t="s">
        <v>258</v>
      </c>
      <c r="G35" s="118">
        <v>19853</v>
      </c>
      <c r="H35" s="30"/>
      <c r="M35" s="69">
        <f t="shared" si="0"/>
        <v>0</v>
      </c>
      <c r="N35" s="69">
        <f t="shared" si="1"/>
        <v>0</v>
      </c>
      <c r="Q35" s="79" t="s">
        <v>1358</v>
      </c>
      <c r="R35" s="79"/>
    </row>
    <row r="36" spans="1:19" x14ac:dyDescent="0.3">
      <c r="A36" s="15"/>
      <c r="B36" s="15"/>
      <c r="F36" s="16" t="s">
        <v>1317</v>
      </c>
      <c r="G36" s="16">
        <f>G35+I34</f>
        <v>416904</v>
      </c>
      <c r="H36" s="30"/>
      <c r="M36" s="69">
        <f t="shared" si="0"/>
        <v>0</v>
      </c>
      <c r="N36" s="69">
        <f t="shared" si="1"/>
        <v>0</v>
      </c>
      <c r="Q36" s="79" t="s">
        <v>1359</v>
      </c>
      <c r="R36" s="79"/>
    </row>
    <row r="37" spans="1:19" x14ac:dyDescent="0.3">
      <c r="A37" s="15"/>
      <c r="B37" s="15"/>
      <c r="H37" s="30"/>
      <c r="M37" s="69">
        <f t="shared" si="0"/>
        <v>0</v>
      </c>
      <c r="N37" s="69">
        <f t="shared" si="1"/>
        <v>0</v>
      </c>
      <c r="Q37" s="79" t="s">
        <v>1360</v>
      </c>
      <c r="R37" s="79"/>
    </row>
    <row r="38" spans="1:19" x14ac:dyDescent="0.3">
      <c r="A38" s="15"/>
      <c r="B38" s="15"/>
      <c r="H38" s="30"/>
      <c r="M38" s="69">
        <f t="shared" si="0"/>
        <v>0</v>
      </c>
      <c r="N38" s="69">
        <f t="shared" si="1"/>
        <v>0</v>
      </c>
      <c r="Q38" s="79"/>
      <c r="R38" s="79"/>
    </row>
    <row r="39" spans="1:19" x14ac:dyDescent="0.3">
      <c r="A39" s="15">
        <v>45027</v>
      </c>
      <c r="B39" s="15" t="str">
        <f>TEXT(A39,"mmmm")</f>
        <v>April</v>
      </c>
      <c r="C39" s="69" t="s">
        <v>1362</v>
      </c>
      <c r="D39" s="69" t="s">
        <v>1363</v>
      </c>
      <c r="E39" s="69">
        <v>1</v>
      </c>
      <c r="F39" s="3" t="s">
        <v>54</v>
      </c>
      <c r="G39" s="69" t="s">
        <v>24</v>
      </c>
      <c r="H39" s="30" t="s">
        <v>1364</v>
      </c>
      <c r="I39" s="16">
        <v>9280</v>
      </c>
      <c r="J39" s="69">
        <v>90</v>
      </c>
      <c r="K39" s="69">
        <v>90</v>
      </c>
      <c r="M39" s="69">
        <f t="shared" si="0"/>
        <v>180</v>
      </c>
      <c r="N39" s="69">
        <f t="shared" si="1"/>
        <v>9100</v>
      </c>
      <c r="O39" s="16">
        <v>8120</v>
      </c>
      <c r="P39" s="69">
        <v>980</v>
      </c>
      <c r="Q39" s="30" t="s">
        <v>1407</v>
      </c>
      <c r="R39" s="38">
        <v>45027</v>
      </c>
    </row>
    <row r="40" spans="1:19" x14ac:dyDescent="0.3">
      <c r="A40" s="15"/>
      <c r="B40" s="15"/>
      <c r="M40" s="69">
        <f t="shared" si="0"/>
        <v>0</v>
      </c>
      <c r="N40" s="69">
        <f t="shared" si="1"/>
        <v>0</v>
      </c>
      <c r="Q40" s="79"/>
      <c r="R40" s="79"/>
    </row>
    <row r="41" spans="1:19" x14ac:dyDescent="0.3">
      <c r="A41" s="15"/>
      <c r="B41" s="15"/>
      <c r="M41" s="69">
        <f t="shared" si="0"/>
        <v>0</v>
      </c>
      <c r="N41" s="69">
        <f t="shared" si="1"/>
        <v>0</v>
      </c>
      <c r="Q41" s="79"/>
      <c r="R41" s="79"/>
    </row>
    <row r="42" spans="1:19" s="3" customFormat="1" x14ac:dyDescent="0.3">
      <c r="A42" s="5">
        <v>45027</v>
      </c>
      <c r="B42" s="15" t="str">
        <f>TEXT(A42,"mmmm")</f>
        <v>April</v>
      </c>
      <c r="C42" s="69" t="s">
        <v>1370</v>
      </c>
      <c r="D42" s="3" t="s">
        <v>1290</v>
      </c>
      <c r="E42" s="3">
        <v>1</v>
      </c>
      <c r="F42" s="3" t="s">
        <v>54</v>
      </c>
      <c r="G42" s="3" t="s">
        <v>9</v>
      </c>
      <c r="H42" s="3" t="s">
        <v>1375</v>
      </c>
      <c r="I42" s="4">
        <v>26973</v>
      </c>
      <c r="J42" s="3">
        <v>643</v>
      </c>
      <c r="K42" s="3">
        <f>J42</f>
        <v>643</v>
      </c>
      <c r="M42" s="69">
        <f t="shared" si="0"/>
        <v>1286</v>
      </c>
      <c r="N42" s="69">
        <f t="shared" si="1"/>
        <v>25687</v>
      </c>
      <c r="O42" s="3">
        <v>6514</v>
      </c>
      <c r="P42" s="3">
        <f>1250*5</f>
        <v>6250</v>
      </c>
      <c r="Q42" s="25" t="s">
        <v>1446</v>
      </c>
      <c r="R42" s="38" t="s">
        <v>1394</v>
      </c>
      <c r="S42" s="3" t="s">
        <v>1374</v>
      </c>
    </row>
    <row r="43" spans="1:19" x14ac:dyDescent="0.3">
      <c r="A43" s="15"/>
      <c r="B43" s="15"/>
      <c r="D43" s="69" t="s">
        <v>1365</v>
      </c>
      <c r="H43" s="69" t="s">
        <v>1334</v>
      </c>
      <c r="M43" s="69">
        <f t="shared" si="0"/>
        <v>0</v>
      </c>
      <c r="N43" s="69">
        <f t="shared" si="1"/>
        <v>0</v>
      </c>
      <c r="O43" s="69">
        <v>3624</v>
      </c>
      <c r="Q43" s="79"/>
      <c r="R43" s="30" t="s">
        <v>1393</v>
      </c>
      <c r="S43" s="69" t="s">
        <v>1387</v>
      </c>
    </row>
    <row r="44" spans="1:19" x14ac:dyDescent="0.3">
      <c r="D44" s="69" t="s">
        <v>1366</v>
      </c>
      <c r="H44" s="69" t="s">
        <v>1334</v>
      </c>
      <c r="M44" s="69">
        <f t="shared" si="0"/>
        <v>0</v>
      </c>
      <c r="N44" s="69">
        <f t="shared" si="1"/>
        <v>0</v>
      </c>
      <c r="O44" s="69">
        <v>2480</v>
      </c>
      <c r="R44" s="30" t="s">
        <v>1436</v>
      </c>
      <c r="S44" s="69" t="s">
        <v>1418</v>
      </c>
    </row>
    <row r="45" spans="1:19" x14ac:dyDescent="0.3">
      <c r="D45" s="69" t="s">
        <v>1367</v>
      </c>
      <c r="H45" s="69" t="s">
        <v>1334</v>
      </c>
      <c r="M45" s="69">
        <f t="shared" si="0"/>
        <v>0</v>
      </c>
      <c r="N45" s="69">
        <f t="shared" si="1"/>
        <v>0</v>
      </c>
      <c r="O45" s="69">
        <v>2435</v>
      </c>
      <c r="S45" s="69" t="s">
        <v>1435</v>
      </c>
    </row>
    <row r="46" spans="1:19" s="3" customFormat="1" x14ac:dyDescent="0.3">
      <c r="D46" s="3" t="s">
        <v>1408</v>
      </c>
      <c r="H46" s="69" t="s">
        <v>1334</v>
      </c>
      <c r="M46" s="69">
        <f t="shared" si="0"/>
        <v>0</v>
      </c>
      <c r="N46" s="69">
        <f t="shared" si="1"/>
        <v>0</v>
      </c>
      <c r="O46" s="3">
        <v>4384</v>
      </c>
      <c r="Q46" s="25"/>
      <c r="R46" s="25"/>
      <c r="S46" s="3" t="s">
        <v>1419</v>
      </c>
    </row>
    <row r="47" spans="1:19" s="3" customFormat="1" x14ac:dyDescent="0.3">
      <c r="M47" s="69">
        <f t="shared" si="0"/>
        <v>0</v>
      </c>
      <c r="N47" s="69">
        <f t="shared" si="1"/>
        <v>0</v>
      </c>
      <c r="O47" s="4">
        <f>SUM(O42:O46)</f>
        <v>19437</v>
      </c>
      <c r="Q47" s="25"/>
      <c r="R47" s="25"/>
    </row>
    <row r="48" spans="1:19" s="3" customFormat="1" x14ac:dyDescent="0.3">
      <c r="M48" s="69">
        <f t="shared" si="0"/>
        <v>0</v>
      </c>
      <c r="N48" s="69">
        <f t="shared" si="1"/>
        <v>0</v>
      </c>
      <c r="Q48" s="25"/>
      <c r="R48" s="25"/>
    </row>
    <row r="49" spans="1:19" s="3" customFormat="1" x14ac:dyDescent="0.3">
      <c r="A49" s="5">
        <v>45028</v>
      </c>
      <c r="B49" s="15" t="str">
        <f>TEXT(A49,"mmmm")</f>
        <v>April</v>
      </c>
      <c r="C49" s="3" t="s">
        <v>1371</v>
      </c>
      <c r="D49" s="3" t="s">
        <v>48</v>
      </c>
      <c r="E49" s="3">
        <v>1</v>
      </c>
      <c r="G49" s="3" t="s">
        <v>22</v>
      </c>
      <c r="H49" s="3" t="s">
        <v>1372</v>
      </c>
      <c r="I49" s="4">
        <v>7700</v>
      </c>
      <c r="J49" s="3">
        <v>119</v>
      </c>
      <c r="K49" s="3">
        <v>119</v>
      </c>
      <c r="M49" s="69">
        <f t="shared" si="0"/>
        <v>238</v>
      </c>
      <c r="N49" s="69">
        <f t="shared" si="1"/>
        <v>7462</v>
      </c>
      <c r="O49" s="4">
        <f>5650+500</f>
        <v>6150</v>
      </c>
      <c r="P49" s="3">
        <v>1312</v>
      </c>
      <c r="Q49" s="38">
        <v>45028</v>
      </c>
      <c r="R49" s="38" t="s">
        <v>1384</v>
      </c>
      <c r="S49" s="3" t="s">
        <v>1373</v>
      </c>
    </row>
    <row r="50" spans="1:19" x14ac:dyDescent="0.3">
      <c r="M50" s="69">
        <f t="shared" si="0"/>
        <v>0</v>
      </c>
      <c r="N50" s="69">
        <f t="shared" si="1"/>
        <v>0</v>
      </c>
      <c r="R50" s="30" t="s">
        <v>1386</v>
      </c>
      <c r="S50" s="3" t="s">
        <v>1385</v>
      </c>
    </row>
    <row r="51" spans="1:19" x14ac:dyDescent="0.3">
      <c r="M51" s="69">
        <f t="shared" si="0"/>
        <v>0</v>
      </c>
      <c r="N51" s="69">
        <f t="shared" si="1"/>
        <v>0</v>
      </c>
    </row>
    <row r="52" spans="1:19" x14ac:dyDescent="0.3">
      <c r="A52" s="15">
        <v>45029</v>
      </c>
      <c r="B52" s="15" t="str">
        <f>TEXT(A52,"mmmm")</f>
        <v>April</v>
      </c>
      <c r="C52" s="69" t="s">
        <v>1376</v>
      </c>
      <c r="D52" s="69" t="s">
        <v>1380</v>
      </c>
      <c r="E52" s="69">
        <v>1</v>
      </c>
      <c r="F52" s="3" t="s">
        <v>54</v>
      </c>
      <c r="G52" s="69" t="s">
        <v>26</v>
      </c>
      <c r="H52" s="69" t="s">
        <v>10</v>
      </c>
      <c r="I52" s="16">
        <v>56187</v>
      </c>
      <c r="J52" s="69">
        <f>P52*9%</f>
        <v>252</v>
      </c>
      <c r="K52" s="69">
        <f>J52</f>
        <v>252</v>
      </c>
      <c r="M52" s="69">
        <f t="shared" si="0"/>
        <v>504</v>
      </c>
      <c r="N52" s="69">
        <f t="shared" si="1"/>
        <v>55683</v>
      </c>
      <c r="O52" s="69">
        <v>2880</v>
      </c>
      <c r="P52" s="69">
        <f>350*8</f>
        <v>2800</v>
      </c>
      <c r="Q52" s="38">
        <v>45036</v>
      </c>
      <c r="R52" s="25" t="s">
        <v>1403</v>
      </c>
      <c r="S52" s="69" t="s">
        <v>1381</v>
      </c>
    </row>
    <row r="53" spans="1:19" x14ac:dyDescent="0.3">
      <c r="A53" s="15"/>
      <c r="B53" s="15"/>
      <c r="D53" s="69" t="s">
        <v>1390</v>
      </c>
      <c r="F53" s="3"/>
      <c r="M53" s="69">
        <f t="shared" si="0"/>
        <v>0</v>
      </c>
      <c r="N53" s="69">
        <f t="shared" si="1"/>
        <v>0</v>
      </c>
      <c r="O53" s="69">
        <v>3946</v>
      </c>
      <c r="Q53" s="79"/>
      <c r="R53" s="79"/>
      <c r="S53" s="69" t="s">
        <v>1382</v>
      </c>
    </row>
    <row r="54" spans="1:19" x14ac:dyDescent="0.3">
      <c r="A54" s="15"/>
      <c r="B54" s="15"/>
      <c r="D54" s="69" t="s">
        <v>1389</v>
      </c>
      <c r="F54" s="3"/>
      <c r="M54" s="69">
        <f t="shared" si="0"/>
        <v>0</v>
      </c>
      <c r="N54" s="69">
        <f t="shared" si="1"/>
        <v>0</v>
      </c>
      <c r="O54" s="69">
        <v>5361</v>
      </c>
      <c r="Q54" s="79"/>
      <c r="R54" s="79"/>
      <c r="S54" s="69" t="s">
        <v>1391</v>
      </c>
    </row>
    <row r="55" spans="1:19" x14ac:dyDescent="0.3">
      <c r="A55" s="15"/>
      <c r="B55" s="15"/>
      <c r="D55" s="69" t="s">
        <v>1389</v>
      </c>
      <c r="F55" s="3"/>
      <c r="M55" s="69">
        <f t="shared" si="0"/>
        <v>0</v>
      </c>
      <c r="N55" s="69">
        <f t="shared" si="1"/>
        <v>0</v>
      </c>
      <c r="O55" s="69">
        <v>4472</v>
      </c>
      <c r="Q55" s="79"/>
      <c r="R55" s="79"/>
      <c r="S55" s="69" t="s">
        <v>1388</v>
      </c>
    </row>
    <row r="56" spans="1:19" x14ac:dyDescent="0.3">
      <c r="A56" s="15"/>
      <c r="B56" s="15"/>
      <c r="D56" s="69" t="s">
        <v>1395</v>
      </c>
      <c r="F56" s="3"/>
      <c r="M56" s="69">
        <f t="shared" si="0"/>
        <v>0</v>
      </c>
      <c r="N56" s="69">
        <f t="shared" si="1"/>
        <v>0</v>
      </c>
      <c r="O56" s="69">
        <v>16939</v>
      </c>
      <c r="Q56" s="79"/>
      <c r="R56" s="79"/>
      <c r="S56" s="69" t="s">
        <v>1397</v>
      </c>
    </row>
    <row r="57" spans="1:19" x14ac:dyDescent="0.3">
      <c r="A57" s="15"/>
      <c r="B57" s="15"/>
      <c r="D57" s="69" t="s">
        <v>1395</v>
      </c>
      <c r="F57" s="3"/>
      <c r="M57" s="69">
        <f t="shared" si="0"/>
        <v>0</v>
      </c>
      <c r="N57" s="69">
        <f t="shared" si="1"/>
        <v>0</v>
      </c>
      <c r="O57" s="69">
        <v>19285</v>
      </c>
      <c r="Q57" s="79"/>
      <c r="R57" s="79"/>
      <c r="S57" s="69" t="s">
        <v>1396</v>
      </c>
    </row>
    <row r="58" spans="1:19" x14ac:dyDescent="0.3">
      <c r="A58" s="15"/>
      <c r="B58" s="15"/>
      <c r="F58" s="3"/>
      <c r="M58" s="69">
        <f t="shared" si="0"/>
        <v>0</v>
      </c>
      <c r="N58" s="69">
        <f t="shared" si="1"/>
        <v>0</v>
      </c>
      <c r="O58" s="16">
        <f>SUM(O52:O57)</f>
        <v>52883</v>
      </c>
      <c r="Q58" s="79"/>
      <c r="R58" s="79"/>
    </row>
    <row r="59" spans="1:19" x14ac:dyDescent="0.3">
      <c r="A59" s="15"/>
      <c r="B59" s="15"/>
      <c r="F59" s="3"/>
      <c r="M59" s="69">
        <f t="shared" si="0"/>
        <v>0</v>
      </c>
      <c r="N59" s="69">
        <f t="shared" si="1"/>
        <v>0</v>
      </c>
      <c r="Q59" s="79"/>
      <c r="R59" s="79"/>
    </row>
    <row r="60" spans="1:19" ht="26.4" x14ac:dyDescent="0.3">
      <c r="A60" s="15">
        <v>45033</v>
      </c>
      <c r="B60" s="15" t="str">
        <f>TEXT(A60,"mmmm")</f>
        <v>April</v>
      </c>
      <c r="C60" s="69" t="s">
        <v>1392</v>
      </c>
      <c r="D60" s="69" t="s">
        <v>1377</v>
      </c>
      <c r="E60" s="69">
        <v>2</v>
      </c>
      <c r="F60" s="69" t="s">
        <v>52</v>
      </c>
      <c r="G60" s="69" t="s">
        <v>14</v>
      </c>
      <c r="H60" s="69" t="s">
        <v>1378</v>
      </c>
      <c r="I60" s="16">
        <v>250809</v>
      </c>
      <c r="J60" s="69">
        <v>5972</v>
      </c>
      <c r="K60" s="69">
        <f>J60</f>
        <v>5972</v>
      </c>
      <c r="M60" s="69">
        <f t="shared" si="0"/>
        <v>11944</v>
      </c>
      <c r="N60" s="69">
        <f t="shared" si="1"/>
        <v>238865</v>
      </c>
      <c r="O60" s="16">
        <v>205041</v>
      </c>
      <c r="P60" s="69">
        <v>33824</v>
      </c>
      <c r="Q60" s="79" t="s">
        <v>1379</v>
      </c>
      <c r="R60" s="56" t="s">
        <v>1733</v>
      </c>
    </row>
    <row r="61" spans="1:19" x14ac:dyDescent="0.3">
      <c r="D61" s="81"/>
      <c r="F61" s="118" t="s">
        <v>258</v>
      </c>
      <c r="G61" s="118">
        <v>12541</v>
      </c>
      <c r="H61" s="69" t="s">
        <v>1398</v>
      </c>
      <c r="M61" s="69">
        <f t="shared" si="0"/>
        <v>0</v>
      </c>
      <c r="N61" s="69">
        <f t="shared" si="1"/>
        <v>0</v>
      </c>
      <c r="Q61" s="30" t="s">
        <v>1402</v>
      </c>
      <c r="R61" s="30" t="s">
        <v>1399</v>
      </c>
    </row>
    <row r="62" spans="1:19" x14ac:dyDescent="0.3">
      <c r="D62" s="16"/>
      <c r="F62" s="16" t="s">
        <v>1317</v>
      </c>
      <c r="G62" s="16">
        <v>263350</v>
      </c>
      <c r="M62" s="69">
        <f t="shared" si="0"/>
        <v>0</v>
      </c>
      <c r="N62" s="69">
        <f t="shared" si="1"/>
        <v>0</v>
      </c>
    </row>
    <row r="63" spans="1:19" x14ac:dyDescent="0.3">
      <c r="A63" s="15"/>
      <c r="B63" s="15"/>
      <c r="D63" s="4"/>
      <c r="M63" s="69">
        <f t="shared" si="0"/>
        <v>0</v>
      </c>
      <c r="N63" s="69">
        <f t="shared" si="1"/>
        <v>0</v>
      </c>
    </row>
    <row r="64" spans="1:19" ht="26.4" x14ac:dyDescent="0.3">
      <c r="A64" s="15">
        <v>45033</v>
      </c>
      <c r="B64" s="15" t="str">
        <f>TEXT(A64,"mmmm")</f>
        <v>April</v>
      </c>
      <c r="C64" s="69" t="s">
        <v>1404</v>
      </c>
      <c r="D64" s="3" t="s">
        <v>1400</v>
      </c>
      <c r="E64" s="69">
        <v>2</v>
      </c>
      <c r="G64" s="69" t="s">
        <v>22</v>
      </c>
      <c r="H64" s="69" t="s">
        <v>359</v>
      </c>
      <c r="I64" s="16">
        <v>11800</v>
      </c>
      <c r="J64" s="69">
        <v>855</v>
      </c>
      <c r="K64" s="69">
        <v>855</v>
      </c>
      <c r="M64" s="69">
        <f t="shared" si="0"/>
        <v>1710</v>
      </c>
      <c r="N64" s="69">
        <f t="shared" si="1"/>
        <v>10090</v>
      </c>
      <c r="O64" s="16">
        <v>590</v>
      </c>
      <c r="P64" s="69">
        <v>9500</v>
      </c>
      <c r="Q64" s="79" t="s">
        <v>1401</v>
      </c>
      <c r="R64" s="79" t="s">
        <v>1406</v>
      </c>
      <c r="S64" s="69" t="s">
        <v>1405</v>
      </c>
    </row>
    <row r="65" spans="1:19" x14ac:dyDescent="0.3">
      <c r="D65" s="3"/>
      <c r="M65" s="69">
        <f t="shared" si="0"/>
        <v>0</v>
      </c>
      <c r="N65" s="69">
        <f t="shared" si="1"/>
        <v>0</v>
      </c>
    </row>
    <row r="66" spans="1:19" x14ac:dyDescent="0.3">
      <c r="A66" s="15">
        <v>45036</v>
      </c>
      <c r="B66" s="15" t="str">
        <f>TEXT(A66,"mmmm")</f>
        <v>April</v>
      </c>
      <c r="C66" s="3" t="s">
        <v>1411</v>
      </c>
      <c r="D66" s="4" t="s">
        <v>1412</v>
      </c>
      <c r="E66" s="69">
        <v>4</v>
      </c>
      <c r="F66" s="69" t="s">
        <v>1414</v>
      </c>
      <c r="G66" s="69" t="s">
        <v>14</v>
      </c>
      <c r="H66" s="69" t="s">
        <v>10</v>
      </c>
      <c r="I66" s="16">
        <v>326646</v>
      </c>
      <c r="J66" s="69">
        <v>7778</v>
      </c>
      <c r="K66" s="69">
        <v>7778</v>
      </c>
      <c r="M66" s="69">
        <f t="shared" si="0"/>
        <v>15556</v>
      </c>
      <c r="N66" s="69">
        <f t="shared" si="1"/>
        <v>311090</v>
      </c>
      <c r="O66" s="69">
        <v>113583</v>
      </c>
      <c r="P66" s="69">
        <v>62507</v>
      </c>
      <c r="Q66" s="5">
        <v>45044</v>
      </c>
      <c r="R66" s="47" t="s">
        <v>1439</v>
      </c>
      <c r="S66" s="69" t="s">
        <v>1410</v>
      </c>
    </row>
    <row r="67" spans="1:19" x14ac:dyDescent="0.3">
      <c r="D67" s="3" t="s">
        <v>1413</v>
      </c>
      <c r="H67" s="69" t="s">
        <v>1462</v>
      </c>
      <c r="M67" s="69">
        <f t="shared" ref="M67:M130" si="2">SUM(J67:L67)</f>
        <v>0</v>
      </c>
      <c r="N67" s="69">
        <f t="shared" ref="N67:N130" si="3">I67-M67</f>
        <v>0</v>
      </c>
      <c r="O67" s="69">
        <v>135000</v>
      </c>
      <c r="Q67" s="30">
        <v>326646</v>
      </c>
      <c r="R67" s="25" t="s">
        <v>1463</v>
      </c>
    </row>
    <row r="68" spans="1:19" x14ac:dyDescent="0.3">
      <c r="D68" s="119" t="s">
        <v>3463</v>
      </c>
      <c r="M68" s="69">
        <f t="shared" si="2"/>
        <v>0</v>
      </c>
      <c r="N68" s="69">
        <f t="shared" si="3"/>
        <v>0</v>
      </c>
      <c r="O68" s="16">
        <f>SUM(O66:O67)</f>
        <v>248583</v>
      </c>
    </row>
    <row r="69" spans="1:19" x14ac:dyDescent="0.3">
      <c r="D69" s="3"/>
      <c r="M69" s="69">
        <f t="shared" si="2"/>
        <v>0</v>
      </c>
      <c r="N69" s="69">
        <f t="shared" si="3"/>
        <v>0</v>
      </c>
    </row>
    <row r="70" spans="1:19" x14ac:dyDescent="0.3">
      <c r="A70" s="80"/>
      <c r="B70" s="80"/>
      <c r="D70" s="4"/>
      <c r="M70" s="69">
        <f t="shared" si="2"/>
        <v>0</v>
      </c>
      <c r="N70" s="69">
        <f t="shared" si="3"/>
        <v>0</v>
      </c>
      <c r="Q70" s="47"/>
      <c r="R70" s="79"/>
    </row>
    <row r="71" spans="1:19" x14ac:dyDescent="0.3">
      <c r="A71" s="15">
        <v>45037</v>
      </c>
      <c r="B71" s="15" t="str">
        <f>TEXT(A71,"mmmm")</f>
        <v>April</v>
      </c>
      <c r="C71" s="69" t="s">
        <v>1415</v>
      </c>
      <c r="D71" s="69" t="s">
        <v>201</v>
      </c>
      <c r="E71" s="69">
        <v>2</v>
      </c>
      <c r="F71" s="3" t="s">
        <v>60</v>
      </c>
      <c r="G71" s="69" t="s">
        <v>26</v>
      </c>
      <c r="H71" s="69" t="s">
        <v>10</v>
      </c>
      <c r="I71" s="16">
        <v>38928</v>
      </c>
      <c r="J71" s="69">
        <f>P71*9%</f>
        <v>189</v>
      </c>
      <c r="K71" s="69">
        <f>J71</f>
        <v>189</v>
      </c>
      <c r="M71" s="69">
        <f t="shared" si="2"/>
        <v>378</v>
      </c>
      <c r="N71" s="69">
        <f t="shared" si="3"/>
        <v>38550</v>
      </c>
      <c r="O71" s="69">
        <v>18128</v>
      </c>
      <c r="P71" s="69">
        <f>1400+700</f>
        <v>2100</v>
      </c>
      <c r="Q71" s="5">
        <v>45041</v>
      </c>
      <c r="R71" s="47" t="s">
        <v>1442</v>
      </c>
      <c r="S71" s="69" t="s">
        <v>1417</v>
      </c>
    </row>
    <row r="72" spans="1:19" x14ac:dyDescent="0.3">
      <c r="A72" s="15"/>
      <c r="B72" s="15"/>
      <c r="M72" s="69">
        <f t="shared" si="2"/>
        <v>0</v>
      </c>
      <c r="N72" s="69">
        <f t="shared" si="3"/>
        <v>0</v>
      </c>
      <c r="O72" s="69">
        <v>15386</v>
      </c>
      <c r="Q72" s="79"/>
      <c r="R72" s="47"/>
      <c r="S72" s="69" t="s">
        <v>1416</v>
      </c>
    </row>
    <row r="73" spans="1:19" x14ac:dyDescent="0.3">
      <c r="A73" s="15"/>
      <c r="B73" s="15"/>
      <c r="D73" s="69" t="s">
        <v>1434</v>
      </c>
      <c r="M73" s="69">
        <f t="shared" si="2"/>
        <v>0</v>
      </c>
      <c r="N73" s="69">
        <f t="shared" si="3"/>
        <v>0</v>
      </c>
      <c r="O73" s="69">
        <v>236</v>
      </c>
      <c r="Q73" s="79"/>
      <c r="R73" s="47"/>
      <c r="S73" s="69" t="s">
        <v>1440</v>
      </c>
    </row>
    <row r="74" spans="1:19" x14ac:dyDescent="0.3">
      <c r="A74" s="15"/>
      <c r="B74" s="15"/>
      <c r="D74" s="69" t="s">
        <v>973</v>
      </c>
      <c r="M74" s="69">
        <f t="shared" si="2"/>
        <v>0</v>
      </c>
      <c r="N74" s="69">
        <f t="shared" si="3"/>
        <v>0</v>
      </c>
      <c r="O74" s="69">
        <v>2700</v>
      </c>
      <c r="Q74" s="79"/>
      <c r="R74" s="47"/>
      <c r="S74" s="3" t="s">
        <v>1441</v>
      </c>
    </row>
    <row r="75" spans="1:19" x14ac:dyDescent="0.3">
      <c r="M75" s="69">
        <f t="shared" si="2"/>
        <v>0</v>
      </c>
      <c r="N75" s="69">
        <f t="shared" si="3"/>
        <v>0</v>
      </c>
      <c r="O75" s="16">
        <f>SUM(O71:O74)</f>
        <v>36450</v>
      </c>
    </row>
    <row r="76" spans="1:19" x14ac:dyDescent="0.3">
      <c r="A76" s="15"/>
      <c r="B76" s="15"/>
      <c r="M76" s="69">
        <f t="shared" si="2"/>
        <v>0</v>
      </c>
      <c r="N76" s="69">
        <f t="shared" si="3"/>
        <v>0</v>
      </c>
    </row>
    <row r="77" spans="1:19" x14ac:dyDescent="0.3">
      <c r="A77" s="15">
        <v>45037</v>
      </c>
      <c r="B77" s="15" t="str">
        <f>TEXT(A77,"mmmm")</f>
        <v>April</v>
      </c>
      <c r="C77" s="69" t="s">
        <v>1420</v>
      </c>
      <c r="D77" s="69" t="s">
        <v>1421</v>
      </c>
      <c r="E77" s="69">
        <v>1</v>
      </c>
      <c r="F77" s="3" t="s">
        <v>54</v>
      </c>
      <c r="G77" s="69" t="s">
        <v>26</v>
      </c>
      <c r="H77" s="69" t="s">
        <v>10</v>
      </c>
      <c r="I77" s="16">
        <f>SUM(J77:K77,O83,P77)</f>
        <v>34878</v>
      </c>
      <c r="J77" s="69">
        <f>P77*9%</f>
        <v>189</v>
      </c>
      <c r="K77" s="69">
        <f>J77</f>
        <v>189</v>
      </c>
      <c r="M77" s="69">
        <f t="shared" si="2"/>
        <v>378</v>
      </c>
      <c r="N77" s="69">
        <f t="shared" si="3"/>
        <v>34500</v>
      </c>
      <c r="O77" s="69">
        <v>5892</v>
      </c>
      <c r="P77" s="69">
        <f>700+700+700</f>
        <v>2100</v>
      </c>
      <c r="Q77" s="25" t="s">
        <v>1446</v>
      </c>
      <c r="R77" s="47" t="s">
        <v>1443</v>
      </c>
      <c r="S77" s="69" t="s">
        <v>1422</v>
      </c>
    </row>
    <row r="78" spans="1:19" x14ac:dyDescent="0.3">
      <c r="A78" s="15"/>
      <c r="B78" s="15"/>
      <c r="D78" s="69" t="s">
        <v>1421</v>
      </c>
      <c r="M78" s="69">
        <f t="shared" si="2"/>
        <v>0</v>
      </c>
      <c r="N78" s="69">
        <f t="shared" si="3"/>
        <v>0</v>
      </c>
      <c r="O78" s="69">
        <v>4874</v>
      </c>
      <c r="S78" s="69" t="s">
        <v>1423</v>
      </c>
    </row>
    <row r="79" spans="1:19" x14ac:dyDescent="0.3">
      <c r="A79" s="15"/>
      <c r="B79" s="15"/>
      <c r="D79" s="69" t="s">
        <v>1425</v>
      </c>
      <c r="M79" s="69">
        <f t="shared" si="2"/>
        <v>0</v>
      </c>
      <c r="N79" s="69">
        <f t="shared" si="3"/>
        <v>0</v>
      </c>
      <c r="O79" s="69">
        <v>4813</v>
      </c>
      <c r="S79" s="69" t="s">
        <v>1427</v>
      </c>
    </row>
    <row r="80" spans="1:19" x14ac:dyDescent="0.3">
      <c r="A80" s="15"/>
      <c r="B80" s="15"/>
      <c r="D80" s="69" t="s">
        <v>1425</v>
      </c>
      <c r="M80" s="69">
        <f t="shared" si="2"/>
        <v>0</v>
      </c>
      <c r="N80" s="69">
        <f t="shared" si="3"/>
        <v>0</v>
      </c>
      <c r="O80" s="69">
        <v>4226</v>
      </c>
      <c r="S80" s="69" t="s">
        <v>1426</v>
      </c>
    </row>
    <row r="81" spans="1:19" x14ac:dyDescent="0.3">
      <c r="A81" s="15"/>
      <c r="B81" s="15"/>
      <c r="D81" s="69" t="s">
        <v>1428</v>
      </c>
      <c r="M81" s="69">
        <f t="shared" si="2"/>
        <v>0</v>
      </c>
      <c r="N81" s="69">
        <f t="shared" si="3"/>
        <v>0</v>
      </c>
      <c r="O81" s="69">
        <v>6398</v>
      </c>
      <c r="S81" s="69" t="s">
        <v>1430</v>
      </c>
    </row>
    <row r="82" spans="1:19" x14ac:dyDescent="0.3">
      <c r="A82" s="15"/>
      <c r="B82" s="15"/>
      <c r="D82" s="69" t="s">
        <v>1428</v>
      </c>
      <c r="M82" s="69">
        <f t="shared" si="2"/>
        <v>0</v>
      </c>
      <c r="N82" s="69">
        <f t="shared" si="3"/>
        <v>0</v>
      </c>
      <c r="O82" s="69">
        <v>6197</v>
      </c>
      <c r="S82" s="69" t="s">
        <v>1429</v>
      </c>
    </row>
    <row r="83" spans="1:19" x14ac:dyDescent="0.3">
      <c r="A83" s="15"/>
      <c r="B83" s="15"/>
      <c r="M83" s="69">
        <f t="shared" si="2"/>
        <v>0</v>
      </c>
      <c r="N83" s="69">
        <f t="shared" si="3"/>
        <v>0</v>
      </c>
      <c r="O83" s="16">
        <f>SUM(O77:O82)</f>
        <v>32400</v>
      </c>
      <c r="Q83" s="79"/>
      <c r="R83" s="47"/>
    </row>
    <row r="84" spans="1:19" x14ac:dyDescent="0.3">
      <c r="A84" s="15"/>
      <c r="B84" s="15"/>
      <c r="M84" s="69">
        <f t="shared" si="2"/>
        <v>0</v>
      </c>
      <c r="N84" s="69">
        <f t="shared" si="3"/>
        <v>0</v>
      </c>
      <c r="Q84" s="79"/>
      <c r="R84" s="79"/>
    </row>
    <row r="85" spans="1:19" x14ac:dyDescent="0.3">
      <c r="A85" s="15">
        <v>45037</v>
      </c>
      <c r="B85" s="15" t="str">
        <f>TEXT(A85,"mmmm")</f>
        <v>April</v>
      </c>
      <c r="C85" s="69" t="s">
        <v>1424</v>
      </c>
      <c r="D85" s="69" t="s">
        <v>1421</v>
      </c>
      <c r="E85" s="69">
        <v>1</v>
      </c>
      <c r="F85" s="3" t="s">
        <v>54</v>
      </c>
      <c r="G85" s="69" t="s">
        <v>24</v>
      </c>
      <c r="H85" s="69" t="s">
        <v>611</v>
      </c>
      <c r="I85" s="16">
        <v>18287</v>
      </c>
      <c r="J85" s="69">
        <f>P85*9%</f>
        <v>216</v>
      </c>
      <c r="K85" s="69">
        <f>J85</f>
        <v>216</v>
      </c>
      <c r="M85" s="69">
        <f t="shared" si="2"/>
        <v>432</v>
      </c>
      <c r="N85" s="69">
        <f t="shared" si="3"/>
        <v>17855</v>
      </c>
      <c r="O85" s="69">
        <v>8064</v>
      </c>
      <c r="P85" s="69">
        <f>1200*2</f>
        <v>2400</v>
      </c>
      <c r="Q85" s="25" t="s">
        <v>1446</v>
      </c>
      <c r="R85" s="30" t="s">
        <v>1432</v>
      </c>
    </row>
    <row r="86" spans="1:19" x14ac:dyDescent="0.3">
      <c r="D86" s="69" t="s">
        <v>1425</v>
      </c>
      <c r="H86" s="69" t="s">
        <v>1431</v>
      </c>
      <c r="M86" s="69">
        <f t="shared" si="2"/>
        <v>0</v>
      </c>
      <c r="N86" s="69">
        <f t="shared" si="3"/>
        <v>0</v>
      </c>
      <c r="O86" s="69">
        <v>7391</v>
      </c>
      <c r="R86" s="30" t="s">
        <v>1433</v>
      </c>
    </row>
    <row r="87" spans="1:19" x14ac:dyDescent="0.3">
      <c r="A87" s="15"/>
      <c r="B87" s="15"/>
      <c r="M87" s="69">
        <f t="shared" si="2"/>
        <v>0</v>
      </c>
      <c r="N87" s="69">
        <f t="shared" si="3"/>
        <v>0</v>
      </c>
      <c r="O87" s="16">
        <f>SUM(O85:O86)</f>
        <v>15455</v>
      </c>
    </row>
    <row r="88" spans="1:19" x14ac:dyDescent="0.3">
      <c r="A88" s="80"/>
      <c r="B88" s="80"/>
      <c r="M88" s="69">
        <f t="shared" si="2"/>
        <v>0</v>
      </c>
      <c r="N88" s="69">
        <f t="shared" si="3"/>
        <v>0</v>
      </c>
    </row>
    <row r="89" spans="1:19" x14ac:dyDescent="0.3">
      <c r="A89" s="15">
        <v>45041</v>
      </c>
      <c r="B89" s="15" t="str">
        <f>TEXT(A89,"mmmm")</f>
        <v>April</v>
      </c>
      <c r="C89" s="3" t="s">
        <v>1444</v>
      </c>
      <c r="D89" s="69" t="s">
        <v>12</v>
      </c>
      <c r="E89" s="69">
        <v>2</v>
      </c>
      <c r="G89" s="69" t="s">
        <v>26</v>
      </c>
      <c r="H89" s="69" t="s">
        <v>10</v>
      </c>
      <c r="I89" s="16">
        <f ca="1">SUM(J89:P89)</f>
        <v>224745</v>
      </c>
      <c r="J89" s="69">
        <f>P89*9%</f>
        <v>720</v>
      </c>
      <c r="K89" s="69">
        <f>J89</f>
        <v>720</v>
      </c>
      <c r="M89" s="69">
        <f t="shared" si="2"/>
        <v>1440</v>
      </c>
      <c r="N89" s="69">
        <f t="shared" ca="1" si="3"/>
        <v>71580</v>
      </c>
      <c r="O89" s="16">
        <v>213865</v>
      </c>
      <c r="P89" s="69">
        <v>8000</v>
      </c>
      <c r="Q89" s="69" t="s">
        <v>1461</v>
      </c>
      <c r="R89" s="30" t="s">
        <v>1460</v>
      </c>
      <c r="S89" s="69" t="s">
        <v>1445</v>
      </c>
    </row>
    <row r="90" spans="1:19" x14ac:dyDescent="0.3">
      <c r="A90" s="15"/>
      <c r="B90" s="15"/>
      <c r="M90" s="69">
        <f t="shared" si="2"/>
        <v>0</v>
      </c>
      <c r="N90" s="69">
        <f t="shared" si="3"/>
        <v>0</v>
      </c>
    </row>
    <row r="91" spans="1:19" x14ac:dyDescent="0.3">
      <c r="M91" s="69">
        <f t="shared" si="2"/>
        <v>0</v>
      </c>
      <c r="N91" s="69">
        <f t="shared" si="3"/>
        <v>0</v>
      </c>
    </row>
    <row r="92" spans="1:19" x14ac:dyDescent="0.3">
      <c r="A92" s="15">
        <v>45042</v>
      </c>
      <c r="B92" s="15" t="str">
        <f>TEXT(A92,"mmmm")</f>
        <v>April</v>
      </c>
      <c r="C92" s="3" t="s">
        <v>1447</v>
      </c>
      <c r="D92" s="69" t="s">
        <v>1448</v>
      </c>
      <c r="E92" s="69">
        <v>4</v>
      </c>
      <c r="F92" s="3" t="s">
        <v>54</v>
      </c>
      <c r="G92" s="69" t="s">
        <v>26</v>
      </c>
      <c r="H92" s="69" t="s">
        <v>10</v>
      </c>
      <c r="I92" s="16">
        <v>61464</v>
      </c>
      <c r="J92" s="69">
        <f>P92*9%</f>
        <v>315</v>
      </c>
      <c r="K92" s="69">
        <f>J92</f>
        <v>315</v>
      </c>
      <c r="M92" s="69">
        <f t="shared" si="2"/>
        <v>630</v>
      </c>
      <c r="N92" s="69">
        <f t="shared" si="3"/>
        <v>60834</v>
      </c>
      <c r="O92" s="69">
        <v>2886</v>
      </c>
      <c r="P92" s="69">
        <f>350*10</f>
        <v>3500</v>
      </c>
      <c r="Q92" s="5">
        <v>45052</v>
      </c>
      <c r="R92" s="30" t="s">
        <v>1460</v>
      </c>
      <c r="S92" s="69" t="s">
        <v>1449</v>
      </c>
    </row>
    <row r="93" spans="1:19" x14ac:dyDescent="0.3">
      <c r="D93" s="69" t="s">
        <v>1451</v>
      </c>
      <c r="M93" s="69">
        <f t="shared" si="2"/>
        <v>0</v>
      </c>
      <c r="N93" s="69">
        <f t="shared" si="3"/>
        <v>0</v>
      </c>
      <c r="O93" s="69">
        <v>17124</v>
      </c>
      <c r="S93" s="69" t="s">
        <v>1450</v>
      </c>
    </row>
    <row r="94" spans="1:19" x14ac:dyDescent="0.3">
      <c r="D94" s="69" t="s">
        <v>1454</v>
      </c>
      <c r="M94" s="69">
        <f t="shared" si="2"/>
        <v>0</v>
      </c>
      <c r="N94" s="69">
        <f t="shared" si="3"/>
        <v>0</v>
      </c>
      <c r="O94" s="69">
        <v>4175</v>
      </c>
      <c r="S94" s="69" t="s">
        <v>1455</v>
      </c>
    </row>
    <row r="95" spans="1:19" x14ac:dyDescent="0.3">
      <c r="D95" s="69" t="s">
        <v>1451</v>
      </c>
      <c r="M95" s="69">
        <f t="shared" si="2"/>
        <v>0</v>
      </c>
      <c r="N95" s="69">
        <f t="shared" si="3"/>
        <v>0</v>
      </c>
      <c r="O95" s="69">
        <v>21090</v>
      </c>
      <c r="S95" s="69" t="s">
        <v>1456</v>
      </c>
    </row>
    <row r="96" spans="1:19" x14ac:dyDescent="0.3">
      <c r="D96" s="69" t="s">
        <v>1457</v>
      </c>
      <c r="M96" s="69">
        <f t="shared" si="2"/>
        <v>0</v>
      </c>
      <c r="N96" s="69">
        <f t="shared" si="3"/>
        <v>0</v>
      </c>
      <c r="O96" s="69">
        <v>5782</v>
      </c>
      <c r="S96" s="69" t="s">
        <v>1459</v>
      </c>
    </row>
    <row r="97" spans="1:19" x14ac:dyDescent="0.3">
      <c r="D97" s="69" t="s">
        <v>1457</v>
      </c>
      <c r="M97" s="69">
        <f t="shared" si="2"/>
        <v>0</v>
      </c>
      <c r="N97" s="69">
        <f t="shared" si="3"/>
        <v>0</v>
      </c>
      <c r="O97" s="69">
        <v>6277</v>
      </c>
      <c r="S97" s="69" t="s">
        <v>1458</v>
      </c>
    </row>
    <row r="98" spans="1:19" x14ac:dyDescent="0.3">
      <c r="M98" s="69">
        <f t="shared" si="2"/>
        <v>0</v>
      </c>
      <c r="N98" s="69">
        <f t="shared" si="3"/>
        <v>0</v>
      </c>
      <c r="O98" s="16">
        <f>SUM(O92:O97)</f>
        <v>57334</v>
      </c>
    </row>
    <row r="99" spans="1:19" x14ac:dyDescent="0.3">
      <c r="M99" s="69">
        <f t="shared" si="2"/>
        <v>0</v>
      </c>
      <c r="N99" s="69">
        <f t="shared" si="3"/>
        <v>0</v>
      </c>
    </row>
    <row r="100" spans="1:19" x14ac:dyDescent="0.3">
      <c r="A100" s="15">
        <v>45043</v>
      </c>
      <c r="B100" s="15" t="str">
        <f>TEXT(A100,"mmmm")</f>
        <v>April</v>
      </c>
      <c r="C100" s="3" t="s">
        <v>1452</v>
      </c>
      <c r="D100" s="69" t="s">
        <v>1453</v>
      </c>
      <c r="E100" s="69">
        <v>1</v>
      </c>
      <c r="G100" s="69" t="s">
        <v>26</v>
      </c>
      <c r="H100" s="69" t="s">
        <v>10</v>
      </c>
      <c r="I100" s="16">
        <v>11736</v>
      </c>
      <c r="J100" s="69">
        <f>P100*9%</f>
        <v>450</v>
      </c>
      <c r="K100" s="69">
        <f>J100</f>
        <v>450</v>
      </c>
      <c r="M100" s="69">
        <f t="shared" si="2"/>
        <v>900</v>
      </c>
      <c r="N100" s="69">
        <f t="shared" si="3"/>
        <v>10836</v>
      </c>
      <c r="O100" s="16">
        <v>5836</v>
      </c>
      <c r="P100" s="69">
        <v>5000</v>
      </c>
      <c r="Q100" s="5">
        <v>45045</v>
      </c>
      <c r="R100" s="30" t="s">
        <v>1460</v>
      </c>
    </row>
    <row r="101" spans="1:19" x14ac:dyDescent="0.3">
      <c r="A101" s="15"/>
      <c r="B101" s="15"/>
      <c r="M101" s="69">
        <f t="shared" si="2"/>
        <v>0</v>
      </c>
      <c r="N101" s="69">
        <f t="shared" si="3"/>
        <v>0</v>
      </c>
      <c r="Q101" s="47"/>
      <c r="R101" s="47"/>
    </row>
    <row r="102" spans="1:19" x14ac:dyDescent="0.3">
      <c r="A102" s="15">
        <v>45051</v>
      </c>
      <c r="B102" s="15" t="str">
        <f>TEXT(A102,"mmmm")</f>
        <v>May</v>
      </c>
      <c r="C102" s="3" t="s">
        <v>1465</v>
      </c>
      <c r="D102" s="69" t="s">
        <v>1466</v>
      </c>
      <c r="E102" s="69">
        <v>2</v>
      </c>
      <c r="F102" s="3" t="s">
        <v>54</v>
      </c>
      <c r="G102" s="69" t="s">
        <v>26</v>
      </c>
      <c r="H102" s="69" t="s">
        <v>10</v>
      </c>
      <c r="I102" s="16">
        <v>318186</v>
      </c>
      <c r="J102" s="69">
        <f>P102*9%</f>
        <v>567</v>
      </c>
      <c r="K102" s="69">
        <f>J102</f>
        <v>567</v>
      </c>
      <c r="M102" s="69">
        <f t="shared" si="2"/>
        <v>1134</v>
      </c>
      <c r="N102" s="69">
        <f t="shared" si="3"/>
        <v>317052</v>
      </c>
      <c r="O102" s="69">
        <v>19447</v>
      </c>
      <c r="P102" s="69">
        <f>700+700+700+700+(350*5)+350+350+700+350</f>
        <v>6300</v>
      </c>
      <c r="Q102" s="5">
        <v>45062</v>
      </c>
      <c r="R102" s="38">
        <v>45064</v>
      </c>
      <c r="S102" s="69" t="s">
        <v>1468</v>
      </c>
    </row>
    <row r="103" spans="1:19" x14ac:dyDescent="0.3">
      <c r="A103" s="15"/>
      <c r="B103" s="15"/>
      <c r="M103" s="69">
        <f t="shared" si="2"/>
        <v>0</v>
      </c>
      <c r="N103" s="69">
        <f t="shared" si="3"/>
        <v>0</v>
      </c>
      <c r="O103" s="69">
        <v>15380</v>
      </c>
      <c r="R103" s="30">
        <f>310751-190984</f>
        <v>119767</v>
      </c>
      <c r="S103" s="69" t="s">
        <v>1467</v>
      </c>
    </row>
    <row r="104" spans="1:19" ht="39.6" x14ac:dyDescent="0.3">
      <c r="A104" s="15"/>
      <c r="B104" s="15"/>
      <c r="D104" s="69" t="s">
        <v>1479</v>
      </c>
      <c r="M104" s="69">
        <f t="shared" si="2"/>
        <v>0</v>
      </c>
      <c r="N104" s="69">
        <f t="shared" si="3"/>
        <v>0</v>
      </c>
      <c r="O104" s="69">
        <v>8536</v>
      </c>
      <c r="R104" s="104" t="s">
        <v>1505</v>
      </c>
      <c r="S104" s="69" t="s">
        <v>1481</v>
      </c>
    </row>
    <row r="105" spans="1:19" ht="39.6" x14ac:dyDescent="0.3">
      <c r="A105" s="15"/>
      <c r="B105" s="15"/>
      <c r="M105" s="69">
        <f t="shared" si="2"/>
        <v>0</v>
      </c>
      <c r="N105" s="69">
        <f t="shared" si="3"/>
        <v>0</v>
      </c>
      <c r="O105" s="69">
        <v>7563</v>
      </c>
      <c r="R105" s="104" t="s">
        <v>1504</v>
      </c>
      <c r="S105" s="69" t="s">
        <v>1480</v>
      </c>
    </row>
    <row r="106" spans="1:19" x14ac:dyDescent="0.3">
      <c r="A106" s="15"/>
      <c r="B106" s="15"/>
      <c r="D106" s="69" t="s">
        <v>1485</v>
      </c>
      <c r="M106" s="69">
        <f t="shared" si="2"/>
        <v>0</v>
      </c>
      <c r="N106" s="69">
        <f t="shared" si="3"/>
        <v>0</v>
      </c>
      <c r="O106" s="69">
        <v>33218</v>
      </c>
      <c r="R106" s="47"/>
      <c r="S106" s="69" t="s">
        <v>1484</v>
      </c>
    </row>
    <row r="107" spans="1:19" x14ac:dyDescent="0.3">
      <c r="A107" s="15"/>
      <c r="B107" s="15"/>
      <c r="M107" s="69">
        <f t="shared" si="2"/>
        <v>0</v>
      </c>
      <c r="N107" s="69">
        <f t="shared" si="3"/>
        <v>0</v>
      </c>
      <c r="O107" s="69">
        <f>-9774</f>
        <v>-9774</v>
      </c>
      <c r="R107" s="47"/>
      <c r="S107" s="69" t="s">
        <v>1488</v>
      </c>
    </row>
    <row r="108" spans="1:19" x14ac:dyDescent="0.3">
      <c r="A108" s="15"/>
      <c r="B108" s="15"/>
      <c r="M108" s="69">
        <f t="shared" si="2"/>
        <v>0</v>
      </c>
      <c r="N108" s="69">
        <f t="shared" si="3"/>
        <v>0</v>
      </c>
      <c r="O108" s="69">
        <f>-9674</f>
        <v>-9674</v>
      </c>
      <c r="R108" s="47"/>
      <c r="S108" s="69" t="s">
        <v>1489</v>
      </c>
    </row>
    <row r="109" spans="1:19" x14ac:dyDescent="0.3">
      <c r="A109" s="15"/>
      <c r="B109" s="15"/>
      <c r="D109" s="69" t="s">
        <v>1491</v>
      </c>
      <c r="M109" s="69">
        <f t="shared" si="2"/>
        <v>0</v>
      </c>
      <c r="N109" s="69">
        <f t="shared" si="3"/>
        <v>0</v>
      </c>
      <c r="O109" s="69">
        <v>121909</v>
      </c>
      <c r="R109" s="47"/>
      <c r="S109" s="69" t="s">
        <v>1490</v>
      </c>
    </row>
    <row r="110" spans="1:19" x14ac:dyDescent="0.3">
      <c r="A110" s="15"/>
      <c r="B110" s="15"/>
      <c r="D110" s="69" t="s">
        <v>419</v>
      </c>
      <c r="M110" s="69">
        <f t="shared" si="2"/>
        <v>0</v>
      </c>
      <c r="N110" s="69">
        <f t="shared" si="3"/>
        <v>0</v>
      </c>
      <c r="O110" s="69">
        <v>18525</v>
      </c>
      <c r="R110" s="47"/>
      <c r="S110" s="69" t="s">
        <v>1492</v>
      </c>
    </row>
    <row r="111" spans="1:19" x14ac:dyDescent="0.3">
      <c r="A111" s="15"/>
      <c r="B111" s="15"/>
      <c r="D111" s="69" t="s">
        <v>1493</v>
      </c>
      <c r="M111" s="69">
        <f t="shared" si="2"/>
        <v>0</v>
      </c>
      <c r="N111" s="69">
        <f t="shared" si="3"/>
        <v>0</v>
      </c>
      <c r="O111" s="69">
        <v>28685</v>
      </c>
      <c r="R111" s="47"/>
      <c r="S111" s="69" t="s">
        <v>1494</v>
      </c>
    </row>
    <row r="112" spans="1:19" x14ac:dyDescent="0.3">
      <c r="A112" s="15"/>
      <c r="B112" s="15"/>
      <c r="D112" s="69" t="s">
        <v>1495</v>
      </c>
      <c r="M112" s="69">
        <f t="shared" si="2"/>
        <v>0</v>
      </c>
      <c r="N112" s="69">
        <f t="shared" si="3"/>
        <v>0</v>
      </c>
      <c r="O112" s="69">
        <v>56541</v>
      </c>
      <c r="R112" s="47"/>
      <c r="S112" s="69" t="s">
        <v>1496</v>
      </c>
    </row>
    <row r="113" spans="1:19" x14ac:dyDescent="0.3">
      <c r="A113" s="15"/>
      <c r="B113" s="15"/>
      <c r="D113" s="69" t="s">
        <v>1498</v>
      </c>
      <c r="M113" s="69">
        <f t="shared" si="2"/>
        <v>0</v>
      </c>
      <c r="N113" s="69">
        <f t="shared" si="3"/>
        <v>0</v>
      </c>
      <c r="O113" s="69">
        <v>20395</v>
      </c>
      <c r="R113" s="47"/>
      <c r="S113" s="69" t="s">
        <v>1497</v>
      </c>
    </row>
    <row r="114" spans="1:19" x14ac:dyDescent="0.3">
      <c r="A114" s="15"/>
      <c r="B114" s="15"/>
      <c r="M114" s="69">
        <f t="shared" si="2"/>
        <v>0</v>
      </c>
      <c r="N114" s="69">
        <f t="shared" si="3"/>
        <v>0</v>
      </c>
      <c r="O114" s="16">
        <f>SUM(O102:O113)</f>
        <v>310751</v>
      </c>
      <c r="R114" s="47"/>
    </row>
    <row r="115" spans="1:19" x14ac:dyDescent="0.3">
      <c r="M115" s="69">
        <f t="shared" si="2"/>
        <v>0</v>
      </c>
      <c r="N115" s="69">
        <f t="shared" si="3"/>
        <v>0</v>
      </c>
      <c r="O115" s="16"/>
    </row>
    <row r="116" spans="1:19" x14ac:dyDescent="0.3">
      <c r="A116" s="15">
        <v>45052</v>
      </c>
      <c r="B116" s="15" t="str">
        <f>TEXT(A116,"mmmm")</f>
        <v>May</v>
      </c>
      <c r="C116" s="3" t="s">
        <v>1469</v>
      </c>
      <c r="D116" s="69" t="s">
        <v>47</v>
      </c>
      <c r="E116" s="69">
        <v>4</v>
      </c>
      <c r="G116" s="69" t="s">
        <v>26</v>
      </c>
      <c r="H116" s="69" t="s">
        <v>10</v>
      </c>
      <c r="I116" s="16">
        <v>22541</v>
      </c>
      <c r="J116" s="69">
        <v>90</v>
      </c>
      <c r="K116" s="69">
        <v>90</v>
      </c>
      <c r="M116" s="69">
        <f t="shared" si="2"/>
        <v>180</v>
      </c>
      <c r="N116" s="69">
        <f t="shared" si="3"/>
        <v>22361</v>
      </c>
      <c r="O116" s="16">
        <v>21361</v>
      </c>
      <c r="P116" s="69">
        <v>1000</v>
      </c>
      <c r="Q116" s="5">
        <v>45052</v>
      </c>
      <c r="R116" s="38">
        <v>45054</v>
      </c>
      <c r="S116" s="69" t="s">
        <v>1470</v>
      </c>
    </row>
    <row r="117" spans="1:19" x14ac:dyDescent="0.3">
      <c r="A117" s="15"/>
      <c r="B117" s="15"/>
      <c r="M117" s="69">
        <f t="shared" si="2"/>
        <v>0</v>
      </c>
      <c r="N117" s="69">
        <f t="shared" si="3"/>
        <v>0</v>
      </c>
      <c r="R117" s="47"/>
    </row>
    <row r="118" spans="1:19" ht="39.6" x14ac:dyDescent="0.3">
      <c r="A118" s="15">
        <v>45052</v>
      </c>
      <c r="B118" s="15" t="str">
        <f>TEXT(A118,"mmmm")</f>
        <v>May</v>
      </c>
      <c r="C118" s="3" t="s">
        <v>1471</v>
      </c>
      <c r="D118" s="69" t="s">
        <v>1472</v>
      </c>
      <c r="E118" s="69">
        <v>1</v>
      </c>
      <c r="G118" s="69" t="s">
        <v>26</v>
      </c>
      <c r="H118" s="69" t="s">
        <v>10</v>
      </c>
      <c r="I118" s="16">
        <v>157643</v>
      </c>
      <c r="J118" s="69">
        <v>90</v>
      </c>
      <c r="K118" s="69">
        <v>90</v>
      </c>
      <c r="M118" s="69">
        <f t="shared" si="2"/>
        <v>180</v>
      </c>
      <c r="N118" s="69">
        <f t="shared" si="3"/>
        <v>157463</v>
      </c>
      <c r="O118" s="16">
        <v>156463</v>
      </c>
      <c r="P118" s="69">
        <v>1000</v>
      </c>
      <c r="Q118" s="47">
        <v>45057</v>
      </c>
      <c r="R118" s="102" t="s">
        <v>1473</v>
      </c>
      <c r="S118" s="69" t="s">
        <v>1474</v>
      </c>
    </row>
    <row r="119" spans="1:19" x14ac:dyDescent="0.3">
      <c r="A119" s="15"/>
      <c r="B119" s="15"/>
      <c r="M119" s="69">
        <f t="shared" si="2"/>
        <v>0</v>
      </c>
      <c r="N119" s="69">
        <f t="shared" si="3"/>
        <v>0</v>
      </c>
      <c r="Q119" s="47"/>
      <c r="R119" s="25">
        <f>156463-104600</f>
        <v>51863</v>
      </c>
      <c r="S119" s="69">
        <f>(1390*6)+((25089*3)+20993)</f>
        <v>104600</v>
      </c>
    </row>
    <row r="120" spans="1:19" x14ac:dyDescent="0.3">
      <c r="A120" s="15"/>
      <c r="B120" s="15"/>
      <c r="M120" s="69">
        <f t="shared" si="2"/>
        <v>0</v>
      </c>
      <c r="N120" s="69">
        <f t="shared" si="3"/>
        <v>0</v>
      </c>
      <c r="Q120" s="47"/>
      <c r="R120" s="25" t="s">
        <v>1478</v>
      </c>
    </row>
    <row r="121" spans="1:19" x14ac:dyDescent="0.3">
      <c r="M121" s="69">
        <f t="shared" si="2"/>
        <v>0</v>
      </c>
      <c r="N121" s="69">
        <f t="shared" si="3"/>
        <v>0</v>
      </c>
      <c r="Q121" s="5"/>
    </row>
    <row r="122" spans="1:19" x14ac:dyDescent="0.3">
      <c r="A122" s="15">
        <v>45054</v>
      </c>
      <c r="B122" s="15" t="str">
        <f>TEXT(A122,"mmmm")</f>
        <v>May</v>
      </c>
      <c r="C122" s="3" t="s">
        <v>1475</v>
      </c>
      <c r="D122" s="69" t="s">
        <v>201</v>
      </c>
      <c r="E122" s="69">
        <v>3</v>
      </c>
      <c r="F122" s="3" t="s">
        <v>60</v>
      </c>
      <c r="G122" s="69" t="s">
        <v>26</v>
      </c>
      <c r="H122" s="69" t="s">
        <v>10</v>
      </c>
      <c r="I122" s="16">
        <v>683907</v>
      </c>
      <c r="J122" s="69">
        <f>P122*9%</f>
        <v>675</v>
      </c>
      <c r="K122" s="69">
        <f>J122</f>
        <v>675</v>
      </c>
      <c r="M122" s="69">
        <f t="shared" si="2"/>
        <v>1350</v>
      </c>
      <c r="N122" s="69">
        <f t="shared" si="3"/>
        <v>682557</v>
      </c>
      <c r="O122" s="69">
        <v>430018</v>
      </c>
      <c r="P122" s="69">
        <f>2500*3</f>
        <v>7500</v>
      </c>
      <c r="Q122" s="5">
        <v>45055</v>
      </c>
      <c r="R122" s="30" t="s">
        <v>1486</v>
      </c>
      <c r="S122" s="69" t="s">
        <v>1476</v>
      </c>
    </row>
    <row r="123" spans="1:19" x14ac:dyDescent="0.3">
      <c r="M123" s="69">
        <f t="shared" si="2"/>
        <v>0</v>
      </c>
      <c r="N123" s="69">
        <f t="shared" si="3"/>
        <v>0</v>
      </c>
      <c r="O123" s="69">
        <v>245039</v>
      </c>
      <c r="R123" s="30" t="s">
        <v>1487</v>
      </c>
      <c r="S123" s="69" t="s">
        <v>1477</v>
      </c>
    </row>
    <row r="124" spans="1:19" x14ac:dyDescent="0.3">
      <c r="M124" s="69">
        <f t="shared" si="2"/>
        <v>0</v>
      </c>
      <c r="N124" s="69">
        <f t="shared" si="3"/>
        <v>0</v>
      </c>
      <c r="O124" s="16">
        <f>SUM(O122:O123)</f>
        <v>675057</v>
      </c>
    </row>
    <row r="125" spans="1:19" x14ac:dyDescent="0.3">
      <c r="A125" s="15"/>
      <c r="B125" s="15"/>
      <c r="M125" s="69">
        <f t="shared" si="2"/>
        <v>0</v>
      </c>
      <c r="N125" s="69">
        <f t="shared" si="3"/>
        <v>0</v>
      </c>
    </row>
    <row r="126" spans="1:19" x14ac:dyDescent="0.3">
      <c r="A126" s="15">
        <v>45055</v>
      </c>
      <c r="B126" s="15" t="str">
        <f>TEXT(A126,"mmmm")</f>
        <v>May</v>
      </c>
      <c r="C126" s="3" t="s">
        <v>1482</v>
      </c>
      <c r="D126" s="69" t="s">
        <v>47</v>
      </c>
      <c r="E126" s="69">
        <v>2</v>
      </c>
      <c r="G126" s="69" t="s">
        <v>8</v>
      </c>
      <c r="H126" s="69" t="s">
        <v>1483</v>
      </c>
      <c r="I126" s="16">
        <v>18880</v>
      </c>
      <c r="J126" s="69">
        <v>441</v>
      </c>
      <c r="K126" s="69">
        <v>441</v>
      </c>
      <c r="M126" s="69">
        <f t="shared" si="2"/>
        <v>882</v>
      </c>
      <c r="N126" s="69">
        <f t="shared" si="3"/>
        <v>17998</v>
      </c>
      <c r="O126" s="16">
        <v>13104</v>
      </c>
      <c r="P126" s="69">
        <v>4894</v>
      </c>
      <c r="Q126" s="5">
        <v>45062</v>
      </c>
      <c r="R126" s="38">
        <v>45055</v>
      </c>
      <c r="S126" s="69">
        <v>9946814</v>
      </c>
    </row>
    <row r="127" spans="1:19" x14ac:dyDescent="0.3">
      <c r="A127" s="15"/>
      <c r="B127" s="15"/>
      <c r="M127" s="69">
        <f t="shared" si="2"/>
        <v>0</v>
      </c>
      <c r="N127" s="69">
        <f t="shared" si="3"/>
        <v>0</v>
      </c>
    </row>
    <row r="128" spans="1:19" x14ac:dyDescent="0.3">
      <c r="A128" s="15">
        <v>45056</v>
      </c>
      <c r="B128" s="15" t="str">
        <f>TEXT(A128,"mmmm")</f>
        <v>May</v>
      </c>
      <c r="C128" s="69" t="s">
        <v>1499</v>
      </c>
      <c r="D128" s="69" t="s">
        <v>1500</v>
      </c>
      <c r="E128" s="69">
        <v>2</v>
      </c>
      <c r="G128" s="69" t="s">
        <v>22</v>
      </c>
      <c r="H128" s="69" t="s">
        <v>359</v>
      </c>
      <c r="I128" s="16">
        <v>29820</v>
      </c>
      <c r="J128" s="69">
        <f>P128*9%</f>
        <v>9</v>
      </c>
      <c r="K128" s="69">
        <f>J128</f>
        <v>9</v>
      </c>
      <c r="M128" s="69">
        <f t="shared" si="2"/>
        <v>18</v>
      </c>
      <c r="N128" s="69">
        <f t="shared" si="3"/>
        <v>29802</v>
      </c>
      <c r="O128" s="16">
        <f>29702</f>
        <v>29702</v>
      </c>
      <c r="P128" s="69">
        <v>100</v>
      </c>
      <c r="Q128" s="5" t="s">
        <v>1732</v>
      </c>
      <c r="R128" s="30" t="s">
        <v>1511</v>
      </c>
    </row>
    <row r="129" spans="1:19" x14ac:dyDescent="0.3">
      <c r="M129" s="69">
        <f t="shared" si="2"/>
        <v>0</v>
      </c>
      <c r="N129" s="69">
        <f t="shared" si="3"/>
        <v>0</v>
      </c>
      <c r="R129" s="30" t="s">
        <v>1512</v>
      </c>
    </row>
    <row r="130" spans="1:19" x14ac:dyDescent="0.3">
      <c r="M130" s="69">
        <f t="shared" si="2"/>
        <v>0</v>
      </c>
      <c r="N130" s="69">
        <f t="shared" si="3"/>
        <v>0</v>
      </c>
    </row>
    <row r="131" spans="1:19" x14ac:dyDescent="0.3">
      <c r="A131" s="15">
        <v>45057</v>
      </c>
      <c r="B131" s="15" t="str">
        <f>TEXT(A131,"mmmm")</f>
        <v>May</v>
      </c>
      <c r="C131" s="3" t="s">
        <v>1501</v>
      </c>
      <c r="D131" s="3" t="s">
        <v>1502</v>
      </c>
      <c r="E131" s="3">
        <v>1</v>
      </c>
      <c r="F131" s="3" t="s">
        <v>60</v>
      </c>
      <c r="G131" s="3" t="s">
        <v>26</v>
      </c>
      <c r="H131" s="3" t="s">
        <v>10</v>
      </c>
      <c r="I131" s="16">
        <v>53457</v>
      </c>
      <c r="J131" s="69">
        <f>P131*9%</f>
        <v>108</v>
      </c>
      <c r="K131" s="69">
        <f>J131</f>
        <v>108</v>
      </c>
      <c r="M131" s="69">
        <f t="shared" ref="M131:M194" si="4">SUM(J131:L131)</f>
        <v>216</v>
      </c>
      <c r="N131" s="69">
        <f t="shared" ref="N131:N194" si="5">I131-M131</f>
        <v>53241</v>
      </c>
      <c r="O131" s="16">
        <v>52041</v>
      </c>
      <c r="P131" s="69">
        <v>1200</v>
      </c>
      <c r="Q131" s="5">
        <v>45065</v>
      </c>
      <c r="R131" s="38">
        <v>45062</v>
      </c>
      <c r="S131" s="69" t="s">
        <v>1503</v>
      </c>
    </row>
    <row r="132" spans="1:19" x14ac:dyDescent="0.3">
      <c r="A132" s="15"/>
      <c r="B132" s="15"/>
      <c r="M132" s="69">
        <f t="shared" si="4"/>
        <v>0</v>
      </c>
      <c r="N132" s="69">
        <f t="shared" si="5"/>
        <v>0</v>
      </c>
    </row>
    <row r="133" spans="1:19" s="50" customFormat="1" ht="26.4" x14ac:dyDescent="0.3">
      <c r="A133" s="49">
        <v>45057</v>
      </c>
      <c r="B133" s="15" t="str">
        <f>TEXT(A133,"mmmm")</f>
        <v>May</v>
      </c>
      <c r="C133" s="10" t="s">
        <v>1506</v>
      </c>
      <c r="D133" s="50" t="s">
        <v>12</v>
      </c>
      <c r="E133" s="50">
        <v>2</v>
      </c>
      <c r="G133" s="50" t="s">
        <v>26</v>
      </c>
      <c r="H133" s="50" t="s">
        <v>10</v>
      </c>
      <c r="I133" s="50">
        <v>190984</v>
      </c>
      <c r="J133" s="50">
        <f>P133*9%</f>
        <v>720</v>
      </c>
      <c r="K133" s="50">
        <f>J133</f>
        <v>720</v>
      </c>
      <c r="M133" s="69">
        <f t="shared" si="4"/>
        <v>1440</v>
      </c>
      <c r="N133" s="69">
        <f t="shared" si="5"/>
        <v>189544</v>
      </c>
      <c r="O133" s="50">
        <f>I133-P133-J133-K133</f>
        <v>181544</v>
      </c>
      <c r="P133" s="50">
        <v>8000</v>
      </c>
      <c r="Q133" s="68" t="s">
        <v>1507</v>
      </c>
      <c r="R133" s="38" t="s">
        <v>1510</v>
      </c>
      <c r="S133" s="68" t="s">
        <v>1508</v>
      </c>
    </row>
    <row r="134" spans="1:19" x14ac:dyDescent="0.3">
      <c r="A134" s="80"/>
      <c r="B134" s="80"/>
      <c r="M134" s="69">
        <f t="shared" si="4"/>
        <v>0</v>
      </c>
      <c r="N134" s="69">
        <f t="shared" si="5"/>
        <v>0</v>
      </c>
    </row>
    <row r="135" spans="1:19" x14ac:dyDescent="0.3">
      <c r="A135" s="15">
        <v>45057</v>
      </c>
      <c r="B135" s="15" t="str">
        <f>TEXT(A135,"mmmm")</f>
        <v>May</v>
      </c>
      <c r="C135" s="3" t="s">
        <v>1509</v>
      </c>
      <c r="D135" s="69" t="s">
        <v>1355</v>
      </c>
      <c r="E135" s="69">
        <v>5</v>
      </c>
      <c r="G135" s="69" t="s">
        <v>22</v>
      </c>
      <c r="H135" s="69" t="s">
        <v>50</v>
      </c>
      <c r="I135" s="16">
        <f>(3968*5)+1180</f>
        <v>21020</v>
      </c>
      <c r="J135" s="69">
        <v>476</v>
      </c>
      <c r="K135" s="69">
        <f>J135</f>
        <v>476</v>
      </c>
      <c r="M135" s="69">
        <f t="shared" si="4"/>
        <v>952</v>
      </c>
      <c r="N135" s="69">
        <f t="shared" si="5"/>
        <v>20068</v>
      </c>
      <c r="O135" s="16">
        <f>(2840*5)+590</f>
        <v>14790</v>
      </c>
      <c r="P135" s="69">
        <v>5278</v>
      </c>
      <c r="Q135" s="47">
        <v>45057</v>
      </c>
      <c r="R135" s="38">
        <v>45063</v>
      </c>
      <c r="S135" s="69" t="s">
        <v>1518</v>
      </c>
    </row>
    <row r="136" spans="1:19" x14ac:dyDescent="0.3">
      <c r="A136" s="15"/>
      <c r="B136" s="15"/>
      <c r="M136" s="69">
        <f t="shared" si="4"/>
        <v>0</v>
      </c>
      <c r="N136" s="69">
        <f t="shared" si="5"/>
        <v>0</v>
      </c>
      <c r="Q136" s="47"/>
    </row>
    <row r="137" spans="1:19" x14ac:dyDescent="0.3">
      <c r="A137" s="15">
        <v>45061</v>
      </c>
      <c r="B137" s="15" t="str">
        <f>TEXT(A137,"mmmm")</f>
        <v>May</v>
      </c>
      <c r="C137" s="3" t="s">
        <v>1513</v>
      </c>
      <c r="D137" s="69" t="s">
        <v>1514</v>
      </c>
      <c r="F137" s="3" t="s">
        <v>54</v>
      </c>
      <c r="G137" s="69" t="s">
        <v>26</v>
      </c>
      <c r="H137" s="69" t="s">
        <v>10</v>
      </c>
      <c r="I137" s="16">
        <v>335712</v>
      </c>
      <c r="J137" s="69">
        <f>P137*9%</f>
        <v>351</v>
      </c>
      <c r="K137" s="69">
        <f>J137</f>
        <v>351</v>
      </c>
      <c r="M137" s="69">
        <f t="shared" si="4"/>
        <v>702</v>
      </c>
      <c r="N137" s="69">
        <f t="shared" si="5"/>
        <v>335010</v>
      </c>
      <c r="O137" s="69">
        <v>10710</v>
      </c>
      <c r="P137" s="69">
        <v>3900</v>
      </c>
      <c r="Q137" s="5">
        <v>45069</v>
      </c>
      <c r="R137" s="38">
        <v>45064</v>
      </c>
      <c r="S137" s="69" t="s">
        <v>1515</v>
      </c>
    </row>
    <row r="138" spans="1:19" x14ac:dyDescent="0.3">
      <c r="A138" s="15"/>
      <c r="B138" s="15"/>
      <c r="M138" s="69">
        <f t="shared" si="4"/>
        <v>0</v>
      </c>
      <c r="N138" s="69">
        <f t="shared" si="5"/>
        <v>0</v>
      </c>
      <c r="O138" s="69">
        <v>14913</v>
      </c>
      <c r="R138" s="47"/>
      <c r="S138" s="69" t="s">
        <v>1516</v>
      </c>
    </row>
    <row r="139" spans="1:19" x14ac:dyDescent="0.3">
      <c r="M139" s="69">
        <f t="shared" si="4"/>
        <v>0</v>
      </c>
      <c r="N139" s="69">
        <f t="shared" si="5"/>
        <v>0</v>
      </c>
      <c r="O139" s="69">
        <v>305487</v>
      </c>
      <c r="S139" s="69" t="s">
        <v>1517</v>
      </c>
    </row>
    <row r="140" spans="1:19" x14ac:dyDescent="0.3">
      <c r="M140" s="69">
        <f t="shared" si="4"/>
        <v>0</v>
      </c>
      <c r="N140" s="69">
        <f t="shared" si="5"/>
        <v>0</v>
      </c>
      <c r="O140" s="16">
        <f>SUM(O137:O139)</f>
        <v>331110</v>
      </c>
      <c r="R140" s="47"/>
    </row>
    <row r="141" spans="1:19" x14ac:dyDescent="0.3">
      <c r="M141" s="69">
        <f t="shared" si="4"/>
        <v>0</v>
      </c>
      <c r="N141" s="69">
        <f t="shared" si="5"/>
        <v>0</v>
      </c>
    </row>
    <row r="142" spans="1:19" ht="26.4" x14ac:dyDescent="0.3">
      <c r="A142" s="15">
        <v>45070</v>
      </c>
      <c r="B142" s="15" t="str">
        <f>TEXT(A142,"mmmm")</f>
        <v>May</v>
      </c>
      <c r="C142" s="3" t="s">
        <v>1519</v>
      </c>
      <c r="D142" s="69" t="s">
        <v>452</v>
      </c>
      <c r="E142" s="69">
        <v>2</v>
      </c>
      <c r="F142" s="3" t="s">
        <v>54</v>
      </c>
      <c r="G142" s="69" t="s">
        <v>26</v>
      </c>
      <c r="H142" s="69" t="s">
        <v>10</v>
      </c>
      <c r="I142" s="16">
        <v>220247</v>
      </c>
      <c r="J142" s="69">
        <f>P142*9%</f>
        <v>1053</v>
      </c>
      <c r="K142" s="69">
        <f>J142</f>
        <v>1053</v>
      </c>
      <c r="M142" s="69">
        <f t="shared" si="4"/>
        <v>2106</v>
      </c>
      <c r="N142" s="69">
        <f t="shared" si="5"/>
        <v>218141</v>
      </c>
      <c r="O142" s="69">
        <v>20729</v>
      </c>
      <c r="P142" s="69">
        <f>(350*20)+700+3000+1000</f>
        <v>11700</v>
      </c>
      <c r="Q142" s="101" t="s">
        <v>1601</v>
      </c>
      <c r="R142" s="101" t="s">
        <v>1579</v>
      </c>
      <c r="S142" s="69" t="s">
        <v>1520</v>
      </c>
    </row>
    <row r="143" spans="1:19" x14ac:dyDescent="0.3">
      <c r="A143" s="15"/>
      <c r="B143" s="15"/>
      <c r="D143" s="69" t="s">
        <v>1522</v>
      </c>
      <c r="M143" s="69">
        <f t="shared" si="4"/>
        <v>0</v>
      </c>
      <c r="N143" s="69">
        <f t="shared" si="5"/>
        <v>0</v>
      </c>
      <c r="O143" s="69">
        <v>20972</v>
      </c>
      <c r="Q143" s="69">
        <f>(235790+22941)-220247</f>
        <v>38484</v>
      </c>
      <c r="R143" s="47" t="s">
        <v>1580</v>
      </c>
      <c r="S143" s="69" t="s">
        <v>1521</v>
      </c>
    </row>
    <row r="144" spans="1:19" ht="26.4" x14ac:dyDescent="0.3">
      <c r="D144" s="69" t="s">
        <v>1523</v>
      </c>
      <c r="M144" s="69">
        <f t="shared" si="4"/>
        <v>0</v>
      </c>
      <c r="N144" s="69">
        <f t="shared" si="5"/>
        <v>0</v>
      </c>
      <c r="O144" s="69">
        <f>12342+350</f>
        <v>12692</v>
      </c>
      <c r="Q144" s="102" t="s">
        <v>1600</v>
      </c>
      <c r="R144" s="30">
        <f>264513-193731</f>
        <v>70782</v>
      </c>
      <c r="S144" s="30" t="s">
        <v>1529</v>
      </c>
    </row>
    <row r="145" spans="1:19" x14ac:dyDescent="0.3">
      <c r="D145" s="69" t="s">
        <v>1524</v>
      </c>
      <c r="M145" s="69">
        <f t="shared" si="4"/>
        <v>0</v>
      </c>
      <c r="N145" s="69">
        <f t="shared" si="5"/>
        <v>0</v>
      </c>
      <c r="O145" s="69">
        <v>5206</v>
      </c>
      <c r="S145" s="69" t="s">
        <v>1525</v>
      </c>
    </row>
    <row r="146" spans="1:19" x14ac:dyDescent="0.3">
      <c r="A146" s="15"/>
      <c r="B146" s="15"/>
      <c r="D146" s="69" t="s">
        <v>1526</v>
      </c>
      <c r="M146" s="69">
        <f t="shared" si="4"/>
        <v>0</v>
      </c>
      <c r="N146" s="69">
        <f t="shared" si="5"/>
        <v>0</v>
      </c>
      <c r="O146" s="69">
        <v>9559</v>
      </c>
      <c r="R146" s="47"/>
      <c r="S146" s="69" t="s">
        <v>1527</v>
      </c>
    </row>
    <row r="147" spans="1:19" x14ac:dyDescent="0.3">
      <c r="D147" s="69" t="s">
        <v>1530</v>
      </c>
      <c r="M147" s="69">
        <f t="shared" si="4"/>
        <v>0</v>
      </c>
      <c r="N147" s="69">
        <f t="shared" si="5"/>
        <v>0</v>
      </c>
      <c r="O147" s="69">
        <v>34126</v>
      </c>
      <c r="S147" s="69" t="s">
        <v>1531</v>
      </c>
    </row>
    <row r="148" spans="1:19" x14ac:dyDescent="0.3">
      <c r="A148" s="15"/>
      <c r="B148" s="15"/>
      <c r="D148" s="69" t="s">
        <v>1533</v>
      </c>
      <c r="M148" s="69">
        <f t="shared" si="4"/>
        <v>0</v>
      </c>
      <c r="N148" s="69">
        <f t="shared" si="5"/>
        <v>0</v>
      </c>
      <c r="O148" s="69">
        <v>13660</v>
      </c>
      <c r="Q148" s="47"/>
      <c r="R148" s="47"/>
      <c r="S148" s="69" t="s">
        <v>1532</v>
      </c>
    </row>
    <row r="149" spans="1:19" ht="26.4" x14ac:dyDescent="0.3">
      <c r="A149" s="15"/>
      <c r="B149" s="15"/>
      <c r="D149" s="69" t="s">
        <v>1534</v>
      </c>
      <c r="M149" s="69">
        <f t="shared" si="4"/>
        <v>0</v>
      </c>
      <c r="N149" s="69">
        <f t="shared" si="5"/>
        <v>0</v>
      </c>
      <c r="O149" s="69">
        <v>1250</v>
      </c>
      <c r="Q149" s="47"/>
      <c r="R149" s="47"/>
      <c r="S149" s="30" t="s">
        <v>1548</v>
      </c>
    </row>
    <row r="150" spans="1:19" x14ac:dyDescent="0.3">
      <c r="A150" s="15"/>
      <c r="B150" s="15"/>
      <c r="D150" s="69" t="s">
        <v>1537</v>
      </c>
      <c r="M150" s="69">
        <f t="shared" si="4"/>
        <v>0</v>
      </c>
      <c r="N150" s="69">
        <f t="shared" si="5"/>
        <v>0</v>
      </c>
      <c r="O150" s="69">
        <v>3952</v>
      </c>
      <c r="Q150" s="47"/>
      <c r="R150" s="47"/>
      <c r="S150" s="69" t="s">
        <v>1538</v>
      </c>
    </row>
    <row r="151" spans="1:19" x14ac:dyDescent="0.3">
      <c r="A151" s="15"/>
      <c r="B151" s="15"/>
      <c r="D151" s="69" t="s">
        <v>1536</v>
      </c>
      <c r="M151" s="69">
        <f t="shared" si="4"/>
        <v>0</v>
      </c>
      <c r="N151" s="69">
        <f t="shared" si="5"/>
        <v>0</v>
      </c>
      <c r="O151" s="69">
        <v>4814</v>
      </c>
      <c r="Q151" s="47"/>
      <c r="R151" s="47"/>
      <c r="S151" s="69" t="s">
        <v>1535</v>
      </c>
    </row>
    <row r="152" spans="1:19" x14ac:dyDescent="0.3">
      <c r="A152" s="15"/>
      <c r="B152" s="15"/>
      <c r="D152" s="69" t="s">
        <v>1540</v>
      </c>
      <c r="M152" s="69">
        <f t="shared" si="4"/>
        <v>0</v>
      </c>
      <c r="N152" s="69">
        <f t="shared" si="5"/>
        <v>0</v>
      </c>
      <c r="O152" s="69">
        <v>22571</v>
      </c>
      <c r="Q152" s="47"/>
      <c r="R152" s="47"/>
      <c r="S152" s="69" t="s">
        <v>1539</v>
      </c>
    </row>
    <row r="153" spans="1:19" x14ac:dyDescent="0.3">
      <c r="A153" s="15"/>
      <c r="B153" s="15"/>
      <c r="D153" s="69" t="s">
        <v>1541</v>
      </c>
      <c r="M153" s="69">
        <f t="shared" si="4"/>
        <v>0</v>
      </c>
      <c r="N153" s="69">
        <f t="shared" si="5"/>
        <v>0</v>
      </c>
      <c r="O153" s="88">
        <v>3750</v>
      </c>
      <c r="Q153" s="47"/>
      <c r="R153" s="47" t="s">
        <v>1545</v>
      </c>
      <c r="S153" s="69" t="s">
        <v>1544</v>
      </c>
    </row>
    <row r="154" spans="1:19" x14ac:dyDescent="0.3">
      <c r="A154" s="15"/>
      <c r="B154" s="15"/>
      <c r="D154" s="69" t="s">
        <v>1546</v>
      </c>
      <c r="M154" s="69">
        <f t="shared" si="4"/>
        <v>0</v>
      </c>
      <c r="N154" s="69">
        <f t="shared" si="5"/>
        <v>0</v>
      </c>
      <c r="O154" s="88">
        <v>4000</v>
      </c>
      <c r="Q154" s="47"/>
      <c r="R154" s="47" t="s">
        <v>1545</v>
      </c>
    </row>
    <row r="155" spans="1:19" x14ac:dyDescent="0.3">
      <c r="A155" s="15"/>
      <c r="B155" s="15"/>
      <c r="D155" s="69" t="s">
        <v>1549</v>
      </c>
      <c r="M155" s="69">
        <f t="shared" si="4"/>
        <v>0</v>
      </c>
      <c r="N155" s="69">
        <f t="shared" si="5"/>
        <v>0</v>
      </c>
      <c r="O155" s="88">
        <v>4000</v>
      </c>
      <c r="Q155" s="47"/>
      <c r="R155" s="47" t="s">
        <v>1545</v>
      </c>
    </row>
    <row r="156" spans="1:19" x14ac:dyDescent="0.3">
      <c r="D156" s="69" t="s">
        <v>1551</v>
      </c>
      <c r="M156" s="69">
        <f t="shared" si="4"/>
        <v>0</v>
      </c>
      <c r="N156" s="69">
        <f t="shared" si="5"/>
        <v>0</v>
      </c>
      <c r="O156" s="69">
        <v>11296</v>
      </c>
      <c r="S156" s="69" t="s">
        <v>1550</v>
      </c>
    </row>
    <row r="157" spans="1:19" x14ac:dyDescent="0.3">
      <c r="D157" s="69" t="s">
        <v>1552</v>
      </c>
      <c r="F157" s="69" t="s">
        <v>807</v>
      </c>
      <c r="M157" s="69">
        <f t="shared" si="4"/>
        <v>0</v>
      </c>
      <c r="N157" s="69">
        <f t="shared" si="5"/>
        <v>0</v>
      </c>
      <c r="O157" s="88">
        <v>960</v>
      </c>
      <c r="R157" s="47" t="s">
        <v>1553</v>
      </c>
    </row>
    <row r="158" spans="1:19" x14ac:dyDescent="0.3">
      <c r="D158" s="69" t="s">
        <v>1555</v>
      </c>
      <c r="M158" s="69">
        <f t="shared" si="4"/>
        <v>0</v>
      </c>
      <c r="N158" s="69">
        <f t="shared" si="5"/>
        <v>0</v>
      </c>
      <c r="O158" s="69">
        <v>11821</v>
      </c>
      <c r="S158" s="69" t="s">
        <v>1554</v>
      </c>
    </row>
    <row r="159" spans="1:19" x14ac:dyDescent="0.3">
      <c r="D159" s="69" t="s">
        <v>1555</v>
      </c>
      <c r="M159" s="69">
        <f t="shared" si="4"/>
        <v>0</v>
      </c>
      <c r="N159" s="69">
        <f t="shared" si="5"/>
        <v>0</v>
      </c>
      <c r="O159" s="69">
        <v>21083</v>
      </c>
      <c r="S159" s="69" t="s">
        <v>1561</v>
      </c>
    </row>
    <row r="160" spans="1:19" x14ac:dyDescent="0.3">
      <c r="M160" s="69">
        <f t="shared" si="4"/>
        <v>0</v>
      </c>
      <c r="N160" s="69">
        <f t="shared" si="5"/>
        <v>0</v>
      </c>
      <c r="O160" s="16">
        <f>SUM(O142:O159)</f>
        <v>206441</v>
      </c>
    </row>
    <row r="161" spans="1:20" x14ac:dyDescent="0.3">
      <c r="A161" s="15"/>
      <c r="B161" s="15"/>
      <c r="M161" s="69">
        <f t="shared" si="4"/>
        <v>0</v>
      </c>
      <c r="N161" s="69">
        <f t="shared" si="5"/>
        <v>0</v>
      </c>
    </row>
    <row r="162" spans="1:20" ht="26.4" x14ac:dyDescent="0.3">
      <c r="A162" s="15">
        <v>45071</v>
      </c>
      <c r="B162" s="15" t="str">
        <f>TEXT(A162,"mmmm")</f>
        <v>May</v>
      </c>
      <c r="C162" s="69" t="s">
        <v>1543</v>
      </c>
      <c r="D162" s="69" t="s">
        <v>305</v>
      </c>
      <c r="E162" s="69">
        <v>1</v>
      </c>
      <c r="G162" s="69" t="s">
        <v>26</v>
      </c>
      <c r="H162" s="69" t="s">
        <v>10</v>
      </c>
      <c r="I162" s="16">
        <v>282657</v>
      </c>
      <c r="J162" s="69">
        <v>90</v>
      </c>
      <c r="K162" s="69">
        <v>90</v>
      </c>
      <c r="M162" s="69">
        <f t="shared" si="4"/>
        <v>180</v>
      </c>
      <c r="N162" s="69">
        <f t="shared" si="5"/>
        <v>282477</v>
      </c>
      <c r="O162" s="16">
        <v>281477</v>
      </c>
      <c r="P162" s="69">
        <v>1000</v>
      </c>
      <c r="Q162" s="38">
        <v>45071</v>
      </c>
      <c r="R162" s="101" t="s">
        <v>1585</v>
      </c>
      <c r="S162" s="69" t="s">
        <v>1542</v>
      </c>
    </row>
    <row r="163" spans="1:20" x14ac:dyDescent="0.3">
      <c r="A163" s="15"/>
      <c r="B163" s="15"/>
      <c r="C163" s="3"/>
      <c r="I163" s="16"/>
      <c r="M163" s="69">
        <f t="shared" si="4"/>
        <v>0</v>
      </c>
      <c r="N163" s="69">
        <f t="shared" si="5"/>
        <v>0</v>
      </c>
      <c r="O163" s="16"/>
      <c r="Q163" s="69"/>
      <c r="R163" s="103" t="s">
        <v>1586</v>
      </c>
    </row>
    <row r="164" spans="1:20" x14ac:dyDescent="0.3">
      <c r="A164" s="15"/>
      <c r="B164" s="15"/>
      <c r="C164" s="3"/>
      <c r="I164" s="16"/>
      <c r="M164" s="69">
        <f t="shared" si="4"/>
        <v>0</v>
      </c>
      <c r="N164" s="69">
        <f t="shared" si="5"/>
        <v>0</v>
      </c>
      <c r="O164" s="16"/>
      <c r="Q164" s="69"/>
      <c r="R164" s="38">
        <v>45080</v>
      </c>
    </row>
    <row r="165" spans="1:20" x14ac:dyDescent="0.3">
      <c r="A165" s="15"/>
      <c r="B165" s="15"/>
      <c r="M165" s="69">
        <f t="shared" si="4"/>
        <v>0</v>
      </c>
      <c r="N165" s="69">
        <f t="shared" si="5"/>
        <v>0</v>
      </c>
      <c r="Q165" s="47"/>
    </row>
    <row r="166" spans="1:20" ht="26.4" x14ac:dyDescent="0.3">
      <c r="A166" s="15">
        <v>45073</v>
      </c>
      <c r="B166" s="15" t="str">
        <f>TEXT(A166,"mmmm")</f>
        <v>May</v>
      </c>
      <c r="C166" s="3" t="s">
        <v>1556</v>
      </c>
      <c r="D166" s="3" t="s">
        <v>1559</v>
      </c>
      <c r="E166" s="3">
        <v>1</v>
      </c>
      <c r="F166" s="3" t="s">
        <v>60</v>
      </c>
      <c r="G166" s="3" t="s">
        <v>26</v>
      </c>
      <c r="H166" s="3" t="s">
        <v>10</v>
      </c>
      <c r="I166" s="16">
        <v>44649</v>
      </c>
      <c r="J166" s="69">
        <f>P166*9%</f>
        <v>108</v>
      </c>
      <c r="K166" s="69">
        <f>J166</f>
        <v>108</v>
      </c>
      <c r="M166" s="69">
        <f t="shared" si="4"/>
        <v>216</v>
      </c>
      <c r="N166" s="69">
        <f t="shared" si="5"/>
        <v>44433</v>
      </c>
      <c r="O166" s="16">
        <v>43233</v>
      </c>
      <c r="P166" s="69">
        <v>1200</v>
      </c>
      <c r="Q166" s="38">
        <v>45079</v>
      </c>
      <c r="R166" s="101" t="s">
        <v>1581</v>
      </c>
      <c r="S166" s="69" t="s">
        <v>1560</v>
      </c>
    </row>
    <row r="167" spans="1:20" x14ac:dyDescent="0.3">
      <c r="A167" s="15"/>
      <c r="B167" s="15"/>
      <c r="C167" s="3"/>
      <c r="D167" s="3"/>
      <c r="E167" s="3"/>
      <c r="F167" s="3"/>
      <c r="G167" s="3"/>
      <c r="H167" s="3"/>
      <c r="I167" s="16"/>
      <c r="M167" s="69">
        <f t="shared" si="4"/>
        <v>0</v>
      </c>
      <c r="N167" s="69">
        <f t="shared" si="5"/>
        <v>0</v>
      </c>
      <c r="O167" s="16"/>
      <c r="Q167" s="10"/>
      <c r="R167" s="25" t="s">
        <v>1582</v>
      </c>
    </row>
    <row r="168" spans="1:20" s="3" customFormat="1" x14ac:dyDescent="0.3">
      <c r="A168" s="5"/>
      <c r="B168" s="5"/>
      <c r="I168" s="4"/>
      <c r="M168" s="69">
        <f t="shared" si="4"/>
        <v>0</v>
      </c>
      <c r="N168" s="69">
        <f t="shared" si="5"/>
        <v>0</v>
      </c>
      <c r="O168" s="4"/>
      <c r="Q168" s="10"/>
      <c r="R168" s="70"/>
    </row>
    <row r="169" spans="1:20" ht="26.4" x14ac:dyDescent="0.3">
      <c r="A169" s="15">
        <v>45074</v>
      </c>
      <c r="B169" s="15" t="str">
        <f>TEXT(A169,"mmmm")</f>
        <v>May</v>
      </c>
      <c r="C169" s="69" t="s">
        <v>1558</v>
      </c>
      <c r="D169" s="69" t="s">
        <v>47</v>
      </c>
      <c r="E169" s="69">
        <v>4</v>
      </c>
      <c r="G169" s="69" t="s">
        <v>26</v>
      </c>
      <c r="H169" s="69" t="s">
        <v>10</v>
      </c>
      <c r="I169" s="16">
        <f ca="1">SUM(J169:P169)</f>
        <v>22883</v>
      </c>
      <c r="J169" s="69">
        <f>P169*9%</f>
        <v>135</v>
      </c>
      <c r="K169" s="69">
        <f>J169</f>
        <v>135</v>
      </c>
      <c r="M169" s="69">
        <f t="shared" si="4"/>
        <v>270</v>
      </c>
      <c r="N169" s="69">
        <f t="shared" ca="1" si="5"/>
        <v>71580</v>
      </c>
      <c r="O169" s="16">
        <v>20843</v>
      </c>
      <c r="P169" s="69">
        <v>1500</v>
      </c>
      <c r="Q169" s="38">
        <v>45074</v>
      </c>
      <c r="R169" s="101" t="s">
        <v>1583</v>
      </c>
      <c r="S169" s="69" t="s">
        <v>1557</v>
      </c>
    </row>
    <row r="170" spans="1:20" x14ac:dyDescent="0.3">
      <c r="A170" s="15"/>
      <c r="B170" s="15"/>
      <c r="C170" s="10"/>
      <c r="I170" s="16"/>
      <c r="M170" s="69">
        <f t="shared" si="4"/>
        <v>0</v>
      </c>
      <c r="N170" s="69">
        <f t="shared" si="5"/>
        <v>0</v>
      </c>
      <c r="O170" s="16"/>
      <c r="Q170" s="69"/>
      <c r="R170" s="25" t="s">
        <v>1584</v>
      </c>
    </row>
    <row r="171" spans="1:20" x14ac:dyDescent="0.3">
      <c r="A171" s="15"/>
      <c r="B171" s="15"/>
      <c r="M171" s="69">
        <f t="shared" si="4"/>
        <v>0</v>
      </c>
      <c r="N171" s="69">
        <f t="shared" si="5"/>
        <v>0</v>
      </c>
    </row>
    <row r="172" spans="1:20" s="50" customFormat="1" x14ac:dyDescent="0.3">
      <c r="A172" s="49">
        <v>45077</v>
      </c>
      <c r="B172" s="15" t="str">
        <f>TEXT(A172,"mmmm")</f>
        <v>May</v>
      </c>
      <c r="C172" s="50" t="s">
        <v>1567</v>
      </c>
      <c r="D172" s="51" t="s">
        <v>1043</v>
      </c>
      <c r="F172" s="10" t="s">
        <v>54</v>
      </c>
      <c r="G172" s="50" t="s">
        <v>26</v>
      </c>
      <c r="H172" s="50" t="s">
        <v>10</v>
      </c>
      <c r="I172" s="50">
        <v>24593</v>
      </c>
      <c r="J172" s="50">
        <v>126</v>
      </c>
      <c r="K172" s="50">
        <v>126</v>
      </c>
      <c r="M172" s="69">
        <f t="shared" si="4"/>
        <v>252</v>
      </c>
      <c r="N172" s="69">
        <f t="shared" si="5"/>
        <v>24341</v>
      </c>
      <c r="O172" s="51">
        <v>22941</v>
      </c>
      <c r="P172" s="50">
        <v>1400</v>
      </c>
      <c r="Q172" s="68"/>
      <c r="R172" s="68"/>
      <c r="S172" s="50" t="s">
        <v>1528</v>
      </c>
      <c r="T172" s="50" t="s">
        <v>1566</v>
      </c>
    </row>
    <row r="173" spans="1:20" s="50" customFormat="1" ht="26.4" x14ac:dyDescent="0.3">
      <c r="A173" s="49"/>
      <c r="B173" s="49"/>
      <c r="D173" s="68" t="s">
        <v>1564</v>
      </c>
      <c r="I173" s="50">
        <v>7942</v>
      </c>
      <c r="M173" s="69">
        <f t="shared" si="4"/>
        <v>0</v>
      </c>
      <c r="N173" s="69">
        <f t="shared" si="5"/>
        <v>7942</v>
      </c>
      <c r="Q173" s="68"/>
      <c r="R173" s="68"/>
      <c r="S173" s="50" t="s">
        <v>1547</v>
      </c>
      <c r="T173" s="50" t="s">
        <v>1350</v>
      </c>
    </row>
    <row r="174" spans="1:20" s="50" customFormat="1" ht="26.4" x14ac:dyDescent="0.3">
      <c r="A174" s="49"/>
      <c r="B174" s="49"/>
      <c r="D174" s="51"/>
      <c r="I174" s="50">
        <f>(4593+3993)</f>
        <v>8586</v>
      </c>
      <c r="M174" s="69">
        <f t="shared" si="4"/>
        <v>0</v>
      </c>
      <c r="N174" s="69">
        <f t="shared" si="5"/>
        <v>8586</v>
      </c>
      <c r="Q174" s="68"/>
      <c r="R174" s="68"/>
      <c r="S174" s="68" t="s">
        <v>1562</v>
      </c>
      <c r="T174" s="50" t="s">
        <v>1565</v>
      </c>
    </row>
    <row r="175" spans="1:20" x14ac:dyDescent="0.3">
      <c r="A175" s="15"/>
      <c r="B175" s="15"/>
      <c r="I175" s="51">
        <f>SUM(I172:I174)</f>
        <v>41121</v>
      </c>
      <c r="M175" s="69">
        <f t="shared" si="4"/>
        <v>0</v>
      </c>
      <c r="N175" s="69">
        <f t="shared" si="5"/>
        <v>41121</v>
      </c>
    </row>
    <row r="176" spans="1:20" x14ac:dyDescent="0.3">
      <c r="A176" s="15"/>
      <c r="B176" s="15"/>
      <c r="M176" s="69">
        <f t="shared" si="4"/>
        <v>0</v>
      </c>
      <c r="N176" s="69">
        <f t="shared" si="5"/>
        <v>0</v>
      </c>
      <c r="Q176" s="47"/>
      <c r="R176" s="47"/>
    </row>
    <row r="177" spans="1:19" s="50" customFormat="1" x14ac:dyDescent="0.3">
      <c r="A177" s="49">
        <v>45077</v>
      </c>
      <c r="B177" s="15" t="str">
        <f>TEXT(A177,"mmmm")</f>
        <v>May</v>
      </c>
      <c r="C177" s="50" t="s">
        <v>1563</v>
      </c>
      <c r="D177" s="51" t="s">
        <v>1043</v>
      </c>
      <c r="F177" s="10" t="s">
        <v>54</v>
      </c>
      <c r="G177" s="50" t="s">
        <v>26</v>
      </c>
      <c r="H177" s="50" t="s">
        <v>10</v>
      </c>
      <c r="I177" s="10">
        <v>239920</v>
      </c>
      <c r="J177" s="50">
        <v>315</v>
      </c>
      <c r="K177" s="50">
        <v>315</v>
      </c>
      <c r="M177" s="69">
        <f t="shared" si="4"/>
        <v>630</v>
      </c>
      <c r="N177" s="69">
        <f t="shared" si="5"/>
        <v>239290</v>
      </c>
      <c r="O177" s="51">
        <v>235790</v>
      </c>
      <c r="P177" s="50">
        <v>3500</v>
      </c>
      <c r="Q177" s="68"/>
      <c r="R177" s="68"/>
      <c r="S177" s="10" t="s">
        <v>1570</v>
      </c>
    </row>
    <row r="178" spans="1:19" s="50" customFormat="1" ht="26.4" x14ac:dyDescent="0.3">
      <c r="A178" s="49"/>
      <c r="B178" s="49"/>
      <c r="D178" s="68" t="s">
        <v>1568</v>
      </c>
      <c r="I178" s="10"/>
      <c r="M178" s="69">
        <f t="shared" si="4"/>
        <v>0</v>
      </c>
      <c r="N178" s="69">
        <f t="shared" si="5"/>
        <v>0</v>
      </c>
      <c r="Q178" s="68"/>
      <c r="R178" s="68"/>
      <c r="S178" s="10" t="s">
        <v>1571</v>
      </c>
    </row>
    <row r="179" spans="1:19" s="50" customFormat="1" x14ac:dyDescent="0.3">
      <c r="A179" s="49"/>
      <c r="B179" s="49"/>
      <c r="D179" s="50" t="s">
        <v>1587</v>
      </c>
      <c r="I179" s="10"/>
      <c r="M179" s="69">
        <f t="shared" si="4"/>
        <v>0</v>
      </c>
      <c r="N179" s="69">
        <f t="shared" si="5"/>
        <v>0</v>
      </c>
      <c r="Q179" s="68"/>
      <c r="R179" s="68"/>
      <c r="S179" s="10" t="s">
        <v>1572</v>
      </c>
    </row>
    <row r="180" spans="1:19" s="50" customFormat="1" x14ac:dyDescent="0.3">
      <c r="I180" s="10"/>
      <c r="M180" s="69">
        <f t="shared" si="4"/>
        <v>0</v>
      </c>
      <c r="N180" s="69">
        <f t="shared" si="5"/>
        <v>0</v>
      </c>
      <c r="Q180" s="68"/>
      <c r="R180" s="68"/>
      <c r="S180" s="10" t="s">
        <v>1573</v>
      </c>
    </row>
    <row r="181" spans="1:19" s="50" customFormat="1" x14ac:dyDescent="0.3">
      <c r="I181" s="10"/>
      <c r="M181" s="69">
        <f t="shared" si="4"/>
        <v>0</v>
      </c>
      <c r="N181" s="69">
        <f t="shared" si="5"/>
        <v>0</v>
      </c>
      <c r="Q181" s="68"/>
      <c r="R181" s="68"/>
      <c r="S181" s="10" t="s">
        <v>1574</v>
      </c>
    </row>
    <row r="182" spans="1:19" s="50" customFormat="1" x14ac:dyDescent="0.3">
      <c r="A182" s="49"/>
      <c r="B182" s="49"/>
      <c r="I182" s="10"/>
      <c r="M182" s="69">
        <f t="shared" si="4"/>
        <v>0</v>
      </c>
      <c r="N182" s="69">
        <f t="shared" si="5"/>
        <v>0</v>
      </c>
      <c r="Q182" s="68"/>
      <c r="R182" s="67"/>
      <c r="S182" s="10" t="s">
        <v>1575</v>
      </c>
    </row>
    <row r="183" spans="1:19" s="50" customFormat="1" x14ac:dyDescent="0.3">
      <c r="I183" s="10"/>
      <c r="M183" s="69">
        <f t="shared" si="4"/>
        <v>0</v>
      </c>
      <c r="N183" s="69">
        <f t="shared" si="5"/>
        <v>0</v>
      </c>
      <c r="Q183" s="68"/>
      <c r="R183" s="68"/>
      <c r="S183" s="10" t="s">
        <v>1576</v>
      </c>
    </row>
    <row r="184" spans="1:19" s="50" customFormat="1" x14ac:dyDescent="0.3">
      <c r="A184" s="49"/>
      <c r="B184" s="49"/>
      <c r="I184" s="10"/>
      <c r="M184" s="69">
        <f t="shared" si="4"/>
        <v>0</v>
      </c>
      <c r="N184" s="69">
        <f t="shared" si="5"/>
        <v>0</v>
      </c>
      <c r="Q184" s="67"/>
      <c r="R184" s="67"/>
      <c r="S184" s="10" t="s">
        <v>1577</v>
      </c>
    </row>
    <row r="185" spans="1:19" s="50" customFormat="1" x14ac:dyDescent="0.3">
      <c r="A185" s="49"/>
      <c r="B185" s="49"/>
      <c r="I185" s="10"/>
      <c r="L185" s="89"/>
      <c r="M185" s="69">
        <f t="shared" si="4"/>
        <v>0</v>
      </c>
      <c r="N185" s="69">
        <f t="shared" si="5"/>
        <v>0</v>
      </c>
      <c r="Q185" s="67"/>
      <c r="R185" s="68"/>
      <c r="S185" s="10" t="s">
        <v>1578</v>
      </c>
    </row>
    <row r="186" spans="1:19" s="50" customFormat="1" x14ac:dyDescent="0.3">
      <c r="A186" s="49"/>
      <c r="B186" s="49"/>
      <c r="I186" s="10"/>
      <c r="M186" s="69">
        <f t="shared" si="4"/>
        <v>0</v>
      </c>
      <c r="N186" s="69">
        <f t="shared" si="5"/>
        <v>0</v>
      </c>
      <c r="Q186" s="68"/>
      <c r="R186" s="68"/>
      <c r="S186" s="10" t="s">
        <v>1569</v>
      </c>
    </row>
    <row r="187" spans="1:19" s="50" customFormat="1" x14ac:dyDescent="0.3">
      <c r="A187" s="49"/>
      <c r="B187" s="49"/>
      <c r="I187" s="51"/>
      <c r="M187" s="69">
        <f t="shared" si="4"/>
        <v>0</v>
      </c>
      <c r="N187" s="69">
        <f t="shared" si="5"/>
        <v>0</v>
      </c>
      <c r="Q187" s="67"/>
      <c r="R187" s="67"/>
    </row>
    <row r="188" spans="1:19" x14ac:dyDescent="0.3">
      <c r="M188" s="69">
        <f t="shared" si="4"/>
        <v>0</v>
      </c>
      <c r="N188" s="69">
        <f t="shared" si="5"/>
        <v>0</v>
      </c>
    </row>
    <row r="189" spans="1:19" s="50" customFormat="1" x14ac:dyDescent="0.3">
      <c r="A189" s="49">
        <v>45078</v>
      </c>
      <c r="B189" s="15" t="str">
        <f>TEXT(A189,"mmmm")</f>
        <v>June</v>
      </c>
      <c r="C189" s="50" t="s">
        <v>1588</v>
      </c>
      <c r="D189" s="17" t="s">
        <v>1412</v>
      </c>
      <c r="E189" s="50">
        <v>4</v>
      </c>
      <c r="F189" s="50" t="s">
        <v>1414</v>
      </c>
      <c r="G189" s="50" t="s">
        <v>14</v>
      </c>
      <c r="H189" s="50" t="s">
        <v>10</v>
      </c>
      <c r="I189" s="10">
        <v>218293.9</v>
      </c>
      <c r="M189" s="69">
        <f t="shared" si="4"/>
        <v>0</v>
      </c>
      <c r="N189" s="69">
        <f t="shared" si="5"/>
        <v>218293.9</v>
      </c>
      <c r="O189" s="51">
        <f>218294</f>
        <v>218294</v>
      </c>
      <c r="Q189" s="67">
        <v>45078</v>
      </c>
      <c r="R189" s="67">
        <v>45078</v>
      </c>
    </row>
    <row r="190" spans="1:19" s="50" customFormat="1" x14ac:dyDescent="0.3">
      <c r="A190" s="49"/>
      <c r="B190" s="49"/>
      <c r="D190" s="10" t="s">
        <v>1413</v>
      </c>
      <c r="H190" s="50" t="s">
        <v>1462</v>
      </c>
      <c r="M190" s="69">
        <f t="shared" si="4"/>
        <v>0</v>
      </c>
      <c r="N190" s="69">
        <f t="shared" si="5"/>
        <v>0</v>
      </c>
      <c r="Q190" s="67"/>
      <c r="R190" s="67"/>
    </row>
    <row r="191" spans="1:19" s="50" customFormat="1" ht="26.4" x14ac:dyDescent="0.3">
      <c r="D191" s="68" t="s">
        <v>1589</v>
      </c>
      <c r="I191" s="51"/>
      <c r="M191" s="69">
        <f t="shared" si="4"/>
        <v>0</v>
      </c>
      <c r="N191" s="69">
        <f t="shared" si="5"/>
        <v>0</v>
      </c>
      <c r="Q191" s="68"/>
      <c r="R191" s="68"/>
    </row>
    <row r="192" spans="1:19" s="90" customFormat="1" x14ac:dyDescent="0.3">
      <c r="D192" s="91"/>
      <c r="I192" s="92">
        <v>207889</v>
      </c>
      <c r="J192" s="93">
        <v>5197.5</v>
      </c>
      <c r="K192" s="93">
        <v>5197.5</v>
      </c>
      <c r="M192" s="69">
        <f t="shared" si="4"/>
        <v>10395</v>
      </c>
      <c r="N192" s="69">
        <f t="shared" si="5"/>
        <v>197494</v>
      </c>
      <c r="O192" s="92">
        <v>218294</v>
      </c>
      <c r="Q192" s="91"/>
      <c r="R192" s="91"/>
    </row>
    <row r="193" spans="1:19" x14ac:dyDescent="0.3">
      <c r="A193" s="15"/>
      <c r="B193" s="15"/>
      <c r="M193" s="69">
        <f t="shared" si="4"/>
        <v>0</v>
      </c>
      <c r="N193" s="69">
        <f t="shared" si="5"/>
        <v>0</v>
      </c>
      <c r="Q193" s="47"/>
      <c r="R193" s="47"/>
    </row>
    <row r="194" spans="1:19" x14ac:dyDescent="0.3">
      <c r="A194" s="15">
        <v>45079</v>
      </c>
      <c r="B194" s="15" t="str">
        <f>TEXT(A194,"mmmm")</f>
        <v>June</v>
      </c>
      <c r="C194" s="69" t="s">
        <v>1590</v>
      </c>
      <c r="D194" s="69" t="s">
        <v>1591</v>
      </c>
      <c r="E194" s="69">
        <v>3</v>
      </c>
      <c r="F194" s="69" t="s">
        <v>1593</v>
      </c>
      <c r="G194" s="69" t="s">
        <v>26</v>
      </c>
      <c r="H194" s="69" t="s">
        <v>10</v>
      </c>
      <c r="I194" s="16">
        <f ca="1">SUM(L194:P194)</f>
        <v>51425</v>
      </c>
      <c r="L194" s="69">
        <f>P194*18%</f>
        <v>540</v>
      </c>
      <c r="M194" s="69">
        <f t="shared" si="4"/>
        <v>540</v>
      </c>
      <c r="N194" s="69">
        <f t="shared" ca="1" si="5"/>
        <v>71580</v>
      </c>
      <c r="O194" s="16">
        <v>47345</v>
      </c>
      <c r="P194" s="69">
        <v>3000</v>
      </c>
      <c r="Q194" s="38">
        <v>45082</v>
      </c>
      <c r="R194" s="38">
        <v>45080</v>
      </c>
      <c r="S194" s="69" t="s">
        <v>1594</v>
      </c>
    </row>
    <row r="195" spans="1:19" x14ac:dyDescent="0.3">
      <c r="D195" s="69" t="s">
        <v>1592</v>
      </c>
      <c r="M195" s="69">
        <f t="shared" ref="M195:M258" si="6">SUM(J195:L195)</f>
        <v>0</v>
      </c>
      <c r="N195" s="69">
        <f t="shared" ref="N195:N258" si="7">I195-M195</f>
        <v>0</v>
      </c>
    </row>
    <row r="196" spans="1:19" x14ac:dyDescent="0.3">
      <c r="A196" s="15"/>
      <c r="B196" s="15"/>
      <c r="M196" s="69">
        <f t="shared" si="6"/>
        <v>0</v>
      </c>
      <c r="N196" s="69">
        <f t="shared" si="7"/>
        <v>0</v>
      </c>
    </row>
    <row r="197" spans="1:19" x14ac:dyDescent="0.3">
      <c r="A197" s="15">
        <v>45083</v>
      </c>
      <c r="B197" s="15" t="str">
        <f>TEXT(A197,"mmmm")</f>
        <v>June</v>
      </c>
      <c r="C197" s="69" t="s">
        <v>1595</v>
      </c>
      <c r="D197" s="69" t="s">
        <v>1596</v>
      </c>
      <c r="E197" s="69">
        <v>2</v>
      </c>
      <c r="F197" s="3" t="s">
        <v>54</v>
      </c>
      <c r="G197" s="69" t="s">
        <v>9</v>
      </c>
      <c r="H197" s="69" t="s">
        <v>1134</v>
      </c>
      <c r="I197" s="16">
        <v>13360</v>
      </c>
      <c r="J197" s="69">
        <v>319</v>
      </c>
      <c r="K197" s="69">
        <v>319</v>
      </c>
      <c r="M197" s="69">
        <f t="shared" si="6"/>
        <v>638</v>
      </c>
      <c r="N197" s="69">
        <f t="shared" si="7"/>
        <v>12722</v>
      </c>
      <c r="O197" s="69">
        <v>6284</v>
      </c>
      <c r="P197" s="69">
        <v>2500</v>
      </c>
      <c r="Q197" s="30" t="s">
        <v>1599</v>
      </c>
      <c r="R197" s="47">
        <v>45083</v>
      </c>
      <c r="S197" s="69" t="s">
        <v>1597</v>
      </c>
    </row>
    <row r="198" spans="1:19" x14ac:dyDescent="0.3">
      <c r="A198" s="15"/>
      <c r="B198" s="15"/>
      <c r="M198" s="69">
        <f t="shared" si="6"/>
        <v>0</v>
      </c>
      <c r="N198" s="69">
        <f t="shared" si="7"/>
        <v>0</v>
      </c>
      <c r="O198" s="69">
        <v>3938</v>
      </c>
      <c r="Q198" s="105">
        <f>38484-13360</f>
        <v>25124</v>
      </c>
      <c r="R198" s="47"/>
      <c r="S198" s="69" t="s">
        <v>1598</v>
      </c>
    </row>
    <row r="199" spans="1:19" x14ac:dyDescent="0.3">
      <c r="M199" s="69">
        <f t="shared" si="6"/>
        <v>0</v>
      </c>
      <c r="N199" s="69">
        <f t="shared" si="7"/>
        <v>0</v>
      </c>
      <c r="O199" s="16">
        <f>SUM(O197:O198)</f>
        <v>10222</v>
      </c>
      <c r="Q199" s="102" t="s">
        <v>1602</v>
      </c>
    </row>
    <row r="200" spans="1:19" x14ac:dyDescent="0.3">
      <c r="M200" s="69">
        <f t="shared" si="6"/>
        <v>0</v>
      </c>
      <c r="N200" s="69">
        <f t="shared" si="7"/>
        <v>0</v>
      </c>
    </row>
    <row r="201" spans="1:19" x14ac:dyDescent="0.3">
      <c r="A201" s="15">
        <v>45083</v>
      </c>
      <c r="B201" s="15" t="str">
        <f>TEXT(A201,"mmmm")</f>
        <v>June</v>
      </c>
      <c r="C201" s="3" t="s">
        <v>1605</v>
      </c>
      <c r="D201" s="69" t="s">
        <v>1604</v>
      </c>
      <c r="E201" s="69">
        <v>1</v>
      </c>
      <c r="F201" s="3" t="s">
        <v>54</v>
      </c>
      <c r="G201" s="69" t="s">
        <v>22</v>
      </c>
      <c r="H201" s="69" t="s">
        <v>10</v>
      </c>
      <c r="I201" s="16">
        <v>9360</v>
      </c>
      <c r="J201" s="69">
        <f>P201*9%</f>
        <v>180</v>
      </c>
      <c r="K201" s="69">
        <f>J201</f>
        <v>180</v>
      </c>
      <c r="M201" s="69">
        <f t="shared" si="6"/>
        <v>360</v>
      </c>
      <c r="N201" s="69">
        <f t="shared" si="7"/>
        <v>9000</v>
      </c>
      <c r="O201" s="16">
        <v>7000</v>
      </c>
      <c r="P201" s="69">
        <v>2000</v>
      </c>
      <c r="Q201" s="30" t="s">
        <v>1599</v>
      </c>
      <c r="R201" s="38">
        <v>45089</v>
      </c>
      <c r="S201" s="69" t="s">
        <v>1603</v>
      </c>
    </row>
    <row r="202" spans="1:19" x14ac:dyDescent="0.3">
      <c r="M202" s="69">
        <f t="shared" si="6"/>
        <v>0</v>
      </c>
      <c r="N202" s="69">
        <f t="shared" si="7"/>
        <v>0</v>
      </c>
      <c r="Q202" s="105">
        <f>25124-9360</f>
        <v>15764</v>
      </c>
    </row>
    <row r="203" spans="1:19" x14ac:dyDescent="0.3">
      <c r="A203" s="15"/>
      <c r="B203" s="15"/>
      <c r="M203" s="69">
        <f t="shared" si="6"/>
        <v>0</v>
      </c>
      <c r="N203" s="69">
        <f t="shared" si="7"/>
        <v>0</v>
      </c>
      <c r="Q203" s="102" t="s">
        <v>1606</v>
      </c>
      <c r="R203" s="47"/>
    </row>
    <row r="204" spans="1:19" x14ac:dyDescent="0.3">
      <c r="A204" s="15"/>
      <c r="B204" s="15"/>
      <c r="M204" s="69">
        <f t="shared" si="6"/>
        <v>0</v>
      </c>
      <c r="N204" s="69">
        <f t="shared" si="7"/>
        <v>0</v>
      </c>
      <c r="Q204" s="68"/>
      <c r="R204" s="47"/>
    </row>
    <row r="205" spans="1:19" x14ac:dyDescent="0.3">
      <c r="M205" s="69">
        <f t="shared" si="6"/>
        <v>0</v>
      </c>
      <c r="N205" s="69">
        <f t="shared" si="7"/>
        <v>0</v>
      </c>
    </row>
    <row r="206" spans="1:19" x14ac:dyDescent="0.3">
      <c r="A206" s="15">
        <v>45083</v>
      </c>
      <c r="B206" s="15" t="str">
        <f>TEXT(A206,"mmmm")</f>
        <v>June</v>
      </c>
      <c r="C206" s="3" t="s">
        <v>1608</v>
      </c>
      <c r="D206" s="69" t="s">
        <v>1609</v>
      </c>
      <c r="E206" s="69">
        <v>1</v>
      </c>
      <c r="F206" s="3" t="s">
        <v>54</v>
      </c>
      <c r="G206" s="69" t="s">
        <v>24</v>
      </c>
      <c r="H206" s="69" t="s">
        <v>10</v>
      </c>
      <c r="I206" s="16">
        <f ca="1">SUM(J206:P207)</f>
        <v>84268</v>
      </c>
      <c r="J206" s="69">
        <f>P206*9%</f>
        <v>675</v>
      </c>
      <c r="K206" s="69">
        <f>J206</f>
        <v>675</v>
      </c>
      <c r="M206" s="69">
        <f t="shared" si="6"/>
        <v>1350</v>
      </c>
      <c r="N206" s="69">
        <f t="shared" ca="1" si="7"/>
        <v>71580</v>
      </c>
      <c r="O206" s="69">
        <v>38554</v>
      </c>
      <c r="P206" s="69">
        <v>7500</v>
      </c>
      <c r="Q206" s="30" t="s">
        <v>1599</v>
      </c>
      <c r="R206" s="47">
        <v>45089</v>
      </c>
      <c r="S206" s="69" t="s">
        <v>1610</v>
      </c>
    </row>
    <row r="207" spans="1:19" x14ac:dyDescent="0.3">
      <c r="H207" s="121" t="s">
        <v>1737</v>
      </c>
      <c r="M207" s="69">
        <f t="shared" si="6"/>
        <v>0</v>
      </c>
      <c r="N207" s="69">
        <f t="shared" si="7"/>
        <v>0</v>
      </c>
      <c r="O207" s="69">
        <v>35514</v>
      </c>
      <c r="Q207" s="102">
        <f>82918-15764</f>
        <v>67154</v>
      </c>
      <c r="S207" s="69" t="s">
        <v>1611</v>
      </c>
    </row>
    <row r="208" spans="1:19" x14ac:dyDescent="0.3">
      <c r="A208" s="15"/>
      <c r="B208" s="15"/>
      <c r="M208" s="69">
        <f t="shared" si="6"/>
        <v>0</v>
      </c>
      <c r="N208" s="69">
        <f t="shared" si="7"/>
        <v>0</v>
      </c>
      <c r="O208" s="16">
        <f>SUM(O206:O207)</f>
        <v>74068</v>
      </c>
      <c r="Q208" s="30" t="s">
        <v>1674</v>
      </c>
      <c r="R208" s="47"/>
    </row>
    <row r="209" spans="1:19" x14ac:dyDescent="0.3">
      <c r="M209" s="69">
        <f t="shared" si="6"/>
        <v>0</v>
      </c>
      <c r="N209" s="69">
        <f t="shared" si="7"/>
        <v>0</v>
      </c>
    </row>
    <row r="210" spans="1:19" x14ac:dyDescent="0.3">
      <c r="A210" s="15">
        <v>45084</v>
      </c>
      <c r="B210" s="15" t="str">
        <f>TEXT(A210,"mmmm")</f>
        <v>June</v>
      </c>
      <c r="C210" s="3" t="s">
        <v>1612</v>
      </c>
      <c r="D210" s="69" t="s">
        <v>1043</v>
      </c>
      <c r="E210" s="69">
        <v>1</v>
      </c>
      <c r="F210" s="3" t="s">
        <v>54</v>
      </c>
      <c r="G210" s="69" t="s">
        <v>26</v>
      </c>
      <c r="H210" s="69" t="s">
        <v>10</v>
      </c>
      <c r="I210" s="16">
        <v>373681</v>
      </c>
      <c r="J210" s="85">
        <f>P210*9%</f>
        <v>1251</v>
      </c>
      <c r="K210" s="69">
        <f>J210</f>
        <v>1251</v>
      </c>
      <c r="M210" s="69">
        <f t="shared" si="6"/>
        <v>2502</v>
      </c>
      <c r="N210" s="69">
        <f t="shared" si="7"/>
        <v>371179</v>
      </c>
      <c r="O210" s="69">
        <v>14220</v>
      </c>
      <c r="P210" s="69">
        <f>(350*34)+(1000*2)</f>
        <v>13900</v>
      </c>
      <c r="Q210" s="15"/>
      <c r="R210" s="47"/>
    </row>
    <row r="211" spans="1:19" x14ac:dyDescent="0.3">
      <c r="A211" s="15"/>
      <c r="B211" s="15"/>
      <c r="D211" s="69" t="s">
        <v>1613</v>
      </c>
      <c r="M211" s="69">
        <f t="shared" si="6"/>
        <v>0</v>
      </c>
      <c r="N211" s="69">
        <f t="shared" si="7"/>
        <v>0</v>
      </c>
      <c r="O211" s="69">
        <v>75135</v>
      </c>
      <c r="Q211" s="95">
        <v>45096</v>
      </c>
      <c r="R211" s="47" t="s">
        <v>1658</v>
      </c>
      <c r="S211" s="69" t="s">
        <v>1614</v>
      </c>
    </row>
    <row r="212" spans="1:19" x14ac:dyDescent="0.3">
      <c r="A212" s="15"/>
      <c r="B212" s="15"/>
      <c r="D212" s="69" t="s">
        <v>1615</v>
      </c>
      <c r="M212" s="69">
        <f t="shared" si="6"/>
        <v>0</v>
      </c>
      <c r="N212" s="69">
        <f t="shared" si="7"/>
        <v>0</v>
      </c>
      <c r="O212" s="69">
        <v>16867</v>
      </c>
      <c r="Q212" s="69"/>
      <c r="R212" s="30">
        <v>145893</v>
      </c>
      <c r="S212" s="69" t="s">
        <v>1616</v>
      </c>
    </row>
    <row r="213" spans="1:19" x14ac:dyDescent="0.3">
      <c r="A213" s="15"/>
      <c r="B213" s="15"/>
      <c r="D213" s="69" t="s">
        <v>1619</v>
      </c>
      <c r="M213" s="69">
        <f t="shared" si="6"/>
        <v>0</v>
      </c>
      <c r="N213" s="69">
        <f t="shared" si="7"/>
        <v>0</v>
      </c>
      <c r="O213" s="69">
        <v>17512</v>
      </c>
      <c r="Q213" s="69"/>
      <c r="R213" s="30">
        <v>202036</v>
      </c>
      <c r="S213" s="69" t="s">
        <v>1617</v>
      </c>
    </row>
    <row r="214" spans="1:19" x14ac:dyDescent="0.3">
      <c r="D214" s="69" t="s">
        <v>1620</v>
      </c>
      <c r="M214" s="69">
        <f t="shared" si="6"/>
        <v>0</v>
      </c>
      <c r="N214" s="69">
        <f t="shared" si="7"/>
        <v>0</v>
      </c>
      <c r="O214" s="69">
        <v>22846</v>
      </c>
      <c r="R214" s="94">
        <f>SUM(R212:R213)</f>
        <v>347929</v>
      </c>
      <c r="S214" s="69" t="s">
        <v>1618</v>
      </c>
    </row>
    <row r="215" spans="1:19" x14ac:dyDescent="0.3">
      <c r="A215" s="15"/>
      <c r="B215" s="15"/>
      <c r="D215" s="69" t="s">
        <v>1621</v>
      </c>
      <c r="M215" s="69">
        <f t="shared" si="6"/>
        <v>0</v>
      </c>
      <c r="N215" s="69">
        <f t="shared" si="7"/>
        <v>0</v>
      </c>
      <c r="O215" s="3">
        <v>25301</v>
      </c>
      <c r="Q215" s="47"/>
      <c r="R215" s="47"/>
      <c r="S215" s="69" t="s">
        <v>1622</v>
      </c>
    </row>
    <row r="216" spans="1:19" x14ac:dyDescent="0.3">
      <c r="D216" s="69" t="s">
        <v>1623</v>
      </c>
      <c r="M216" s="69">
        <f t="shared" si="6"/>
        <v>0</v>
      </c>
      <c r="N216" s="69">
        <f t="shared" si="7"/>
        <v>0</v>
      </c>
      <c r="O216" s="3">
        <v>2000</v>
      </c>
      <c r="R216" s="30">
        <f>R214+O218+O219</f>
        <v>357279</v>
      </c>
      <c r="S216" s="69" t="s">
        <v>1624</v>
      </c>
    </row>
    <row r="217" spans="1:19" x14ac:dyDescent="0.3">
      <c r="D217" s="69" t="s">
        <v>1625</v>
      </c>
      <c r="M217" s="69">
        <f t="shared" si="6"/>
        <v>0</v>
      </c>
      <c r="N217" s="69">
        <f t="shared" si="7"/>
        <v>0</v>
      </c>
      <c r="O217" s="3">
        <v>28155</v>
      </c>
      <c r="S217" s="69" t="s">
        <v>1626</v>
      </c>
    </row>
    <row r="218" spans="1:19" x14ac:dyDescent="0.3">
      <c r="D218" s="69" t="s">
        <v>1628</v>
      </c>
      <c r="M218" s="69">
        <f t="shared" si="6"/>
        <v>0</v>
      </c>
      <c r="N218" s="69">
        <f t="shared" si="7"/>
        <v>0</v>
      </c>
      <c r="O218" s="88">
        <v>5850</v>
      </c>
      <c r="S218" s="69" t="s">
        <v>1629</v>
      </c>
    </row>
    <row r="219" spans="1:19" ht="26.4" x14ac:dyDescent="0.3">
      <c r="D219" s="69" t="s">
        <v>1630</v>
      </c>
      <c r="H219" s="69" t="s">
        <v>1634</v>
      </c>
      <c r="M219" s="69">
        <f t="shared" si="6"/>
        <v>0</v>
      </c>
      <c r="N219" s="69">
        <f t="shared" si="7"/>
        <v>0</v>
      </c>
      <c r="O219" s="88">
        <v>3500</v>
      </c>
      <c r="R219" s="30" t="s">
        <v>1632</v>
      </c>
      <c r="S219" s="69" t="s">
        <v>1631</v>
      </c>
    </row>
    <row r="220" spans="1:19" ht="26.4" x14ac:dyDescent="0.3">
      <c r="D220" s="69" t="s">
        <v>1633</v>
      </c>
      <c r="H220" s="69" t="s">
        <v>1634</v>
      </c>
      <c r="M220" s="69">
        <f t="shared" si="6"/>
        <v>0</v>
      </c>
      <c r="N220" s="69">
        <f t="shared" si="7"/>
        <v>0</v>
      </c>
      <c r="O220" s="69">
        <v>9731</v>
      </c>
      <c r="R220" s="30" t="s">
        <v>1632</v>
      </c>
      <c r="S220" s="69" t="s">
        <v>1635</v>
      </c>
    </row>
    <row r="221" spans="1:19" x14ac:dyDescent="0.3">
      <c r="D221" s="69" t="s">
        <v>1637</v>
      </c>
      <c r="M221" s="69">
        <f t="shared" si="6"/>
        <v>0</v>
      </c>
      <c r="N221" s="69">
        <f t="shared" si="7"/>
        <v>0</v>
      </c>
      <c r="O221" s="69">
        <v>22474</v>
      </c>
      <c r="S221" s="69" t="s">
        <v>1636</v>
      </c>
    </row>
    <row r="222" spans="1:19" x14ac:dyDescent="0.3">
      <c r="D222" s="69" t="s">
        <v>1638</v>
      </c>
      <c r="M222" s="69">
        <f t="shared" si="6"/>
        <v>0</v>
      </c>
      <c r="N222" s="69">
        <f t="shared" si="7"/>
        <v>0</v>
      </c>
      <c r="O222" s="69">
        <v>15863</v>
      </c>
      <c r="S222" s="69" t="s">
        <v>1639</v>
      </c>
    </row>
    <row r="223" spans="1:19" x14ac:dyDescent="0.3">
      <c r="D223" s="69" t="s">
        <v>1642</v>
      </c>
      <c r="M223" s="69">
        <f t="shared" si="6"/>
        <v>0</v>
      </c>
      <c r="N223" s="69">
        <f t="shared" si="7"/>
        <v>0</v>
      </c>
      <c r="O223" s="3">
        <v>30592</v>
      </c>
      <c r="S223" s="69" t="s">
        <v>1643</v>
      </c>
    </row>
    <row r="224" spans="1:19" x14ac:dyDescent="0.3">
      <c r="D224" s="69" t="s">
        <v>1640</v>
      </c>
      <c r="M224" s="69">
        <f t="shared" si="6"/>
        <v>0</v>
      </c>
      <c r="N224" s="69">
        <f t="shared" si="7"/>
        <v>0</v>
      </c>
      <c r="O224" s="3">
        <v>7110</v>
      </c>
      <c r="S224" s="69" t="s">
        <v>1641</v>
      </c>
    </row>
    <row r="225" spans="1:20" x14ac:dyDescent="0.3">
      <c r="D225" s="69" t="s">
        <v>1644</v>
      </c>
      <c r="M225" s="69">
        <f t="shared" si="6"/>
        <v>0</v>
      </c>
      <c r="N225" s="69">
        <f t="shared" si="7"/>
        <v>0</v>
      </c>
      <c r="O225" s="3">
        <v>16725</v>
      </c>
      <c r="Q225" s="69"/>
      <c r="S225" s="69" t="s">
        <v>1645</v>
      </c>
    </row>
    <row r="226" spans="1:20" x14ac:dyDescent="0.3">
      <c r="D226" s="69" t="s">
        <v>1647</v>
      </c>
      <c r="M226" s="69">
        <f t="shared" si="6"/>
        <v>0</v>
      </c>
      <c r="N226" s="69">
        <f t="shared" si="7"/>
        <v>0</v>
      </c>
      <c r="O226" s="3">
        <v>7279</v>
      </c>
      <c r="Q226" s="69"/>
      <c r="S226" s="69" t="s">
        <v>1646</v>
      </c>
    </row>
    <row r="227" spans="1:20" x14ac:dyDescent="0.3">
      <c r="D227" s="69" t="s">
        <v>1649</v>
      </c>
      <c r="M227" s="69">
        <f t="shared" si="6"/>
        <v>0</v>
      </c>
      <c r="N227" s="69">
        <f t="shared" si="7"/>
        <v>0</v>
      </c>
      <c r="O227" s="3">
        <v>17352</v>
      </c>
      <c r="Q227" s="69"/>
      <c r="S227" s="69" t="s">
        <v>1648</v>
      </c>
    </row>
    <row r="228" spans="1:20" x14ac:dyDescent="0.3">
      <c r="D228" s="69" t="s">
        <v>1651</v>
      </c>
      <c r="M228" s="69">
        <f t="shared" si="6"/>
        <v>0</v>
      </c>
      <c r="N228" s="69">
        <f t="shared" si="7"/>
        <v>0</v>
      </c>
      <c r="O228" s="69">
        <v>15899</v>
      </c>
      <c r="S228" s="69" t="s">
        <v>1650</v>
      </c>
    </row>
    <row r="229" spans="1:20" x14ac:dyDescent="0.3">
      <c r="D229" s="69" t="s">
        <v>1653</v>
      </c>
      <c r="M229" s="69">
        <f t="shared" si="6"/>
        <v>0</v>
      </c>
      <c r="N229" s="69">
        <f t="shared" si="7"/>
        <v>0</v>
      </c>
      <c r="O229" s="69">
        <f>2450+118</f>
        <v>2568</v>
      </c>
      <c r="S229" s="69" t="s">
        <v>1652</v>
      </c>
    </row>
    <row r="230" spans="1:20" x14ac:dyDescent="0.3">
      <c r="D230" s="69" t="s">
        <v>1654</v>
      </c>
      <c r="M230" s="69">
        <f t="shared" si="6"/>
        <v>0</v>
      </c>
      <c r="N230" s="69">
        <f t="shared" si="7"/>
        <v>0</v>
      </c>
      <c r="O230" s="69">
        <v>300</v>
      </c>
      <c r="S230" s="69" t="s">
        <v>1655</v>
      </c>
    </row>
    <row r="231" spans="1:20" x14ac:dyDescent="0.3">
      <c r="D231" s="69" t="s">
        <v>1657</v>
      </c>
      <c r="M231" s="69">
        <f t="shared" si="6"/>
        <v>0</v>
      </c>
      <c r="N231" s="69">
        <f t="shared" si="7"/>
        <v>0</v>
      </c>
      <c r="O231" s="16">
        <f>SUM(O210:O230)</f>
        <v>357279</v>
      </c>
      <c r="S231" s="69" t="s">
        <v>1656</v>
      </c>
    </row>
    <row r="232" spans="1:20" x14ac:dyDescent="0.3">
      <c r="M232" s="69">
        <f t="shared" si="6"/>
        <v>0</v>
      </c>
      <c r="N232" s="69">
        <f t="shared" si="7"/>
        <v>0</v>
      </c>
    </row>
    <row r="233" spans="1:20" x14ac:dyDescent="0.3">
      <c r="A233" s="15"/>
      <c r="B233" s="15"/>
      <c r="I233" s="17">
        <v>1084</v>
      </c>
      <c r="J233" s="50">
        <v>0</v>
      </c>
      <c r="K233" s="50">
        <v>0</v>
      </c>
      <c r="L233" s="50"/>
      <c r="M233" s="69">
        <f t="shared" si="6"/>
        <v>0</v>
      </c>
      <c r="N233" s="69">
        <f t="shared" si="7"/>
        <v>1084</v>
      </c>
      <c r="O233" s="51">
        <v>1084</v>
      </c>
      <c r="P233" s="50"/>
      <c r="Q233" s="47"/>
      <c r="R233" s="47"/>
    </row>
    <row r="234" spans="1:20" x14ac:dyDescent="0.3">
      <c r="A234" s="49">
        <v>45085</v>
      </c>
      <c r="B234" s="15" t="str">
        <f>TEXT(A234,"mmmm")</f>
        <v>June</v>
      </c>
      <c r="C234" s="50" t="s">
        <v>1607</v>
      </c>
      <c r="D234" s="17" t="s">
        <v>1412</v>
      </c>
      <c r="E234" s="50">
        <v>4</v>
      </c>
      <c r="F234" s="50" t="s">
        <v>1414</v>
      </c>
      <c r="G234" s="50" t="s">
        <v>14</v>
      </c>
      <c r="H234" s="50"/>
      <c r="I234" s="50"/>
      <c r="J234" s="50"/>
      <c r="K234" s="50"/>
      <c r="L234" s="50"/>
      <c r="M234" s="69">
        <f t="shared" si="6"/>
        <v>0</v>
      </c>
      <c r="N234" s="69">
        <f t="shared" si="7"/>
        <v>0</v>
      </c>
      <c r="O234" s="50"/>
      <c r="P234" s="50"/>
      <c r="Q234" s="51"/>
      <c r="R234" s="67" t="s">
        <v>1676</v>
      </c>
      <c r="S234" s="50"/>
      <c r="T234" s="50"/>
    </row>
    <row r="235" spans="1:20" x14ac:dyDescent="0.3">
      <c r="A235" s="49"/>
      <c r="B235" s="49"/>
      <c r="C235" s="50"/>
      <c r="D235" s="10" t="s">
        <v>1413</v>
      </c>
      <c r="E235" s="50"/>
      <c r="F235" s="50"/>
      <c r="G235" s="50"/>
      <c r="H235" s="50"/>
      <c r="I235" s="51"/>
      <c r="J235" s="50"/>
      <c r="K235" s="50"/>
      <c r="L235" s="50"/>
      <c r="M235" s="69">
        <f t="shared" si="6"/>
        <v>0</v>
      </c>
      <c r="N235" s="69">
        <f t="shared" si="7"/>
        <v>0</v>
      </c>
      <c r="O235" s="50"/>
      <c r="P235" s="50"/>
      <c r="Q235" s="67"/>
      <c r="R235" s="67"/>
      <c r="S235" s="50"/>
      <c r="T235" s="50"/>
    </row>
    <row r="236" spans="1:20" x14ac:dyDescent="0.3">
      <c r="A236" s="50"/>
      <c r="B236" s="50"/>
      <c r="C236" s="50"/>
      <c r="D236" s="120" t="s">
        <v>1627</v>
      </c>
      <c r="E236" s="50"/>
      <c r="F236" s="50"/>
      <c r="G236" s="50"/>
      <c r="H236" s="50"/>
      <c r="I236" s="51"/>
      <c r="J236" s="50"/>
      <c r="K236" s="50"/>
      <c r="L236" s="50"/>
      <c r="M236" s="69">
        <f t="shared" si="6"/>
        <v>0</v>
      </c>
      <c r="N236" s="69">
        <f t="shared" si="7"/>
        <v>0</v>
      </c>
      <c r="O236" s="50"/>
      <c r="P236" s="50"/>
      <c r="Q236" s="68"/>
      <c r="R236" s="68"/>
      <c r="S236" s="50"/>
      <c r="T236" s="50"/>
    </row>
    <row r="237" spans="1:20" x14ac:dyDescent="0.3">
      <c r="M237" s="69">
        <f t="shared" si="6"/>
        <v>0</v>
      </c>
      <c r="N237" s="69">
        <f t="shared" si="7"/>
        <v>0</v>
      </c>
    </row>
    <row r="238" spans="1:20" x14ac:dyDescent="0.3">
      <c r="A238" s="15">
        <v>45090</v>
      </c>
      <c r="B238" s="15" t="str">
        <f>TEXT(A238,"mmmm")</f>
        <v>June</v>
      </c>
      <c r="C238" s="3" t="s">
        <v>1659</v>
      </c>
      <c r="D238" s="69" t="s">
        <v>1660</v>
      </c>
      <c r="E238" s="69">
        <v>1</v>
      </c>
      <c r="F238" s="3" t="s">
        <v>54</v>
      </c>
      <c r="G238" s="69" t="s">
        <v>26</v>
      </c>
      <c r="H238" s="69" t="s">
        <v>10</v>
      </c>
      <c r="I238" s="16">
        <v>92301</v>
      </c>
      <c r="J238" s="69">
        <v>347</v>
      </c>
      <c r="K238" s="69">
        <f>J238</f>
        <v>347</v>
      </c>
      <c r="M238" s="69">
        <f t="shared" si="6"/>
        <v>694</v>
      </c>
      <c r="N238" s="69">
        <f t="shared" si="7"/>
        <v>91607</v>
      </c>
      <c r="O238" s="69">
        <v>7110</v>
      </c>
      <c r="P238" s="69">
        <f>350*11</f>
        <v>3850</v>
      </c>
      <c r="Q238" s="5">
        <v>45100</v>
      </c>
      <c r="R238" s="38" t="s">
        <v>1675</v>
      </c>
      <c r="S238" s="69" t="s">
        <v>1663</v>
      </c>
    </row>
    <row r="239" spans="1:20" x14ac:dyDescent="0.3">
      <c r="A239" s="15"/>
      <c r="B239" s="15"/>
      <c r="D239" s="69" t="s">
        <v>1661</v>
      </c>
      <c r="I239" s="16"/>
      <c r="J239" s="85"/>
      <c r="M239" s="69">
        <f t="shared" si="6"/>
        <v>0</v>
      </c>
      <c r="N239" s="69">
        <f t="shared" si="7"/>
        <v>0</v>
      </c>
      <c r="O239" s="69">
        <v>11564</v>
      </c>
      <c r="Q239" s="82"/>
      <c r="R239" s="47"/>
      <c r="S239" s="69" t="s">
        <v>1662</v>
      </c>
    </row>
    <row r="240" spans="1:20" x14ac:dyDescent="0.3">
      <c r="A240" s="15"/>
      <c r="B240" s="15"/>
      <c r="D240" s="69" t="s">
        <v>1664</v>
      </c>
      <c r="M240" s="69">
        <f t="shared" si="6"/>
        <v>0</v>
      </c>
      <c r="N240" s="69">
        <f t="shared" si="7"/>
        <v>0</v>
      </c>
      <c r="O240" s="69">
        <v>6037</v>
      </c>
      <c r="Q240" s="69"/>
      <c r="S240" s="69" t="s">
        <v>1665</v>
      </c>
    </row>
    <row r="241" spans="1:19" x14ac:dyDescent="0.3">
      <c r="A241" s="15"/>
      <c r="B241" s="15"/>
      <c r="D241" s="69" t="s">
        <v>1666</v>
      </c>
      <c r="M241" s="69">
        <f t="shared" si="6"/>
        <v>0</v>
      </c>
      <c r="N241" s="69">
        <f t="shared" si="7"/>
        <v>0</v>
      </c>
      <c r="O241" s="69">
        <v>10351</v>
      </c>
      <c r="Q241" s="69"/>
      <c r="S241" s="69" t="s">
        <v>1669</v>
      </c>
    </row>
    <row r="242" spans="1:19" x14ac:dyDescent="0.3">
      <c r="A242" s="15"/>
      <c r="B242" s="15"/>
      <c r="D242" s="69" t="s">
        <v>1667</v>
      </c>
      <c r="M242" s="69">
        <f t="shared" si="6"/>
        <v>0</v>
      </c>
      <c r="N242" s="69">
        <f t="shared" si="7"/>
        <v>0</v>
      </c>
      <c r="O242" s="69">
        <v>27277</v>
      </c>
      <c r="Q242" s="69"/>
      <c r="S242" s="69" t="s">
        <v>1668</v>
      </c>
    </row>
    <row r="243" spans="1:19" x14ac:dyDescent="0.3">
      <c r="A243" s="15"/>
      <c r="B243" s="15"/>
      <c r="D243" s="69" t="s">
        <v>1671</v>
      </c>
      <c r="M243" s="69">
        <f t="shared" si="6"/>
        <v>0</v>
      </c>
      <c r="N243" s="69">
        <f t="shared" si="7"/>
        <v>0</v>
      </c>
      <c r="O243" s="69">
        <v>11165</v>
      </c>
      <c r="Q243" s="69"/>
      <c r="S243" s="69" t="s">
        <v>1670</v>
      </c>
    </row>
    <row r="244" spans="1:19" x14ac:dyDescent="0.3">
      <c r="A244" s="15"/>
      <c r="B244" s="15"/>
      <c r="D244" s="69" t="s">
        <v>1672</v>
      </c>
      <c r="M244" s="69">
        <f t="shared" si="6"/>
        <v>0</v>
      </c>
      <c r="N244" s="69">
        <f t="shared" si="7"/>
        <v>0</v>
      </c>
      <c r="O244" s="69">
        <v>14253</v>
      </c>
      <c r="Q244" s="69"/>
      <c r="S244" s="69" t="s">
        <v>1673</v>
      </c>
    </row>
    <row r="245" spans="1:19" x14ac:dyDescent="0.3">
      <c r="A245" s="15"/>
      <c r="B245" s="15"/>
      <c r="M245" s="69">
        <f t="shared" si="6"/>
        <v>0</v>
      </c>
      <c r="N245" s="69">
        <f t="shared" si="7"/>
        <v>0</v>
      </c>
      <c r="O245" s="16">
        <f>SUM(O238:O244)</f>
        <v>87757</v>
      </c>
      <c r="Q245" s="69"/>
    </row>
    <row r="246" spans="1:19" x14ac:dyDescent="0.3">
      <c r="A246" s="15"/>
      <c r="B246" s="15"/>
      <c r="M246" s="69">
        <f t="shared" si="6"/>
        <v>0</v>
      </c>
      <c r="N246" s="69">
        <f t="shared" si="7"/>
        <v>0</v>
      </c>
      <c r="Q246" s="69"/>
    </row>
    <row r="247" spans="1:19" x14ac:dyDescent="0.3">
      <c r="A247" s="15">
        <v>45096</v>
      </c>
      <c r="B247" s="15" t="str">
        <f>TEXT(A247,"mmmm")</f>
        <v>June</v>
      </c>
      <c r="C247" s="3" t="s">
        <v>1704</v>
      </c>
      <c r="D247" s="69" t="s">
        <v>1677</v>
      </c>
      <c r="E247" s="69">
        <v>1</v>
      </c>
      <c r="F247" s="3" t="s">
        <v>54</v>
      </c>
      <c r="G247" s="69" t="s">
        <v>26</v>
      </c>
      <c r="H247" s="69" t="s">
        <v>10</v>
      </c>
      <c r="I247" s="16">
        <v>55199</v>
      </c>
      <c r="J247" s="69">
        <f>P247*9%</f>
        <v>279</v>
      </c>
      <c r="K247" s="69">
        <f>J247</f>
        <v>279</v>
      </c>
      <c r="M247" s="69">
        <f t="shared" si="6"/>
        <v>558</v>
      </c>
      <c r="N247" s="69">
        <f t="shared" si="7"/>
        <v>54641</v>
      </c>
      <c r="O247" s="69">
        <v>7738</v>
      </c>
      <c r="P247" s="69">
        <f>(350*5)+50*3+800+400</f>
        <v>3100</v>
      </c>
      <c r="Q247" s="5" t="s">
        <v>1736</v>
      </c>
      <c r="R247" s="38" t="s">
        <v>1702</v>
      </c>
      <c r="S247" s="69" t="s">
        <v>1678</v>
      </c>
    </row>
    <row r="248" spans="1:19" x14ac:dyDescent="0.3">
      <c r="A248" s="15"/>
      <c r="B248" s="15"/>
      <c r="D248" s="69" t="s">
        <v>1682</v>
      </c>
      <c r="M248" s="69">
        <f t="shared" si="6"/>
        <v>0</v>
      </c>
      <c r="N248" s="69">
        <f t="shared" si="7"/>
        <v>0</v>
      </c>
      <c r="O248" s="69">
        <v>4638</v>
      </c>
      <c r="Q248" s="69"/>
      <c r="S248" s="69" t="s">
        <v>1679</v>
      </c>
    </row>
    <row r="249" spans="1:19" ht="26.4" x14ac:dyDescent="0.3">
      <c r="A249" s="15"/>
      <c r="B249" s="15"/>
      <c r="D249" s="69" t="s">
        <v>1683</v>
      </c>
      <c r="M249" s="69">
        <f t="shared" si="6"/>
        <v>0</v>
      </c>
      <c r="N249" s="69">
        <f t="shared" si="7"/>
        <v>0</v>
      </c>
      <c r="O249" s="88">
        <v>150</v>
      </c>
      <c r="Q249" s="69"/>
      <c r="R249" s="30" t="s">
        <v>1684</v>
      </c>
    </row>
    <row r="250" spans="1:19" ht="26.4" x14ac:dyDescent="0.3">
      <c r="A250" s="15"/>
      <c r="B250" s="15"/>
      <c r="D250" s="69" t="s">
        <v>1685</v>
      </c>
      <c r="M250" s="69">
        <f t="shared" si="6"/>
        <v>0</v>
      </c>
      <c r="N250" s="69">
        <f t="shared" si="7"/>
        <v>0</v>
      </c>
      <c r="O250" s="88">
        <v>150</v>
      </c>
      <c r="Q250" s="69"/>
      <c r="R250" s="30" t="s">
        <v>1684</v>
      </c>
    </row>
    <row r="251" spans="1:19" x14ac:dyDescent="0.3">
      <c r="A251" s="15"/>
      <c r="B251" s="15"/>
      <c r="D251" s="69" t="s">
        <v>1689</v>
      </c>
      <c r="M251" s="69">
        <f t="shared" si="6"/>
        <v>0</v>
      </c>
      <c r="N251" s="69">
        <f t="shared" si="7"/>
        <v>0</v>
      </c>
      <c r="O251" s="69">
        <v>25354</v>
      </c>
      <c r="Q251" s="69"/>
      <c r="S251" s="69" t="s">
        <v>1690</v>
      </c>
    </row>
    <row r="252" spans="1:19" x14ac:dyDescent="0.3">
      <c r="A252" s="15"/>
      <c r="B252" s="15"/>
      <c r="D252" s="69" t="s">
        <v>1691</v>
      </c>
      <c r="M252" s="69">
        <f t="shared" si="6"/>
        <v>0</v>
      </c>
      <c r="N252" s="69">
        <f t="shared" si="7"/>
        <v>0</v>
      </c>
      <c r="O252" s="69">
        <v>6018</v>
      </c>
      <c r="Q252" s="69"/>
      <c r="S252" s="69" t="s">
        <v>1692</v>
      </c>
    </row>
    <row r="253" spans="1:19" x14ac:dyDescent="0.3">
      <c r="A253" s="15"/>
      <c r="B253" s="15"/>
      <c r="D253" s="69" t="s">
        <v>1693</v>
      </c>
      <c r="M253" s="69">
        <f t="shared" si="6"/>
        <v>0</v>
      </c>
      <c r="N253" s="69">
        <f t="shared" si="7"/>
        <v>0</v>
      </c>
      <c r="O253" s="69">
        <v>250</v>
      </c>
      <c r="Q253" s="69"/>
      <c r="S253" s="69" t="s">
        <v>1694</v>
      </c>
    </row>
    <row r="254" spans="1:19" x14ac:dyDescent="0.3">
      <c r="A254" s="15"/>
      <c r="B254" s="15"/>
      <c r="D254" s="69" t="s">
        <v>1695</v>
      </c>
      <c r="M254" s="69">
        <f t="shared" si="6"/>
        <v>0</v>
      </c>
      <c r="N254" s="69">
        <f t="shared" si="7"/>
        <v>0</v>
      </c>
      <c r="O254" s="69">
        <v>3320</v>
      </c>
      <c r="Q254" s="69"/>
      <c r="S254" s="69" t="s">
        <v>1697</v>
      </c>
    </row>
    <row r="255" spans="1:19" x14ac:dyDescent="0.3">
      <c r="A255" s="15"/>
      <c r="B255" s="15"/>
      <c r="D255" s="69" t="s">
        <v>1696</v>
      </c>
      <c r="M255" s="69">
        <f t="shared" si="6"/>
        <v>0</v>
      </c>
      <c r="N255" s="69">
        <f t="shared" si="7"/>
        <v>0</v>
      </c>
      <c r="O255" s="69">
        <v>3923</v>
      </c>
      <c r="Q255" s="69"/>
      <c r="S255" s="69" t="s">
        <v>1698</v>
      </c>
    </row>
    <row r="256" spans="1:19" x14ac:dyDescent="0.3">
      <c r="A256" s="15"/>
      <c r="B256" s="15"/>
      <c r="M256" s="69">
        <f t="shared" si="6"/>
        <v>0</v>
      </c>
      <c r="N256" s="69">
        <f t="shared" si="7"/>
        <v>0</v>
      </c>
      <c r="O256" s="16">
        <f>SUM(O247:O255)</f>
        <v>51541</v>
      </c>
      <c r="Q256" s="69"/>
    </row>
    <row r="257" spans="1:20" x14ac:dyDescent="0.3">
      <c r="A257" s="15"/>
      <c r="B257" s="15"/>
      <c r="M257" s="69">
        <f t="shared" si="6"/>
        <v>0</v>
      </c>
      <c r="N257" s="69">
        <f t="shared" si="7"/>
        <v>0</v>
      </c>
      <c r="O257" s="16"/>
      <c r="Q257" s="69"/>
    </row>
    <row r="258" spans="1:20" s="98" customFormat="1" x14ac:dyDescent="0.3">
      <c r="A258" s="97">
        <v>45099</v>
      </c>
      <c r="B258" s="15" t="str">
        <f>TEXT(A258,"mmmm")</f>
        <v>June</v>
      </c>
      <c r="C258" s="98" t="s">
        <v>1708</v>
      </c>
      <c r="D258" s="98" t="s">
        <v>1710</v>
      </c>
      <c r="E258" s="98">
        <v>1</v>
      </c>
      <c r="F258" s="29" t="s">
        <v>54</v>
      </c>
      <c r="G258" s="98" t="s">
        <v>9</v>
      </c>
      <c r="H258" s="98" t="s">
        <v>1134</v>
      </c>
      <c r="I258" s="99">
        <v>6186</v>
      </c>
      <c r="J258" s="98">
        <v>148</v>
      </c>
      <c r="K258" s="98">
        <v>148</v>
      </c>
      <c r="M258" s="69">
        <f t="shared" si="6"/>
        <v>296</v>
      </c>
      <c r="N258" s="69">
        <f t="shared" si="7"/>
        <v>5890</v>
      </c>
      <c r="O258" s="99">
        <v>4640</v>
      </c>
      <c r="P258" s="98">
        <v>1250</v>
      </c>
      <c r="Q258" s="5" t="s">
        <v>1736</v>
      </c>
      <c r="R258" s="27" t="s">
        <v>1713</v>
      </c>
      <c r="S258" s="98" t="s">
        <v>1711</v>
      </c>
    </row>
    <row r="259" spans="1:20" x14ac:dyDescent="0.3">
      <c r="A259" s="15"/>
      <c r="B259" s="15"/>
      <c r="F259" s="3"/>
      <c r="I259" s="16"/>
      <c r="M259" s="69">
        <f t="shared" ref="M259:M322" si="8">SUM(J259:L259)</f>
        <v>0</v>
      </c>
      <c r="N259" s="69">
        <f t="shared" ref="N259:N322" si="9">I259-M259</f>
        <v>0</v>
      </c>
      <c r="R259" s="47"/>
    </row>
    <row r="260" spans="1:20" ht="79.2" x14ac:dyDescent="0.3">
      <c r="A260" s="49">
        <v>45104</v>
      </c>
      <c r="B260" s="15" t="str">
        <f>TEXT(A260,"mmmm")</f>
        <v>June</v>
      </c>
      <c r="C260" s="10" t="s">
        <v>1699</v>
      </c>
      <c r="D260" s="50" t="s">
        <v>1295</v>
      </c>
      <c r="E260" s="50">
        <v>2</v>
      </c>
      <c r="F260" s="50"/>
      <c r="G260" s="50" t="s">
        <v>26</v>
      </c>
      <c r="H260" s="50" t="s">
        <v>10</v>
      </c>
      <c r="I260" s="50">
        <f>1390*6</f>
        <v>8340</v>
      </c>
      <c r="J260" s="50">
        <f>P260*9%</f>
        <v>270</v>
      </c>
      <c r="K260" s="50">
        <f>J260</f>
        <v>270</v>
      </c>
      <c r="L260" s="50"/>
      <c r="M260" s="69">
        <f t="shared" si="8"/>
        <v>540</v>
      </c>
      <c r="N260" s="69">
        <f t="shared" si="9"/>
        <v>7800</v>
      </c>
      <c r="O260" s="50">
        <f>I260-P260-J260-K260</f>
        <v>4800</v>
      </c>
      <c r="P260" s="50">
        <v>3000</v>
      </c>
      <c r="Q260" s="68" t="s">
        <v>1700</v>
      </c>
      <c r="R260" s="38" t="s">
        <v>1703</v>
      </c>
      <c r="S260" s="68" t="s">
        <v>1701</v>
      </c>
      <c r="T260" s="69" t="s">
        <v>1727</v>
      </c>
    </row>
    <row r="261" spans="1:20" x14ac:dyDescent="0.3">
      <c r="A261" s="49"/>
      <c r="B261" s="49"/>
      <c r="C261" s="10"/>
      <c r="D261" s="50"/>
      <c r="E261" s="50"/>
      <c r="F261" s="50"/>
      <c r="G261" s="50"/>
      <c r="H261" s="50"/>
      <c r="I261" s="50"/>
      <c r="J261" s="50"/>
      <c r="K261" s="50"/>
      <c r="L261" s="50"/>
      <c r="M261" s="69">
        <f t="shared" si="8"/>
        <v>0</v>
      </c>
      <c r="N261" s="69">
        <f t="shared" si="9"/>
        <v>0</v>
      </c>
      <c r="O261" s="50"/>
      <c r="P261" s="50"/>
      <c r="Q261" s="68"/>
      <c r="R261" s="38"/>
      <c r="S261" s="68"/>
    </row>
    <row r="262" spans="1:20" x14ac:dyDescent="0.3">
      <c r="A262" s="15"/>
      <c r="B262" s="15"/>
      <c r="M262" s="69">
        <f t="shared" si="8"/>
        <v>0</v>
      </c>
      <c r="N262" s="69">
        <f t="shared" si="9"/>
        <v>0</v>
      </c>
      <c r="O262" s="16"/>
      <c r="Q262" s="69"/>
    </row>
    <row r="263" spans="1:20" s="98" customFormat="1" ht="26.4" x14ac:dyDescent="0.3">
      <c r="A263" s="97">
        <v>45105</v>
      </c>
      <c r="B263" s="15" t="str">
        <f>TEXT(A263,"mmmm")</f>
        <v>June</v>
      </c>
      <c r="C263" s="29" t="s">
        <v>1709</v>
      </c>
      <c r="D263" s="98" t="s">
        <v>1707</v>
      </c>
      <c r="E263" s="98">
        <v>1</v>
      </c>
      <c r="F263" s="29" t="s">
        <v>60</v>
      </c>
      <c r="G263" s="98" t="s">
        <v>24</v>
      </c>
      <c r="H263" s="98" t="s">
        <v>1705</v>
      </c>
      <c r="I263" s="99">
        <v>19128</v>
      </c>
      <c r="J263" s="98">
        <f>P263*9%</f>
        <v>180</v>
      </c>
      <c r="K263" s="98">
        <f>J263</f>
        <v>180</v>
      </c>
      <c r="M263" s="69">
        <f t="shared" si="8"/>
        <v>360</v>
      </c>
      <c r="N263" s="69">
        <f t="shared" si="9"/>
        <v>18768</v>
      </c>
      <c r="O263" s="99">
        <v>16768</v>
      </c>
      <c r="P263" s="98">
        <v>2000</v>
      </c>
      <c r="Q263" s="15">
        <v>45124</v>
      </c>
      <c r="R263" s="100" t="s">
        <v>1706</v>
      </c>
      <c r="S263" s="98" t="s">
        <v>1712</v>
      </c>
    </row>
    <row r="264" spans="1:20" x14ac:dyDescent="0.3">
      <c r="A264" s="15"/>
      <c r="B264" s="15"/>
      <c r="M264" s="69">
        <f t="shared" si="8"/>
        <v>0</v>
      </c>
      <c r="N264" s="69">
        <f t="shared" si="9"/>
        <v>0</v>
      </c>
      <c r="O264" s="16"/>
      <c r="Q264" s="69"/>
    </row>
    <row r="265" spans="1:20" x14ac:dyDescent="0.3">
      <c r="A265" s="15">
        <v>45108</v>
      </c>
      <c r="B265" s="15" t="str">
        <f>TEXT(A265,"mmmm")</f>
        <v>July</v>
      </c>
      <c r="C265" s="3" t="s">
        <v>1714</v>
      </c>
      <c r="D265" s="69" t="s">
        <v>1715</v>
      </c>
      <c r="E265" s="69">
        <v>1</v>
      </c>
      <c r="F265" s="3" t="s">
        <v>54</v>
      </c>
      <c r="G265" s="69" t="s">
        <v>26</v>
      </c>
      <c r="H265" s="69" t="s">
        <v>10</v>
      </c>
      <c r="I265" s="16">
        <f>SUM(J265:K265,O300,P265)</f>
        <v>243821</v>
      </c>
      <c r="J265" s="69">
        <f>P265*9%</f>
        <v>1854</v>
      </c>
      <c r="K265" s="69">
        <f>J265</f>
        <v>1854</v>
      </c>
      <c r="M265" s="69">
        <f t="shared" si="8"/>
        <v>3708</v>
      </c>
      <c r="N265" s="69">
        <f t="shared" si="9"/>
        <v>240113</v>
      </c>
      <c r="O265" s="69">
        <v>28281</v>
      </c>
      <c r="P265" s="69">
        <f>(350*54)+100*7+1000</f>
        <v>20600</v>
      </c>
      <c r="Q265" s="111" t="s">
        <v>1861</v>
      </c>
      <c r="R265" s="30" t="s">
        <v>1735</v>
      </c>
      <c r="S265" s="69" t="s">
        <v>1718</v>
      </c>
    </row>
    <row r="266" spans="1:20" x14ac:dyDescent="0.3">
      <c r="A266" s="15"/>
      <c r="B266" s="15"/>
      <c r="C266" s="3"/>
      <c r="D266" s="69" t="s">
        <v>1716</v>
      </c>
      <c r="F266" s="3"/>
      <c r="M266" s="69">
        <f t="shared" si="8"/>
        <v>0</v>
      </c>
      <c r="N266" s="69">
        <f t="shared" si="9"/>
        <v>0</v>
      </c>
      <c r="O266" s="69">
        <v>750</v>
      </c>
      <c r="Q266" s="69"/>
      <c r="R266" s="30" t="s">
        <v>1823</v>
      </c>
      <c r="S266" s="69" t="s">
        <v>1722</v>
      </c>
    </row>
    <row r="267" spans="1:20" x14ac:dyDescent="0.3">
      <c r="A267" s="15"/>
      <c r="B267" s="15"/>
      <c r="C267" s="3"/>
      <c r="D267" s="69" t="s">
        <v>1723</v>
      </c>
      <c r="F267" s="3"/>
      <c r="M267" s="69">
        <f t="shared" si="8"/>
        <v>0</v>
      </c>
      <c r="N267" s="69">
        <f t="shared" si="9"/>
        <v>0</v>
      </c>
      <c r="O267" s="69">
        <v>750</v>
      </c>
      <c r="Q267" s="69"/>
      <c r="S267" s="69" t="s">
        <v>1724</v>
      </c>
    </row>
    <row r="268" spans="1:20" x14ac:dyDescent="0.3">
      <c r="A268" s="15"/>
      <c r="B268" s="15"/>
      <c r="C268" s="3"/>
      <c r="D268" s="69" t="s">
        <v>1720</v>
      </c>
      <c r="F268" s="3"/>
      <c r="M268" s="69">
        <f t="shared" si="8"/>
        <v>0</v>
      </c>
      <c r="N268" s="69">
        <f t="shared" si="9"/>
        <v>0</v>
      </c>
      <c r="O268" s="69">
        <v>5253</v>
      </c>
      <c r="Q268" s="69"/>
      <c r="S268" s="69" t="s">
        <v>1717</v>
      </c>
    </row>
    <row r="269" spans="1:20" x14ac:dyDescent="0.3">
      <c r="A269" s="15"/>
      <c r="B269" s="15"/>
      <c r="C269" s="3"/>
      <c r="D269" s="69" t="s">
        <v>1721</v>
      </c>
      <c r="F269" s="3"/>
      <c r="M269" s="69">
        <f t="shared" si="8"/>
        <v>0</v>
      </c>
      <c r="N269" s="69">
        <f t="shared" si="9"/>
        <v>0</v>
      </c>
      <c r="O269" s="69">
        <v>5710</v>
      </c>
      <c r="Q269" s="69"/>
      <c r="S269" s="69" t="s">
        <v>1719</v>
      </c>
    </row>
    <row r="270" spans="1:20" x14ac:dyDescent="0.3">
      <c r="A270" s="15"/>
      <c r="B270" s="15"/>
      <c r="D270" s="69" t="s">
        <v>1728</v>
      </c>
      <c r="M270" s="69">
        <f t="shared" si="8"/>
        <v>0</v>
      </c>
      <c r="N270" s="69">
        <f t="shared" si="9"/>
        <v>0</v>
      </c>
      <c r="O270" s="69">
        <v>4733</v>
      </c>
      <c r="Q270" s="69"/>
      <c r="S270" s="69" t="s">
        <v>1730</v>
      </c>
    </row>
    <row r="271" spans="1:20" x14ac:dyDescent="0.3">
      <c r="A271" s="15"/>
      <c r="B271" s="15"/>
      <c r="D271" s="69" t="s">
        <v>1729</v>
      </c>
      <c r="M271" s="69">
        <f t="shared" si="8"/>
        <v>0</v>
      </c>
      <c r="N271" s="69">
        <f t="shared" si="9"/>
        <v>0</v>
      </c>
      <c r="O271" s="69">
        <v>4682</v>
      </c>
      <c r="Q271" s="69"/>
      <c r="S271" s="69" t="s">
        <v>1731</v>
      </c>
    </row>
    <row r="272" spans="1:20" x14ac:dyDescent="0.3">
      <c r="A272" s="15"/>
      <c r="B272" s="15"/>
      <c r="D272" s="69" t="s">
        <v>1738</v>
      </c>
      <c r="M272" s="69">
        <f t="shared" si="8"/>
        <v>0</v>
      </c>
      <c r="N272" s="69">
        <f t="shared" si="9"/>
        <v>0</v>
      </c>
      <c r="O272" s="69">
        <v>5497</v>
      </c>
      <c r="Q272" s="69"/>
      <c r="S272" s="69" t="s">
        <v>1744</v>
      </c>
    </row>
    <row r="273" spans="1:19" x14ac:dyDescent="0.3">
      <c r="A273" s="15"/>
      <c r="B273" s="15"/>
      <c r="D273" s="69" t="s">
        <v>1739</v>
      </c>
      <c r="M273" s="69">
        <f t="shared" si="8"/>
        <v>0</v>
      </c>
      <c r="N273" s="69">
        <f t="shared" si="9"/>
        <v>0</v>
      </c>
      <c r="O273" s="69">
        <v>5316</v>
      </c>
      <c r="Q273" s="69"/>
      <c r="S273" s="69" t="s">
        <v>1742</v>
      </c>
    </row>
    <row r="274" spans="1:19" x14ac:dyDescent="0.3">
      <c r="A274" s="15"/>
      <c r="B274" s="15"/>
      <c r="D274" s="69" t="s">
        <v>1745</v>
      </c>
      <c r="M274" s="69">
        <f t="shared" si="8"/>
        <v>0</v>
      </c>
      <c r="N274" s="69">
        <f t="shared" si="9"/>
        <v>0</v>
      </c>
      <c r="O274" s="69">
        <v>3220</v>
      </c>
      <c r="Q274" s="69"/>
      <c r="S274" s="69" t="s">
        <v>1746</v>
      </c>
    </row>
    <row r="275" spans="1:19" x14ac:dyDescent="0.3">
      <c r="A275" s="15"/>
      <c r="B275" s="15"/>
      <c r="D275" s="69" t="s">
        <v>1748</v>
      </c>
      <c r="M275" s="69">
        <f t="shared" si="8"/>
        <v>0</v>
      </c>
      <c r="N275" s="69">
        <f t="shared" si="9"/>
        <v>0</v>
      </c>
      <c r="O275" s="69">
        <v>2791</v>
      </c>
      <c r="Q275" s="69"/>
      <c r="S275" s="69" t="s">
        <v>1747</v>
      </c>
    </row>
    <row r="276" spans="1:19" x14ac:dyDescent="0.3">
      <c r="A276" s="15"/>
      <c r="B276" s="15"/>
      <c r="D276" s="69" t="s">
        <v>1750</v>
      </c>
      <c r="M276" s="69">
        <f t="shared" si="8"/>
        <v>0</v>
      </c>
      <c r="N276" s="69">
        <f t="shared" si="9"/>
        <v>0</v>
      </c>
      <c r="O276" s="69">
        <v>4766</v>
      </c>
      <c r="Q276" s="69"/>
      <c r="S276" s="69" t="s">
        <v>1749</v>
      </c>
    </row>
    <row r="277" spans="1:19" x14ac:dyDescent="0.3">
      <c r="A277" s="15"/>
      <c r="B277" s="15"/>
      <c r="D277" s="69" t="s">
        <v>1755</v>
      </c>
      <c r="M277" s="69">
        <f t="shared" si="8"/>
        <v>0</v>
      </c>
      <c r="N277" s="69">
        <f t="shared" si="9"/>
        <v>0</v>
      </c>
      <c r="O277" s="69">
        <v>5387</v>
      </c>
      <c r="Q277" s="69"/>
      <c r="S277" s="69" t="s">
        <v>1756</v>
      </c>
    </row>
    <row r="278" spans="1:19" x14ac:dyDescent="0.3">
      <c r="A278" s="15"/>
      <c r="B278" s="15"/>
      <c r="D278" s="69" t="s">
        <v>1758</v>
      </c>
      <c r="M278" s="69">
        <f t="shared" si="8"/>
        <v>0</v>
      </c>
      <c r="N278" s="69">
        <f t="shared" si="9"/>
        <v>0</v>
      </c>
      <c r="O278" s="69">
        <v>3405</v>
      </c>
      <c r="Q278" s="69"/>
      <c r="S278" s="69" t="s">
        <v>1757</v>
      </c>
    </row>
    <row r="279" spans="1:19" x14ac:dyDescent="0.3">
      <c r="A279" s="15"/>
      <c r="B279" s="15"/>
      <c r="D279" s="69" t="s">
        <v>1760</v>
      </c>
      <c r="M279" s="69">
        <f t="shared" si="8"/>
        <v>0</v>
      </c>
      <c r="N279" s="69">
        <f t="shared" si="9"/>
        <v>0</v>
      </c>
      <c r="O279" s="69">
        <v>17138</v>
      </c>
      <c r="Q279" s="69"/>
      <c r="S279" s="69" t="s">
        <v>1759</v>
      </c>
    </row>
    <row r="280" spans="1:19" x14ac:dyDescent="0.3">
      <c r="A280" s="15"/>
      <c r="B280" s="15"/>
      <c r="D280" s="69" t="s">
        <v>1762</v>
      </c>
      <c r="M280" s="69">
        <f t="shared" si="8"/>
        <v>0</v>
      </c>
      <c r="N280" s="69">
        <f t="shared" si="9"/>
        <v>0</v>
      </c>
      <c r="O280" s="69">
        <v>3256</v>
      </c>
      <c r="Q280" s="69"/>
      <c r="S280" s="69" t="s">
        <v>1761</v>
      </c>
    </row>
    <row r="281" spans="1:19" x14ac:dyDescent="0.3">
      <c r="A281" s="15"/>
      <c r="B281" s="15"/>
      <c r="D281" s="69" t="s">
        <v>1763</v>
      </c>
      <c r="M281" s="69">
        <f t="shared" si="8"/>
        <v>0</v>
      </c>
      <c r="N281" s="69">
        <f t="shared" si="9"/>
        <v>0</v>
      </c>
      <c r="O281" s="69">
        <v>6690</v>
      </c>
      <c r="Q281" s="69"/>
      <c r="S281" s="69" t="s">
        <v>1764</v>
      </c>
    </row>
    <row r="282" spans="1:19" x14ac:dyDescent="0.3">
      <c r="A282" s="15"/>
      <c r="B282" s="15"/>
      <c r="D282" s="69" t="s">
        <v>1767</v>
      </c>
      <c r="M282" s="69">
        <f t="shared" si="8"/>
        <v>0</v>
      </c>
      <c r="N282" s="69">
        <f t="shared" si="9"/>
        <v>0</v>
      </c>
      <c r="O282" s="69">
        <v>5141</v>
      </c>
      <c r="Q282" s="69"/>
      <c r="S282" s="69" t="s">
        <v>1765</v>
      </c>
    </row>
    <row r="283" spans="1:19" x14ac:dyDescent="0.3">
      <c r="A283" s="15"/>
      <c r="B283" s="15"/>
      <c r="D283" s="69" t="s">
        <v>1766</v>
      </c>
      <c r="M283" s="69">
        <f t="shared" si="8"/>
        <v>0</v>
      </c>
      <c r="N283" s="69">
        <f t="shared" si="9"/>
        <v>0</v>
      </c>
      <c r="O283" s="69">
        <v>11210</v>
      </c>
      <c r="Q283" s="69"/>
      <c r="S283" s="69" t="s">
        <v>1768</v>
      </c>
    </row>
    <row r="284" spans="1:19" x14ac:dyDescent="0.3">
      <c r="A284" s="15"/>
      <c r="B284" s="15"/>
      <c r="D284" s="69" t="s">
        <v>1772</v>
      </c>
      <c r="M284" s="69">
        <f t="shared" si="8"/>
        <v>0</v>
      </c>
      <c r="N284" s="69">
        <f t="shared" si="9"/>
        <v>0</v>
      </c>
      <c r="O284" s="69">
        <v>2675</v>
      </c>
      <c r="Q284" s="69"/>
      <c r="S284" s="69" t="s">
        <v>1769</v>
      </c>
    </row>
    <row r="285" spans="1:19" x14ac:dyDescent="0.3">
      <c r="A285" s="15"/>
      <c r="B285" s="15"/>
      <c r="D285" s="69" t="s">
        <v>1770</v>
      </c>
      <c r="M285" s="69">
        <f t="shared" si="8"/>
        <v>0</v>
      </c>
      <c r="N285" s="69">
        <f t="shared" si="9"/>
        <v>0</v>
      </c>
      <c r="O285" s="69">
        <v>1395</v>
      </c>
      <c r="Q285" s="69"/>
      <c r="S285" s="69" t="s">
        <v>1771</v>
      </c>
    </row>
    <row r="286" spans="1:19" x14ac:dyDescent="0.3">
      <c r="A286" s="15"/>
      <c r="B286" s="15"/>
      <c r="D286" s="69" t="s">
        <v>1775</v>
      </c>
      <c r="M286" s="69">
        <f t="shared" si="8"/>
        <v>0</v>
      </c>
      <c r="N286" s="69">
        <f t="shared" si="9"/>
        <v>0</v>
      </c>
      <c r="O286" s="69">
        <v>11210</v>
      </c>
      <c r="Q286" s="69"/>
      <c r="S286" s="69" t="s">
        <v>1776</v>
      </c>
    </row>
    <row r="287" spans="1:19" x14ac:dyDescent="0.3">
      <c r="A287" s="15"/>
      <c r="B287" s="15"/>
      <c r="D287" s="69" t="s">
        <v>1777</v>
      </c>
      <c r="M287" s="69">
        <f t="shared" si="8"/>
        <v>0</v>
      </c>
      <c r="N287" s="69">
        <f t="shared" si="9"/>
        <v>0</v>
      </c>
      <c r="O287" s="69">
        <v>4356</v>
      </c>
      <c r="Q287" s="69"/>
      <c r="S287" s="69" t="s">
        <v>1778</v>
      </c>
    </row>
    <row r="288" spans="1:19" x14ac:dyDescent="0.3">
      <c r="A288" s="15"/>
      <c r="B288" s="15"/>
      <c r="D288" s="69" t="s">
        <v>1779</v>
      </c>
      <c r="M288" s="69">
        <f t="shared" si="8"/>
        <v>0</v>
      </c>
      <c r="N288" s="69">
        <f t="shared" si="9"/>
        <v>0</v>
      </c>
      <c r="O288" s="69">
        <v>5713</v>
      </c>
      <c r="Q288" s="69"/>
      <c r="S288" s="69" t="s">
        <v>1780</v>
      </c>
    </row>
    <row r="289" spans="1:19" x14ac:dyDescent="0.3">
      <c r="A289" s="15"/>
      <c r="B289" s="15"/>
      <c r="D289" s="69" t="s">
        <v>1782</v>
      </c>
      <c r="M289" s="69">
        <f t="shared" si="8"/>
        <v>0</v>
      </c>
      <c r="N289" s="69">
        <f t="shared" si="9"/>
        <v>0</v>
      </c>
      <c r="O289" s="69">
        <v>7263</v>
      </c>
      <c r="Q289" s="69"/>
      <c r="S289" s="69" t="s">
        <v>1781</v>
      </c>
    </row>
    <row r="290" spans="1:19" x14ac:dyDescent="0.3">
      <c r="A290" s="15"/>
      <c r="B290" s="15"/>
      <c r="D290" s="69" t="s">
        <v>1750</v>
      </c>
      <c r="M290" s="69">
        <f t="shared" si="8"/>
        <v>0</v>
      </c>
      <c r="N290" s="69">
        <f t="shared" si="9"/>
        <v>0</v>
      </c>
      <c r="O290" s="69">
        <v>4766</v>
      </c>
      <c r="Q290" s="69"/>
      <c r="S290" s="69" t="s">
        <v>1783</v>
      </c>
    </row>
    <row r="291" spans="1:19" x14ac:dyDescent="0.3">
      <c r="A291" s="15"/>
      <c r="B291" s="15"/>
      <c r="D291" s="69" t="s">
        <v>1784</v>
      </c>
      <c r="M291" s="69">
        <f t="shared" si="8"/>
        <v>0</v>
      </c>
      <c r="N291" s="69">
        <f t="shared" si="9"/>
        <v>0</v>
      </c>
      <c r="O291" s="69">
        <v>4416</v>
      </c>
      <c r="Q291" s="69"/>
      <c r="S291" s="69" t="s">
        <v>1785</v>
      </c>
    </row>
    <row r="292" spans="1:19" x14ac:dyDescent="0.3">
      <c r="A292" s="15"/>
      <c r="B292" s="15"/>
      <c r="D292" s="69" t="s">
        <v>1787</v>
      </c>
      <c r="M292" s="69">
        <f t="shared" si="8"/>
        <v>0</v>
      </c>
      <c r="N292" s="69">
        <f t="shared" si="9"/>
        <v>0</v>
      </c>
      <c r="O292" s="69">
        <v>5832</v>
      </c>
      <c r="Q292" s="69"/>
      <c r="S292" s="69" t="s">
        <v>1786</v>
      </c>
    </row>
    <row r="293" spans="1:19" x14ac:dyDescent="0.3">
      <c r="A293" s="15"/>
      <c r="B293" s="15"/>
      <c r="D293" s="69" t="s">
        <v>1788</v>
      </c>
      <c r="M293" s="69">
        <f t="shared" si="8"/>
        <v>0</v>
      </c>
      <c r="N293" s="69">
        <f t="shared" si="9"/>
        <v>0</v>
      </c>
      <c r="O293" s="69">
        <v>11664</v>
      </c>
      <c r="Q293" s="69"/>
      <c r="S293" s="69" t="s">
        <v>1789</v>
      </c>
    </row>
    <row r="294" spans="1:19" x14ac:dyDescent="0.3">
      <c r="A294" s="15"/>
      <c r="B294" s="15"/>
      <c r="D294" s="69" t="s">
        <v>1790</v>
      </c>
      <c r="M294" s="69">
        <f t="shared" si="8"/>
        <v>0</v>
      </c>
      <c r="N294" s="69">
        <f t="shared" si="9"/>
        <v>0</v>
      </c>
      <c r="O294" s="69">
        <v>14580</v>
      </c>
      <c r="Q294" s="69"/>
      <c r="S294" s="69" t="s">
        <v>1791</v>
      </c>
    </row>
    <row r="295" spans="1:19" x14ac:dyDescent="0.3">
      <c r="A295" s="15"/>
      <c r="B295" s="15"/>
      <c r="D295" s="69" t="s">
        <v>1792</v>
      </c>
      <c r="M295" s="69">
        <f t="shared" si="8"/>
        <v>0</v>
      </c>
      <c r="N295" s="69">
        <f t="shared" si="9"/>
        <v>0</v>
      </c>
      <c r="O295" s="69">
        <v>4416</v>
      </c>
      <c r="Q295" s="69"/>
      <c r="S295" s="69" t="s">
        <v>1793</v>
      </c>
    </row>
    <row r="296" spans="1:19" x14ac:dyDescent="0.3">
      <c r="A296" s="15"/>
      <c r="B296" s="15"/>
      <c r="D296" s="69" t="s">
        <v>1794</v>
      </c>
      <c r="M296" s="69">
        <f t="shared" si="8"/>
        <v>0</v>
      </c>
      <c r="N296" s="69">
        <f t="shared" si="9"/>
        <v>0</v>
      </c>
      <c r="O296" s="69">
        <v>5326</v>
      </c>
      <c r="Q296" s="69"/>
      <c r="S296" s="69" t="s">
        <v>1795</v>
      </c>
    </row>
    <row r="297" spans="1:19" x14ac:dyDescent="0.3">
      <c r="A297" s="15"/>
      <c r="B297" s="15"/>
      <c r="D297" s="69" t="s">
        <v>1796</v>
      </c>
      <c r="M297" s="69">
        <f t="shared" si="8"/>
        <v>0</v>
      </c>
      <c r="N297" s="69">
        <f t="shared" si="9"/>
        <v>0</v>
      </c>
      <c r="O297" s="69">
        <v>5693</v>
      </c>
      <c r="Q297" s="69"/>
      <c r="S297" s="69" t="s">
        <v>1798</v>
      </c>
    </row>
    <row r="298" spans="1:19" x14ac:dyDescent="0.3">
      <c r="A298" s="15"/>
      <c r="B298" s="15"/>
      <c r="D298" s="69" t="s">
        <v>1797</v>
      </c>
      <c r="M298" s="69">
        <f t="shared" si="8"/>
        <v>0</v>
      </c>
      <c r="N298" s="69">
        <f t="shared" si="9"/>
        <v>0</v>
      </c>
      <c r="O298" s="69">
        <v>5832</v>
      </c>
      <c r="Q298" s="69"/>
      <c r="S298" s="69" t="s">
        <v>1799</v>
      </c>
    </row>
    <row r="299" spans="1:19" x14ac:dyDescent="0.3">
      <c r="A299" s="15"/>
      <c r="B299" s="15"/>
      <c r="D299" s="69" t="s">
        <v>1800</v>
      </c>
      <c r="M299" s="69">
        <f t="shared" si="8"/>
        <v>0</v>
      </c>
      <c r="N299" s="69">
        <f t="shared" si="9"/>
        <v>0</v>
      </c>
      <c r="O299" s="69">
        <v>400</v>
      </c>
      <c r="Q299" s="69"/>
      <c r="S299" s="69" t="s">
        <v>1801</v>
      </c>
    </row>
    <row r="300" spans="1:19" x14ac:dyDescent="0.3">
      <c r="A300" s="15"/>
      <c r="B300" s="15"/>
      <c r="M300" s="69">
        <f t="shared" si="8"/>
        <v>0</v>
      </c>
      <c r="N300" s="69">
        <f t="shared" si="9"/>
        <v>0</v>
      </c>
      <c r="O300" s="16">
        <f>SUM(O265:O299)</f>
        <v>219513</v>
      </c>
      <c r="P300" s="83"/>
      <c r="Q300" s="69"/>
    </row>
    <row r="301" spans="1:19" x14ac:dyDescent="0.3">
      <c r="M301" s="69">
        <f t="shared" si="8"/>
        <v>0</v>
      </c>
      <c r="N301" s="69">
        <f t="shared" si="9"/>
        <v>0</v>
      </c>
    </row>
    <row r="302" spans="1:19" s="98" customFormat="1" x14ac:dyDescent="0.3">
      <c r="A302" s="97">
        <v>45117</v>
      </c>
      <c r="B302" s="15" t="str">
        <f>TEXT(A302,"mmmm")</f>
        <v>July</v>
      </c>
      <c r="C302" s="29" t="s">
        <v>1725</v>
      </c>
      <c r="D302" s="69" t="s">
        <v>1741</v>
      </c>
      <c r="E302" s="98">
        <v>1</v>
      </c>
      <c r="F302" s="29"/>
      <c r="G302" s="98" t="s">
        <v>26</v>
      </c>
      <c r="H302" s="98" t="s">
        <v>10</v>
      </c>
      <c r="I302" s="99">
        <v>73670</v>
      </c>
      <c r="L302" s="98">
        <v>226</v>
      </c>
      <c r="M302" s="69">
        <f t="shared" si="8"/>
        <v>226</v>
      </c>
      <c r="N302" s="69">
        <f t="shared" si="9"/>
        <v>73444</v>
      </c>
      <c r="O302" s="99">
        <v>72193</v>
      </c>
      <c r="P302" s="98">
        <v>1251</v>
      </c>
      <c r="Q302" s="27">
        <v>45117</v>
      </c>
      <c r="R302" s="27">
        <v>45121</v>
      </c>
      <c r="S302" s="98" t="s">
        <v>1743</v>
      </c>
    </row>
    <row r="303" spans="1:19" s="29" customFormat="1" x14ac:dyDescent="0.3">
      <c r="A303" s="27"/>
      <c r="B303" s="27"/>
      <c r="D303" s="3"/>
      <c r="I303" s="108"/>
      <c r="M303" s="69">
        <f t="shared" si="8"/>
        <v>0</v>
      </c>
      <c r="N303" s="69">
        <f t="shared" si="9"/>
        <v>0</v>
      </c>
      <c r="O303" s="108"/>
      <c r="Q303" s="27"/>
      <c r="R303" s="27"/>
    </row>
    <row r="304" spans="1:19" s="29" customFormat="1" x14ac:dyDescent="0.3">
      <c r="A304" s="27">
        <v>45118</v>
      </c>
      <c r="B304" s="15" t="str">
        <f>TEXT(A304,"mmmm")</f>
        <v>July</v>
      </c>
      <c r="C304" s="29" t="s">
        <v>1740</v>
      </c>
      <c r="D304" s="3" t="s">
        <v>1752</v>
      </c>
      <c r="E304" s="29">
        <v>3</v>
      </c>
      <c r="G304" s="29" t="s">
        <v>26</v>
      </c>
      <c r="H304" s="29" t="s">
        <v>10</v>
      </c>
      <c r="I304" s="108">
        <v>51524</v>
      </c>
      <c r="J304" s="29">
        <v>294</v>
      </c>
      <c r="K304" s="29">
        <v>294</v>
      </c>
      <c r="M304" s="69">
        <f t="shared" si="8"/>
        <v>588</v>
      </c>
      <c r="N304" s="69">
        <f t="shared" si="9"/>
        <v>50936</v>
      </c>
      <c r="O304" s="29">
        <v>21712</v>
      </c>
      <c r="P304" s="29">
        <v>3260</v>
      </c>
      <c r="Q304" s="27">
        <v>45118</v>
      </c>
      <c r="R304" s="27">
        <v>45121</v>
      </c>
      <c r="S304" s="29" t="s">
        <v>1753</v>
      </c>
    </row>
    <row r="305" spans="1:19" s="29" customFormat="1" x14ac:dyDescent="0.3">
      <c r="A305" s="27"/>
      <c r="B305" s="27"/>
      <c r="D305" s="3"/>
      <c r="I305" s="108"/>
      <c r="M305" s="69">
        <f t="shared" si="8"/>
        <v>0</v>
      </c>
      <c r="N305" s="69">
        <f t="shared" si="9"/>
        <v>0</v>
      </c>
      <c r="O305" s="29">
        <v>25964</v>
      </c>
      <c r="Q305" s="27"/>
      <c r="R305" s="27"/>
      <c r="S305" s="29" t="s">
        <v>1754</v>
      </c>
    </row>
    <row r="306" spans="1:19" s="29" customFormat="1" x14ac:dyDescent="0.3">
      <c r="A306" s="27"/>
      <c r="B306" s="27"/>
      <c r="D306" s="3"/>
      <c r="I306" s="108"/>
      <c r="M306" s="69">
        <f t="shared" si="8"/>
        <v>0</v>
      </c>
      <c r="N306" s="69">
        <f t="shared" si="9"/>
        <v>0</v>
      </c>
      <c r="O306" s="108">
        <f>SUM(O304:O305)</f>
        <v>47676</v>
      </c>
      <c r="Q306" s="27"/>
      <c r="R306" s="27"/>
    </row>
    <row r="307" spans="1:19" x14ac:dyDescent="0.3">
      <c r="A307" s="15"/>
      <c r="B307" s="15"/>
      <c r="M307" s="69">
        <f t="shared" si="8"/>
        <v>0</v>
      </c>
      <c r="N307" s="69">
        <f t="shared" si="9"/>
        <v>0</v>
      </c>
      <c r="O307" s="16"/>
      <c r="Q307" s="69"/>
    </row>
    <row r="308" spans="1:19" s="98" customFormat="1" x14ac:dyDescent="0.3">
      <c r="A308" s="97">
        <v>45120</v>
      </c>
      <c r="B308" s="15" t="str">
        <f>TEXT(A308,"mmmm")</f>
        <v>July</v>
      </c>
      <c r="C308" s="29" t="s">
        <v>1751</v>
      </c>
      <c r="D308" s="98" t="s">
        <v>1726</v>
      </c>
      <c r="E308" s="98">
        <v>1</v>
      </c>
      <c r="F308" s="29" t="s">
        <v>54</v>
      </c>
      <c r="G308" s="98" t="s">
        <v>9</v>
      </c>
      <c r="H308" s="98" t="s">
        <v>1134</v>
      </c>
      <c r="I308" s="99">
        <v>10492</v>
      </c>
      <c r="J308" s="98">
        <v>250</v>
      </c>
      <c r="K308" s="98">
        <v>250</v>
      </c>
      <c r="M308" s="69">
        <f t="shared" si="8"/>
        <v>500</v>
      </c>
      <c r="N308" s="69">
        <f t="shared" si="9"/>
        <v>9992</v>
      </c>
      <c r="O308" s="98">
        <v>4331</v>
      </c>
      <c r="P308" s="98">
        <f>1250*2</f>
        <v>2500</v>
      </c>
      <c r="Q308" s="111" t="s">
        <v>1861</v>
      </c>
      <c r="R308" s="27">
        <v>45121</v>
      </c>
      <c r="S308" s="98" t="s">
        <v>1774</v>
      </c>
    </row>
    <row r="309" spans="1:19" x14ac:dyDescent="0.3">
      <c r="A309" s="15"/>
      <c r="B309" s="15"/>
      <c r="D309" s="98" t="s">
        <v>1734</v>
      </c>
      <c r="M309" s="69">
        <f t="shared" si="8"/>
        <v>0</v>
      </c>
      <c r="N309" s="69">
        <f t="shared" si="9"/>
        <v>0</v>
      </c>
      <c r="O309" s="69">
        <v>3161</v>
      </c>
      <c r="Q309" s="69"/>
      <c r="S309" s="69" t="s">
        <v>1773</v>
      </c>
    </row>
    <row r="310" spans="1:19" x14ac:dyDescent="0.3">
      <c r="A310" s="15"/>
      <c r="B310" s="15"/>
      <c r="D310" s="98"/>
      <c r="M310" s="69">
        <f t="shared" si="8"/>
        <v>0</v>
      </c>
      <c r="N310" s="69">
        <f t="shared" si="9"/>
        <v>0</v>
      </c>
      <c r="O310" s="16">
        <f>SUM(O308:O309)</f>
        <v>7492</v>
      </c>
      <c r="Q310" s="69"/>
    </row>
    <row r="311" spans="1:19" s="29" customFormat="1" x14ac:dyDescent="0.3">
      <c r="A311" s="27"/>
      <c r="B311" s="27"/>
      <c r="D311" s="3"/>
      <c r="I311" s="108"/>
      <c r="M311" s="69">
        <f t="shared" si="8"/>
        <v>0</v>
      </c>
      <c r="N311" s="69">
        <f t="shared" si="9"/>
        <v>0</v>
      </c>
      <c r="O311" s="108"/>
      <c r="Q311" s="27"/>
      <c r="R311" s="27"/>
    </row>
    <row r="312" spans="1:19" s="29" customFormat="1" x14ac:dyDescent="0.3">
      <c r="A312" s="27">
        <v>45122</v>
      </c>
      <c r="B312" s="15" t="str">
        <f>TEXT(A312,"mmmm")</f>
        <v>July</v>
      </c>
      <c r="C312" s="29" t="s">
        <v>1802</v>
      </c>
      <c r="D312" s="3" t="s">
        <v>1803</v>
      </c>
      <c r="F312" s="29" t="s">
        <v>54</v>
      </c>
      <c r="G312" s="29" t="s">
        <v>7</v>
      </c>
      <c r="H312" s="29" t="s">
        <v>10</v>
      </c>
      <c r="I312" s="108">
        <f>SUM(J312:K312,O342,P312)</f>
        <v>174129</v>
      </c>
      <c r="J312" s="29">
        <f>P312*9%</f>
        <v>1395</v>
      </c>
      <c r="K312" s="29">
        <f>J312</f>
        <v>1395</v>
      </c>
      <c r="M312" s="69">
        <f t="shared" si="8"/>
        <v>2790</v>
      </c>
      <c r="N312" s="69">
        <f t="shared" si="9"/>
        <v>171339</v>
      </c>
      <c r="O312" s="29">
        <v>4742</v>
      </c>
      <c r="P312" s="29">
        <f>350*30+100*30+2000</f>
        <v>15500</v>
      </c>
      <c r="Q312" s="62" t="s">
        <v>1925</v>
      </c>
      <c r="R312" s="109" t="s">
        <v>1827</v>
      </c>
      <c r="S312" s="29" t="s">
        <v>1804</v>
      </c>
    </row>
    <row r="313" spans="1:19" s="29" customFormat="1" ht="52.8" x14ac:dyDescent="0.3">
      <c r="A313" s="27"/>
      <c r="B313" s="27"/>
      <c r="D313" s="3" t="s">
        <v>1805</v>
      </c>
      <c r="I313" s="108">
        <f>164432+3000+4176+1705+816</f>
        <v>174129</v>
      </c>
      <c r="M313" s="69">
        <f t="shared" si="8"/>
        <v>0</v>
      </c>
      <c r="N313" s="69">
        <f t="shared" si="9"/>
        <v>174129</v>
      </c>
      <c r="O313" s="29">
        <v>2675</v>
      </c>
      <c r="Q313" s="110" t="s">
        <v>1986</v>
      </c>
      <c r="R313" s="62" t="s">
        <v>1868</v>
      </c>
      <c r="S313" s="29" t="s">
        <v>1809</v>
      </c>
    </row>
    <row r="314" spans="1:19" s="29" customFormat="1" x14ac:dyDescent="0.3">
      <c r="A314" s="27"/>
      <c r="B314" s="27"/>
      <c r="D314" s="3" t="s">
        <v>1806</v>
      </c>
      <c r="I314" s="108"/>
      <c r="M314" s="69">
        <f t="shared" si="8"/>
        <v>0</v>
      </c>
      <c r="N314" s="69">
        <f t="shared" si="9"/>
        <v>0</v>
      </c>
      <c r="O314" s="29">
        <v>2780</v>
      </c>
      <c r="Q314" s="27"/>
      <c r="R314" s="27" t="s">
        <v>1889</v>
      </c>
      <c r="S314" s="29" t="s">
        <v>1810</v>
      </c>
    </row>
    <row r="315" spans="1:19" s="29" customFormat="1" x14ac:dyDescent="0.3">
      <c r="A315" s="27"/>
      <c r="B315" s="27"/>
      <c r="D315" s="3" t="s">
        <v>1807</v>
      </c>
      <c r="I315" s="108"/>
      <c r="M315" s="69">
        <f t="shared" si="8"/>
        <v>0</v>
      </c>
      <c r="N315" s="69">
        <f t="shared" si="9"/>
        <v>0</v>
      </c>
      <c r="O315" s="29">
        <v>2834</v>
      </c>
      <c r="Q315" s="27"/>
      <c r="R315" s="29">
        <f>100681-350-4766-678-2000</f>
        <v>92887</v>
      </c>
      <c r="S315" s="29" t="s">
        <v>1811</v>
      </c>
    </row>
    <row r="316" spans="1:19" s="29" customFormat="1" x14ac:dyDescent="0.3">
      <c r="A316" s="27"/>
      <c r="B316" s="27"/>
      <c r="D316" s="3" t="s">
        <v>1808</v>
      </c>
      <c r="I316" s="108"/>
      <c r="M316" s="69">
        <f t="shared" si="8"/>
        <v>0</v>
      </c>
      <c r="N316" s="69">
        <f t="shared" si="9"/>
        <v>0</v>
      </c>
      <c r="O316" s="29">
        <v>2916</v>
      </c>
      <c r="Q316" s="27"/>
      <c r="R316" s="27"/>
      <c r="S316" s="29" t="s">
        <v>1812</v>
      </c>
    </row>
    <row r="317" spans="1:19" s="29" customFormat="1" x14ac:dyDescent="0.3">
      <c r="A317" s="27"/>
      <c r="B317" s="27"/>
      <c r="D317" s="3" t="s">
        <v>1813</v>
      </c>
      <c r="I317" s="108"/>
      <c r="M317" s="69">
        <f t="shared" si="8"/>
        <v>0</v>
      </c>
      <c r="N317" s="69">
        <f t="shared" si="9"/>
        <v>0</v>
      </c>
      <c r="O317" s="29">
        <v>4417</v>
      </c>
      <c r="Q317" s="27"/>
      <c r="S317" s="29" t="s">
        <v>1814</v>
      </c>
    </row>
    <row r="318" spans="1:19" s="29" customFormat="1" x14ac:dyDescent="0.3">
      <c r="A318" s="27"/>
      <c r="B318" s="27"/>
      <c r="D318" s="3" t="s">
        <v>1815</v>
      </c>
      <c r="I318" s="108"/>
      <c r="M318" s="69">
        <f t="shared" si="8"/>
        <v>0</v>
      </c>
      <c r="N318" s="69">
        <f t="shared" si="9"/>
        <v>0</v>
      </c>
      <c r="O318" s="29">
        <v>20700</v>
      </c>
      <c r="Q318" s="27"/>
      <c r="S318" s="29" t="s">
        <v>1816</v>
      </c>
    </row>
    <row r="319" spans="1:19" s="29" customFormat="1" x14ac:dyDescent="0.3">
      <c r="A319" s="27"/>
      <c r="B319" s="27"/>
      <c r="D319" s="3" t="s">
        <v>1819</v>
      </c>
      <c r="I319" s="108"/>
      <c r="M319" s="69">
        <f t="shared" si="8"/>
        <v>0</v>
      </c>
      <c r="N319" s="69">
        <f t="shared" si="9"/>
        <v>0</v>
      </c>
      <c r="O319" s="29">
        <v>6016</v>
      </c>
      <c r="Q319" s="27"/>
      <c r="S319" s="29" t="s">
        <v>1818</v>
      </c>
    </row>
    <row r="320" spans="1:19" s="29" customFormat="1" x14ac:dyDescent="0.3">
      <c r="A320" s="27"/>
      <c r="B320" s="27"/>
      <c r="D320" s="3" t="s">
        <v>1820</v>
      </c>
      <c r="I320" s="108"/>
      <c r="M320" s="69">
        <f t="shared" si="8"/>
        <v>0</v>
      </c>
      <c r="N320" s="69">
        <f t="shared" si="9"/>
        <v>0</v>
      </c>
      <c r="O320" s="29">
        <v>6878</v>
      </c>
      <c r="Q320" s="27"/>
      <c r="R320" s="27"/>
      <c r="S320" s="29" t="s">
        <v>1821</v>
      </c>
    </row>
    <row r="321" spans="1:19" s="29" customFormat="1" x14ac:dyDescent="0.3">
      <c r="A321" s="27"/>
      <c r="B321" s="27"/>
      <c r="D321" s="3" t="s">
        <v>1822</v>
      </c>
      <c r="I321" s="108"/>
      <c r="M321" s="69">
        <f t="shared" si="8"/>
        <v>0</v>
      </c>
      <c r="N321" s="69">
        <f t="shared" si="9"/>
        <v>0</v>
      </c>
      <c r="O321" s="29">
        <v>1200</v>
      </c>
      <c r="Q321" s="62"/>
      <c r="R321" s="62"/>
      <c r="S321" s="29" t="s">
        <v>1824</v>
      </c>
    </row>
    <row r="322" spans="1:19" s="29" customFormat="1" ht="39.6" x14ac:dyDescent="0.3">
      <c r="A322" s="27"/>
      <c r="B322" s="27"/>
      <c r="D322" s="25" t="s">
        <v>1826</v>
      </c>
      <c r="I322" s="108"/>
      <c r="M322" s="69">
        <f t="shared" si="8"/>
        <v>0</v>
      </c>
      <c r="N322" s="69">
        <f t="shared" si="9"/>
        <v>0</v>
      </c>
      <c r="O322" s="29">
        <f>2100+600+600</f>
        <v>3300</v>
      </c>
      <c r="Q322" s="27"/>
      <c r="R322" s="27"/>
      <c r="S322" s="110" t="s">
        <v>1830</v>
      </c>
    </row>
    <row r="323" spans="1:19" s="29" customFormat="1" x14ac:dyDescent="0.3">
      <c r="A323" s="27"/>
      <c r="B323" s="27"/>
      <c r="D323" s="3" t="s">
        <v>1825</v>
      </c>
      <c r="I323" s="108"/>
      <c r="M323" s="69">
        <f t="shared" ref="M323:M386" si="10">SUM(J323:L323)</f>
        <v>0</v>
      </c>
      <c r="N323" s="69">
        <f t="shared" ref="N323:N386" si="11">I323-M323</f>
        <v>0</v>
      </c>
      <c r="O323" s="29">
        <v>11250</v>
      </c>
      <c r="Q323" s="62"/>
      <c r="R323" s="62"/>
      <c r="S323" s="29" t="s">
        <v>1829</v>
      </c>
    </row>
    <row r="324" spans="1:19" s="29" customFormat="1" x14ac:dyDescent="0.3">
      <c r="A324" s="27"/>
      <c r="B324" s="27"/>
      <c r="D324" s="25" t="s">
        <v>1828</v>
      </c>
      <c r="I324" s="108"/>
      <c r="M324" s="69">
        <f t="shared" si="10"/>
        <v>0</v>
      </c>
      <c r="N324" s="69">
        <f t="shared" si="11"/>
        <v>0</v>
      </c>
      <c r="O324" s="29">
        <v>6914</v>
      </c>
      <c r="Q324" s="27"/>
      <c r="R324" s="27"/>
      <c r="S324" s="29" t="s">
        <v>1831</v>
      </c>
    </row>
    <row r="325" spans="1:19" s="29" customFormat="1" x14ac:dyDescent="0.3">
      <c r="A325" s="27"/>
      <c r="B325" s="27"/>
      <c r="D325" s="25" t="s">
        <v>1832</v>
      </c>
      <c r="I325" s="108"/>
      <c r="M325" s="69">
        <f t="shared" si="10"/>
        <v>0</v>
      </c>
      <c r="N325" s="69">
        <f t="shared" si="11"/>
        <v>0</v>
      </c>
      <c r="O325" s="29">
        <v>9349</v>
      </c>
      <c r="Q325" s="27"/>
      <c r="R325" s="27"/>
      <c r="S325" s="29" t="s">
        <v>1833</v>
      </c>
    </row>
    <row r="326" spans="1:19" s="29" customFormat="1" ht="66" x14ac:dyDescent="0.3">
      <c r="A326" s="27"/>
      <c r="B326" s="27"/>
      <c r="D326" s="25" t="s">
        <v>1862</v>
      </c>
      <c r="I326" s="108"/>
      <c r="M326" s="69">
        <f t="shared" si="10"/>
        <v>0</v>
      </c>
      <c r="N326" s="69">
        <f t="shared" si="11"/>
        <v>0</v>
      </c>
      <c r="O326" s="29">
        <f>400+500+500+1000+400</f>
        <v>2800</v>
      </c>
      <c r="Q326" s="27"/>
      <c r="R326" s="27"/>
      <c r="S326" s="110" t="s">
        <v>1843</v>
      </c>
    </row>
    <row r="327" spans="1:19" s="29" customFormat="1" x14ac:dyDescent="0.3">
      <c r="A327" s="27"/>
      <c r="B327" s="27"/>
      <c r="D327" s="25" t="s">
        <v>1838</v>
      </c>
      <c r="I327" s="108"/>
      <c r="M327" s="69">
        <f t="shared" si="10"/>
        <v>0</v>
      </c>
      <c r="N327" s="69">
        <f t="shared" si="11"/>
        <v>0</v>
      </c>
      <c r="O327" s="29">
        <v>9222</v>
      </c>
      <c r="Q327" s="27"/>
      <c r="R327" s="27"/>
      <c r="S327" s="29" t="s">
        <v>1837</v>
      </c>
    </row>
    <row r="328" spans="1:19" s="29" customFormat="1" ht="26.4" x14ac:dyDescent="0.3">
      <c r="A328" s="27"/>
      <c r="B328" s="27"/>
      <c r="D328" s="25" t="s">
        <v>1839</v>
      </c>
      <c r="I328" s="108"/>
      <c r="M328" s="69">
        <f t="shared" si="10"/>
        <v>0</v>
      </c>
      <c r="N328" s="69">
        <f t="shared" si="11"/>
        <v>0</v>
      </c>
      <c r="O328" s="29">
        <v>2500</v>
      </c>
      <c r="Q328" s="27"/>
      <c r="R328" s="27"/>
      <c r="S328" s="29" t="s">
        <v>1842</v>
      </c>
    </row>
    <row r="329" spans="1:19" s="29" customFormat="1" x14ac:dyDescent="0.3">
      <c r="A329" s="27"/>
      <c r="B329" s="27"/>
      <c r="D329" s="3" t="s">
        <v>1840</v>
      </c>
      <c r="I329" s="108"/>
      <c r="M329" s="69">
        <f t="shared" si="10"/>
        <v>0</v>
      </c>
      <c r="N329" s="69">
        <f t="shared" si="11"/>
        <v>0</v>
      </c>
      <c r="O329" s="29">
        <v>660</v>
      </c>
      <c r="Q329" s="27"/>
      <c r="R329" s="27"/>
      <c r="S329" s="29" t="s">
        <v>1865</v>
      </c>
    </row>
    <row r="330" spans="1:19" s="29" customFormat="1" x14ac:dyDescent="0.3">
      <c r="A330" s="27"/>
      <c r="B330" s="27"/>
      <c r="D330" s="3" t="s">
        <v>1845</v>
      </c>
      <c r="I330" s="108"/>
      <c r="M330" s="69">
        <f t="shared" si="10"/>
        <v>0</v>
      </c>
      <c r="N330" s="69">
        <f t="shared" si="11"/>
        <v>0</v>
      </c>
      <c r="O330" s="29">
        <v>400</v>
      </c>
      <c r="Q330" s="27"/>
      <c r="R330" s="27"/>
      <c r="S330" s="29" t="s">
        <v>1853</v>
      </c>
    </row>
    <row r="331" spans="1:19" s="29" customFormat="1" x14ac:dyDescent="0.3">
      <c r="A331" s="27"/>
      <c r="B331" s="27"/>
      <c r="D331" s="3" t="s">
        <v>1846</v>
      </c>
      <c r="I331" s="108"/>
      <c r="M331" s="69">
        <f t="shared" si="10"/>
        <v>0</v>
      </c>
      <c r="N331" s="69">
        <f t="shared" si="11"/>
        <v>0</v>
      </c>
      <c r="O331" s="29">
        <v>5823</v>
      </c>
      <c r="Q331" s="27"/>
      <c r="R331" s="27"/>
      <c r="S331" s="29" t="s">
        <v>1847</v>
      </c>
    </row>
    <row r="332" spans="1:19" s="29" customFormat="1" x14ac:dyDescent="0.3">
      <c r="A332" s="27"/>
      <c r="B332" s="27"/>
      <c r="D332" s="3" t="s">
        <v>1848</v>
      </c>
      <c r="I332" s="108"/>
      <c r="M332" s="69">
        <f t="shared" si="10"/>
        <v>0</v>
      </c>
      <c r="N332" s="69">
        <f t="shared" si="11"/>
        <v>0</v>
      </c>
      <c r="O332" s="29">
        <v>2911</v>
      </c>
      <c r="Q332" s="27"/>
      <c r="R332" s="27"/>
      <c r="S332" s="29" t="s">
        <v>1849</v>
      </c>
    </row>
    <row r="333" spans="1:19" s="29" customFormat="1" x14ac:dyDescent="0.3">
      <c r="A333" s="27"/>
      <c r="B333" s="27"/>
      <c r="D333" s="3" t="s">
        <v>1850</v>
      </c>
      <c r="I333" s="108"/>
      <c r="M333" s="69">
        <f t="shared" si="10"/>
        <v>0</v>
      </c>
      <c r="N333" s="69">
        <f t="shared" si="11"/>
        <v>0</v>
      </c>
      <c r="O333" s="29">
        <v>9217</v>
      </c>
      <c r="Q333" s="27"/>
      <c r="R333" s="27"/>
      <c r="S333" s="29" t="s">
        <v>1851</v>
      </c>
    </row>
    <row r="334" spans="1:19" s="29" customFormat="1" x14ac:dyDescent="0.3">
      <c r="A334" s="27"/>
      <c r="B334" s="27"/>
      <c r="D334" s="3" t="s">
        <v>1852</v>
      </c>
      <c r="I334" s="108"/>
      <c r="M334" s="69">
        <f t="shared" si="10"/>
        <v>0</v>
      </c>
      <c r="N334" s="69">
        <f t="shared" si="11"/>
        <v>0</v>
      </c>
      <c r="O334" s="29">
        <v>5618</v>
      </c>
      <c r="Q334" s="27"/>
      <c r="R334" s="27"/>
      <c r="S334" s="29" t="s">
        <v>1854</v>
      </c>
    </row>
    <row r="335" spans="1:19" s="29" customFormat="1" x14ac:dyDescent="0.3">
      <c r="A335" s="27"/>
      <c r="B335" s="27"/>
      <c r="D335" s="3" t="s">
        <v>1857</v>
      </c>
      <c r="I335" s="108"/>
      <c r="M335" s="69">
        <f t="shared" si="10"/>
        <v>0</v>
      </c>
      <c r="N335" s="69">
        <f t="shared" si="11"/>
        <v>0</v>
      </c>
      <c r="O335" s="29">
        <v>5823</v>
      </c>
      <c r="Q335" s="27"/>
      <c r="R335" s="27"/>
      <c r="S335" s="29" t="s">
        <v>1858</v>
      </c>
    </row>
    <row r="336" spans="1:19" s="29" customFormat="1" x14ac:dyDescent="0.3">
      <c r="A336" s="27"/>
      <c r="B336" s="27"/>
      <c r="D336" s="3" t="s">
        <v>1859</v>
      </c>
      <c r="I336" s="108"/>
      <c r="M336" s="69">
        <f t="shared" si="10"/>
        <v>0</v>
      </c>
      <c r="N336" s="69">
        <f t="shared" si="11"/>
        <v>0</v>
      </c>
      <c r="O336" s="29">
        <v>2280</v>
      </c>
      <c r="Q336" s="27"/>
      <c r="R336" s="27"/>
      <c r="S336" s="29" t="s">
        <v>1860</v>
      </c>
    </row>
    <row r="337" spans="1:19" s="29" customFormat="1" ht="26.4" x14ac:dyDescent="0.3">
      <c r="A337" s="27"/>
      <c r="B337" s="27"/>
      <c r="D337" s="3" t="s">
        <v>1855</v>
      </c>
      <c r="I337" s="108"/>
      <c r="M337" s="69">
        <f t="shared" si="10"/>
        <v>0</v>
      </c>
      <c r="N337" s="69">
        <f t="shared" si="11"/>
        <v>0</v>
      </c>
      <c r="O337" s="88">
        <v>350</v>
      </c>
      <c r="Q337" s="27"/>
      <c r="R337" s="62" t="s">
        <v>1856</v>
      </c>
    </row>
    <row r="338" spans="1:19" s="29" customFormat="1" x14ac:dyDescent="0.3">
      <c r="A338" s="27"/>
      <c r="B338" s="27"/>
      <c r="D338" s="3" t="s">
        <v>1874</v>
      </c>
      <c r="I338" s="108"/>
      <c r="M338" s="69">
        <f t="shared" si="10"/>
        <v>0</v>
      </c>
      <c r="N338" s="69">
        <f t="shared" si="11"/>
        <v>0</v>
      </c>
      <c r="O338" s="29">
        <v>2934</v>
      </c>
      <c r="Q338" s="27"/>
      <c r="R338" s="62"/>
      <c r="S338" s="29" t="s">
        <v>1875</v>
      </c>
    </row>
    <row r="339" spans="1:19" s="29" customFormat="1" x14ac:dyDescent="0.3">
      <c r="A339" s="27"/>
      <c r="B339" s="27"/>
      <c r="D339" s="3" t="s">
        <v>1877</v>
      </c>
      <c r="I339" s="108"/>
      <c r="M339" s="69">
        <f t="shared" si="10"/>
        <v>0</v>
      </c>
      <c r="N339" s="69">
        <f t="shared" si="11"/>
        <v>0</v>
      </c>
      <c r="O339" s="29">
        <v>2458</v>
      </c>
      <c r="Q339" s="113"/>
      <c r="R339" s="62"/>
      <c r="S339" s="29" t="s">
        <v>1876</v>
      </c>
    </row>
    <row r="340" spans="1:19" s="29" customFormat="1" x14ac:dyDescent="0.3">
      <c r="A340" s="27"/>
      <c r="B340" s="27"/>
      <c r="D340" s="3" t="s">
        <v>1880</v>
      </c>
      <c r="I340" s="108"/>
      <c r="M340" s="69">
        <f t="shared" si="10"/>
        <v>0</v>
      </c>
      <c r="N340" s="69">
        <f t="shared" si="11"/>
        <v>0</v>
      </c>
      <c r="O340" s="29">
        <v>8444</v>
      </c>
      <c r="Q340" s="27"/>
      <c r="R340" s="62"/>
      <c r="S340" s="29" t="s">
        <v>1878</v>
      </c>
    </row>
    <row r="341" spans="1:19" s="29" customFormat="1" x14ac:dyDescent="0.3">
      <c r="A341" s="27"/>
      <c r="B341" s="27"/>
      <c r="D341" s="3" t="s">
        <v>1881</v>
      </c>
      <c r="I341" s="108"/>
      <c r="M341" s="69">
        <f t="shared" si="10"/>
        <v>0</v>
      </c>
      <c r="N341" s="69">
        <f t="shared" si="11"/>
        <v>0</v>
      </c>
      <c r="O341" s="29">
        <v>8428</v>
      </c>
      <c r="Q341" s="27"/>
      <c r="R341" s="62"/>
      <c r="S341" s="29" t="s">
        <v>1879</v>
      </c>
    </row>
    <row r="342" spans="1:19" s="29" customFormat="1" x14ac:dyDescent="0.3">
      <c r="A342" s="27"/>
      <c r="B342" s="27"/>
      <c r="D342" s="3"/>
      <c r="I342" s="108"/>
      <c r="M342" s="69">
        <f t="shared" si="10"/>
        <v>0</v>
      </c>
      <c r="N342" s="69">
        <f t="shared" si="11"/>
        <v>0</v>
      </c>
      <c r="O342" s="108">
        <f>SUM(O312:O341)</f>
        <v>155839</v>
      </c>
      <c r="Q342" s="27"/>
      <c r="R342" s="27"/>
    </row>
    <row r="343" spans="1:19" s="29" customFormat="1" x14ac:dyDescent="0.3">
      <c r="A343" s="27"/>
      <c r="B343" s="27"/>
      <c r="D343" s="3"/>
      <c r="I343" s="108"/>
      <c r="M343" s="69">
        <f t="shared" si="10"/>
        <v>0</v>
      </c>
      <c r="N343" s="69">
        <f t="shared" si="11"/>
        <v>0</v>
      </c>
      <c r="O343" s="108"/>
      <c r="Q343" s="27"/>
      <c r="R343" s="27"/>
    </row>
    <row r="344" spans="1:19" s="29" customFormat="1" x14ac:dyDescent="0.3">
      <c r="A344" s="49">
        <v>45126</v>
      </c>
      <c r="B344" s="15" t="str">
        <f>TEXT(A344,"mmmm")</f>
        <v>July</v>
      </c>
      <c r="C344" s="50" t="s">
        <v>1834</v>
      </c>
      <c r="D344" s="51" t="s">
        <v>1844</v>
      </c>
      <c r="E344" s="50">
        <v>2</v>
      </c>
      <c r="F344" s="10" t="s">
        <v>54</v>
      </c>
      <c r="G344" s="50" t="s">
        <v>26</v>
      </c>
      <c r="H344" s="50" t="s">
        <v>10</v>
      </c>
      <c r="I344" s="50">
        <v>5444</v>
      </c>
      <c r="J344" s="50">
        <f>P344*9%</f>
        <v>45</v>
      </c>
      <c r="K344" s="50">
        <f>J344</f>
        <v>45</v>
      </c>
      <c r="L344" s="50"/>
      <c r="M344" s="69">
        <f t="shared" si="10"/>
        <v>90</v>
      </c>
      <c r="N344" s="69">
        <f t="shared" si="11"/>
        <v>5354</v>
      </c>
      <c r="O344" s="51">
        <v>4176</v>
      </c>
      <c r="P344" s="50">
        <v>500</v>
      </c>
      <c r="Q344" s="68"/>
      <c r="R344" s="68"/>
      <c r="S344" s="50" t="s">
        <v>1835</v>
      </c>
    </row>
    <row r="345" spans="1:19" s="10" customFormat="1" ht="26.4" x14ac:dyDescent="0.3">
      <c r="A345" s="9"/>
      <c r="B345" s="9"/>
      <c r="D345" s="70" t="s">
        <v>1836</v>
      </c>
      <c r="M345" s="69">
        <f t="shared" si="10"/>
        <v>0</v>
      </c>
      <c r="N345" s="69">
        <f t="shared" si="11"/>
        <v>0</v>
      </c>
      <c r="Q345" s="9"/>
      <c r="R345" s="9"/>
      <c r="S345" s="10" t="s">
        <v>1841</v>
      </c>
    </row>
    <row r="346" spans="1:19" s="10" customFormat="1" x14ac:dyDescent="0.3">
      <c r="A346" s="9"/>
      <c r="B346" s="9"/>
      <c r="D346" s="70"/>
      <c r="I346" s="17"/>
      <c r="M346" s="69">
        <f t="shared" si="10"/>
        <v>0</v>
      </c>
      <c r="N346" s="69">
        <f t="shared" si="11"/>
        <v>0</v>
      </c>
      <c r="O346" s="17"/>
      <c r="Q346" s="9"/>
      <c r="R346" s="9"/>
    </row>
    <row r="347" spans="1:19" s="10" customFormat="1" x14ac:dyDescent="0.3">
      <c r="A347" s="9"/>
      <c r="B347" s="9"/>
      <c r="D347" s="70"/>
      <c r="I347" s="17"/>
      <c r="M347" s="69">
        <f t="shared" si="10"/>
        <v>0</v>
      </c>
      <c r="N347" s="69">
        <f t="shared" si="11"/>
        <v>0</v>
      </c>
      <c r="O347" s="17"/>
      <c r="Q347" s="9"/>
      <c r="R347" s="9"/>
    </row>
    <row r="348" spans="1:19" s="10" customFormat="1" x14ac:dyDescent="0.3">
      <c r="A348" s="9">
        <v>45128</v>
      </c>
      <c r="B348" s="15" t="str">
        <f>TEXT(A348,"mmmm")</f>
        <v>July</v>
      </c>
      <c r="C348" s="50" t="s">
        <v>1869</v>
      </c>
      <c r="D348" s="112" t="s">
        <v>1870</v>
      </c>
      <c r="E348" s="10">
        <v>1</v>
      </c>
      <c r="F348" s="10" t="s">
        <v>54</v>
      </c>
      <c r="G348" s="50" t="s">
        <v>26</v>
      </c>
      <c r="H348" s="50" t="s">
        <v>10</v>
      </c>
      <c r="I348" s="17">
        <v>2000</v>
      </c>
      <c r="J348" s="10">
        <f>P348*9%</f>
        <v>22.5</v>
      </c>
      <c r="K348" s="10">
        <f>J348</f>
        <v>22.5</v>
      </c>
      <c r="M348" s="69">
        <f t="shared" si="10"/>
        <v>45</v>
      </c>
      <c r="N348" s="69">
        <f t="shared" si="11"/>
        <v>1955</v>
      </c>
      <c r="O348" s="17">
        <v>1705</v>
      </c>
      <c r="P348" s="10">
        <v>250</v>
      </c>
      <c r="Q348" s="9"/>
      <c r="R348" s="9"/>
      <c r="S348" s="10" t="s">
        <v>1866</v>
      </c>
    </row>
    <row r="349" spans="1:19" s="10" customFormat="1" ht="26.4" x14ac:dyDescent="0.3">
      <c r="A349" s="9"/>
      <c r="B349" s="9"/>
      <c r="D349" s="70" t="s">
        <v>1867</v>
      </c>
      <c r="H349" s="10">
        <f>149387-4176-1705-816</f>
        <v>142690</v>
      </c>
      <c r="I349" s="17"/>
      <c r="M349" s="69">
        <f t="shared" si="10"/>
        <v>0</v>
      </c>
      <c r="N349" s="69">
        <f t="shared" si="11"/>
        <v>0</v>
      </c>
      <c r="O349" s="17"/>
      <c r="Q349" s="9"/>
      <c r="R349" s="9"/>
    </row>
    <row r="350" spans="1:19" s="29" customFormat="1" x14ac:dyDescent="0.3">
      <c r="A350" s="27"/>
      <c r="B350" s="27"/>
      <c r="D350" s="3"/>
      <c r="I350" s="108"/>
      <c r="M350" s="69">
        <f t="shared" si="10"/>
        <v>0</v>
      </c>
      <c r="N350" s="69">
        <f t="shared" si="11"/>
        <v>0</v>
      </c>
      <c r="O350" s="108"/>
      <c r="Q350" s="27"/>
      <c r="R350" s="27"/>
    </row>
    <row r="351" spans="1:19" s="10" customFormat="1" x14ac:dyDescent="0.3">
      <c r="A351" s="9">
        <v>45129</v>
      </c>
      <c r="B351" s="15" t="str">
        <f>TEXT(A351,"mmmm")</f>
        <v>July</v>
      </c>
      <c r="C351" s="50" t="s">
        <v>1871</v>
      </c>
      <c r="D351" s="17" t="s">
        <v>1872</v>
      </c>
      <c r="F351" s="10" t="s">
        <v>54</v>
      </c>
      <c r="I351" s="17">
        <v>816</v>
      </c>
      <c r="M351" s="69">
        <f t="shared" si="10"/>
        <v>0</v>
      </c>
      <c r="N351" s="69">
        <f t="shared" si="11"/>
        <v>816</v>
      </c>
      <c r="O351" s="17">
        <v>816</v>
      </c>
      <c r="Q351" s="9"/>
      <c r="R351" s="9"/>
    </row>
    <row r="352" spans="1:19" s="29" customFormat="1" ht="26.4" x14ac:dyDescent="0.3">
      <c r="A352" s="27"/>
      <c r="B352" s="27"/>
      <c r="D352" s="70" t="s">
        <v>1873</v>
      </c>
      <c r="I352" s="108"/>
      <c r="M352" s="69">
        <f t="shared" si="10"/>
        <v>0</v>
      </c>
      <c r="N352" s="69">
        <f t="shared" si="11"/>
        <v>0</v>
      </c>
      <c r="O352" s="108"/>
      <c r="Q352" s="27"/>
      <c r="R352" s="27"/>
    </row>
    <row r="353" spans="1:19" s="29" customFormat="1" x14ac:dyDescent="0.3">
      <c r="A353" s="27"/>
      <c r="B353" s="27"/>
      <c r="D353" s="3"/>
      <c r="I353" s="108"/>
      <c r="M353" s="69">
        <f t="shared" si="10"/>
        <v>0</v>
      </c>
      <c r="N353" s="69">
        <f t="shared" si="11"/>
        <v>0</v>
      </c>
      <c r="O353" s="108"/>
      <c r="Q353" s="27"/>
      <c r="R353" s="27"/>
    </row>
    <row r="354" spans="1:19" s="3" customFormat="1" x14ac:dyDescent="0.3">
      <c r="A354" s="5">
        <v>45129</v>
      </c>
      <c r="B354" s="15" t="str">
        <f>TEXT(A354,"mmmm")</f>
        <v>July</v>
      </c>
      <c r="C354" s="69" t="s">
        <v>1882</v>
      </c>
      <c r="D354" s="29" t="s">
        <v>1883</v>
      </c>
      <c r="F354" s="3" t="s">
        <v>54</v>
      </c>
      <c r="G354" s="3" t="s">
        <v>26</v>
      </c>
      <c r="H354" s="3" t="s">
        <v>10</v>
      </c>
      <c r="I354" s="4">
        <f>SUM(J354,K354,O377,P354)</f>
        <v>200906</v>
      </c>
      <c r="J354" s="52">
        <f>P354*9%</f>
        <v>1386</v>
      </c>
      <c r="K354" s="52">
        <f>J354</f>
        <v>1386</v>
      </c>
      <c r="M354" s="69">
        <f t="shared" si="10"/>
        <v>2772</v>
      </c>
      <c r="N354" s="69">
        <f t="shared" si="11"/>
        <v>198134</v>
      </c>
      <c r="O354" s="3">
        <v>30783</v>
      </c>
      <c r="P354" s="3">
        <f>350*22+100*7+1000*6+1000</f>
        <v>15400</v>
      </c>
      <c r="Q354" s="38" t="s">
        <v>1987</v>
      </c>
      <c r="R354" s="5" t="s">
        <v>1903</v>
      </c>
      <c r="S354" s="3" t="s">
        <v>1884</v>
      </c>
    </row>
    <row r="355" spans="1:19" s="29" customFormat="1" x14ac:dyDescent="0.3">
      <c r="A355" s="27"/>
      <c r="B355" s="27"/>
      <c r="D355" s="29" t="s">
        <v>1886</v>
      </c>
      <c r="I355" s="108"/>
      <c r="M355" s="69">
        <f t="shared" si="10"/>
        <v>0</v>
      </c>
      <c r="N355" s="69">
        <f t="shared" si="11"/>
        <v>0</v>
      </c>
      <c r="O355" s="3">
        <v>22059</v>
      </c>
      <c r="Q355" s="27"/>
      <c r="R355" s="27" t="s">
        <v>1940</v>
      </c>
      <c r="S355" s="29" t="s">
        <v>1885</v>
      </c>
    </row>
    <row r="356" spans="1:19" s="29" customFormat="1" ht="26.4" x14ac:dyDescent="0.3">
      <c r="A356" s="27"/>
      <c r="B356" s="27"/>
      <c r="D356" s="29" t="s">
        <v>1902</v>
      </c>
      <c r="I356" s="108"/>
      <c r="M356" s="69">
        <f t="shared" si="10"/>
        <v>0</v>
      </c>
      <c r="N356" s="69">
        <f t="shared" si="11"/>
        <v>0</v>
      </c>
      <c r="O356" s="29">
        <f>2000+2000</f>
        <v>4000</v>
      </c>
      <c r="Q356" s="27"/>
      <c r="R356" s="27"/>
      <c r="S356" s="110" t="s">
        <v>1899</v>
      </c>
    </row>
    <row r="357" spans="1:19" s="29" customFormat="1" ht="26.4" x14ac:dyDescent="0.3">
      <c r="A357" s="27"/>
      <c r="B357" s="27"/>
      <c r="D357" s="110" t="s">
        <v>1887</v>
      </c>
      <c r="H357" s="110" t="s">
        <v>1912</v>
      </c>
      <c r="I357" s="114"/>
      <c r="M357" s="69">
        <f t="shared" si="10"/>
        <v>0</v>
      </c>
      <c r="N357" s="69">
        <f t="shared" si="11"/>
        <v>0</v>
      </c>
      <c r="O357" s="88">
        <f>4025+4000</f>
        <v>8025</v>
      </c>
      <c r="Q357" s="27"/>
      <c r="R357" s="62" t="s">
        <v>1888</v>
      </c>
    </row>
    <row r="358" spans="1:19" s="29" customFormat="1" x14ac:dyDescent="0.3">
      <c r="A358" s="27"/>
      <c r="B358" s="27"/>
      <c r="D358" s="29" t="s">
        <v>1891</v>
      </c>
      <c r="I358" s="108"/>
      <c r="M358" s="69">
        <f t="shared" si="10"/>
        <v>0</v>
      </c>
      <c r="N358" s="69">
        <f t="shared" si="11"/>
        <v>0</v>
      </c>
      <c r="O358" s="29">
        <v>4154</v>
      </c>
      <c r="Q358" s="27"/>
      <c r="R358" s="27"/>
      <c r="S358" s="29" t="s">
        <v>1890</v>
      </c>
    </row>
    <row r="359" spans="1:19" s="29" customFormat="1" x14ac:dyDescent="0.3">
      <c r="A359" s="27"/>
      <c r="B359" s="27"/>
      <c r="D359" s="29" t="s">
        <v>1892</v>
      </c>
      <c r="I359" s="108"/>
      <c r="M359" s="69">
        <f t="shared" si="10"/>
        <v>0</v>
      </c>
      <c r="N359" s="69">
        <f t="shared" si="11"/>
        <v>0</v>
      </c>
      <c r="O359" s="29">
        <v>10250</v>
      </c>
      <c r="Q359" s="27"/>
      <c r="R359" s="27"/>
      <c r="S359" s="29" t="s">
        <v>1897</v>
      </c>
    </row>
    <row r="360" spans="1:19" s="29" customFormat="1" x14ac:dyDescent="0.3">
      <c r="A360" s="27"/>
      <c r="B360" s="27"/>
      <c r="D360" s="29" t="s">
        <v>1893</v>
      </c>
      <c r="I360" s="108"/>
      <c r="M360" s="69">
        <f t="shared" si="10"/>
        <v>0</v>
      </c>
      <c r="N360" s="69">
        <f t="shared" si="11"/>
        <v>0</v>
      </c>
      <c r="O360" s="29">
        <v>8083</v>
      </c>
      <c r="Q360" s="27"/>
      <c r="R360" s="27"/>
      <c r="S360" s="29" t="s">
        <v>1898</v>
      </c>
    </row>
    <row r="361" spans="1:19" s="29" customFormat="1" ht="26.4" x14ac:dyDescent="0.3">
      <c r="A361" s="27"/>
      <c r="B361" s="27"/>
      <c r="D361" s="29" t="s">
        <v>1895</v>
      </c>
      <c r="H361" s="29" t="s">
        <v>807</v>
      </c>
      <c r="I361" s="108"/>
      <c r="M361" s="69">
        <f t="shared" si="10"/>
        <v>0</v>
      </c>
      <c r="N361" s="69">
        <f t="shared" si="11"/>
        <v>0</v>
      </c>
      <c r="O361" s="88">
        <v>1200</v>
      </c>
      <c r="Q361" s="27"/>
      <c r="R361" s="62" t="s">
        <v>1894</v>
      </c>
    </row>
    <row r="362" spans="1:19" s="29" customFormat="1" ht="26.4" x14ac:dyDescent="0.3">
      <c r="A362" s="27"/>
      <c r="B362" s="27"/>
      <c r="D362" s="29" t="s">
        <v>1896</v>
      </c>
      <c r="H362" s="29" t="s">
        <v>807</v>
      </c>
      <c r="I362" s="108"/>
      <c r="M362" s="69">
        <f t="shared" si="10"/>
        <v>0</v>
      </c>
      <c r="N362" s="69">
        <f t="shared" si="11"/>
        <v>0</v>
      </c>
      <c r="O362" s="88">
        <v>1200</v>
      </c>
      <c r="Q362" s="27"/>
      <c r="R362" s="62" t="s">
        <v>1894</v>
      </c>
    </row>
    <row r="363" spans="1:19" s="29" customFormat="1" x14ac:dyDescent="0.3">
      <c r="A363" s="27"/>
      <c r="B363" s="27"/>
      <c r="D363" s="29" t="s">
        <v>1900</v>
      </c>
      <c r="I363" s="108"/>
      <c r="M363" s="69">
        <f t="shared" si="10"/>
        <v>0</v>
      </c>
      <c r="N363" s="69">
        <f t="shared" si="11"/>
        <v>0</v>
      </c>
      <c r="O363" s="29">
        <v>1500</v>
      </c>
      <c r="Q363" s="27"/>
      <c r="R363" s="62"/>
      <c r="S363" s="29" t="s">
        <v>1901</v>
      </c>
    </row>
    <row r="364" spans="1:19" s="29" customFormat="1" x14ac:dyDescent="0.3">
      <c r="A364" s="27"/>
      <c r="B364" s="27"/>
      <c r="D364" s="29" t="s">
        <v>1904</v>
      </c>
      <c r="I364" s="108"/>
      <c r="M364" s="69">
        <f t="shared" si="10"/>
        <v>0</v>
      </c>
      <c r="N364" s="69">
        <f t="shared" si="11"/>
        <v>0</v>
      </c>
      <c r="O364" s="29">
        <v>4220</v>
      </c>
      <c r="Q364" s="27"/>
      <c r="R364" s="62"/>
      <c r="S364" s="29" t="s">
        <v>1907</v>
      </c>
    </row>
    <row r="365" spans="1:19" s="29" customFormat="1" x14ac:dyDescent="0.3">
      <c r="A365" s="27"/>
      <c r="B365" s="27"/>
      <c r="D365" s="29" t="s">
        <v>1905</v>
      </c>
      <c r="I365" s="108"/>
      <c r="M365" s="69">
        <f t="shared" si="10"/>
        <v>0</v>
      </c>
      <c r="N365" s="69">
        <f t="shared" si="11"/>
        <v>0</v>
      </c>
      <c r="O365" s="29">
        <v>3283</v>
      </c>
      <c r="Q365" s="27"/>
      <c r="R365" s="62"/>
      <c r="S365" s="29" t="s">
        <v>1908</v>
      </c>
    </row>
    <row r="366" spans="1:19" s="29" customFormat="1" x14ac:dyDescent="0.3">
      <c r="A366" s="27"/>
      <c r="B366" s="27"/>
      <c r="D366" s="29" t="s">
        <v>1906</v>
      </c>
      <c r="I366" s="108"/>
      <c r="M366" s="69">
        <f t="shared" si="10"/>
        <v>0</v>
      </c>
      <c r="N366" s="69">
        <f t="shared" si="11"/>
        <v>0</v>
      </c>
      <c r="O366" s="29">
        <v>4552</v>
      </c>
      <c r="Q366" s="27"/>
      <c r="R366" s="62"/>
      <c r="S366" s="29" t="s">
        <v>1909</v>
      </c>
    </row>
    <row r="367" spans="1:19" s="29" customFormat="1" x14ac:dyDescent="0.3">
      <c r="A367" s="27"/>
      <c r="B367" s="27"/>
      <c r="D367" s="29" t="s">
        <v>1526</v>
      </c>
      <c r="I367" s="108"/>
      <c r="M367" s="69">
        <f t="shared" si="10"/>
        <v>0</v>
      </c>
      <c r="N367" s="69">
        <f t="shared" si="11"/>
        <v>0</v>
      </c>
      <c r="O367" s="29">
        <v>19487</v>
      </c>
      <c r="Q367" s="27"/>
      <c r="R367" s="62"/>
      <c r="S367" s="29" t="s">
        <v>1913</v>
      </c>
    </row>
    <row r="368" spans="1:19" s="29" customFormat="1" ht="26.4" x14ac:dyDescent="0.3">
      <c r="A368" s="27"/>
      <c r="B368" s="27"/>
      <c r="D368" s="29" t="s">
        <v>1910</v>
      </c>
      <c r="H368" s="29" t="s">
        <v>1223</v>
      </c>
      <c r="I368" s="108"/>
      <c r="M368" s="69">
        <f t="shared" si="10"/>
        <v>0</v>
      </c>
      <c r="N368" s="69">
        <f t="shared" si="11"/>
        <v>0</v>
      </c>
      <c r="O368" s="88">
        <v>4025</v>
      </c>
      <c r="Q368" s="27"/>
      <c r="R368" s="62" t="s">
        <v>1911</v>
      </c>
    </row>
    <row r="369" spans="1:19" s="29" customFormat="1" x14ac:dyDescent="0.3">
      <c r="A369" s="27"/>
      <c r="B369" s="27"/>
      <c r="D369" s="29" t="s">
        <v>1914</v>
      </c>
      <c r="I369" s="108"/>
      <c r="M369" s="69">
        <f t="shared" si="10"/>
        <v>0</v>
      </c>
      <c r="N369" s="69">
        <f t="shared" si="11"/>
        <v>0</v>
      </c>
      <c r="O369" s="29">
        <v>4154</v>
      </c>
      <c r="Q369" s="27"/>
      <c r="R369" s="62"/>
      <c r="S369" s="29" t="s">
        <v>1915</v>
      </c>
    </row>
    <row r="370" spans="1:19" s="29" customFormat="1" x14ac:dyDescent="0.3">
      <c r="A370" s="27"/>
      <c r="B370" s="27"/>
      <c r="D370" s="29" t="s">
        <v>1917</v>
      </c>
      <c r="I370" s="108"/>
      <c r="M370" s="69">
        <f t="shared" si="10"/>
        <v>0</v>
      </c>
      <c r="N370" s="69">
        <f t="shared" si="11"/>
        <v>0</v>
      </c>
      <c r="O370" s="29">
        <v>4155</v>
      </c>
      <c r="Q370" s="27"/>
      <c r="R370" s="62"/>
      <c r="S370" s="29" t="s">
        <v>1919</v>
      </c>
    </row>
    <row r="371" spans="1:19" s="29" customFormat="1" x14ac:dyDescent="0.3">
      <c r="A371" s="27"/>
      <c r="B371" s="27"/>
      <c r="D371" s="29" t="s">
        <v>1918</v>
      </c>
      <c r="F371" s="29">
        <f>23963+111442</f>
        <v>135405</v>
      </c>
      <c r="I371" s="108"/>
      <c r="M371" s="69">
        <f t="shared" si="10"/>
        <v>0</v>
      </c>
      <c r="N371" s="69">
        <f t="shared" si="11"/>
        <v>0</v>
      </c>
      <c r="O371" s="29">
        <v>3696</v>
      </c>
      <c r="Q371" s="27"/>
      <c r="R371" s="62"/>
      <c r="S371" s="29" t="s">
        <v>1920</v>
      </c>
    </row>
    <row r="372" spans="1:19" s="29" customFormat="1" x14ac:dyDescent="0.3">
      <c r="A372" s="27"/>
      <c r="B372" s="27"/>
      <c r="D372" s="29" t="s">
        <v>1923</v>
      </c>
      <c r="F372" s="29">
        <f>F371-134549</f>
        <v>856</v>
      </c>
      <c r="I372" s="108"/>
      <c r="M372" s="69">
        <f t="shared" si="10"/>
        <v>0</v>
      </c>
      <c r="N372" s="69">
        <f t="shared" si="11"/>
        <v>0</v>
      </c>
      <c r="O372" s="29">
        <v>7396</v>
      </c>
      <c r="Q372" s="27"/>
      <c r="R372" s="62"/>
      <c r="S372" s="29" t="s">
        <v>1922</v>
      </c>
    </row>
    <row r="373" spans="1:19" s="29" customFormat="1" x14ac:dyDescent="0.3">
      <c r="A373" s="27"/>
      <c r="B373" s="27"/>
      <c r="D373" s="29" t="s">
        <v>1921</v>
      </c>
      <c r="I373" s="108"/>
      <c r="M373" s="69">
        <f t="shared" si="10"/>
        <v>0</v>
      </c>
      <c r="N373" s="69">
        <f t="shared" si="11"/>
        <v>0</v>
      </c>
      <c r="O373" s="29">
        <v>8308</v>
      </c>
      <c r="Q373" s="27"/>
      <c r="R373" s="62"/>
      <c r="S373" s="29" t="s">
        <v>1924</v>
      </c>
    </row>
    <row r="374" spans="1:19" s="29" customFormat="1" x14ac:dyDescent="0.3">
      <c r="A374" s="27"/>
      <c r="B374" s="27"/>
      <c r="D374" s="29" t="s">
        <v>1926</v>
      </c>
      <c r="I374" s="108"/>
      <c r="M374" s="69">
        <f t="shared" si="10"/>
        <v>0</v>
      </c>
      <c r="N374" s="69">
        <f t="shared" si="11"/>
        <v>0</v>
      </c>
      <c r="O374" s="29">
        <v>19522</v>
      </c>
      <c r="Q374" s="27"/>
      <c r="R374" s="62"/>
      <c r="S374" s="29" t="s">
        <v>1928</v>
      </c>
    </row>
    <row r="375" spans="1:19" s="29" customFormat="1" ht="26.4" x14ac:dyDescent="0.3">
      <c r="A375" s="27"/>
      <c r="B375" s="27"/>
      <c r="D375" s="29" t="s">
        <v>1927</v>
      </c>
      <c r="I375" s="108"/>
      <c r="M375" s="69">
        <f t="shared" si="10"/>
        <v>0</v>
      </c>
      <c r="N375" s="69">
        <f t="shared" si="11"/>
        <v>0</v>
      </c>
      <c r="O375" s="88">
        <v>4000</v>
      </c>
      <c r="Q375" s="27"/>
      <c r="R375" s="62" t="s">
        <v>1911</v>
      </c>
    </row>
    <row r="376" spans="1:19" s="29" customFormat="1" x14ac:dyDescent="0.3">
      <c r="A376" s="27"/>
      <c r="B376" s="27"/>
      <c r="D376" s="29" t="s">
        <v>1929</v>
      </c>
      <c r="I376" s="108"/>
      <c r="M376" s="69">
        <f t="shared" si="10"/>
        <v>0</v>
      </c>
      <c r="N376" s="69">
        <f t="shared" si="11"/>
        <v>0</v>
      </c>
      <c r="O376" s="29">
        <v>4682</v>
      </c>
      <c r="Q376" s="27"/>
      <c r="R376" s="62"/>
      <c r="S376" s="29" t="s">
        <v>1930</v>
      </c>
    </row>
    <row r="377" spans="1:19" s="29" customFormat="1" x14ac:dyDescent="0.3">
      <c r="A377" s="27"/>
      <c r="B377" s="27"/>
      <c r="D377" s="3"/>
      <c r="I377" s="108"/>
      <c r="M377" s="69">
        <f t="shared" si="10"/>
        <v>0</v>
      </c>
      <c r="N377" s="69">
        <f t="shared" si="11"/>
        <v>0</v>
      </c>
      <c r="O377" s="108">
        <f>SUM(O354:O376)</f>
        <v>182734</v>
      </c>
      <c r="Q377" s="27"/>
      <c r="R377" s="62"/>
    </row>
    <row r="378" spans="1:19" s="29" customFormat="1" x14ac:dyDescent="0.3">
      <c r="A378" s="27"/>
      <c r="B378" s="27"/>
      <c r="D378" s="3"/>
      <c r="I378" s="108"/>
      <c r="M378" s="69">
        <f t="shared" si="10"/>
        <v>0</v>
      </c>
      <c r="N378" s="69">
        <f t="shared" si="11"/>
        <v>0</v>
      </c>
      <c r="O378" s="108"/>
      <c r="Q378" s="27"/>
      <c r="R378" s="62"/>
    </row>
    <row r="379" spans="1:19" s="29" customFormat="1" x14ac:dyDescent="0.3">
      <c r="A379" s="27">
        <v>45137</v>
      </c>
      <c r="B379" s="15" t="str">
        <f>TEXT(A379,"mmmm")</f>
        <v>July</v>
      </c>
      <c r="C379" s="98" t="s">
        <v>1916</v>
      </c>
      <c r="D379" s="29" t="s">
        <v>1931</v>
      </c>
      <c r="E379" s="29">
        <v>1</v>
      </c>
      <c r="G379" s="29" t="s">
        <v>26</v>
      </c>
      <c r="H379" s="29" t="s">
        <v>10</v>
      </c>
      <c r="I379" s="108">
        <v>6730</v>
      </c>
      <c r="J379" s="29">
        <v>21</v>
      </c>
      <c r="K379" s="29">
        <v>21</v>
      </c>
      <c r="M379" s="69">
        <f t="shared" si="10"/>
        <v>42</v>
      </c>
      <c r="N379" s="69">
        <f t="shared" si="11"/>
        <v>6688</v>
      </c>
      <c r="O379" s="108">
        <v>6461</v>
      </c>
      <c r="P379" s="29">
        <v>227</v>
      </c>
      <c r="Q379" s="27" t="s">
        <v>2176</v>
      </c>
      <c r="R379" s="62">
        <v>45138</v>
      </c>
      <c r="S379" s="29" t="s">
        <v>1932</v>
      </c>
    </row>
    <row r="380" spans="1:19" s="29" customFormat="1" x14ac:dyDescent="0.3">
      <c r="A380" s="27"/>
      <c r="B380" s="27"/>
      <c r="D380" s="3"/>
      <c r="I380" s="108"/>
      <c r="M380" s="69">
        <f t="shared" si="10"/>
        <v>0</v>
      </c>
      <c r="N380" s="69">
        <f t="shared" si="11"/>
        <v>0</v>
      </c>
      <c r="O380" s="108"/>
      <c r="Q380" s="27"/>
      <c r="R380" s="62"/>
    </row>
    <row r="381" spans="1:19" s="29" customFormat="1" x14ac:dyDescent="0.3">
      <c r="A381" s="27">
        <v>45137</v>
      </c>
      <c r="B381" s="15" t="str">
        <f>TEXT(A381,"mmmm")</f>
        <v>July</v>
      </c>
      <c r="C381" s="29" t="s">
        <v>1933</v>
      </c>
      <c r="D381" s="3" t="s">
        <v>1934</v>
      </c>
      <c r="F381" s="3" t="s">
        <v>54</v>
      </c>
      <c r="G381" s="3" t="s">
        <v>26</v>
      </c>
      <c r="H381" s="3" t="s">
        <v>10</v>
      </c>
      <c r="I381" s="108">
        <f>SUM(J381,K381,O398,P381)</f>
        <v>174534</v>
      </c>
      <c r="J381" s="29">
        <f>P381*9%</f>
        <v>1575</v>
      </c>
      <c r="K381" s="29">
        <f>J381</f>
        <v>1575</v>
      </c>
      <c r="M381" s="69">
        <f t="shared" si="10"/>
        <v>3150</v>
      </c>
      <c r="N381" s="69">
        <f t="shared" si="11"/>
        <v>171384</v>
      </c>
      <c r="O381" s="29">
        <v>4041</v>
      </c>
      <c r="P381" s="29">
        <f>350*24+100+9000</f>
        <v>17500</v>
      </c>
      <c r="Q381" s="27">
        <v>45148</v>
      </c>
      <c r="R381" s="62" t="s">
        <v>1970</v>
      </c>
      <c r="S381" s="29" t="s">
        <v>1935</v>
      </c>
    </row>
    <row r="382" spans="1:19" s="29" customFormat="1" ht="39.6" x14ac:dyDescent="0.3">
      <c r="A382" s="27"/>
      <c r="B382" s="27"/>
      <c r="D382" s="3" t="s">
        <v>1936</v>
      </c>
      <c r="I382" s="108"/>
      <c r="M382" s="69">
        <f t="shared" si="10"/>
        <v>0</v>
      </c>
      <c r="N382" s="69">
        <f t="shared" si="11"/>
        <v>0</v>
      </c>
      <c r="O382" s="29">
        <f>13461</f>
        <v>13461</v>
      </c>
      <c r="Q382" s="27"/>
      <c r="R382" s="110" t="s">
        <v>2001</v>
      </c>
      <c r="S382" s="29" t="s">
        <v>1937</v>
      </c>
    </row>
    <row r="383" spans="1:19" s="29" customFormat="1" x14ac:dyDescent="0.3">
      <c r="A383" s="27"/>
      <c r="B383" s="27"/>
      <c r="D383" s="3" t="s">
        <v>1938</v>
      </c>
      <c r="I383" s="108"/>
      <c r="M383" s="69">
        <f t="shared" si="10"/>
        <v>0</v>
      </c>
      <c r="N383" s="69">
        <f t="shared" si="11"/>
        <v>0</v>
      </c>
      <c r="O383" s="29">
        <v>1000</v>
      </c>
      <c r="Q383" s="27"/>
      <c r="R383" s="97" t="s">
        <v>2006</v>
      </c>
      <c r="S383" s="110" t="s">
        <v>1939</v>
      </c>
    </row>
    <row r="384" spans="1:19" s="29" customFormat="1" x14ac:dyDescent="0.3">
      <c r="A384" s="27"/>
      <c r="B384" s="27"/>
      <c r="D384" s="3" t="s">
        <v>1941</v>
      </c>
      <c r="I384" s="108"/>
      <c r="M384" s="69">
        <f t="shared" si="10"/>
        <v>0</v>
      </c>
      <c r="N384" s="69">
        <f t="shared" si="11"/>
        <v>0</v>
      </c>
      <c r="O384" s="29">
        <v>5898</v>
      </c>
      <c r="Q384" s="27"/>
      <c r="R384" s="29">
        <f>42001-8200-6222</f>
        <v>27579</v>
      </c>
      <c r="S384" s="29" t="s">
        <v>1959</v>
      </c>
    </row>
    <row r="385" spans="1:19" s="29" customFormat="1" x14ac:dyDescent="0.3">
      <c r="A385" s="27"/>
      <c r="B385" s="27"/>
      <c r="D385" s="3" t="s">
        <v>1947</v>
      </c>
      <c r="I385" s="108"/>
      <c r="M385" s="69">
        <f t="shared" si="10"/>
        <v>0</v>
      </c>
      <c r="N385" s="69">
        <f t="shared" si="11"/>
        <v>0</v>
      </c>
      <c r="O385" s="29">
        <v>9110</v>
      </c>
      <c r="R385" s="62"/>
      <c r="S385" s="29" t="s">
        <v>1949</v>
      </c>
    </row>
    <row r="386" spans="1:19" s="29" customFormat="1" x14ac:dyDescent="0.3">
      <c r="A386" s="27"/>
      <c r="B386" s="27"/>
      <c r="D386" s="3" t="s">
        <v>1948</v>
      </c>
      <c r="I386" s="108"/>
      <c r="M386" s="69">
        <f t="shared" si="10"/>
        <v>0</v>
      </c>
      <c r="N386" s="69">
        <f t="shared" si="11"/>
        <v>0</v>
      </c>
      <c r="O386" s="29">
        <v>6170</v>
      </c>
      <c r="Q386" s="27"/>
      <c r="R386" s="62"/>
      <c r="S386" s="29" t="s">
        <v>1950</v>
      </c>
    </row>
    <row r="387" spans="1:19" s="29" customFormat="1" ht="26.4" x14ac:dyDescent="0.3">
      <c r="A387" s="27"/>
      <c r="B387" s="27"/>
      <c r="D387" s="3" t="s">
        <v>1952</v>
      </c>
      <c r="I387" s="108"/>
      <c r="M387" s="69">
        <f t="shared" ref="M387:M450" si="12">SUM(J387:L387)</f>
        <v>0</v>
      </c>
      <c r="N387" s="69">
        <f t="shared" ref="N387:N450" si="13">I387-M387</f>
        <v>0</v>
      </c>
      <c r="O387" s="88">
        <f>4275+4000</f>
        <v>8275</v>
      </c>
      <c r="Q387" s="27"/>
      <c r="R387" s="62" t="s">
        <v>1951</v>
      </c>
    </row>
    <row r="388" spans="1:19" s="29" customFormat="1" x14ac:dyDescent="0.3">
      <c r="A388" s="27"/>
      <c r="B388" s="27"/>
      <c r="D388" s="3" t="s">
        <v>1958</v>
      </c>
      <c r="I388" s="108"/>
      <c r="M388" s="69">
        <f t="shared" si="12"/>
        <v>0</v>
      </c>
      <c r="N388" s="69">
        <f t="shared" si="13"/>
        <v>0</v>
      </c>
      <c r="O388" s="29">
        <v>3433</v>
      </c>
      <c r="Q388" s="27"/>
      <c r="R388" s="62"/>
      <c r="S388" s="29" t="s">
        <v>1960</v>
      </c>
    </row>
    <row r="389" spans="1:19" s="29" customFormat="1" x14ac:dyDescent="0.3">
      <c r="A389" s="27"/>
      <c r="B389" s="27"/>
      <c r="D389" s="3" t="s">
        <v>1964</v>
      </c>
      <c r="I389" s="108"/>
      <c r="M389" s="69">
        <f t="shared" si="12"/>
        <v>0</v>
      </c>
      <c r="N389" s="69">
        <f t="shared" si="13"/>
        <v>0</v>
      </c>
      <c r="O389" s="29">
        <v>14766</v>
      </c>
      <c r="Q389" s="27"/>
      <c r="R389" s="62"/>
      <c r="S389" s="29" t="s">
        <v>1965</v>
      </c>
    </row>
    <row r="390" spans="1:19" s="29" customFormat="1" x14ac:dyDescent="0.3">
      <c r="A390" s="27"/>
      <c r="B390" s="27"/>
      <c r="D390" s="3" t="s">
        <v>1962</v>
      </c>
      <c r="I390" s="108"/>
      <c r="M390" s="69">
        <f t="shared" si="12"/>
        <v>0</v>
      </c>
      <c r="N390" s="69">
        <f t="shared" si="13"/>
        <v>0</v>
      </c>
      <c r="O390" s="29">
        <v>14377</v>
      </c>
      <c r="Q390" s="27"/>
      <c r="R390" s="62"/>
      <c r="S390" s="29" t="s">
        <v>1966</v>
      </c>
    </row>
    <row r="391" spans="1:19" s="29" customFormat="1" x14ac:dyDescent="0.3">
      <c r="A391" s="27"/>
      <c r="B391" s="27"/>
      <c r="D391" s="3" t="s">
        <v>1963</v>
      </c>
      <c r="I391" s="108"/>
      <c r="M391" s="69">
        <f t="shared" si="12"/>
        <v>0</v>
      </c>
      <c r="N391" s="69">
        <f t="shared" si="13"/>
        <v>0</v>
      </c>
      <c r="O391" s="29">
        <v>13577</v>
      </c>
      <c r="Q391" s="27"/>
      <c r="R391" s="62"/>
      <c r="S391" s="29" t="s">
        <v>1967</v>
      </c>
    </row>
    <row r="392" spans="1:19" s="29" customFormat="1" ht="26.4" x14ac:dyDescent="0.3">
      <c r="A392" s="27"/>
      <c r="B392" s="27"/>
      <c r="D392" s="3" t="s">
        <v>1968</v>
      </c>
      <c r="H392" s="29" t="s">
        <v>1985</v>
      </c>
      <c r="I392" s="108"/>
      <c r="M392" s="69">
        <f t="shared" si="12"/>
        <v>0</v>
      </c>
      <c r="N392" s="69">
        <f t="shared" si="13"/>
        <v>0</v>
      </c>
      <c r="O392" s="88">
        <f>4025+2750</f>
        <v>6775</v>
      </c>
      <c r="Q392" s="27"/>
      <c r="R392" s="62" t="s">
        <v>1969</v>
      </c>
    </row>
    <row r="393" spans="1:19" s="29" customFormat="1" x14ac:dyDescent="0.3">
      <c r="A393" s="27"/>
      <c r="B393" s="27"/>
      <c r="D393" s="3" t="s">
        <v>1972</v>
      </c>
      <c r="I393" s="108"/>
      <c r="M393" s="69">
        <f t="shared" si="12"/>
        <v>0</v>
      </c>
      <c r="N393" s="69">
        <f t="shared" si="13"/>
        <v>0</v>
      </c>
      <c r="O393" s="29">
        <v>17545</v>
      </c>
      <c r="Q393" s="27"/>
      <c r="R393" s="62"/>
      <c r="S393" s="29" t="s">
        <v>1971</v>
      </c>
    </row>
    <row r="394" spans="1:19" s="29" customFormat="1" x14ac:dyDescent="0.3">
      <c r="A394" s="27"/>
      <c r="B394" s="27"/>
      <c r="D394" s="3" t="s">
        <v>1973</v>
      </c>
      <c r="I394" s="108"/>
      <c r="M394" s="69">
        <f t="shared" si="12"/>
        <v>0</v>
      </c>
      <c r="N394" s="69">
        <f t="shared" si="13"/>
        <v>0</v>
      </c>
      <c r="O394" s="29">
        <v>16999</v>
      </c>
      <c r="Q394" s="27"/>
      <c r="R394" s="62"/>
      <c r="S394" s="29" t="s">
        <v>1974</v>
      </c>
    </row>
    <row r="395" spans="1:19" s="29" customFormat="1" x14ac:dyDescent="0.3">
      <c r="A395" s="27"/>
      <c r="B395" s="27"/>
      <c r="D395" s="3" t="s">
        <v>1975</v>
      </c>
      <c r="I395" s="108"/>
      <c r="M395" s="69">
        <f t="shared" si="12"/>
        <v>0</v>
      </c>
      <c r="N395" s="69">
        <f t="shared" si="13"/>
        <v>0</v>
      </c>
      <c r="O395" s="29">
        <v>7457</v>
      </c>
      <c r="Q395" s="27"/>
      <c r="R395" s="62"/>
      <c r="S395" s="29" t="s">
        <v>1976</v>
      </c>
    </row>
    <row r="396" spans="1:19" s="29" customFormat="1" ht="26.4" x14ac:dyDescent="0.3">
      <c r="A396" s="27"/>
      <c r="B396" s="27"/>
      <c r="D396" s="3" t="s">
        <v>1984</v>
      </c>
      <c r="I396" s="108"/>
      <c r="M396" s="69">
        <f t="shared" si="12"/>
        <v>0</v>
      </c>
      <c r="N396" s="69">
        <f t="shared" si="13"/>
        <v>0</v>
      </c>
      <c r="O396" s="88">
        <f>4025+4025</f>
        <v>8050</v>
      </c>
      <c r="Q396" s="27"/>
      <c r="R396" s="62" t="s">
        <v>1977</v>
      </c>
    </row>
    <row r="397" spans="1:19" s="29" customFormat="1" ht="26.4" x14ac:dyDescent="0.3">
      <c r="A397" s="27"/>
      <c r="B397" s="27"/>
      <c r="D397" s="3" t="s">
        <v>1982</v>
      </c>
      <c r="H397" s="110" t="s">
        <v>1983</v>
      </c>
      <c r="I397" s="108"/>
      <c r="M397" s="69">
        <f t="shared" si="12"/>
        <v>0</v>
      </c>
      <c r="N397" s="69">
        <f t="shared" si="13"/>
        <v>0</v>
      </c>
      <c r="O397" s="88">
        <v>2950</v>
      </c>
      <c r="Q397" s="27"/>
      <c r="R397" s="62" t="s">
        <v>1977</v>
      </c>
    </row>
    <row r="398" spans="1:19" s="29" customFormat="1" x14ac:dyDescent="0.3">
      <c r="A398" s="27"/>
      <c r="B398" s="27"/>
      <c r="D398" s="3"/>
      <c r="I398" s="108"/>
      <c r="M398" s="69">
        <f t="shared" si="12"/>
        <v>0</v>
      </c>
      <c r="N398" s="69">
        <f t="shared" si="13"/>
        <v>0</v>
      </c>
      <c r="O398" s="108">
        <f>SUM(O381:O397)</f>
        <v>153884</v>
      </c>
      <c r="Q398" s="27"/>
      <c r="R398" s="62"/>
    </row>
    <row r="399" spans="1:19" s="29" customFormat="1" x14ac:dyDescent="0.3">
      <c r="A399" s="27"/>
      <c r="B399" s="27"/>
      <c r="D399" s="3"/>
      <c r="I399" s="108"/>
      <c r="M399" s="69">
        <f t="shared" si="12"/>
        <v>0</v>
      </c>
      <c r="N399" s="69">
        <f t="shared" si="13"/>
        <v>0</v>
      </c>
      <c r="O399" s="108"/>
      <c r="Q399" s="27"/>
      <c r="R399" s="62"/>
    </row>
    <row r="400" spans="1:19" s="29" customFormat="1" ht="39.6" x14ac:dyDescent="0.3">
      <c r="A400" s="9">
        <v>45138</v>
      </c>
      <c r="B400" s="15" t="str">
        <f>TEXT(A400,"mmmm")</f>
        <v>July</v>
      </c>
      <c r="C400" s="50" t="s">
        <v>1943</v>
      </c>
      <c r="D400" s="112" t="s">
        <v>47</v>
      </c>
      <c r="E400" s="10">
        <v>1</v>
      </c>
      <c r="F400" s="10"/>
      <c r="G400" s="50" t="s">
        <v>26</v>
      </c>
      <c r="H400" s="50" t="s">
        <v>10</v>
      </c>
      <c r="I400" s="17">
        <v>952</v>
      </c>
      <c r="J400" s="10">
        <f>P400*9%</f>
        <v>54</v>
      </c>
      <c r="K400" s="10">
        <f>J400</f>
        <v>54</v>
      </c>
      <c r="L400" s="10"/>
      <c r="M400" s="69">
        <f t="shared" si="12"/>
        <v>108</v>
      </c>
      <c r="N400" s="69">
        <f t="shared" si="13"/>
        <v>844</v>
      </c>
      <c r="O400" s="17">
        <f>I400-J400-K400-P400</f>
        <v>244</v>
      </c>
      <c r="P400" s="10">
        <v>600</v>
      </c>
      <c r="Q400" s="62" t="s">
        <v>1945</v>
      </c>
      <c r="R400" s="116"/>
      <c r="S400" s="110" t="s">
        <v>1942</v>
      </c>
    </row>
    <row r="401" spans="1:19" s="29" customFormat="1" ht="26.4" x14ac:dyDescent="0.3">
      <c r="A401" s="9"/>
      <c r="B401" s="9"/>
      <c r="C401" s="10"/>
      <c r="D401" s="70" t="s">
        <v>1944</v>
      </c>
      <c r="E401" s="10"/>
      <c r="F401" s="10"/>
      <c r="G401" s="10"/>
      <c r="H401" s="10"/>
      <c r="I401" s="17"/>
      <c r="J401" s="10"/>
      <c r="K401" s="10"/>
      <c r="L401" s="10"/>
      <c r="M401" s="69">
        <f t="shared" si="12"/>
        <v>0</v>
      </c>
      <c r="N401" s="69">
        <f t="shared" si="13"/>
        <v>0</v>
      </c>
      <c r="O401" s="17"/>
      <c r="P401" s="10"/>
      <c r="Q401" s="27"/>
      <c r="R401" s="62"/>
    </row>
    <row r="402" spans="1:19" s="29" customFormat="1" x14ac:dyDescent="0.3">
      <c r="A402" s="27"/>
      <c r="B402" s="27"/>
      <c r="D402" s="3"/>
      <c r="I402" s="108"/>
      <c r="M402" s="69">
        <f t="shared" si="12"/>
        <v>0</v>
      </c>
      <c r="N402" s="69">
        <f t="shared" si="13"/>
        <v>0</v>
      </c>
      <c r="O402" s="108"/>
      <c r="Q402" s="27"/>
      <c r="R402" s="62"/>
    </row>
    <row r="403" spans="1:19" s="29" customFormat="1" ht="26.4" x14ac:dyDescent="0.3">
      <c r="A403" s="27">
        <v>45139</v>
      </c>
      <c r="B403" s="15" t="str">
        <f>TEXT(A403,"mmmm")</f>
        <v>August</v>
      </c>
      <c r="C403" s="29" t="s">
        <v>1953</v>
      </c>
      <c r="D403" s="3" t="s">
        <v>1954</v>
      </c>
      <c r="E403" s="29">
        <v>1</v>
      </c>
      <c r="G403" s="29" t="s">
        <v>26</v>
      </c>
      <c r="H403" s="29" t="s">
        <v>10</v>
      </c>
      <c r="I403" s="108">
        <f>SUM(J403:K403,O406,P403)</f>
        <v>10887</v>
      </c>
      <c r="J403" s="29">
        <v>102</v>
      </c>
      <c r="K403" s="29">
        <f>J403</f>
        <v>102</v>
      </c>
      <c r="M403" s="69">
        <f t="shared" si="12"/>
        <v>204</v>
      </c>
      <c r="N403" s="69">
        <f t="shared" si="13"/>
        <v>10683</v>
      </c>
      <c r="O403" s="29">
        <v>4507</v>
      </c>
      <c r="P403" s="29">
        <v>1124</v>
      </c>
      <c r="Q403" s="63" t="s">
        <v>2137</v>
      </c>
      <c r="R403" s="62" t="s">
        <v>1961</v>
      </c>
      <c r="S403" s="29" t="s">
        <v>1956</v>
      </c>
    </row>
    <row r="404" spans="1:19" s="29" customFormat="1" ht="26.4" x14ac:dyDescent="0.3">
      <c r="A404" s="27"/>
      <c r="B404" s="27"/>
      <c r="D404" s="3"/>
      <c r="I404" s="108"/>
      <c r="M404" s="69">
        <f t="shared" si="12"/>
        <v>0</v>
      </c>
      <c r="N404" s="69">
        <f t="shared" si="13"/>
        <v>0</v>
      </c>
      <c r="O404" s="29">
        <v>4702</v>
      </c>
      <c r="Q404" s="62" t="s">
        <v>2081</v>
      </c>
      <c r="R404" s="62" t="s">
        <v>1946</v>
      </c>
      <c r="S404" s="29" t="s">
        <v>1955</v>
      </c>
    </row>
    <row r="405" spans="1:19" s="29" customFormat="1" ht="26.4" x14ac:dyDescent="0.3">
      <c r="A405" s="27"/>
      <c r="B405" s="27"/>
      <c r="D405" s="3"/>
      <c r="I405" s="108"/>
      <c r="M405" s="69">
        <f t="shared" si="12"/>
        <v>0</v>
      </c>
      <c r="N405" s="69">
        <f t="shared" si="13"/>
        <v>0</v>
      </c>
      <c r="O405" s="29">
        <v>350</v>
      </c>
      <c r="Q405" s="62" t="s">
        <v>2082</v>
      </c>
      <c r="R405" s="62"/>
      <c r="S405" s="29" t="s">
        <v>1957</v>
      </c>
    </row>
    <row r="406" spans="1:19" s="29" customFormat="1" x14ac:dyDescent="0.3">
      <c r="A406" s="27"/>
      <c r="B406" s="27"/>
      <c r="D406" s="3"/>
      <c r="I406" s="108"/>
      <c r="M406" s="69">
        <f t="shared" si="12"/>
        <v>0</v>
      </c>
      <c r="N406" s="69">
        <f t="shared" si="13"/>
        <v>0</v>
      </c>
      <c r="O406" s="108">
        <f>SUM(O403:O405)</f>
        <v>9559</v>
      </c>
      <c r="Q406" s="27"/>
      <c r="R406" s="62"/>
    </row>
    <row r="407" spans="1:19" s="29" customFormat="1" x14ac:dyDescent="0.3">
      <c r="A407" s="27"/>
      <c r="B407" s="27"/>
      <c r="D407" s="3"/>
      <c r="I407" s="108"/>
      <c r="M407" s="69">
        <f t="shared" si="12"/>
        <v>0</v>
      </c>
      <c r="N407" s="69">
        <f t="shared" si="13"/>
        <v>0</v>
      </c>
      <c r="O407" s="108"/>
      <c r="Q407" s="27"/>
      <c r="R407" s="62"/>
    </row>
    <row r="408" spans="1:19" s="10" customFormat="1" ht="26.4" x14ac:dyDescent="0.3">
      <c r="A408" s="9">
        <v>45141</v>
      </c>
      <c r="B408" s="15" t="str">
        <f>TEXT(A408,"mmmm")</f>
        <v>August</v>
      </c>
      <c r="C408" s="10" t="s">
        <v>1978</v>
      </c>
      <c r="D408" s="112" t="s">
        <v>1979</v>
      </c>
      <c r="E408" s="10">
        <v>2</v>
      </c>
      <c r="F408" s="10" t="s">
        <v>54</v>
      </c>
      <c r="G408" s="50" t="s">
        <v>26</v>
      </c>
      <c r="H408" s="50" t="s">
        <v>10</v>
      </c>
      <c r="I408" s="10">
        <v>19613</v>
      </c>
      <c r="J408" s="10">
        <v>189</v>
      </c>
      <c r="K408" s="10">
        <v>189</v>
      </c>
      <c r="M408" s="69">
        <f t="shared" si="12"/>
        <v>378</v>
      </c>
      <c r="N408" s="69">
        <f t="shared" si="13"/>
        <v>19235</v>
      </c>
      <c r="O408" s="17">
        <v>17135</v>
      </c>
      <c r="P408" s="10">
        <v>2100</v>
      </c>
      <c r="Q408" s="64" t="s">
        <v>1988</v>
      </c>
      <c r="R408" s="64" t="s">
        <v>1988</v>
      </c>
      <c r="S408" s="68" t="s">
        <v>1981</v>
      </c>
    </row>
    <row r="409" spans="1:19" s="10" customFormat="1" ht="26.4" x14ac:dyDescent="0.3">
      <c r="A409" s="9"/>
      <c r="B409" s="9"/>
      <c r="C409" s="50"/>
      <c r="D409" s="112" t="s">
        <v>2002</v>
      </c>
      <c r="G409" s="50"/>
      <c r="H409" s="50"/>
      <c r="I409" s="10">
        <f>3411+2811</f>
        <v>6222</v>
      </c>
      <c r="M409" s="69">
        <f t="shared" si="12"/>
        <v>0</v>
      </c>
      <c r="N409" s="69">
        <f t="shared" si="13"/>
        <v>6222</v>
      </c>
      <c r="O409" s="17"/>
      <c r="Q409" s="63" t="s">
        <v>2119</v>
      </c>
      <c r="R409" s="64"/>
      <c r="S409" s="68" t="s">
        <v>2000</v>
      </c>
    </row>
    <row r="410" spans="1:19" s="10" customFormat="1" ht="26.4" x14ac:dyDescent="0.3">
      <c r="A410" s="9"/>
      <c r="B410" s="9"/>
      <c r="C410" s="50"/>
      <c r="D410" s="112" t="s">
        <v>1975</v>
      </c>
      <c r="G410" s="50"/>
      <c r="H410" s="50"/>
      <c r="I410" s="10">
        <f>2383+2808</f>
        <v>5191</v>
      </c>
      <c r="M410" s="69">
        <f t="shared" si="12"/>
        <v>0</v>
      </c>
      <c r="N410" s="69">
        <f t="shared" si="13"/>
        <v>5191</v>
      </c>
      <c r="O410" s="17"/>
      <c r="Q410" s="64"/>
      <c r="R410" s="64"/>
      <c r="S410" s="68" t="s">
        <v>2003</v>
      </c>
    </row>
    <row r="411" spans="1:19" s="10" customFormat="1" ht="26.4" x14ac:dyDescent="0.3">
      <c r="A411" s="9"/>
      <c r="B411" s="9"/>
      <c r="D411" s="70" t="s">
        <v>1980</v>
      </c>
      <c r="I411" s="17">
        <f>SUM(I408:I410)</f>
        <v>31026</v>
      </c>
      <c r="M411" s="69">
        <f t="shared" si="12"/>
        <v>0</v>
      </c>
      <c r="N411" s="69">
        <f t="shared" si="13"/>
        <v>31026</v>
      </c>
      <c r="O411" s="17"/>
      <c r="Q411" s="9"/>
      <c r="R411" s="9"/>
    </row>
    <row r="412" spans="1:19" s="29" customFormat="1" x14ac:dyDescent="0.3">
      <c r="A412" s="27"/>
      <c r="B412" s="27"/>
      <c r="D412" s="3"/>
      <c r="I412" s="108"/>
      <c r="M412" s="69">
        <f t="shared" si="12"/>
        <v>0</v>
      </c>
      <c r="N412" s="69">
        <f t="shared" si="13"/>
        <v>0</v>
      </c>
      <c r="O412" s="108"/>
      <c r="Q412" s="27"/>
      <c r="R412" s="62"/>
    </row>
    <row r="413" spans="1:19" s="29" customFormat="1" x14ac:dyDescent="0.3">
      <c r="A413" s="27">
        <v>45142</v>
      </c>
      <c r="B413" s="15" t="str">
        <f>TEXT(A413,"mmmm")</f>
        <v>August</v>
      </c>
      <c r="C413" s="29" t="s">
        <v>1989</v>
      </c>
      <c r="D413" s="3" t="s">
        <v>1990</v>
      </c>
      <c r="E413" s="29">
        <v>2</v>
      </c>
      <c r="F413" s="3" t="s">
        <v>54</v>
      </c>
      <c r="G413" s="3" t="s">
        <v>26</v>
      </c>
      <c r="H413" s="3" t="s">
        <v>10</v>
      </c>
      <c r="I413" s="108">
        <f>SUM(J413,K413,O424,P413)</f>
        <v>125165</v>
      </c>
      <c r="J413" s="29">
        <v>1085</v>
      </c>
      <c r="K413" s="29">
        <f>J413</f>
        <v>1085</v>
      </c>
      <c r="M413" s="69">
        <f t="shared" si="12"/>
        <v>2170</v>
      </c>
      <c r="N413" s="69">
        <f t="shared" si="13"/>
        <v>122995</v>
      </c>
      <c r="O413" s="29">
        <f>1944</f>
        <v>1944</v>
      </c>
      <c r="P413" s="29">
        <f>350*23+1000+2000+1000</f>
        <v>12050</v>
      </c>
      <c r="Q413" s="63" t="s">
        <v>2119</v>
      </c>
      <c r="R413" s="62" t="s">
        <v>2023</v>
      </c>
      <c r="S413" s="29" t="s">
        <v>1991</v>
      </c>
    </row>
    <row r="414" spans="1:19" s="29" customFormat="1" ht="26.4" x14ac:dyDescent="0.3">
      <c r="A414" s="27"/>
      <c r="B414" s="27"/>
      <c r="D414" s="3" t="s">
        <v>1992</v>
      </c>
      <c r="F414" s="3"/>
      <c r="G414" s="3"/>
      <c r="H414" s="3"/>
      <c r="I414" s="108"/>
      <c r="M414" s="69">
        <f t="shared" si="12"/>
        <v>0</v>
      </c>
      <c r="N414" s="69">
        <f t="shared" si="13"/>
        <v>0</v>
      </c>
      <c r="O414" s="29">
        <v>5119</v>
      </c>
      <c r="Q414" s="27"/>
      <c r="R414" s="62" t="s">
        <v>2007</v>
      </c>
      <c r="S414" s="29" t="s">
        <v>1993</v>
      </c>
    </row>
    <row r="415" spans="1:19" s="29" customFormat="1" ht="26.4" x14ac:dyDescent="0.3">
      <c r="A415" s="27"/>
      <c r="B415" s="27"/>
      <c r="D415" s="3" t="s">
        <v>1994</v>
      </c>
      <c r="F415" s="3"/>
      <c r="G415" s="3"/>
      <c r="H415" s="3"/>
      <c r="I415" s="108"/>
      <c r="M415" s="69">
        <f t="shared" si="12"/>
        <v>0</v>
      </c>
      <c r="N415" s="69">
        <f t="shared" si="13"/>
        <v>0</v>
      </c>
      <c r="O415" s="29">
        <v>4527</v>
      </c>
      <c r="R415" s="110" t="s">
        <v>2008</v>
      </c>
      <c r="S415" s="29" t="s">
        <v>1995</v>
      </c>
    </row>
    <row r="416" spans="1:19" s="29" customFormat="1" ht="26.4" x14ac:dyDescent="0.3">
      <c r="A416" s="27"/>
      <c r="B416" s="27"/>
      <c r="D416" s="3" t="s">
        <v>2004</v>
      </c>
      <c r="F416" s="3"/>
      <c r="G416" s="3"/>
      <c r="H416" s="110" t="s">
        <v>1983</v>
      </c>
      <c r="I416" s="108"/>
      <c r="M416" s="69">
        <f t="shared" si="12"/>
        <v>0</v>
      </c>
      <c r="N416" s="69">
        <f t="shared" si="13"/>
        <v>0</v>
      </c>
      <c r="O416" s="88">
        <v>2950</v>
      </c>
      <c r="Q416" s="27"/>
      <c r="R416" s="62" t="s">
        <v>2005</v>
      </c>
    </row>
    <row r="417" spans="1:19" s="29" customFormat="1" x14ac:dyDescent="0.3">
      <c r="A417" s="27"/>
      <c r="B417" s="27"/>
      <c r="D417" s="3" t="s">
        <v>2009</v>
      </c>
      <c r="F417" s="3"/>
      <c r="G417" s="3"/>
      <c r="H417" s="3"/>
      <c r="I417" s="108"/>
      <c r="M417" s="69">
        <f t="shared" si="12"/>
        <v>0</v>
      </c>
      <c r="N417" s="69">
        <f t="shared" si="13"/>
        <v>0</v>
      </c>
      <c r="O417" s="29">
        <v>15502</v>
      </c>
      <c r="Q417" s="27"/>
      <c r="R417" s="62"/>
      <c r="S417" s="29" t="s">
        <v>2010</v>
      </c>
    </row>
    <row r="418" spans="1:19" s="29" customFormat="1" x14ac:dyDescent="0.3">
      <c r="A418" s="27"/>
      <c r="B418" s="27"/>
      <c r="D418" s="3" t="s">
        <v>2012</v>
      </c>
      <c r="F418" s="3"/>
      <c r="G418" s="3"/>
      <c r="H418" s="3"/>
      <c r="I418" s="108"/>
      <c r="M418" s="69">
        <f t="shared" si="12"/>
        <v>0</v>
      </c>
      <c r="N418" s="69">
        <f t="shared" si="13"/>
        <v>0</v>
      </c>
      <c r="O418" s="29">
        <v>18170</v>
      </c>
      <c r="Q418" s="27"/>
      <c r="R418" s="62"/>
      <c r="S418" s="29" t="s">
        <v>2011</v>
      </c>
    </row>
    <row r="419" spans="1:19" s="29" customFormat="1" ht="26.4" x14ac:dyDescent="0.3">
      <c r="A419" s="27"/>
      <c r="B419" s="27"/>
      <c r="D419" s="3" t="s">
        <v>1952</v>
      </c>
      <c r="I419" s="108"/>
      <c r="M419" s="69">
        <f t="shared" si="12"/>
        <v>0</v>
      </c>
      <c r="N419" s="69">
        <f t="shared" si="13"/>
        <v>0</v>
      </c>
      <c r="O419" s="88">
        <f>4275+4000</f>
        <v>8275</v>
      </c>
      <c r="Q419" s="27"/>
      <c r="R419" s="62" t="s">
        <v>2013</v>
      </c>
    </row>
    <row r="420" spans="1:19" s="29" customFormat="1" x14ac:dyDescent="0.3">
      <c r="A420" s="27"/>
      <c r="B420" s="27"/>
      <c r="D420" s="3" t="s">
        <v>2014</v>
      </c>
      <c r="F420" s="3"/>
      <c r="G420" s="3"/>
      <c r="H420" s="3"/>
      <c r="I420" s="108"/>
      <c r="M420" s="69">
        <f t="shared" si="12"/>
        <v>0</v>
      </c>
      <c r="N420" s="69">
        <f t="shared" si="13"/>
        <v>0</v>
      </c>
      <c r="O420" s="29">
        <v>7495</v>
      </c>
      <c r="Q420" s="27"/>
      <c r="R420" s="62"/>
      <c r="S420" s="29" t="s">
        <v>2015</v>
      </c>
    </row>
    <row r="421" spans="1:19" s="29" customFormat="1" x14ac:dyDescent="0.3">
      <c r="A421" s="27"/>
      <c r="B421" s="27"/>
      <c r="D421" s="3" t="s">
        <v>2016</v>
      </c>
      <c r="F421" s="3"/>
      <c r="G421" s="3"/>
      <c r="H421" s="3"/>
      <c r="I421" s="108"/>
      <c r="M421" s="69">
        <f t="shared" si="12"/>
        <v>0</v>
      </c>
      <c r="N421" s="69">
        <f t="shared" si="13"/>
        <v>0</v>
      </c>
      <c r="O421" s="29">
        <v>24465</v>
      </c>
      <c r="Q421" s="27"/>
      <c r="R421" s="62"/>
      <c r="S421" s="29" t="s">
        <v>2018</v>
      </c>
    </row>
    <row r="422" spans="1:19" s="29" customFormat="1" x14ac:dyDescent="0.3">
      <c r="A422" s="27"/>
      <c r="B422" s="27"/>
      <c r="D422" s="3" t="s">
        <v>2017</v>
      </c>
      <c r="F422" s="3"/>
      <c r="G422" s="3"/>
      <c r="H422" s="3"/>
      <c r="I422" s="108"/>
      <c r="M422" s="69">
        <f t="shared" si="12"/>
        <v>0</v>
      </c>
      <c r="N422" s="69">
        <f t="shared" si="13"/>
        <v>0</v>
      </c>
      <c r="O422" s="29">
        <v>20698</v>
      </c>
      <c r="Q422" s="27"/>
      <c r="R422" s="62"/>
      <c r="S422" s="29" t="s">
        <v>2019</v>
      </c>
    </row>
    <row r="423" spans="1:19" s="29" customFormat="1" x14ac:dyDescent="0.3">
      <c r="A423" s="27"/>
      <c r="B423" s="27"/>
      <c r="D423" s="3" t="s">
        <v>2022</v>
      </c>
      <c r="F423" s="3"/>
      <c r="G423" s="3"/>
      <c r="H423" s="3"/>
      <c r="I423" s="108"/>
      <c r="M423" s="69">
        <f t="shared" si="12"/>
        <v>0</v>
      </c>
      <c r="N423" s="69">
        <f t="shared" si="13"/>
        <v>0</v>
      </c>
      <c r="O423" s="29">
        <v>1800</v>
      </c>
      <c r="Q423" s="27"/>
      <c r="R423" s="62"/>
    </row>
    <row r="424" spans="1:19" s="29" customFormat="1" x14ac:dyDescent="0.3">
      <c r="A424" s="27"/>
      <c r="B424" s="27"/>
      <c r="D424" s="3"/>
      <c r="I424" s="108"/>
      <c r="M424" s="69">
        <f t="shared" si="12"/>
        <v>0</v>
      </c>
      <c r="N424" s="69">
        <f t="shared" si="13"/>
        <v>0</v>
      </c>
      <c r="O424" s="108">
        <f>SUM(O413:O423)</f>
        <v>110945</v>
      </c>
      <c r="Q424" s="27"/>
      <c r="R424" s="62"/>
    </row>
    <row r="425" spans="1:19" s="29" customFormat="1" x14ac:dyDescent="0.3">
      <c r="A425" s="27"/>
      <c r="B425" s="27"/>
      <c r="D425" s="3"/>
      <c r="I425" s="108"/>
      <c r="M425" s="69">
        <f t="shared" si="12"/>
        <v>0</v>
      </c>
      <c r="N425" s="69">
        <f t="shared" si="13"/>
        <v>0</v>
      </c>
      <c r="O425" s="108"/>
      <c r="Q425" s="27"/>
      <c r="R425" s="62"/>
    </row>
    <row r="426" spans="1:19" s="29" customFormat="1" ht="26.4" x14ac:dyDescent="0.3">
      <c r="A426" s="27">
        <v>45142</v>
      </c>
      <c r="B426" s="15" t="str">
        <f>TEXT(A426,"mmmm")</f>
        <v>August</v>
      </c>
      <c r="C426" s="29" t="s">
        <v>2024</v>
      </c>
      <c r="D426" s="3" t="s">
        <v>1997</v>
      </c>
      <c r="E426" s="29">
        <v>1</v>
      </c>
      <c r="F426" s="3" t="s">
        <v>54</v>
      </c>
      <c r="G426" s="3" t="s">
        <v>24</v>
      </c>
      <c r="H426" s="3" t="s">
        <v>1998</v>
      </c>
      <c r="I426" s="108">
        <f>35395</f>
        <v>35395</v>
      </c>
      <c r="J426" s="29">
        <v>743</v>
      </c>
      <c r="K426" s="29">
        <f>J426</f>
        <v>743</v>
      </c>
      <c r="M426" s="69">
        <f t="shared" si="12"/>
        <v>1486</v>
      </c>
      <c r="N426" s="69">
        <f t="shared" si="13"/>
        <v>33909</v>
      </c>
      <c r="O426" s="88">
        <v>3603</v>
      </c>
      <c r="P426" s="29">
        <f>(750*3*3)+1500</f>
        <v>8250</v>
      </c>
      <c r="Q426" s="63" t="s">
        <v>2119</v>
      </c>
      <c r="R426" s="62" t="s">
        <v>1999</v>
      </c>
    </row>
    <row r="427" spans="1:19" s="29" customFormat="1" x14ac:dyDescent="0.3">
      <c r="A427" s="27"/>
      <c r="B427" s="27"/>
      <c r="D427" s="3" t="s">
        <v>2020</v>
      </c>
      <c r="F427" s="3"/>
      <c r="G427" s="3"/>
      <c r="H427" s="3" t="s">
        <v>2021</v>
      </c>
      <c r="I427" s="108"/>
      <c r="M427" s="69">
        <f t="shared" si="12"/>
        <v>0</v>
      </c>
      <c r="N427" s="69">
        <f t="shared" si="13"/>
        <v>0</v>
      </c>
      <c r="O427" s="3">
        <v>22056</v>
      </c>
      <c r="Q427" s="27"/>
      <c r="R427" s="62">
        <v>45145</v>
      </c>
    </row>
    <row r="428" spans="1:19" s="29" customFormat="1" x14ac:dyDescent="0.3">
      <c r="A428" s="27"/>
      <c r="B428" s="27"/>
      <c r="D428" s="3"/>
      <c r="F428" s="3"/>
      <c r="G428" s="3"/>
      <c r="H428" s="3"/>
      <c r="I428" s="108"/>
      <c r="M428" s="69">
        <f t="shared" si="12"/>
        <v>0</v>
      </c>
      <c r="N428" s="69">
        <f t="shared" si="13"/>
        <v>0</v>
      </c>
      <c r="O428" s="4">
        <f>SUM(O426:O427)</f>
        <v>25659</v>
      </c>
      <c r="Q428" s="27"/>
      <c r="R428" s="62"/>
    </row>
    <row r="429" spans="1:19" s="29" customFormat="1" x14ac:dyDescent="0.3">
      <c r="A429" s="27"/>
      <c r="B429" s="27"/>
      <c r="D429" s="3"/>
      <c r="F429" s="3"/>
      <c r="G429" s="3"/>
      <c r="H429" s="3"/>
      <c r="I429" s="108"/>
      <c r="M429" s="69">
        <f t="shared" si="12"/>
        <v>0</v>
      </c>
      <c r="N429" s="69">
        <f t="shared" si="13"/>
        <v>0</v>
      </c>
      <c r="O429" s="3"/>
      <c r="Q429" s="27"/>
      <c r="R429" s="62"/>
    </row>
    <row r="430" spans="1:19" s="29" customFormat="1" x14ac:dyDescent="0.3">
      <c r="A430" s="27">
        <v>45149</v>
      </c>
      <c r="B430" s="15" t="str">
        <f>TEXT(A430,"mmmm")</f>
        <v>August</v>
      </c>
      <c r="C430" s="29" t="s">
        <v>1996</v>
      </c>
      <c r="D430" s="3" t="s">
        <v>2025</v>
      </c>
      <c r="F430" s="3" t="s">
        <v>54</v>
      </c>
      <c r="G430" s="3" t="s">
        <v>26</v>
      </c>
      <c r="H430" s="3" t="s">
        <v>10</v>
      </c>
      <c r="I430" s="108">
        <f>SUM(J430,K430,O447,P430)</f>
        <v>194327</v>
      </c>
      <c r="J430" s="29">
        <f>P430*9%</f>
        <v>1278</v>
      </c>
      <c r="K430" s="29">
        <f>J430</f>
        <v>1278</v>
      </c>
      <c r="M430" s="69">
        <f t="shared" si="12"/>
        <v>2556</v>
      </c>
      <c r="N430" s="69">
        <f t="shared" si="13"/>
        <v>191771</v>
      </c>
      <c r="O430" s="3">
        <v>21230</v>
      </c>
      <c r="P430" s="29">
        <f>1000*10+350*12</f>
        <v>14200</v>
      </c>
      <c r="Q430" s="97">
        <v>45161</v>
      </c>
      <c r="R430" s="62" t="s">
        <v>2074</v>
      </c>
      <c r="S430" s="29" t="s">
        <v>2026</v>
      </c>
    </row>
    <row r="431" spans="1:19" s="29" customFormat="1" x14ac:dyDescent="0.3">
      <c r="A431" s="27"/>
      <c r="B431" s="27"/>
      <c r="D431" s="3" t="s">
        <v>1368</v>
      </c>
      <c r="F431" s="3"/>
      <c r="G431" s="3"/>
      <c r="H431" s="3"/>
      <c r="I431" s="108"/>
      <c r="M431" s="69">
        <f t="shared" si="12"/>
        <v>0</v>
      </c>
      <c r="N431" s="69">
        <f t="shared" si="13"/>
        <v>0</v>
      </c>
      <c r="O431" s="3">
        <v>21265</v>
      </c>
      <c r="Q431" s="27"/>
      <c r="R431" s="62"/>
      <c r="S431" s="29" t="s">
        <v>2027</v>
      </c>
    </row>
    <row r="432" spans="1:19" s="29" customFormat="1" x14ac:dyDescent="0.3">
      <c r="A432" s="27"/>
      <c r="B432" s="27"/>
      <c r="D432" s="3" t="s">
        <v>1914</v>
      </c>
      <c r="F432" s="3"/>
      <c r="G432" s="3"/>
      <c r="H432" s="3"/>
      <c r="I432" s="108"/>
      <c r="M432" s="69">
        <f t="shared" si="12"/>
        <v>0</v>
      </c>
      <c r="N432" s="69">
        <f t="shared" si="13"/>
        <v>0</v>
      </c>
      <c r="O432" s="3">
        <v>5581</v>
      </c>
      <c r="Q432" s="27"/>
      <c r="R432" s="62"/>
      <c r="S432" s="29" t="s">
        <v>2028</v>
      </c>
    </row>
    <row r="433" spans="1:19" s="29" customFormat="1" x14ac:dyDescent="0.3">
      <c r="A433" s="27"/>
      <c r="B433" s="27"/>
      <c r="D433" s="3" t="s">
        <v>1929</v>
      </c>
      <c r="F433" s="3"/>
      <c r="G433" s="3"/>
      <c r="H433" s="3"/>
      <c r="I433" s="108"/>
      <c r="M433" s="69">
        <f t="shared" si="12"/>
        <v>0</v>
      </c>
      <c r="N433" s="69">
        <f t="shared" si="13"/>
        <v>0</v>
      </c>
      <c r="O433" s="3">
        <v>5197</v>
      </c>
      <c r="Q433" s="27"/>
      <c r="R433" s="62"/>
      <c r="S433" s="29" t="s">
        <v>2029</v>
      </c>
    </row>
    <row r="434" spans="1:19" s="29" customFormat="1" x14ac:dyDescent="0.3">
      <c r="A434" s="27"/>
      <c r="B434" s="27"/>
      <c r="D434" s="3" t="s">
        <v>2030</v>
      </c>
      <c r="F434" s="3"/>
      <c r="G434" s="3"/>
      <c r="H434" s="3"/>
      <c r="I434" s="108"/>
      <c r="M434" s="69">
        <f t="shared" si="12"/>
        <v>0</v>
      </c>
      <c r="N434" s="69">
        <f t="shared" si="13"/>
        <v>0</v>
      </c>
      <c r="O434" s="3">
        <v>4879</v>
      </c>
      <c r="Q434" s="27"/>
      <c r="R434" s="62"/>
      <c r="S434" s="29" t="s">
        <v>2031</v>
      </c>
    </row>
    <row r="435" spans="1:19" s="29" customFormat="1" x14ac:dyDescent="0.3">
      <c r="A435" s="27"/>
      <c r="B435" s="27"/>
      <c r="D435" s="3" t="s">
        <v>2033</v>
      </c>
      <c r="F435" s="3"/>
      <c r="G435" s="3"/>
      <c r="H435" s="3"/>
      <c r="I435" s="108"/>
      <c r="M435" s="69">
        <f t="shared" si="12"/>
        <v>0</v>
      </c>
      <c r="N435" s="69">
        <f t="shared" si="13"/>
        <v>0</v>
      </c>
      <c r="O435" s="3">
        <v>4761</v>
      </c>
      <c r="Q435" s="27"/>
      <c r="R435" s="62"/>
      <c r="S435" s="29" t="s">
        <v>2032</v>
      </c>
    </row>
    <row r="436" spans="1:19" s="29" customFormat="1" x14ac:dyDescent="0.3">
      <c r="A436" s="27"/>
      <c r="B436" s="27"/>
      <c r="D436" s="3" t="s">
        <v>2034</v>
      </c>
      <c r="F436" s="3"/>
      <c r="G436" s="3"/>
      <c r="H436" s="3"/>
      <c r="I436" s="108"/>
      <c r="M436" s="69">
        <f t="shared" si="12"/>
        <v>0</v>
      </c>
      <c r="N436" s="69">
        <f t="shared" si="13"/>
        <v>0</v>
      </c>
      <c r="O436" s="3">
        <v>3535</v>
      </c>
      <c r="Q436" s="27"/>
      <c r="R436" s="62"/>
      <c r="S436" s="29" t="s">
        <v>2036</v>
      </c>
    </row>
    <row r="437" spans="1:19" s="29" customFormat="1" x14ac:dyDescent="0.3">
      <c r="A437" s="27"/>
      <c r="B437" s="27"/>
      <c r="D437" s="3" t="s">
        <v>2035</v>
      </c>
      <c r="F437" s="3"/>
      <c r="G437" s="3"/>
      <c r="H437" s="3"/>
      <c r="I437" s="108"/>
      <c r="M437" s="69">
        <f t="shared" si="12"/>
        <v>0</v>
      </c>
      <c r="N437" s="69">
        <f t="shared" si="13"/>
        <v>0</v>
      </c>
      <c r="O437" s="3">
        <v>6654</v>
      </c>
      <c r="Q437" s="27"/>
      <c r="R437" s="62"/>
      <c r="S437" s="29" t="s">
        <v>2037</v>
      </c>
    </row>
    <row r="438" spans="1:19" s="29" customFormat="1" x14ac:dyDescent="0.3">
      <c r="A438" s="27"/>
      <c r="B438" s="27"/>
      <c r="D438" s="3" t="s">
        <v>2038</v>
      </c>
      <c r="F438" s="3"/>
      <c r="G438" s="3"/>
      <c r="H438" s="3"/>
      <c r="I438" s="108"/>
      <c r="M438" s="69">
        <f t="shared" si="12"/>
        <v>0</v>
      </c>
      <c r="N438" s="69">
        <f t="shared" si="13"/>
        <v>0</v>
      </c>
      <c r="O438" s="3">
        <v>4799</v>
      </c>
      <c r="Q438" s="27"/>
      <c r="R438" s="62"/>
      <c r="S438" s="29" t="s">
        <v>2040</v>
      </c>
    </row>
    <row r="439" spans="1:19" s="29" customFormat="1" x14ac:dyDescent="0.3">
      <c r="A439" s="27"/>
      <c r="B439" s="27"/>
      <c r="D439" s="3" t="s">
        <v>2039</v>
      </c>
      <c r="F439" s="3"/>
      <c r="G439" s="3"/>
      <c r="H439" s="3"/>
      <c r="I439" s="108"/>
      <c r="M439" s="69">
        <f t="shared" si="12"/>
        <v>0</v>
      </c>
      <c r="N439" s="69">
        <f t="shared" si="13"/>
        <v>0</v>
      </c>
      <c r="O439" s="3">
        <v>3715</v>
      </c>
      <c r="Q439" s="27"/>
      <c r="R439" s="62"/>
      <c r="S439" s="29" t="s">
        <v>2041</v>
      </c>
    </row>
    <row r="440" spans="1:19" s="29" customFormat="1" x14ac:dyDescent="0.3">
      <c r="A440" s="27"/>
      <c r="B440" s="27"/>
      <c r="D440" s="3" t="s">
        <v>2043</v>
      </c>
      <c r="F440" s="3"/>
      <c r="G440" s="3"/>
      <c r="H440" s="3"/>
      <c r="I440" s="108"/>
      <c r="M440" s="69">
        <f t="shared" si="12"/>
        <v>0</v>
      </c>
      <c r="N440" s="69">
        <f t="shared" si="13"/>
        <v>0</v>
      </c>
      <c r="O440" s="3">
        <v>4700</v>
      </c>
      <c r="Q440" s="27"/>
      <c r="R440" s="62"/>
      <c r="S440" s="29" t="s">
        <v>2044</v>
      </c>
    </row>
    <row r="441" spans="1:19" s="29" customFormat="1" x14ac:dyDescent="0.3">
      <c r="A441" s="27"/>
      <c r="B441" s="27"/>
      <c r="D441" s="3" t="s">
        <v>2042</v>
      </c>
      <c r="F441" s="3"/>
      <c r="G441" s="3"/>
      <c r="H441" s="3"/>
      <c r="I441" s="108"/>
      <c r="M441" s="69">
        <f t="shared" si="12"/>
        <v>0</v>
      </c>
      <c r="N441" s="69">
        <f t="shared" si="13"/>
        <v>0</v>
      </c>
      <c r="O441" s="3">
        <v>4735</v>
      </c>
      <c r="Q441" s="27"/>
      <c r="R441" s="62"/>
      <c r="S441" s="29" t="s">
        <v>2045</v>
      </c>
    </row>
    <row r="442" spans="1:19" s="29" customFormat="1" ht="26.4" x14ac:dyDescent="0.3">
      <c r="A442" s="27"/>
      <c r="B442" s="27"/>
      <c r="D442" s="3" t="s">
        <v>2062</v>
      </c>
      <c r="F442" s="3"/>
      <c r="G442" s="3"/>
      <c r="H442" s="3" t="s">
        <v>2065</v>
      </c>
      <c r="I442" s="108"/>
      <c r="M442" s="69">
        <f t="shared" si="12"/>
        <v>0</v>
      </c>
      <c r="N442" s="69">
        <f t="shared" si="13"/>
        <v>0</v>
      </c>
      <c r="O442" s="88">
        <v>2400</v>
      </c>
      <c r="Q442" s="27"/>
      <c r="R442" s="62" t="s">
        <v>2063</v>
      </c>
      <c r="S442" s="29" t="s">
        <v>2064</v>
      </c>
    </row>
    <row r="443" spans="1:19" s="29" customFormat="1" x14ac:dyDescent="0.3">
      <c r="A443" s="27"/>
      <c r="B443" s="27"/>
      <c r="D443" s="3" t="s">
        <v>2066</v>
      </c>
      <c r="F443" s="3"/>
      <c r="G443" s="3"/>
      <c r="H443" s="3"/>
      <c r="I443" s="108"/>
      <c r="M443" s="69">
        <f t="shared" si="12"/>
        <v>0</v>
      </c>
      <c r="N443" s="69">
        <f t="shared" si="13"/>
        <v>0</v>
      </c>
      <c r="O443" s="3">
        <v>27524</v>
      </c>
      <c r="Q443" s="27"/>
      <c r="R443" s="62"/>
      <c r="S443" s="29" t="s">
        <v>2069</v>
      </c>
    </row>
    <row r="444" spans="1:19" s="29" customFormat="1" x14ac:dyDescent="0.3">
      <c r="A444" s="27"/>
      <c r="B444" s="27"/>
      <c r="D444" s="3" t="s">
        <v>2067</v>
      </c>
      <c r="F444" s="3"/>
      <c r="G444" s="3"/>
      <c r="H444" s="3"/>
      <c r="I444" s="108"/>
      <c r="M444" s="69">
        <f t="shared" si="12"/>
        <v>0</v>
      </c>
      <c r="N444" s="69">
        <f t="shared" si="13"/>
        <v>0</v>
      </c>
      <c r="O444" s="3">
        <v>42886</v>
      </c>
      <c r="Q444" s="27"/>
      <c r="R444" s="62"/>
      <c r="S444" s="29" t="s">
        <v>2068</v>
      </c>
    </row>
    <row r="445" spans="1:19" s="29" customFormat="1" x14ac:dyDescent="0.3">
      <c r="A445" s="27"/>
      <c r="B445" s="27"/>
      <c r="D445" s="3" t="s">
        <v>2070</v>
      </c>
      <c r="F445" s="3"/>
      <c r="G445" s="3"/>
      <c r="H445" s="3"/>
      <c r="I445" s="108"/>
      <c r="M445" s="69">
        <f t="shared" si="12"/>
        <v>0</v>
      </c>
      <c r="N445" s="69">
        <f t="shared" si="13"/>
        <v>0</v>
      </c>
      <c r="O445" s="3">
        <v>9304</v>
      </c>
      <c r="Q445" s="27"/>
      <c r="R445" s="62"/>
      <c r="S445" s="29" t="s">
        <v>2072</v>
      </c>
    </row>
    <row r="446" spans="1:19" s="29" customFormat="1" x14ac:dyDescent="0.3">
      <c r="A446" s="27"/>
      <c r="B446" s="27"/>
      <c r="D446" s="3" t="s">
        <v>2071</v>
      </c>
      <c r="F446" s="3"/>
      <c r="G446" s="3"/>
      <c r="H446" s="3"/>
      <c r="I446" s="108"/>
      <c r="M446" s="69">
        <f t="shared" si="12"/>
        <v>0</v>
      </c>
      <c r="N446" s="69">
        <f t="shared" si="13"/>
        <v>0</v>
      </c>
      <c r="O446" s="3">
        <v>4406</v>
      </c>
      <c r="Q446" s="27"/>
      <c r="R446" s="62"/>
      <c r="S446" s="29" t="s">
        <v>2073</v>
      </c>
    </row>
    <row r="447" spans="1:19" s="29" customFormat="1" x14ac:dyDescent="0.3">
      <c r="A447" s="27"/>
      <c r="B447" s="27"/>
      <c r="D447" s="3"/>
      <c r="F447" s="3"/>
      <c r="G447" s="3"/>
      <c r="H447" s="3"/>
      <c r="I447" s="108"/>
      <c r="M447" s="69">
        <f t="shared" si="12"/>
        <v>0</v>
      </c>
      <c r="N447" s="69">
        <f t="shared" si="13"/>
        <v>0</v>
      </c>
      <c r="O447" s="4">
        <f>SUM(O430:O446)</f>
        <v>177571</v>
      </c>
      <c r="Q447" s="27"/>
      <c r="R447" s="62"/>
    </row>
    <row r="448" spans="1:19" s="29" customFormat="1" x14ac:dyDescent="0.3">
      <c r="A448" s="27"/>
      <c r="B448" s="27"/>
      <c r="D448" s="3"/>
      <c r="F448" s="3"/>
      <c r="G448" s="3"/>
      <c r="H448" s="3"/>
      <c r="I448" s="108"/>
      <c r="M448" s="69">
        <f t="shared" si="12"/>
        <v>0</v>
      </c>
      <c r="N448" s="69">
        <f t="shared" si="13"/>
        <v>0</v>
      </c>
      <c r="O448" s="3"/>
      <c r="Q448" s="27"/>
      <c r="R448" s="62"/>
    </row>
    <row r="449" spans="1:19" s="29" customFormat="1" x14ac:dyDescent="0.3">
      <c r="A449" s="27">
        <v>45156</v>
      </c>
      <c r="B449" s="15" t="str">
        <f>TEXT(A449,"mmmm")</f>
        <v>August</v>
      </c>
      <c r="C449" s="29" t="s">
        <v>2046</v>
      </c>
      <c r="D449" s="3" t="s">
        <v>2047</v>
      </c>
      <c r="F449" s="3" t="s">
        <v>54</v>
      </c>
      <c r="G449" s="3" t="s">
        <v>9</v>
      </c>
      <c r="H449" s="3" t="s">
        <v>1134</v>
      </c>
      <c r="I449" s="108">
        <v>43249</v>
      </c>
      <c r="J449" s="29">
        <v>1030</v>
      </c>
      <c r="K449" s="29">
        <v>1030</v>
      </c>
      <c r="M449" s="69">
        <f t="shared" si="12"/>
        <v>2060</v>
      </c>
      <c r="N449" s="69">
        <f t="shared" si="13"/>
        <v>41189</v>
      </c>
      <c r="O449" s="3">
        <v>4121</v>
      </c>
      <c r="P449" s="29">
        <f>1250*7</f>
        <v>8750</v>
      </c>
      <c r="Q449" s="63" t="s">
        <v>2119</v>
      </c>
      <c r="R449" s="63" t="s">
        <v>2061</v>
      </c>
      <c r="S449" s="29" t="s">
        <v>2056</v>
      </c>
    </row>
    <row r="450" spans="1:19" s="29" customFormat="1" x14ac:dyDescent="0.3">
      <c r="A450" s="27"/>
      <c r="B450" s="27"/>
      <c r="D450" s="3" t="s">
        <v>2048</v>
      </c>
      <c r="F450" s="3"/>
      <c r="G450" s="3"/>
      <c r="H450" s="3"/>
      <c r="I450" s="108"/>
      <c r="M450" s="69">
        <f t="shared" si="12"/>
        <v>0</v>
      </c>
      <c r="N450" s="69">
        <f t="shared" si="13"/>
        <v>0</v>
      </c>
      <c r="O450" s="3">
        <v>4079</v>
      </c>
      <c r="Q450" s="27"/>
      <c r="R450" s="62"/>
      <c r="S450" s="29" t="s">
        <v>2055</v>
      </c>
    </row>
    <row r="451" spans="1:19" s="29" customFormat="1" x14ac:dyDescent="0.3">
      <c r="A451" s="27"/>
      <c r="B451" s="27"/>
      <c r="D451" s="3" t="s">
        <v>2049</v>
      </c>
      <c r="F451" s="3"/>
      <c r="G451" s="3"/>
      <c r="H451" s="3"/>
      <c r="I451" s="108"/>
      <c r="M451" s="69">
        <f t="shared" ref="M451:M514" si="14">SUM(J451:L451)</f>
        <v>0</v>
      </c>
      <c r="N451" s="69">
        <f t="shared" ref="N451:N514" si="15">I451-M451</f>
        <v>0</v>
      </c>
      <c r="O451" s="3">
        <v>4646</v>
      </c>
      <c r="Q451" s="27"/>
      <c r="R451" s="62"/>
      <c r="S451" s="29" t="s">
        <v>2054</v>
      </c>
    </row>
    <row r="452" spans="1:19" s="29" customFormat="1" x14ac:dyDescent="0.3">
      <c r="A452" s="27"/>
      <c r="B452" s="27"/>
      <c r="D452" s="3" t="s">
        <v>2050</v>
      </c>
      <c r="F452" s="3"/>
      <c r="G452" s="3"/>
      <c r="H452" s="3"/>
      <c r="I452" s="108"/>
      <c r="M452" s="69">
        <f t="shared" si="14"/>
        <v>0</v>
      </c>
      <c r="N452" s="69">
        <f t="shared" si="15"/>
        <v>0</v>
      </c>
      <c r="O452" s="3">
        <v>5129</v>
      </c>
      <c r="Q452" s="27"/>
      <c r="R452" s="62"/>
      <c r="S452" s="29" t="s">
        <v>2057</v>
      </c>
    </row>
    <row r="453" spans="1:19" s="29" customFormat="1" x14ac:dyDescent="0.3">
      <c r="A453" s="27"/>
      <c r="B453" s="27"/>
      <c r="D453" s="3" t="s">
        <v>2051</v>
      </c>
      <c r="F453" s="3"/>
      <c r="G453" s="3"/>
      <c r="H453" s="3"/>
      <c r="I453" s="108"/>
      <c r="M453" s="69">
        <f t="shared" si="14"/>
        <v>0</v>
      </c>
      <c r="N453" s="69">
        <f t="shared" si="15"/>
        <v>0</v>
      </c>
      <c r="O453" s="3">
        <v>4043</v>
      </c>
      <c r="Q453" s="27"/>
      <c r="R453" s="62"/>
      <c r="S453" s="29" t="s">
        <v>2058</v>
      </c>
    </row>
    <row r="454" spans="1:19" s="29" customFormat="1" x14ac:dyDescent="0.3">
      <c r="A454" s="27"/>
      <c r="B454" s="27"/>
      <c r="D454" s="3" t="s">
        <v>2052</v>
      </c>
      <c r="F454" s="3"/>
      <c r="G454" s="3"/>
      <c r="H454" s="3"/>
      <c r="I454" s="108"/>
      <c r="M454" s="69">
        <f t="shared" si="14"/>
        <v>0</v>
      </c>
      <c r="N454" s="69">
        <f t="shared" si="15"/>
        <v>0</v>
      </c>
      <c r="O454" s="3">
        <v>5943</v>
      </c>
      <c r="Q454" s="27"/>
      <c r="R454" s="62"/>
      <c r="S454" s="29" t="s">
        <v>2059</v>
      </c>
    </row>
    <row r="455" spans="1:19" s="29" customFormat="1" x14ac:dyDescent="0.3">
      <c r="A455" s="27"/>
      <c r="B455" s="27"/>
      <c r="D455" s="3" t="s">
        <v>2053</v>
      </c>
      <c r="F455" s="3"/>
      <c r="G455" s="3"/>
      <c r="H455" s="3"/>
      <c r="I455" s="108"/>
      <c r="M455" s="69">
        <f t="shared" si="14"/>
        <v>0</v>
      </c>
      <c r="N455" s="69">
        <f t="shared" si="15"/>
        <v>0</v>
      </c>
      <c r="O455" s="3">
        <v>4478</v>
      </c>
      <c r="Q455" s="27"/>
      <c r="R455" s="62"/>
      <c r="S455" s="29" t="s">
        <v>2060</v>
      </c>
    </row>
    <row r="456" spans="1:19" s="29" customFormat="1" x14ac:dyDescent="0.3">
      <c r="A456" s="27"/>
      <c r="B456" s="27"/>
      <c r="D456" s="3"/>
      <c r="F456" s="3"/>
      <c r="G456" s="3"/>
      <c r="H456" s="3"/>
      <c r="I456" s="108"/>
      <c r="M456" s="69">
        <f t="shared" si="14"/>
        <v>0</v>
      </c>
      <c r="N456" s="69">
        <f t="shared" si="15"/>
        <v>0</v>
      </c>
      <c r="O456" s="4">
        <f>SUM(O449:O455)</f>
        <v>32439</v>
      </c>
      <c r="Q456" s="27"/>
      <c r="R456" s="62"/>
    </row>
    <row r="457" spans="1:19" s="29" customFormat="1" x14ac:dyDescent="0.3">
      <c r="A457" s="27"/>
      <c r="B457" s="27"/>
      <c r="D457" s="3"/>
      <c r="F457" s="3"/>
      <c r="G457" s="3"/>
      <c r="H457" s="3"/>
      <c r="I457" s="108"/>
      <c r="M457" s="69">
        <f t="shared" si="14"/>
        <v>0</v>
      </c>
      <c r="N457" s="69">
        <f t="shared" si="15"/>
        <v>0</v>
      </c>
      <c r="O457" s="3"/>
      <c r="Q457" s="27"/>
      <c r="R457" s="62"/>
    </row>
    <row r="458" spans="1:19" s="29" customFormat="1" x14ac:dyDescent="0.3">
      <c r="A458" s="27">
        <v>45157</v>
      </c>
      <c r="B458" s="15" t="str">
        <f>TEXT(A458,"mmmm")</f>
        <v>August</v>
      </c>
      <c r="C458" s="98" t="s">
        <v>2075</v>
      </c>
      <c r="D458" s="3" t="s">
        <v>27</v>
      </c>
      <c r="E458" s="29">
        <v>1</v>
      </c>
      <c r="G458" s="29" t="s">
        <v>8</v>
      </c>
      <c r="H458" s="29" t="s">
        <v>57</v>
      </c>
      <c r="I458" s="108">
        <v>1001</v>
      </c>
      <c r="M458" s="69">
        <f t="shared" si="14"/>
        <v>0</v>
      </c>
      <c r="N458" s="69">
        <f t="shared" si="15"/>
        <v>1001</v>
      </c>
      <c r="O458" s="108"/>
      <c r="Q458" s="27">
        <v>45166</v>
      </c>
      <c r="R458" s="62"/>
    </row>
    <row r="459" spans="1:19" s="29" customFormat="1" x14ac:dyDescent="0.3">
      <c r="A459" s="27"/>
      <c r="B459" s="27"/>
      <c r="D459" s="3"/>
      <c r="I459" s="108"/>
      <c r="M459" s="69">
        <f t="shared" si="14"/>
        <v>0</v>
      </c>
      <c r="N459" s="69">
        <f t="shared" si="15"/>
        <v>0</v>
      </c>
      <c r="O459" s="108"/>
      <c r="Q459" s="27"/>
      <c r="R459" s="62"/>
    </row>
    <row r="460" spans="1:19" s="29" customFormat="1" x14ac:dyDescent="0.3">
      <c r="A460" s="27">
        <v>45157</v>
      </c>
      <c r="B460" s="15" t="str">
        <f>TEXT(A460,"mmmm")</f>
        <v>August</v>
      </c>
      <c r="C460" s="98" t="s">
        <v>2076</v>
      </c>
      <c r="D460" s="3" t="s">
        <v>1914</v>
      </c>
      <c r="F460" s="3" t="s">
        <v>54</v>
      </c>
      <c r="G460" s="29" t="s">
        <v>26</v>
      </c>
      <c r="H460" s="29" t="s">
        <v>10</v>
      </c>
      <c r="I460" s="108">
        <f>SUM(J460,K460,P460,O493)</f>
        <v>299049</v>
      </c>
      <c r="J460" s="29">
        <f>P460*9%</f>
        <v>2124</v>
      </c>
      <c r="K460" s="29">
        <f>J460</f>
        <v>2124</v>
      </c>
      <c r="M460" s="69">
        <f t="shared" si="14"/>
        <v>4248</v>
      </c>
      <c r="N460" s="69">
        <f t="shared" si="15"/>
        <v>294801</v>
      </c>
      <c r="O460" s="29">
        <v>3758</v>
      </c>
      <c r="P460" s="29">
        <f>350*36+1000*9+2000</f>
        <v>23600</v>
      </c>
      <c r="Q460" s="27" t="s">
        <v>2193</v>
      </c>
      <c r="R460" s="63" t="s">
        <v>2144</v>
      </c>
      <c r="S460" s="29" t="s">
        <v>2077</v>
      </c>
    </row>
    <row r="461" spans="1:19" s="29" customFormat="1" x14ac:dyDescent="0.3">
      <c r="A461" s="27"/>
      <c r="B461" s="27"/>
      <c r="D461" s="3" t="s">
        <v>2030</v>
      </c>
      <c r="I461" s="108"/>
      <c r="M461" s="69">
        <f t="shared" si="14"/>
        <v>0</v>
      </c>
      <c r="N461" s="69">
        <f t="shared" si="15"/>
        <v>0</v>
      </c>
      <c r="O461" s="29">
        <v>3758</v>
      </c>
      <c r="Q461" s="27"/>
      <c r="R461" s="29">
        <f>271201-500-8025-400-1000-1350</f>
        <v>259926</v>
      </c>
      <c r="S461" s="29" t="s">
        <v>2078</v>
      </c>
    </row>
    <row r="462" spans="1:19" s="29" customFormat="1" ht="26.4" x14ac:dyDescent="0.3">
      <c r="A462" s="27"/>
      <c r="B462" s="27"/>
      <c r="D462" s="3" t="s">
        <v>2033</v>
      </c>
      <c r="I462" s="108"/>
      <c r="M462" s="69">
        <f t="shared" si="14"/>
        <v>0</v>
      </c>
      <c r="N462" s="69">
        <f t="shared" si="15"/>
        <v>0</v>
      </c>
      <c r="O462" s="29">
        <f>3599+350</f>
        <v>3949</v>
      </c>
      <c r="Q462" s="27"/>
      <c r="R462" s="27"/>
      <c r="S462" s="110" t="s">
        <v>2136</v>
      </c>
    </row>
    <row r="463" spans="1:19" s="29" customFormat="1" x14ac:dyDescent="0.3">
      <c r="A463" s="27"/>
      <c r="B463" s="27"/>
      <c r="D463" s="3" t="s">
        <v>2079</v>
      </c>
      <c r="I463" s="108"/>
      <c r="M463" s="69">
        <f t="shared" si="14"/>
        <v>0</v>
      </c>
      <c r="N463" s="69">
        <f t="shared" si="15"/>
        <v>0</v>
      </c>
      <c r="O463" s="29">
        <v>3590</v>
      </c>
      <c r="Q463" s="27"/>
      <c r="R463" s="27"/>
      <c r="S463" s="29" t="s">
        <v>2080</v>
      </c>
    </row>
    <row r="464" spans="1:19" s="29" customFormat="1" x14ac:dyDescent="0.3">
      <c r="A464" s="27"/>
      <c r="B464" s="27"/>
      <c r="D464" s="3" t="s">
        <v>2084</v>
      </c>
      <c r="I464" s="108"/>
      <c r="M464" s="69">
        <f t="shared" si="14"/>
        <v>0</v>
      </c>
      <c r="N464" s="69">
        <f t="shared" si="15"/>
        <v>0</v>
      </c>
      <c r="O464" s="29">
        <v>3971</v>
      </c>
      <c r="Q464" s="27"/>
      <c r="R464" s="27"/>
      <c r="S464" s="29" t="s">
        <v>2083</v>
      </c>
    </row>
    <row r="465" spans="1:19" s="29" customFormat="1" x14ac:dyDescent="0.3">
      <c r="A465" s="27"/>
      <c r="B465" s="27"/>
      <c r="D465" s="3" t="s">
        <v>2085</v>
      </c>
      <c r="I465" s="108"/>
      <c r="M465" s="69">
        <f t="shared" si="14"/>
        <v>0</v>
      </c>
      <c r="N465" s="69">
        <f t="shared" si="15"/>
        <v>0</v>
      </c>
      <c r="O465" s="29">
        <v>29513</v>
      </c>
      <c r="Q465" s="27"/>
      <c r="R465" s="27"/>
      <c r="S465" s="29" t="s">
        <v>2086</v>
      </c>
    </row>
    <row r="466" spans="1:19" s="29" customFormat="1" x14ac:dyDescent="0.3">
      <c r="A466" s="27"/>
      <c r="B466" s="27"/>
      <c r="D466" s="3" t="s">
        <v>2087</v>
      </c>
      <c r="I466" s="108"/>
      <c r="M466" s="69">
        <f t="shared" si="14"/>
        <v>0</v>
      </c>
      <c r="N466" s="69">
        <f t="shared" si="15"/>
        <v>0</v>
      </c>
      <c r="O466" s="29">
        <v>11930</v>
      </c>
      <c r="Q466" s="27"/>
      <c r="R466" s="27"/>
      <c r="S466" s="29" t="s">
        <v>2088</v>
      </c>
    </row>
    <row r="467" spans="1:19" s="29" customFormat="1" x14ac:dyDescent="0.3">
      <c r="A467" s="27"/>
      <c r="B467" s="27"/>
      <c r="D467" s="3" t="s">
        <v>2089</v>
      </c>
      <c r="I467" s="108"/>
      <c r="M467" s="69">
        <f t="shared" si="14"/>
        <v>0</v>
      </c>
      <c r="N467" s="69">
        <f t="shared" si="15"/>
        <v>0</v>
      </c>
      <c r="O467" s="29">
        <v>7413</v>
      </c>
      <c r="Q467" s="27"/>
      <c r="R467" s="27"/>
      <c r="S467" s="29" t="s">
        <v>2091</v>
      </c>
    </row>
    <row r="468" spans="1:19" s="29" customFormat="1" ht="26.4" x14ac:dyDescent="0.3">
      <c r="A468" s="27"/>
      <c r="B468" s="27"/>
      <c r="D468" s="3" t="s">
        <v>2093</v>
      </c>
      <c r="H468" s="29" t="s">
        <v>807</v>
      </c>
      <c r="I468" s="108"/>
      <c r="M468" s="69">
        <f t="shared" si="14"/>
        <v>0</v>
      </c>
      <c r="N468" s="69">
        <f t="shared" si="15"/>
        <v>0</v>
      </c>
      <c r="O468" s="88">
        <v>1350</v>
      </c>
      <c r="Q468" s="27"/>
      <c r="R468" s="62" t="s">
        <v>2090</v>
      </c>
    </row>
    <row r="469" spans="1:19" s="29" customFormat="1" x14ac:dyDescent="0.3">
      <c r="A469" s="27"/>
      <c r="B469" s="27"/>
      <c r="D469" s="3" t="s">
        <v>2092</v>
      </c>
      <c r="I469" s="108"/>
      <c r="M469" s="69">
        <f t="shared" si="14"/>
        <v>0</v>
      </c>
      <c r="N469" s="69">
        <f t="shared" si="15"/>
        <v>0</v>
      </c>
      <c r="O469" s="29">
        <v>5387</v>
      </c>
      <c r="Q469" s="27"/>
      <c r="R469" s="27"/>
      <c r="S469" s="29" t="s">
        <v>2094</v>
      </c>
    </row>
    <row r="470" spans="1:19" s="29" customFormat="1" x14ac:dyDescent="0.3">
      <c r="A470" s="27"/>
      <c r="B470" s="27"/>
      <c r="D470" s="3" t="s">
        <v>2095</v>
      </c>
      <c r="I470" s="108"/>
      <c r="M470" s="69">
        <f t="shared" si="14"/>
        <v>0</v>
      </c>
      <c r="N470" s="69">
        <f t="shared" si="15"/>
        <v>0</v>
      </c>
      <c r="O470" s="29">
        <v>4644</v>
      </c>
      <c r="Q470" s="27"/>
      <c r="R470" s="27"/>
      <c r="S470" s="29" t="s">
        <v>2096</v>
      </c>
    </row>
    <row r="471" spans="1:19" s="29" customFormat="1" x14ac:dyDescent="0.3">
      <c r="A471" s="27"/>
      <c r="B471" s="27"/>
      <c r="D471" s="3" t="s">
        <v>2097</v>
      </c>
      <c r="I471" s="108"/>
      <c r="M471" s="69">
        <f t="shared" si="14"/>
        <v>0</v>
      </c>
      <c r="N471" s="69">
        <f t="shared" si="15"/>
        <v>0</v>
      </c>
      <c r="O471" s="29">
        <v>4731</v>
      </c>
      <c r="Q471" s="27"/>
      <c r="R471" s="27"/>
      <c r="S471" s="29" t="s">
        <v>2100</v>
      </c>
    </row>
    <row r="472" spans="1:19" s="29" customFormat="1" x14ac:dyDescent="0.3">
      <c r="A472" s="27"/>
      <c r="B472" s="27"/>
      <c r="D472" s="3" t="s">
        <v>2098</v>
      </c>
      <c r="I472" s="108"/>
      <c r="M472" s="69">
        <f t="shared" si="14"/>
        <v>0</v>
      </c>
      <c r="N472" s="69">
        <f t="shared" si="15"/>
        <v>0</v>
      </c>
      <c r="O472" s="29">
        <v>6360</v>
      </c>
      <c r="Q472" s="27"/>
      <c r="R472" s="27"/>
      <c r="S472" s="29" t="s">
        <v>2099</v>
      </c>
    </row>
    <row r="473" spans="1:19" s="29" customFormat="1" x14ac:dyDescent="0.3">
      <c r="A473" s="27"/>
      <c r="B473" s="27"/>
      <c r="D473" s="3" t="s">
        <v>2102</v>
      </c>
      <c r="I473" s="108"/>
      <c r="M473" s="69">
        <f t="shared" si="14"/>
        <v>0</v>
      </c>
      <c r="N473" s="69">
        <f t="shared" si="15"/>
        <v>0</v>
      </c>
      <c r="O473" s="29">
        <v>5787</v>
      </c>
      <c r="Q473" s="27"/>
      <c r="R473" s="27"/>
      <c r="S473" s="29" t="s">
        <v>2101</v>
      </c>
    </row>
    <row r="474" spans="1:19" s="29" customFormat="1" x14ac:dyDescent="0.3">
      <c r="A474" s="27"/>
      <c r="B474" s="27"/>
      <c r="D474" s="3" t="s">
        <v>2103</v>
      </c>
      <c r="I474" s="108"/>
      <c r="M474" s="69">
        <f t="shared" si="14"/>
        <v>0</v>
      </c>
      <c r="N474" s="69">
        <f t="shared" si="15"/>
        <v>0</v>
      </c>
      <c r="O474" s="29">
        <v>7378</v>
      </c>
      <c r="Q474" s="27"/>
      <c r="R474" s="27"/>
      <c r="S474" s="29" t="s">
        <v>2104</v>
      </c>
    </row>
    <row r="475" spans="1:19" s="29" customFormat="1" ht="26.4" x14ac:dyDescent="0.3">
      <c r="A475" s="27"/>
      <c r="B475" s="27"/>
      <c r="D475" s="3" t="s">
        <v>2122</v>
      </c>
      <c r="H475" s="29" t="s">
        <v>807</v>
      </c>
      <c r="I475" s="108"/>
      <c r="M475" s="69">
        <f t="shared" si="14"/>
        <v>0</v>
      </c>
      <c r="N475" s="69">
        <f t="shared" si="15"/>
        <v>0</v>
      </c>
      <c r="O475" s="88">
        <v>1000</v>
      </c>
      <c r="Q475" s="27"/>
      <c r="R475" s="62" t="s">
        <v>2105</v>
      </c>
    </row>
    <row r="476" spans="1:19" s="29" customFormat="1" x14ac:dyDescent="0.3">
      <c r="A476" s="27"/>
      <c r="B476" s="27"/>
      <c r="D476" s="3" t="s">
        <v>2107</v>
      </c>
      <c r="I476" s="108"/>
      <c r="M476" s="69">
        <f t="shared" si="14"/>
        <v>0</v>
      </c>
      <c r="N476" s="69">
        <f t="shared" si="15"/>
        <v>0</v>
      </c>
      <c r="O476" s="29">
        <v>3441</v>
      </c>
      <c r="Q476" s="27"/>
      <c r="R476" s="27"/>
      <c r="S476" s="29" t="s">
        <v>2106</v>
      </c>
    </row>
    <row r="477" spans="1:19" s="29" customFormat="1" x14ac:dyDescent="0.3">
      <c r="A477" s="27"/>
      <c r="B477" s="27"/>
      <c r="D477" s="3" t="s">
        <v>2108</v>
      </c>
      <c r="I477" s="108"/>
      <c r="M477" s="69">
        <f t="shared" si="14"/>
        <v>0</v>
      </c>
      <c r="N477" s="69">
        <f t="shared" si="15"/>
        <v>0</v>
      </c>
      <c r="O477" s="29">
        <v>2544</v>
      </c>
      <c r="Q477" s="27"/>
      <c r="R477" s="27"/>
      <c r="S477" s="29" t="s">
        <v>2109</v>
      </c>
    </row>
    <row r="478" spans="1:19" s="29" customFormat="1" ht="26.4" x14ac:dyDescent="0.3">
      <c r="A478" s="27"/>
      <c r="B478" s="27"/>
      <c r="D478" s="3" t="s">
        <v>2111</v>
      </c>
      <c r="H478" s="29" t="s">
        <v>807</v>
      </c>
      <c r="I478" s="108"/>
      <c r="M478" s="69">
        <f t="shared" si="14"/>
        <v>0</v>
      </c>
      <c r="N478" s="69">
        <f t="shared" si="15"/>
        <v>0</v>
      </c>
      <c r="O478" s="88">
        <v>400</v>
      </c>
      <c r="Q478" s="27"/>
      <c r="R478" s="62" t="s">
        <v>2105</v>
      </c>
    </row>
    <row r="479" spans="1:19" s="29" customFormat="1" x14ac:dyDescent="0.3">
      <c r="A479" s="27"/>
      <c r="B479" s="27"/>
      <c r="D479" s="29" t="s">
        <v>1540</v>
      </c>
      <c r="I479" s="108"/>
      <c r="M479" s="69">
        <f t="shared" si="14"/>
        <v>0</v>
      </c>
      <c r="N479" s="69">
        <f t="shared" si="15"/>
        <v>0</v>
      </c>
      <c r="O479" s="29">
        <v>49098</v>
      </c>
      <c r="Q479" s="27"/>
      <c r="R479" s="27"/>
      <c r="S479" s="29" t="s">
        <v>2113</v>
      </c>
    </row>
    <row r="480" spans="1:19" s="29" customFormat="1" x14ac:dyDescent="0.3">
      <c r="A480" s="27"/>
      <c r="B480" s="27"/>
      <c r="D480" s="29" t="s">
        <v>2112</v>
      </c>
      <c r="I480" s="108"/>
      <c r="M480" s="69">
        <f t="shared" si="14"/>
        <v>0</v>
      </c>
      <c r="N480" s="69">
        <f t="shared" si="15"/>
        <v>0</v>
      </c>
      <c r="O480" s="29">
        <v>42530</v>
      </c>
      <c r="Q480" s="27"/>
      <c r="R480" s="27"/>
      <c r="S480" s="29" t="s">
        <v>2114</v>
      </c>
    </row>
    <row r="481" spans="1:19" s="29" customFormat="1" x14ac:dyDescent="0.3">
      <c r="A481" s="27"/>
      <c r="B481" s="27"/>
      <c r="D481" s="3" t="s">
        <v>2115</v>
      </c>
      <c r="I481" s="108"/>
      <c r="M481" s="69">
        <f t="shared" si="14"/>
        <v>0</v>
      </c>
      <c r="N481" s="69">
        <f t="shared" si="15"/>
        <v>0</v>
      </c>
      <c r="O481" s="29">
        <f>4648</f>
        <v>4648</v>
      </c>
      <c r="Q481" s="27"/>
      <c r="R481" s="27"/>
      <c r="S481" s="29" t="s">
        <v>2117</v>
      </c>
    </row>
    <row r="482" spans="1:19" s="29" customFormat="1" ht="26.4" x14ac:dyDescent="0.3">
      <c r="A482" s="27"/>
      <c r="B482" s="27"/>
      <c r="D482" s="3" t="s">
        <v>2116</v>
      </c>
      <c r="I482" s="108"/>
      <c r="M482" s="69">
        <f t="shared" si="14"/>
        <v>0</v>
      </c>
      <c r="N482" s="69">
        <f t="shared" si="15"/>
        <v>0</v>
      </c>
      <c r="O482" s="29">
        <f>3599+350</f>
        <v>3949</v>
      </c>
      <c r="Q482" s="27"/>
      <c r="R482" s="27"/>
      <c r="S482" s="110" t="s">
        <v>2135</v>
      </c>
    </row>
    <row r="483" spans="1:19" s="29" customFormat="1" ht="26.4" x14ac:dyDescent="0.3">
      <c r="A483" s="27"/>
      <c r="B483" s="27"/>
      <c r="D483" s="29" t="s">
        <v>2118</v>
      </c>
      <c r="I483" s="108"/>
      <c r="M483" s="69">
        <f t="shared" si="14"/>
        <v>0</v>
      </c>
      <c r="N483" s="69">
        <f t="shared" si="15"/>
        <v>0</v>
      </c>
      <c r="O483" s="88">
        <f>4000+4025</f>
        <v>8025</v>
      </c>
      <c r="Q483" s="27"/>
      <c r="R483" s="62" t="s">
        <v>2105</v>
      </c>
    </row>
    <row r="484" spans="1:19" s="29" customFormat="1" x14ac:dyDescent="0.3">
      <c r="A484" s="27"/>
      <c r="B484" s="27"/>
      <c r="D484" s="3" t="s">
        <v>2120</v>
      </c>
      <c r="I484" s="108"/>
      <c r="M484" s="69">
        <f t="shared" si="14"/>
        <v>0</v>
      </c>
      <c r="N484" s="69">
        <f t="shared" si="15"/>
        <v>0</v>
      </c>
      <c r="O484" s="29">
        <v>8305</v>
      </c>
      <c r="Q484" s="27"/>
      <c r="R484" s="27"/>
      <c r="S484" s="29" t="s">
        <v>2121</v>
      </c>
    </row>
    <row r="485" spans="1:19" s="29" customFormat="1" x14ac:dyDescent="0.3">
      <c r="A485" s="27"/>
      <c r="B485" s="27"/>
      <c r="D485" s="3" t="s">
        <v>2123</v>
      </c>
      <c r="I485" s="108"/>
      <c r="M485" s="69">
        <f t="shared" si="14"/>
        <v>0</v>
      </c>
      <c r="N485" s="69">
        <f t="shared" si="15"/>
        <v>0</v>
      </c>
      <c r="O485" s="29">
        <v>3528</v>
      </c>
      <c r="Q485" s="27"/>
      <c r="R485" s="27"/>
      <c r="S485" s="29" t="s">
        <v>2124</v>
      </c>
    </row>
    <row r="486" spans="1:19" s="29" customFormat="1" ht="26.4" x14ac:dyDescent="0.3">
      <c r="A486" s="27"/>
      <c r="B486" s="27"/>
      <c r="D486" s="3" t="s">
        <v>2110</v>
      </c>
      <c r="H486" s="29" t="s">
        <v>807</v>
      </c>
      <c r="I486" s="108"/>
      <c r="M486" s="69">
        <f t="shared" si="14"/>
        <v>0</v>
      </c>
      <c r="N486" s="69">
        <f t="shared" si="15"/>
        <v>0</v>
      </c>
      <c r="O486" s="88">
        <v>500</v>
      </c>
      <c r="Q486" s="27"/>
      <c r="R486" s="62" t="s">
        <v>2105</v>
      </c>
    </row>
    <row r="487" spans="1:19" s="29" customFormat="1" x14ac:dyDescent="0.3">
      <c r="A487" s="27"/>
      <c r="B487" s="27"/>
      <c r="D487" s="3" t="s">
        <v>2128</v>
      </c>
      <c r="I487" s="108"/>
      <c r="M487" s="69">
        <f t="shared" si="14"/>
        <v>0</v>
      </c>
      <c r="N487" s="69">
        <f t="shared" si="15"/>
        <v>0</v>
      </c>
      <c r="O487" s="29">
        <v>8056</v>
      </c>
      <c r="Q487" s="27"/>
      <c r="R487" s="27"/>
      <c r="S487" s="29" t="s">
        <v>2125</v>
      </c>
    </row>
    <row r="488" spans="1:19" s="29" customFormat="1" ht="26.4" x14ac:dyDescent="0.3">
      <c r="A488" s="27"/>
      <c r="B488" s="27"/>
      <c r="D488" s="29" t="s">
        <v>2126</v>
      </c>
      <c r="H488" s="29">
        <f>R461+O495</f>
        <v>270622</v>
      </c>
      <c r="I488" s="108"/>
      <c r="M488" s="69">
        <f t="shared" si="14"/>
        <v>0</v>
      </c>
      <c r="N488" s="69">
        <f t="shared" si="15"/>
        <v>0</v>
      </c>
      <c r="O488" s="98">
        <f>118+118</f>
        <v>236</v>
      </c>
      <c r="Q488" s="27"/>
      <c r="R488" s="27"/>
      <c r="S488" s="110" t="s">
        <v>2132</v>
      </c>
    </row>
    <row r="489" spans="1:19" s="29" customFormat="1" x14ac:dyDescent="0.3">
      <c r="A489" s="27"/>
      <c r="B489" s="27"/>
      <c r="D489" s="3" t="s">
        <v>2127</v>
      </c>
      <c r="H489" s="29">
        <f>269075</f>
        <v>269075</v>
      </c>
      <c r="I489" s="108"/>
      <c r="M489" s="69">
        <f t="shared" si="14"/>
        <v>0</v>
      </c>
      <c r="N489" s="69">
        <f t="shared" si="15"/>
        <v>0</v>
      </c>
      <c r="O489" s="98">
        <f>5779</f>
        <v>5779</v>
      </c>
      <c r="Q489" s="27"/>
      <c r="R489" s="27"/>
      <c r="S489" s="29" t="s">
        <v>2134</v>
      </c>
    </row>
    <row r="490" spans="1:19" s="29" customFormat="1" ht="26.4" x14ac:dyDescent="0.3">
      <c r="A490" s="27"/>
      <c r="B490" s="27"/>
      <c r="D490" s="3" t="s">
        <v>2129</v>
      </c>
      <c r="H490" s="29">
        <f>H488-H489</f>
        <v>1547</v>
      </c>
      <c r="I490" s="108"/>
      <c r="M490" s="69">
        <f t="shared" si="14"/>
        <v>0</v>
      </c>
      <c r="N490" s="69">
        <f t="shared" si="15"/>
        <v>0</v>
      </c>
      <c r="O490" s="29">
        <f>10414+700</f>
        <v>11114</v>
      </c>
      <c r="Q490" s="27"/>
      <c r="R490" s="27"/>
      <c r="S490" s="110" t="s">
        <v>2133</v>
      </c>
    </row>
    <row r="491" spans="1:19" s="29" customFormat="1" x14ac:dyDescent="0.3">
      <c r="A491" s="27"/>
      <c r="B491" s="27"/>
      <c r="D491" s="3" t="s">
        <v>2130</v>
      </c>
      <c r="I491" s="108"/>
      <c r="M491" s="69">
        <f t="shared" si="14"/>
        <v>0</v>
      </c>
      <c r="N491" s="69">
        <f t="shared" si="15"/>
        <v>0</v>
      </c>
      <c r="O491" s="29">
        <v>7650</v>
      </c>
      <c r="Q491" s="27"/>
      <c r="R491" s="27"/>
      <c r="S491" s="29" t="s">
        <v>2131</v>
      </c>
    </row>
    <row r="492" spans="1:19" s="29" customFormat="1" x14ac:dyDescent="0.3">
      <c r="A492" s="27"/>
      <c r="B492" s="27"/>
      <c r="D492" s="3" t="s">
        <v>2139</v>
      </c>
      <c r="I492" s="108"/>
      <c r="M492" s="69">
        <f t="shared" si="14"/>
        <v>0</v>
      </c>
      <c r="N492" s="69">
        <f t="shared" si="15"/>
        <v>0</v>
      </c>
      <c r="O492" s="29">
        <v>6879</v>
      </c>
      <c r="Q492" s="27"/>
      <c r="R492" s="27"/>
      <c r="S492" s="29" t="s">
        <v>2138</v>
      </c>
    </row>
    <row r="493" spans="1:19" s="29" customFormat="1" x14ac:dyDescent="0.3">
      <c r="A493" s="27"/>
      <c r="B493" s="27"/>
      <c r="D493" s="3"/>
      <c r="I493" s="108"/>
      <c r="M493" s="69">
        <f t="shared" si="14"/>
        <v>0</v>
      </c>
      <c r="N493" s="69">
        <f t="shared" si="15"/>
        <v>0</v>
      </c>
      <c r="O493" s="108">
        <f>SUM(O460:O492)</f>
        <v>271201</v>
      </c>
      <c r="Q493" s="27"/>
      <c r="R493" s="27"/>
    </row>
    <row r="494" spans="1:19" s="29" customFormat="1" x14ac:dyDescent="0.3">
      <c r="A494" s="27"/>
      <c r="B494" s="27"/>
      <c r="D494" s="3"/>
      <c r="I494" s="108"/>
      <c r="M494" s="69">
        <f t="shared" si="14"/>
        <v>0</v>
      </c>
      <c r="N494" s="69">
        <f t="shared" si="15"/>
        <v>0</v>
      </c>
      <c r="O494" s="108"/>
      <c r="Q494" s="27"/>
      <c r="R494" s="27"/>
    </row>
    <row r="495" spans="1:19" s="29" customFormat="1" x14ac:dyDescent="0.3">
      <c r="A495" s="27">
        <v>45163</v>
      </c>
      <c r="B495" s="15" t="str">
        <f>TEXT(A495,"mmmm")</f>
        <v>August</v>
      </c>
      <c r="C495" s="29" t="s">
        <v>2140</v>
      </c>
      <c r="D495" s="3" t="s">
        <v>2141</v>
      </c>
      <c r="F495" s="3" t="s">
        <v>54</v>
      </c>
      <c r="G495" s="29" t="s">
        <v>26</v>
      </c>
      <c r="H495" s="29" t="s">
        <v>10</v>
      </c>
      <c r="I495" s="108">
        <v>681695</v>
      </c>
      <c r="J495" s="29">
        <f>P495*9%</f>
        <v>2565</v>
      </c>
      <c r="K495" s="29">
        <f>J495</f>
        <v>2565</v>
      </c>
      <c r="M495" s="69">
        <f t="shared" si="14"/>
        <v>5130</v>
      </c>
      <c r="N495" s="69">
        <f t="shared" si="15"/>
        <v>676565</v>
      </c>
      <c r="O495" s="29">
        <v>10696</v>
      </c>
      <c r="P495" s="29">
        <f>350*20+1000+2000*4+3500*3+2000</f>
        <v>28500</v>
      </c>
      <c r="Q495" s="97">
        <v>45171</v>
      </c>
      <c r="R495" s="27" t="s">
        <v>2226</v>
      </c>
      <c r="S495" s="29" t="s">
        <v>2142</v>
      </c>
    </row>
    <row r="496" spans="1:19" s="29" customFormat="1" x14ac:dyDescent="0.3">
      <c r="A496" s="27"/>
      <c r="B496" s="27"/>
      <c r="D496" s="3" t="s">
        <v>2143</v>
      </c>
      <c r="I496" s="108"/>
      <c r="M496" s="69">
        <f t="shared" si="14"/>
        <v>0</v>
      </c>
      <c r="N496" s="69">
        <f t="shared" si="15"/>
        <v>0</v>
      </c>
      <c r="O496" s="29">
        <v>350</v>
      </c>
      <c r="Q496" s="27"/>
      <c r="R496" s="27" t="s">
        <v>2227</v>
      </c>
      <c r="S496" s="29" t="s">
        <v>2117</v>
      </c>
    </row>
    <row r="497" spans="1:19" s="29" customFormat="1" x14ac:dyDescent="0.3">
      <c r="A497" s="27"/>
      <c r="B497" s="27"/>
      <c r="D497" s="3" t="s">
        <v>2145</v>
      </c>
      <c r="I497" s="108"/>
      <c r="M497" s="69">
        <f t="shared" si="14"/>
        <v>0</v>
      </c>
      <c r="N497" s="69">
        <f t="shared" si="15"/>
        <v>0</v>
      </c>
      <c r="O497" s="29">
        <v>30849</v>
      </c>
      <c r="Q497" s="27"/>
      <c r="R497" s="27" t="s">
        <v>2230</v>
      </c>
      <c r="S497" s="29" t="s">
        <v>2146</v>
      </c>
    </row>
    <row r="498" spans="1:19" s="29" customFormat="1" x14ac:dyDescent="0.3">
      <c r="A498" s="27"/>
      <c r="B498" s="27"/>
      <c r="D498" s="3" t="s">
        <v>2147</v>
      </c>
      <c r="I498" s="108"/>
      <c r="M498" s="69">
        <f t="shared" si="14"/>
        <v>0</v>
      </c>
      <c r="N498" s="69">
        <f t="shared" si="15"/>
        <v>0</v>
      </c>
      <c r="O498" s="29">
        <v>9848</v>
      </c>
      <c r="Q498" s="27"/>
      <c r="R498" s="27"/>
      <c r="S498" s="29" t="s">
        <v>2148</v>
      </c>
    </row>
    <row r="499" spans="1:19" s="29" customFormat="1" x14ac:dyDescent="0.3">
      <c r="A499" s="27"/>
      <c r="B499" s="27"/>
      <c r="D499" s="3" t="s">
        <v>2149</v>
      </c>
      <c r="I499" s="108"/>
      <c r="M499" s="69">
        <f t="shared" si="14"/>
        <v>0</v>
      </c>
      <c r="N499" s="69">
        <f t="shared" si="15"/>
        <v>0</v>
      </c>
      <c r="O499" s="29">
        <v>7858</v>
      </c>
      <c r="Q499" s="27"/>
      <c r="R499" s="27"/>
      <c r="S499" s="29" t="s">
        <v>2150</v>
      </c>
    </row>
    <row r="500" spans="1:19" s="29" customFormat="1" x14ac:dyDescent="0.3">
      <c r="A500" s="27"/>
      <c r="B500" s="27"/>
      <c r="D500" s="3" t="s">
        <v>2151</v>
      </c>
      <c r="I500" s="108"/>
      <c r="M500" s="69">
        <f t="shared" si="14"/>
        <v>0</v>
      </c>
      <c r="N500" s="69">
        <f t="shared" si="15"/>
        <v>0</v>
      </c>
      <c r="O500" s="29">
        <v>4345</v>
      </c>
      <c r="Q500" s="27"/>
      <c r="R500" s="27"/>
      <c r="S500" s="29" t="s">
        <v>2152</v>
      </c>
    </row>
    <row r="501" spans="1:19" s="29" customFormat="1" x14ac:dyDescent="0.3">
      <c r="A501" s="27"/>
      <c r="B501" s="27"/>
      <c r="D501" s="3" t="s">
        <v>2154</v>
      </c>
      <c r="I501" s="108"/>
      <c r="M501" s="69">
        <f t="shared" si="14"/>
        <v>0</v>
      </c>
      <c r="N501" s="69">
        <f t="shared" si="15"/>
        <v>0</v>
      </c>
      <c r="O501" s="29">
        <v>5589</v>
      </c>
      <c r="Q501" s="27"/>
      <c r="R501" s="27"/>
      <c r="S501" s="29" t="s">
        <v>2153</v>
      </c>
    </row>
    <row r="502" spans="1:19" s="29" customFormat="1" x14ac:dyDescent="0.3">
      <c r="A502" s="27"/>
      <c r="B502" s="27"/>
      <c r="D502" s="3" t="s">
        <v>2156</v>
      </c>
      <c r="I502" s="108"/>
      <c r="M502" s="69">
        <f t="shared" si="14"/>
        <v>0</v>
      </c>
      <c r="N502" s="69">
        <f t="shared" si="15"/>
        <v>0</v>
      </c>
      <c r="O502" s="29">
        <v>25350</v>
      </c>
      <c r="Q502" s="27"/>
      <c r="R502" s="27"/>
      <c r="S502" s="29" t="s">
        <v>2155</v>
      </c>
    </row>
    <row r="503" spans="1:19" s="29" customFormat="1" x14ac:dyDescent="0.3">
      <c r="A503" s="27"/>
      <c r="B503" s="27"/>
      <c r="D503" s="3" t="s">
        <v>2157</v>
      </c>
      <c r="I503" s="108"/>
      <c r="M503" s="69">
        <f t="shared" si="14"/>
        <v>0</v>
      </c>
      <c r="N503" s="69">
        <f t="shared" si="15"/>
        <v>0</v>
      </c>
      <c r="O503" s="29">
        <v>45347</v>
      </c>
      <c r="Q503" s="27"/>
      <c r="R503" s="27"/>
      <c r="S503" s="29" t="s">
        <v>2158</v>
      </c>
    </row>
    <row r="504" spans="1:19" s="29" customFormat="1" x14ac:dyDescent="0.3">
      <c r="A504" s="27"/>
      <c r="B504" s="27"/>
      <c r="D504" s="3" t="s">
        <v>2159</v>
      </c>
      <c r="I504" s="108"/>
      <c r="M504" s="69">
        <f t="shared" si="14"/>
        <v>0</v>
      </c>
      <c r="N504" s="69">
        <f t="shared" si="15"/>
        <v>0</v>
      </c>
      <c r="O504" s="29">
        <v>5161</v>
      </c>
      <c r="Q504" s="27"/>
      <c r="R504" s="27"/>
      <c r="S504" s="29" t="s">
        <v>2161</v>
      </c>
    </row>
    <row r="505" spans="1:19" s="29" customFormat="1" x14ac:dyDescent="0.3">
      <c r="A505" s="27"/>
      <c r="B505" s="27"/>
      <c r="D505" s="3" t="s">
        <v>2160</v>
      </c>
      <c r="I505" s="108"/>
      <c r="M505" s="69">
        <f t="shared" si="14"/>
        <v>0</v>
      </c>
      <c r="N505" s="69">
        <f t="shared" si="15"/>
        <v>0</v>
      </c>
      <c r="O505" s="29">
        <v>6603</v>
      </c>
      <c r="Q505" s="27"/>
      <c r="R505" s="27"/>
      <c r="S505" s="29" t="s">
        <v>2162</v>
      </c>
    </row>
    <row r="506" spans="1:19" s="29" customFormat="1" x14ac:dyDescent="0.3">
      <c r="A506" s="27"/>
      <c r="B506" s="27"/>
      <c r="D506" s="3" t="s">
        <v>2164</v>
      </c>
      <c r="I506" s="108"/>
      <c r="M506" s="69">
        <f t="shared" si="14"/>
        <v>0</v>
      </c>
      <c r="N506" s="69">
        <f t="shared" si="15"/>
        <v>0</v>
      </c>
      <c r="O506" s="29">
        <v>27303</v>
      </c>
      <c r="Q506" s="27"/>
      <c r="R506" s="27"/>
      <c r="S506" s="3" t="s">
        <v>2163</v>
      </c>
    </row>
    <row r="507" spans="1:19" s="29" customFormat="1" x14ac:dyDescent="0.3">
      <c r="A507" s="27"/>
      <c r="B507" s="27"/>
      <c r="D507" s="3" t="s">
        <v>2165</v>
      </c>
      <c r="I507" s="108"/>
      <c r="M507" s="69">
        <f t="shared" si="14"/>
        <v>0</v>
      </c>
      <c r="N507" s="69">
        <f t="shared" si="15"/>
        <v>0</v>
      </c>
      <c r="O507" s="29">
        <v>500</v>
      </c>
      <c r="Q507" s="27"/>
      <c r="R507" s="27"/>
      <c r="S507" s="29" t="s">
        <v>2166</v>
      </c>
    </row>
    <row r="508" spans="1:19" s="29" customFormat="1" x14ac:dyDescent="0.3">
      <c r="A508" s="27"/>
      <c r="B508" s="27"/>
      <c r="D508" s="3" t="s">
        <v>2170</v>
      </c>
      <c r="I508" s="108"/>
      <c r="M508" s="69">
        <f t="shared" si="14"/>
        <v>0</v>
      </c>
      <c r="N508" s="69">
        <f t="shared" si="15"/>
        <v>0</v>
      </c>
      <c r="O508" s="29">
        <v>8723</v>
      </c>
      <c r="Q508" s="27"/>
      <c r="R508" s="27"/>
      <c r="S508" s="29" t="s">
        <v>2171</v>
      </c>
    </row>
    <row r="509" spans="1:19" s="29" customFormat="1" x14ac:dyDescent="0.3">
      <c r="A509" s="27"/>
      <c r="B509" s="27"/>
      <c r="D509" s="3" t="s">
        <v>2172</v>
      </c>
      <c r="I509" s="108"/>
      <c r="M509" s="69">
        <f t="shared" si="14"/>
        <v>0</v>
      </c>
      <c r="N509" s="69">
        <f t="shared" si="15"/>
        <v>0</v>
      </c>
      <c r="O509" s="29">
        <v>9721</v>
      </c>
      <c r="Q509" s="27"/>
      <c r="R509" s="27"/>
      <c r="S509" s="29" t="s">
        <v>2173</v>
      </c>
    </row>
    <row r="510" spans="1:19" s="29" customFormat="1" x14ac:dyDescent="0.3">
      <c r="A510" s="27"/>
      <c r="B510" s="27"/>
      <c r="D510" s="3" t="s">
        <v>2174</v>
      </c>
      <c r="I510" s="108"/>
      <c r="M510" s="69">
        <f t="shared" si="14"/>
        <v>0</v>
      </c>
      <c r="N510" s="69">
        <f t="shared" si="15"/>
        <v>0</v>
      </c>
      <c r="O510" s="29">
        <v>6288</v>
      </c>
      <c r="Q510" s="27"/>
      <c r="R510" s="27"/>
      <c r="S510" s="29" t="s">
        <v>2180</v>
      </c>
    </row>
    <row r="511" spans="1:19" s="29" customFormat="1" x14ac:dyDescent="0.3">
      <c r="A511" s="27"/>
      <c r="B511" s="27"/>
      <c r="D511" s="3" t="s">
        <v>2175</v>
      </c>
      <c r="I511" s="108"/>
      <c r="M511" s="69">
        <f t="shared" si="14"/>
        <v>0</v>
      </c>
      <c r="N511" s="69">
        <f t="shared" si="15"/>
        <v>0</v>
      </c>
      <c r="O511" s="29">
        <v>4684</v>
      </c>
      <c r="Q511" s="27"/>
      <c r="R511" s="27"/>
      <c r="S511" s="29" t="s">
        <v>2183</v>
      </c>
    </row>
    <row r="512" spans="1:19" s="29" customFormat="1" x14ac:dyDescent="0.3">
      <c r="A512" s="27"/>
      <c r="B512" s="27"/>
      <c r="D512" s="3" t="s">
        <v>2181</v>
      </c>
      <c r="I512" s="108"/>
      <c r="M512" s="69">
        <f t="shared" si="14"/>
        <v>0</v>
      </c>
      <c r="N512" s="69">
        <f t="shared" si="15"/>
        <v>0</v>
      </c>
      <c r="O512" s="29">
        <v>6844</v>
      </c>
      <c r="Q512" s="27"/>
      <c r="R512" s="27"/>
      <c r="S512" s="29" t="s">
        <v>2182</v>
      </c>
    </row>
    <row r="513" spans="1:19" s="29" customFormat="1" x14ac:dyDescent="0.3">
      <c r="A513" s="27"/>
      <c r="B513" s="27"/>
      <c r="D513" s="3" t="s">
        <v>2184</v>
      </c>
      <c r="I513" s="108"/>
      <c r="M513" s="69">
        <f t="shared" si="14"/>
        <v>0</v>
      </c>
      <c r="N513" s="69">
        <f t="shared" si="15"/>
        <v>0</v>
      </c>
      <c r="O513" s="29">
        <f>248244</f>
        <v>248244</v>
      </c>
      <c r="Q513" s="27"/>
      <c r="R513" s="27"/>
      <c r="S513" s="29" t="s">
        <v>2185</v>
      </c>
    </row>
    <row r="514" spans="1:19" s="29" customFormat="1" x14ac:dyDescent="0.3">
      <c r="A514" s="27"/>
      <c r="B514" s="27"/>
      <c r="D514" s="3" t="s">
        <v>2187</v>
      </c>
      <c r="I514" s="108"/>
      <c r="M514" s="69">
        <f t="shared" si="14"/>
        <v>0</v>
      </c>
      <c r="N514" s="69">
        <f t="shared" si="15"/>
        <v>0</v>
      </c>
      <c r="O514" s="29">
        <v>183762</v>
      </c>
      <c r="Q514" s="27"/>
      <c r="R514" s="27"/>
      <c r="S514" s="29" t="s">
        <v>2186</v>
      </c>
    </row>
    <row r="515" spans="1:19" s="29" customFormat="1" x14ac:dyDescent="0.3">
      <c r="A515" s="27"/>
      <c r="B515" s="27"/>
      <c r="D515" s="3"/>
      <c r="I515" s="108"/>
      <c r="M515" s="69">
        <f t="shared" ref="M515:M578" si="16">SUM(J515:L515)</f>
        <v>0</v>
      </c>
      <c r="N515" s="69">
        <f t="shared" ref="N515:N578" si="17">I515-M515</f>
        <v>0</v>
      </c>
      <c r="O515" s="108">
        <f>SUM(O495:O514)</f>
        <v>648065</v>
      </c>
      <c r="Q515" s="27"/>
      <c r="R515" s="27"/>
    </row>
    <row r="516" spans="1:19" s="29" customFormat="1" x14ac:dyDescent="0.3">
      <c r="A516" s="27"/>
      <c r="B516" s="27"/>
      <c r="D516" s="3"/>
      <c r="I516" s="108"/>
      <c r="M516" s="69">
        <f t="shared" si="16"/>
        <v>0</v>
      </c>
      <c r="N516" s="69">
        <f t="shared" si="17"/>
        <v>0</v>
      </c>
      <c r="O516" s="108"/>
      <c r="Q516" s="27"/>
      <c r="R516" s="27"/>
    </row>
    <row r="517" spans="1:19" s="29" customFormat="1" x14ac:dyDescent="0.3">
      <c r="A517" s="27">
        <v>45167</v>
      </c>
      <c r="B517" s="15" t="str">
        <f>TEXT(A517,"mmmm")</f>
        <v>August</v>
      </c>
      <c r="C517" s="98" t="s">
        <v>2167</v>
      </c>
      <c r="D517" s="3" t="s">
        <v>3523</v>
      </c>
      <c r="E517" s="29">
        <v>5</v>
      </c>
      <c r="G517" s="29" t="s">
        <v>26</v>
      </c>
      <c r="H517" s="29" t="s">
        <v>10</v>
      </c>
      <c r="I517" s="108">
        <v>51719</v>
      </c>
      <c r="J517" s="29">
        <v>45</v>
      </c>
      <c r="K517" s="29">
        <v>45</v>
      </c>
      <c r="M517" s="69">
        <f t="shared" si="16"/>
        <v>90</v>
      </c>
      <c r="N517" s="69">
        <f t="shared" si="17"/>
        <v>51629</v>
      </c>
      <c r="O517" s="29">
        <v>25779</v>
      </c>
      <c r="P517" s="29">
        <v>500</v>
      </c>
      <c r="Q517" s="62" t="s">
        <v>2262</v>
      </c>
      <c r="R517" s="27">
        <v>45170</v>
      </c>
      <c r="S517" s="29" t="s">
        <v>2168</v>
      </c>
    </row>
    <row r="518" spans="1:19" s="29" customFormat="1" x14ac:dyDescent="0.3">
      <c r="A518" s="27"/>
      <c r="B518" s="27"/>
      <c r="D518" s="3"/>
      <c r="I518" s="108"/>
      <c r="M518" s="69">
        <f t="shared" si="16"/>
        <v>0</v>
      </c>
      <c r="N518" s="69">
        <f t="shared" si="17"/>
        <v>0</v>
      </c>
      <c r="O518" s="29">
        <v>25350</v>
      </c>
      <c r="Q518" s="62"/>
      <c r="R518" s="27"/>
      <c r="S518" s="29" t="s">
        <v>2169</v>
      </c>
    </row>
    <row r="519" spans="1:19" s="29" customFormat="1" x14ac:dyDescent="0.3">
      <c r="A519" s="27"/>
      <c r="B519" s="27"/>
      <c r="D519" s="3"/>
      <c r="I519" s="108"/>
      <c r="M519" s="69">
        <f t="shared" si="16"/>
        <v>0</v>
      </c>
      <c r="N519" s="69">
        <f t="shared" si="17"/>
        <v>0</v>
      </c>
      <c r="O519" s="108">
        <f>SUM(O517:O518)</f>
        <v>51129</v>
      </c>
      <c r="Q519" s="62"/>
      <c r="R519" s="27"/>
    </row>
    <row r="520" spans="1:19" s="29" customFormat="1" x14ac:dyDescent="0.3">
      <c r="A520" s="27"/>
      <c r="B520" s="27"/>
      <c r="D520" s="3"/>
      <c r="I520" s="108"/>
      <c r="M520" s="69">
        <f t="shared" si="16"/>
        <v>0</v>
      </c>
      <c r="N520" s="69">
        <f t="shared" si="17"/>
        <v>0</v>
      </c>
      <c r="O520" s="108"/>
      <c r="Q520" s="62"/>
      <c r="R520" s="27"/>
    </row>
    <row r="521" spans="1:19" s="29" customFormat="1" x14ac:dyDescent="0.3">
      <c r="A521" s="27">
        <v>45167</v>
      </c>
      <c r="B521" s="15" t="str">
        <f>TEXT(A521,"mmmm")</f>
        <v>August</v>
      </c>
      <c r="C521" s="98" t="s">
        <v>2177</v>
      </c>
      <c r="D521" s="3" t="s">
        <v>53</v>
      </c>
      <c r="E521" s="29">
        <v>4</v>
      </c>
      <c r="G521" s="29" t="s">
        <v>26</v>
      </c>
      <c r="H521" s="29" t="s">
        <v>10</v>
      </c>
      <c r="I521" s="108">
        <v>27184</v>
      </c>
      <c r="J521" s="29">
        <v>45</v>
      </c>
      <c r="K521" s="29">
        <v>45</v>
      </c>
      <c r="M521" s="69">
        <f t="shared" si="16"/>
        <v>90</v>
      </c>
      <c r="N521" s="69">
        <f t="shared" si="17"/>
        <v>27094</v>
      </c>
      <c r="O521" s="29">
        <v>11774</v>
      </c>
      <c r="P521" s="29">
        <v>500</v>
      </c>
      <c r="Q521" s="62" t="s">
        <v>2261</v>
      </c>
      <c r="R521" s="27">
        <v>45170</v>
      </c>
      <c r="S521" s="29" t="s">
        <v>2178</v>
      </c>
    </row>
    <row r="522" spans="1:19" s="29" customFormat="1" x14ac:dyDescent="0.3">
      <c r="A522" s="27"/>
      <c r="B522" s="27"/>
      <c r="D522" s="3"/>
      <c r="I522" s="108"/>
      <c r="M522" s="69">
        <f t="shared" si="16"/>
        <v>0</v>
      </c>
      <c r="N522" s="69">
        <f t="shared" si="17"/>
        <v>0</v>
      </c>
      <c r="O522" s="29">
        <v>14820</v>
      </c>
      <c r="Q522" s="62" t="s">
        <v>2263</v>
      </c>
      <c r="R522" s="27"/>
      <c r="S522" s="29" t="s">
        <v>2179</v>
      </c>
    </row>
    <row r="523" spans="1:19" s="29" customFormat="1" x14ac:dyDescent="0.3">
      <c r="A523" s="27"/>
      <c r="B523" s="27"/>
      <c r="D523" s="3"/>
      <c r="I523" s="108"/>
      <c r="M523" s="69">
        <f t="shared" si="16"/>
        <v>0</v>
      </c>
      <c r="N523" s="69">
        <f t="shared" si="17"/>
        <v>0</v>
      </c>
      <c r="O523" s="108">
        <f>SUM(O521:O522)</f>
        <v>26594</v>
      </c>
      <c r="Q523" s="27"/>
      <c r="R523" s="27"/>
    </row>
    <row r="524" spans="1:19" s="29" customFormat="1" x14ac:dyDescent="0.3">
      <c r="A524" s="27"/>
      <c r="B524" s="27"/>
      <c r="D524" s="3"/>
      <c r="I524" s="108"/>
      <c r="M524" s="69">
        <f t="shared" si="16"/>
        <v>0</v>
      </c>
      <c r="N524" s="69">
        <f t="shared" si="17"/>
        <v>0</v>
      </c>
      <c r="O524" s="108"/>
      <c r="Q524" s="27"/>
      <c r="R524" s="27"/>
    </row>
    <row r="525" spans="1:19" s="29" customFormat="1" x14ac:dyDescent="0.3">
      <c r="A525" s="27">
        <v>45168</v>
      </c>
      <c r="B525" s="15" t="str">
        <f>TEXT(A525,"mmmm")</f>
        <v>August</v>
      </c>
      <c r="C525" s="98" t="s">
        <v>2188</v>
      </c>
      <c r="D525" s="3" t="s">
        <v>2189</v>
      </c>
      <c r="F525" s="3" t="s">
        <v>54</v>
      </c>
      <c r="G525" s="29" t="s">
        <v>26</v>
      </c>
      <c r="H525" s="29" t="s">
        <v>10</v>
      </c>
      <c r="I525" s="108">
        <v>215674</v>
      </c>
      <c r="J525" s="29">
        <v>1400</v>
      </c>
      <c r="K525" s="29">
        <f>J525</f>
        <v>1400</v>
      </c>
      <c r="M525" s="69">
        <f t="shared" si="16"/>
        <v>2800</v>
      </c>
      <c r="N525" s="69">
        <f t="shared" si="17"/>
        <v>212874</v>
      </c>
      <c r="O525" s="29">
        <v>9658</v>
      </c>
      <c r="P525" s="29">
        <f>350*9+1200*7+2000+2000</f>
        <v>15550</v>
      </c>
      <c r="Q525" s="63" t="s">
        <v>2309</v>
      </c>
      <c r="R525" s="27" t="s">
        <v>2228</v>
      </c>
      <c r="S525" s="29" t="s">
        <v>2190</v>
      </c>
    </row>
    <row r="526" spans="1:19" s="29" customFormat="1" ht="26.4" x14ac:dyDescent="0.3">
      <c r="A526" s="27"/>
      <c r="B526" s="27"/>
      <c r="D526" s="3" t="s">
        <v>2191</v>
      </c>
      <c r="I526" s="108"/>
      <c r="M526" s="69">
        <f t="shared" si="16"/>
        <v>0</v>
      </c>
      <c r="N526" s="69">
        <f t="shared" si="17"/>
        <v>0</v>
      </c>
      <c r="O526" s="29">
        <v>11783</v>
      </c>
      <c r="Q526" s="62"/>
      <c r="R526" s="62" t="s">
        <v>2229</v>
      </c>
      <c r="S526" s="29" t="s">
        <v>2192</v>
      </c>
    </row>
    <row r="527" spans="1:19" s="29" customFormat="1" x14ac:dyDescent="0.3">
      <c r="A527" s="27"/>
      <c r="B527" s="27"/>
      <c r="D527" s="3" t="s">
        <v>2194</v>
      </c>
      <c r="H527" s="29">
        <f>35723+2400</f>
        <v>38123</v>
      </c>
      <c r="I527" s="108"/>
      <c r="M527" s="69">
        <f t="shared" si="16"/>
        <v>0</v>
      </c>
      <c r="N527" s="69">
        <f t="shared" si="17"/>
        <v>0</v>
      </c>
      <c r="O527" s="29">
        <v>35723</v>
      </c>
      <c r="Q527" s="27"/>
      <c r="R527" s="27"/>
      <c r="S527" s="29" t="s">
        <v>2195</v>
      </c>
    </row>
    <row r="528" spans="1:19" s="29" customFormat="1" x14ac:dyDescent="0.3">
      <c r="A528" s="27"/>
      <c r="B528" s="27"/>
      <c r="D528" s="3" t="s">
        <v>2196</v>
      </c>
      <c r="H528" s="29">
        <f>H527/2</f>
        <v>19061.5</v>
      </c>
      <c r="I528" s="108"/>
      <c r="M528" s="69">
        <f t="shared" si="16"/>
        <v>0</v>
      </c>
      <c r="N528" s="69">
        <f t="shared" si="17"/>
        <v>0</v>
      </c>
      <c r="O528" s="29">
        <v>2340</v>
      </c>
      <c r="Q528" s="27"/>
      <c r="R528" s="27"/>
      <c r="S528" s="29" t="s">
        <v>2198</v>
      </c>
    </row>
    <row r="529" spans="1:19" s="29" customFormat="1" x14ac:dyDescent="0.3">
      <c r="A529" s="27"/>
      <c r="B529" s="27"/>
      <c r="D529" s="3" t="s">
        <v>2197</v>
      </c>
      <c r="I529" s="108"/>
      <c r="M529" s="69">
        <f t="shared" si="16"/>
        <v>0</v>
      </c>
      <c r="N529" s="69">
        <f t="shared" si="17"/>
        <v>0</v>
      </c>
      <c r="O529" s="29">
        <v>3358</v>
      </c>
      <c r="Q529" s="27"/>
      <c r="R529" s="27"/>
      <c r="S529" s="29" t="s">
        <v>2199</v>
      </c>
    </row>
    <row r="530" spans="1:19" s="29" customFormat="1" x14ac:dyDescent="0.3">
      <c r="A530" s="27"/>
      <c r="B530" s="27"/>
      <c r="D530" s="3" t="s">
        <v>2200</v>
      </c>
      <c r="I530" s="108"/>
      <c r="M530" s="69">
        <f t="shared" si="16"/>
        <v>0</v>
      </c>
      <c r="N530" s="69">
        <f t="shared" si="17"/>
        <v>0</v>
      </c>
      <c r="O530" s="29">
        <v>19834</v>
      </c>
      <c r="Q530" s="27"/>
      <c r="R530" s="27"/>
      <c r="S530" s="29" t="s">
        <v>2202</v>
      </c>
    </row>
    <row r="531" spans="1:19" s="29" customFormat="1" x14ac:dyDescent="0.3">
      <c r="A531" s="27"/>
      <c r="B531" s="27"/>
      <c r="D531" s="3" t="s">
        <v>2201</v>
      </c>
      <c r="I531" s="108"/>
      <c r="M531" s="69">
        <f t="shared" si="16"/>
        <v>0</v>
      </c>
      <c r="N531" s="69">
        <f t="shared" si="17"/>
        <v>0</v>
      </c>
      <c r="O531" s="29">
        <v>60742</v>
      </c>
      <c r="Q531" s="27"/>
      <c r="R531" s="27"/>
      <c r="S531" s="29" t="s">
        <v>2203</v>
      </c>
    </row>
    <row r="532" spans="1:19" s="29" customFormat="1" x14ac:dyDescent="0.3">
      <c r="A532" s="27"/>
      <c r="B532" s="27"/>
      <c r="D532" s="3" t="s">
        <v>2204</v>
      </c>
      <c r="I532" s="108"/>
      <c r="M532" s="69">
        <f t="shared" si="16"/>
        <v>0</v>
      </c>
      <c r="N532" s="69">
        <f t="shared" si="17"/>
        <v>0</v>
      </c>
      <c r="O532" s="29">
        <v>118</v>
      </c>
      <c r="Q532" s="27"/>
      <c r="R532" s="27"/>
      <c r="S532" s="29" t="s">
        <v>2207</v>
      </c>
    </row>
    <row r="533" spans="1:19" s="29" customFormat="1" x14ac:dyDescent="0.3">
      <c r="A533" s="27"/>
      <c r="B533" s="27"/>
      <c r="D533" s="3" t="s">
        <v>2206</v>
      </c>
      <c r="I533" s="108"/>
      <c r="M533" s="69">
        <f t="shared" si="16"/>
        <v>0</v>
      </c>
      <c r="N533" s="69">
        <f t="shared" si="17"/>
        <v>0</v>
      </c>
      <c r="O533" s="29">
        <v>30766</v>
      </c>
      <c r="Q533" s="27"/>
      <c r="R533" s="27"/>
      <c r="S533" s="29" t="s">
        <v>2205</v>
      </c>
    </row>
    <row r="534" spans="1:19" s="29" customFormat="1" x14ac:dyDescent="0.3">
      <c r="A534" s="27"/>
      <c r="B534" s="27"/>
      <c r="D534" s="3" t="s">
        <v>2213</v>
      </c>
      <c r="I534" s="108"/>
      <c r="M534" s="69">
        <f t="shared" si="16"/>
        <v>0</v>
      </c>
      <c r="N534" s="69">
        <f t="shared" si="17"/>
        <v>0</v>
      </c>
      <c r="O534" s="29">
        <v>5121</v>
      </c>
      <c r="Q534" s="27"/>
      <c r="R534" s="27"/>
      <c r="S534" s="29" t="s">
        <v>2214</v>
      </c>
    </row>
    <row r="535" spans="1:19" s="29" customFormat="1" x14ac:dyDescent="0.3">
      <c r="A535" s="27"/>
      <c r="B535" s="27"/>
      <c r="D535" s="3" t="s">
        <v>2215</v>
      </c>
      <c r="I535" s="108"/>
      <c r="M535" s="69">
        <f t="shared" si="16"/>
        <v>0</v>
      </c>
      <c r="N535" s="69">
        <f t="shared" si="17"/>
        <v>0</v>
      </c>
      <c r="O535" s="29">
        <v>6084</v>
      </c>
      <c r="Q535" s="27"/>
      <c r="R535" s="27"/>
      <c r="S535" s="29" t="s">
        <v>2216</v>
      </c>
    </row>
    <row r="536" spans="1:19" s="29" customFormat="1" x14ac:dyDescent="0.3">
      <c r="A536" s="27"/>
      <c r="B536" s="27"/>
      <c r="D536" s="3" t="s">
        <v>2181</v>
      </c>
      <c r="I536" s="108"/>
      <c r="M536" s="69">
        <f t="shared" si="16"/>
        <v>0</v>
      </c>
      <c r="N536" s="69">
        <f t="shared" si="17"/>
        <v>0</v>
      </c>
      <c r="O536" s="29">
        <v>11797</v>
      </c>
      <c r="Q536" s="27"/>
      <c r="R536" s="27"/>
      <c r="S536" s="29" t="s">
        <v>2225</v>
      </c>
    </row>
    <row r="537" spans="1:19" s="29" customFormat="1" x14ac:dyDescent="0.3">
      <c r="A537" s="27"/>
      <c r="B537" s="27"/>
      <c r="D537" s="3"/>
      <c r="I537" s="108"/>
      <c r="M537" s="69">
        <f t="shared" si="16"/>
        <v>0</v>
      </c>
      <c r="N537" s="69">
        <f t="shared" si="17"/>
        <v>0</v>
      </c>
      <c r="O537" s="108">
        <f>SUM(O525:O536)</f>
        <v>197324</v>
      </c>
      <c r="Q537" s="27"/>
      <c r="R537" s="27"/>
    </row>
    <row r="538" spans="1:19" s="29" customFormat="1" x14ac:dyDescent="0.3">
      <c r="A538" s="27"/>
      <c r="B538" s="27"/>
      <c r="D538" s="3"/>
      <c r="I538" s="108"/>
      <c r="M538" s="69">
        <f t="shared" si="16"/>
        <v>0</v>
      </c>
      <c r="N538" s="69">
        <f t="shared" si="17"/>
        <v>0</v>
      </c>
      <c r="O538" s="108"/>
      <c r="Q538" s="27"/>
      <c r="R538" s="27"/>
    </row>
    <row r="539" spans="1:19" s="29" customFormat="1" ht="26.4" x14ac:dyDescent="0.3">
      <c r="A539" s="27">
        <v>45168</v>
      </c>
      <c r="B539" s="15" t="str">
        <f>TEXT(A539,"mmmm")</f>
        <v>August</v>
      </c>
      <c r="C539" s="98" t="s">
        <v>2208</v>
      </c>
      <c r="D539" s="3" t="s">
        <v>2209</v>
      </c>
      <c r="F539" s="3" t="s">
        <v>54</v>
      </c>
      <c r="G539" s="29" t="s">
        <v>24</v>
      </c>
      <c r="H539" s="29" t="s">
        <v>2210</v>
      </c>
      <c r="I539" s="108">
        <v>76087</v>
      </c>
      <c r="J539" s="29">
        <f>P539*9%</f>
        <v>720</v>
      </c>
      <c r="K539" s="29">
        <f>J539</f>
        <v>720</v>
      </c>
      <c r="M539" s="69">
        <f t="shared" si="16"/>
        <v>1440</v>
      </c>
      <c r="N539" s="69">
        <f t="shared" si="17"/>
        <v>74647</v>
      </c>
      <c r="O539" s="88">
        <v>49978</v>
      </c>
      <c r="P539" s="29">
        <v>8000</v>
      </c>
      <c r="Q539" s="63" t="s">
        <v>2309</v>
      </c>
      <c r="R539" s="62" t="s">
        <v>2211</v>
      </c>
    </row>
    <row r="540" spans="1:19" s="29" customFormat="1" ht="26.4" x14ac:dyDescent="0.3">
      <c r="A540" s="27"/>
      <c r="B540" s="27"/>
      <c r="D540" s="3" t="s">
        <v>2212</v>
      </c>
      <c r="I540" s="108"/>
      <c r="M540" s="69">
        <f t="shared" si="16"/>
        <v>0</v>
      </c>
      <c r="N540" s="69">
        <f t="shared" si="17"/>
        <v>0</v>
      </c>
      <c r="O540" s="88">
        <v>9529</v>
      </c>
      <c r="Q540" s="27"/>
      <c r="R540" s="62" t="s">
        <v>2211</v>
      </c>
    </row>
    <row r="541" spans="1:19" s="29" customFormat="1" ht="26.4" x14ac:dyDescent="0.3">
      <c r="A541" s="27"/>
      <c r="B541" s="27"/>
      <c r="D541" s="3" t="s">
        <v>2218</v>
      </c>
      <c r="I541" s="108"/>
      <c r="M541" s="69">
        <f t="shared" si="16"/>
        <v>0</v>
      </c>
      <c r="N541" s="69">
        <f t="shared" si="17"/>
        <v>0</v>
      </c>
      <c r="O541" s="88">
        <v>7140</v>
      </c>
      <c r="Q541" s="27"/>
      <c r="R541" s="62" t="s">
        <v>2217</v>
      </c>
    </row>
    <row r="542" spans="1:19" s="29" customFormat="1" x14ac:dyDescent="0.3">
      <c r="A542" s="27"/>
      <c r="B542" s="27"/>
      <c r="D542" s="3"/>
      <c r="I542" s="108"/>
      <c r="M542" s="69">
        <f t="shared" si="16"/>
        <v>0</v>
      </c>
      <c r="N542" s="69">
        <f t="shared" si="17"/>
        <v>0</v>
      </c>
      <c r="O542" s="108">
        <f>SUM(O539:O541)</f>
        <v>66647</v>
      </c>
      <c r="Q542" s="27"/>
      <c r="R542" s="27"/>
    </row>
    <row r="543" spans="1:19" s="29" customFormat="1" x14ac:dyDescent="0.3">
      <c r="A543" s="27"/>
      <c r="B543" s="27"/>
      <c r="D543" s="3"/>
      <c r="I543" s="108"/>
      <c r="M543" s="69">
        <f t="shared" si="16"/>
        <v>0</v>
      </c>
      <c r="N543" s="69">
        <f t="shared" si="17"/>
        <v>0</v>
      </c>
      <c r="O543" s="108"/>
      <c r="Q543" s="27"/>
      <c r="R543" s="27"/>
    </row>
    <row r="544" spans="1:19" s="29" customFormat="1" ht="26.4" x14ac:dyDescent="0.3">
      <c r="A544" s="27">
        <v>45171</v>
      </c>
      <c r="B544" s="15" t="str">
        <f>TEXT(A544,"mmmm")</f>
        <v>September</v>
      </c>
      <c r="C544" s="29" t="s">
        <v>2222</v>
      </c>
      <c r="D544" s="3" t="s">
        <v>1954</v>
      </c>
      <c r="E544" s="29">
        <v>2</v>
      </c>
      <c r="G544" s="29" t="s">
        <v>24</v>
      </c>
      <c r="H544" s="29" t="s">
        <v>2223</v>
      </c>
      <c r="I544" s="108">
        <v>14337</v>
      </c>
      <c r="J544" s="29">
        <f>P544*9%</f>
        <v>135</v>
      </c>
      <c r="K544" s="29">
        <f>J544</f>
        <v>135</v>
      </c>
      <c r="M544" s="69">
        <f t="shared" si="16"/>
        <v>270</v>
      </c>
      <c r="N544" s="69">
        <f t="shared" si="17"/>
        <v>14067</v>
      </c>
      <c r="O544" s="88">
        <v>12567</v>
      </c>
      <c r="P544" s="29">
        <v>1500</v>
      </c>
      <c r="Q544" s="97">
        <v>45178</v>
      </c>
      <c r="R544" s="62" t="s">
        <v>2224</v>
      </c>
    </row>
    <row r="545" spans="1:19" s="29" customFormat="1" x14ac:dyDescent="0.3">
      <c r="A545" s="27"/>
      <c r="B545" s="27"/>
      <c r="D545" s="3"/>
      <c r="I545" s="108"/>
      <c r="M545" s="69">
        <f t="shared" si="16"/>
        <v>0</v>
      </c>
      <c r="N545" s="69">
        <f t="shared" si="17"/>
        <v>0</v>
      </c>
      <c r="O545" s="108"/>
      <c r="Q545" s="27"/>
      <c r="R545" s="27"/>
    </row>
    <row r="546" spans="1:19" s="29" customFormat="1" x14ac:dyDescent="0.3">
      <c r="A546" s="27">
        <v>45171</v>
      </c>
      <c r="B546" s="15" t="str">
        <f>TEXT(A546,"mmmm")</f>
        <v>September</v>
      </c>
      <c r="C546" s="29" t="s">
        <v>2231</v>
      </c>
      <c r="D546" s="3" t="s">
        <v>2232</v>
      </c>
      <c r="E546" s="29">
        <v>1</v>
      </c>
      <c r="G546" s="29" t="s">
        <v>26</v>
      </c>
      <c r="H546" s="29" t="s">
        <v>10</v>
      </c>
      <c r="I546" s="108">
        <v>255674</v>
      </c>
      <c r="J546" s="29">
        <f>P546*9%</f>
        <v>270</v>
      </c>
      <c r="K546" s="29">
        <f>J546</f>
        <v>270</v>
      </c>
      <c r="M546" s="69">
        <f t="shared" si="16"/>
        <v>540</v>
      </c>
      <c r="N546" s="69">
        <f t="shared" si="17"/>
        <v>255134</v>
      </c>
      <c r="O546" s="108">
        <v>252134</v>
      </c>
      <c r="P546" s="29">
        <v>3000</v>
      </c>
      <c r="Q546" s="27">
        <v>45174</v>
      </c>
      <c r="R546" s="27">
        <v>45174</v>
      </c>
      <c r="S546" s="29" t="s">
        <v>2233</v>
      </c>
    </row>
    <row r="547" spans="1:19" s="29" customFormat="1" x14ac:dyDescent="0.3">
      <c r="A547" s="27"/>
      <c r="B547" s="27"/>
      <c r="D547" s="3"/>
      <c r="I547" s="108"/>
      <c r="M547" s="69">
        <f t="shared" si="16"/>
        <v>0</v>
      </c>
      <c r="N547" s="69">
        <f t="shared" si="17"/>
        <v>0</v>
      </c>
      <c r="O547" s="108"/>
      <c r="Q547" s="27"/>
      <c r="R547" s="27"/>
    </row>
    <row r="548" spans="1:19" s="29" customFormat="1" x14ac:dyDescent="0.3">
      <c r="A548" s="27">
        <v>45173</v>
      </c>
      <c r="B548" s="15" t="str">
        <f>TEXT(A548,"mmmm")</f>
        <v>September</v>
      </c>
      <c r="C548" s="98" t="s">
        <v>2235</v>
      </c>
      <c r="D548" s="3" t="s">
        <v>2234</v>
      </c>
      <c r="F548" s="3" t="s">
        <v>54</v>
      </c>
      <c r="G548" s="29" t="s">
        <v>26</v>
      </c>
      <c r="H548" s="29" t="s">
        <v>10</v>
      </c>
      <c r="I548" s="108">
        <v>248086</v>
      </c>
      <c r="J548" s="29">
        <v>1580</v>
      </c>
      <c r="K548" s="29">
        <f>J548</f>
        <v>1580</v>
      </c>
      <c r="M548" s="69">
        <f t="shared" si="16"/>
        <v>3160</v>
      </c>
      <c r="N548" s="69">
        <f t="shared" si="17"/>
        <v>244926</v>
      </c>
      <c r="O548" s="29">
        <v>21283</v>
      </c>
      <c r="P548" s="29">
        <f>350*33+5000+1000</f>
        <v>17550</v>
      </c>
      <c r="Q548" s="62" t="s">
        <v>2347</v>
      </c>
      <c r="R548" s="97" t="s">
        <v>2308</v>
      </c>
      <c r="S548" s="29" t="s">
        <v>2236</v>
      </c>
    </row>
    <row r="549" spans="1:19" s="29" customFormat="1" x14ac:dyDescent="0.3">
      <c r="A549" s="27"/>
      <c r="B549" s="27"/>
      <c r="D549" s="3" t="s">
        <v>2238</v>
      </c>
      <c r="I549" s="108"/>
      <c r="M549" s="69">
        <f t="shared" si="16"/>
        <v>0</v>
      </c>
      <c r="N549" s="69">
        <f t="shared" si="17"/>
        <v>0</v>
      </c>
      <c r="O549" s="29">
        <v>30351</v>
      </c>
      <c r="Q549" s="63" t="s">
        <v>2354</v>
      </c>
      <c r="R549" s="29">
        <f>227376-8550-4250-4250-3050-600</f>
        <v>206676</v>
      </c>
      <c r="S549" s="29" t="s">
        <v>2237</v>
      </c>
    </row>
    <row r="550" spans="1:19" s="29" customFormat="1" x14ac:dyDescent="0.3">
      <c r="A550" s="27"/>
      <c r="B550" s="27"/>
      <c r="D550" s="3" t="s">
        <v>2242</v>
      </c>
      <c r="I550" s="108"/>
      <c r="M550" s="69">
        <f t="shared" si="16"/>
        <v>0</v>
      </c>
      <c r="N550" s="69">
        <f t="shared" si="17"/>
        <v>0</v>
      </c>
      <c r="O550" s="29">
        <v>12891</v>
      </c>
      <c r="Q550" s="27"/>
      <c r="R550" s="27"/>
      <c r="S550" s="29" t="s">
        <v>2243</v>
      </c>
    </row>
    <row r="551" spans="1:19" s="29" customFormat="1" x14ac:dyDescent="0.3">
      <c r="A551" s="27"/>
      <c r="B551" s="27"/>
      <c r="D551" s="3" t="s">
        <v>2244</v>
      </c>
      <c r="I551" s="108"/>
      <c r="M551" s="69">
        <f t="shared" si="16"/>
        <v>0</v>
      </c>
      <c r="N551" s="69">
        <f t="shared" si="17"/>
        <v>0</v>
      </c>
      <c r="O551" s="29">
        <v>12942</v>
      </c>
      <c r="Q551" s="27"/>
      <c r="R551" s="27"/>
      <c r="S551" s="29" t="s">
        <v>2245</v>
      </c>
    </row>
    <row r="552" spans="1:19" s="29" customFormat="1" ht="26.4" x14ac:dyDescent="0.3">
      <c r="A552" s="27"/>
      <c r="B552" s="27"/>
      <c r="D552" s="3" t="s">
        <v>2250</v>
      </c>
      <c r="I552" s="108"/>
      <c r="M552" s="69">
        <f t="shared" si="16"/>
        <v>0</v>
      </c>
      <c r="N552" s="69">
        <f t="shared" si="17"/>
        <v>0</v>
      </c>
      <c r="O552" s="88">
        <v>8550</v>
      </c>
      <c r="Q552" s="27"/>
      <c r="R552" s="62" t="s">
        <v>2251</v>
      </c>
    </row>
    <row r="553" spans="1:19" s="29" customFormat="1" ht="26.4" x14ac:dyDescent="0.3">
      <c r="A553" s="27"/>
      <c r="B553" s="27"/>
      <c r="D553" s="3" t="s">
        <v>2256</v>
      </c>
      <c r="I553" s="108"/>
      <c r="M553" s="69">
        <f t="shared" si="16"/>
        <v>0</v>
      </c>
      <c r="N553" s="69">
        <f t="shared" si="17"/>
        <v>0</v>
      </c>
      <c r="O553" s="88">
        <v>4250</v>
      </c>
      <c r="Q553" s="27"/>
      <c r="R553" s="62" t="s">
        <v>2251</v>
      </c>
    </row>
    <row r="554" spans="1:19" s="29" customFormat="1" x14ac:dyDescent="0.3">
      <c r="A554" s="27"/>
      <c r="B554" s="27"/>
      <c r="D554" s="3" t="s">
        <v>2252</v>
      </c>
      <c r="I554" s="108"/>
      <c r="M554" s="69">
        <f t="shared" si="16"/>
        <v>0</v>
      </c>
      <c r="N554" s="69">
        <f t="shared" si="17"/>
        <v>0</v>
      </c>
      <c r="O554" s="29">
        <v>14105</v>
      </c>
      <c r="Q554" s="27"/>
      <c r="R554" s="27"/>
      <c r="S554" s="29" t="s">
        <v>2253</v>
      </c>
    </row>
    <row r="555" spans="1:19" s="29" customFormat="1" x14ac:dyDescent="0.3">
      <c r="A555" s="27"/>
      <c r="B555" s="27"/>
      <c r="D555" s="3" t="s">
        <v>2254</v>
      </c>
      <c r="I555" s="108"/>
      <c r="M555" s="69">
        <f t="shared" si="16"/>
        <v>0</v>
      </c>
      <c r="N555" s="69">
        <f t="shared" si="17"/>
        <v>0</v>
      </c>
      <c r="O555" s="29">
        <v>20359</v>
      </c>
      <c r="Q555" s="27"/>
      <c r="R555" s="27"/>
      <c r="S555" s="29" t="s">
        <v>2255</v>
      </c>
    </row>
    <row r="556" spans="1:19" s="29" customFormat="1" x14ac:dyDescent="0.3">
      <c r="A556" s="27"/>
      <c r="B556" s="27"/>
      <c r="D556" s="3" t="s">
        <v>2244</v>
      </c>
      <c r="I556" s="108"/>
      <c r="M556" s="69">
        <f t="shared" si="16"/>
        <v>0</v>
      </c>
      <c r="N556" s="69">
        <f t="shared" si="17"/>
        <v>0</v>
      </c>
      <c r="O556" s="29">
        <v>13336</v>
      </c>
      <c r="Q556" s="27"/>
      <c r="R556" s="27"/>
      <c r="S556" s="29" t="s">
        <v>2257</v>
      </c>
    </row>
    <row r="557" spans="1:19" s="29" customFormat="1" x14ac:dyDescent="0.3">
      <c r="A557" s="27"/>
      <c r="B557" s="27"/>
      <c r="D557" s="3" t="s">
        <v>2264</v>
      </c>
      <c r="I557" s="108"/>
      <c r="M557" s="69">
        <f t="shared" si="16"/>
        <v>0</v>
      </c>
      <c r="N557" s="69">
        <f t="shared" si="17"/>
        <v>0</v>
      </c>
      <c r="O557" s="29">
        <v>14666</v>
      </c>
      <c r="Q557" s="27"/>
      <c r="R557" s="27"/>
      <c r="S557" s="29" t="s">
        <v>2265</v>
      </c>
    </row>
    <row r="558" spans="1:19" s="29" customFormat="1" x14ac:dyDescent="0.3">
      <c r="A558" s="27"/>
      <c r="B558" s="27"/>
      <c r="D558" s="3" t="s">
        <v>2252</v>
      </c>
      <c r="I558" s="108"/>
      <c r="M558" s="69">
        <f t="shared" si="16"/>
        <v>0</v>
      </c>
      <c r="N558" s="69">
        <f t="shared" si="17"/>
        <v>0</v>
      </c>
      <c r="O558" s="29">
        <v>15361</v>
      </c>
      <c r="Q558" s="27"/>
      <c r="R558" s="27"/>
      <c r="S558" s="29" t="s">
        <v>2270</v>
      </c>
    </row>
    <row r="559" spans="1:19" s="29" customFormat="1" x14ac:dyDescent="0.3">
      <c r="A559" s="27"/>
      <c r="B559" s="27"/>
      <c r="D559" s="3" t="s">
        <v>2271</v>
      </c>
      <c r="I559" s="108"/>
      <c r="M559" s="69">
        <f t="shared" si="16"/>
        <v>0</v>
      </c>
      <c r="N559" s="69">
        <f t="shared" si="17"/>
        <v>0</v>
      </c>
      <c r="O559" s="29">
        <v>14159</v>
      </c>
      <c r="Q559" s="27"/>
      <c r="R559" s="27"/>
      <c r="S559" s="29" t="s">
        <v>2272</v>
      </c>
    </row>
    <row r="560" spans="1:19" s="29" customFormat="1" x14ac:dyDescent="0.3">
      <c r="A560" s="27"/>
      <c r="B560" s="27"/>
      <c r="D560" s="3" t="s">
        <v>2273</v>
      </c>
      <c r="I560" s="108"/>
      <c r="M560" s="69">
        <f t="shared" si="16"/>
        <v>0</v>
      </c>
      <c r="N560" s="69">
        <f t="shared" si="17"/>
        <v>0</v>
      </c>
      <c r="O560" s="43">
        <v>600</v>
      </c>
      <c r="Q560" s="27"/>
      <c r="R560" s="62"/>
    </row>
    <row r="561" spans="1:19" s="29" customFormat="1" x14ac:dyDescent="0.3">
      <c r="A561" s="27"/>
      <c r="B561" s="27"/>
      <c r="D561" s="3" t="s">
        <v>2275</v>
      </c>
      <c r="I561" s="108"/>
      <c r="M561" s="69">
        <f t="shared" si="16"/>
        <v>0</v>
      </c>
      <c r="N561" s="69">
        <f t="shared" si="17"/>
        <v>0</v>
      </c>
      <c r="O561" s="29">
        <v>21284</v>
      </c>
      <c r="Q561" s="27"/>
      <c r="R561" s="62"/>
      <c r="S561" s="29" t="s">
        <v>2276</v>
      </c>
    </row>
    <row r="562" spans="1:19" s="29" customFormat="1" ht="26.4" x14ac:dyDescent="0.3">
      <c r="A562" s="27"/>
      <c r="B562" s="27"/>
      <c r="D562" s="3" t="s">
        <v>2256</v>
      </c>
      <c r="I562" s="108"/>
      <c r="M562" s="69">
        <f t="shared" si="16"/>
        <v>0</v>
      </c>
      <c r="N562" s="69">
        <f t="shared" si="17"/>
        <v>0</v>
      </c>
      <c r="O562" s="88">
        <v>4250</v>
      </c>
      <c r="Q562" s="27"/>
      <c r="R562" s="62" t="s">
        <v>2274</v>
      </c>
    </row>
    <row r="563" spans="1:19" s="29" customFormat="1" x14ac:dyDescent="0.3">
      <c r="A563" s="27"/>
      <c r="B563" s="27"/>
      <c r="D563" s="3" t="s">
        <v>2278</v>
      </c>
      <c r="I563" s="108"/>
      <c r="M563" s="69">
        <f t="shared" si="16"/>
        <v>0</v>
      </c>
      <c r="N563" s="69">
        <f t="shared" si="17"/>
        <v>0</v>
      </c>
      <c r="O563" s="29">
        <v>15939</v>
      </c>
      <c r="Q563" s="27"/>
      <c r="R563" s="27"/>
      <c r="S563" s="29" t="s">
        <v>2279</v>
      </c>
    </row>
    <row r="564" spans="1:19" s="29" customFormat="1" x14ac:dyDescent="0.3">
      <c r="A564" s="27"/>
      <c r="B564" s="27"/>
      <c r="D564" s="3" t="s">
        <v>2307</v>
      </c>
      <c r="I564" s="108"/>
      <c r="M564" s="69">
        <f t="shared" si="16"/>
        <v>0</v>
      </c>
      <c r="N564" s="69">
        <f t="shared" si="17"/>
        <v>0</v>
      </c>
      <c r="O564" s="29">
        <v>3050</v>
      </c>
      <c r="Q564" s="27"/>
      <c r="R564" s="27" t="s">
        <v>2306</v>
      </c>
    </row>
    <row r="565" spans="1:19" s="29" customFormat="1" x14ac:dyDescent="0.3">
      <c r="A565" s="27"/>
      <c r="B565" s="27"/>
      <c r="D565" s="3"/>
      <c r="I565" s="108"/>
      <c r="M565" s="69">
        <f t="shared" si="16"/>
        <v>0</v>
      </c>
      <c r="N565" s="69">
        <f t="shared" si="17"/>
        <v>0</v>
      </c>
      <c r="O565" s="108">
        <f>SUM(O548:O564)</f>
        <v>227376</v>
      </c>
      <c r="Q565" s="27"/>
      <c r="R565" s="27"/>
    </row>
    <row r="566" spans="1:19" s="29" customFormat="1" x14ac:dyDescent="0.3">
      <c r="A566" s="27"/>
      <c r="B566" s="27"/>
      <c r="D566" s="3"/>
      <c r="I566" s="108"/>
      <c r="M566" s="69">
        <f t="shared" si="16"/>
        <v>0</v>
      </c>
      <c r="N566" s="69">
        <f t="shared" si="17"/>
        <v>0</v>
      </c>
      <c r="O566" s="108"/>
      <c r="Q566" s="27"/>
      <c r="R566" s="27"/>
    </row>
    <row r="567" spans="1:19" s="29" customFormat="1" x14ac:dyDescent="0.3">
      <c r="A567" s="27">
        <v>45173</v>
      </c>
      <c r="B567" s="15" t="str">
        <f>TEXT(A567,"mmmm")</f>
        <v>September</v>
      </c>
      <c r="C567" s="29" t="s">
        <v>2239</v>
      </c>
      <c r="D567" s="3" t="s">
        <v>17</v>
      </c>
      <c r="E567" s="29">
        <v>1</v>
      </c>
      <c r="G567" s="29" t="s">
        <v>26</v>
      </c>
      <c r="H567" s="29" t="s">
        <v>10</v>
      </c>
      <c r="I567" s="108">
        <v>13200</v>
      </c>
      <c r="J567" s="29">
        <v>165</v>
      </c>
      <c r="K567" s="29">
        <v>165</v>
      </c>
      <c r="M567" s="69">
        <f t="shared" si="16"/>
        <v>330</v>
      </c>
      <c r="N567" s="69">
        <f t="shared" si="17"/>
        <v>12870</v>
      </c>
      <c r="O567" s="29">
        <v>4817</v>
      </c>
      <c r="P567" s="29">
        <v>1832</v>
      </c>
      <c r="Q567" s="27">
        <v>45182</v>
      </c>
      <c r="R567" s="97">
        <v>45178</v>
      </c>
      <c r="S567" s="29" t="s">
        <v>2240</v>
      </c>
    </row>
    <row r="568" spans="1:19" s="29" customFormat="1" x14ac:dyDescent="0.3">
      <c r="A568" s="27"/>
      <c r="B568" s="27"/>
      <c r="D568" s="3"/>
      <c r="I568" s="108"/>
      <c r="M568" s="69">
        <f t="shared" si="16"/>
        <v>0</v>
      </c>
      <c r="N568" s="69">
        <f t="shared" si="17"/>
        <v>0</v>
      </c>
      <c r="O568" s="29">
        <v>6221</v>
      </c>
      <c r="Q568" s="27"/>
      <c r="R568" s="27"/>
      <c r="S568" s="29" t="s">
        <v>2241</v>
      </c>
    </row>
    <row r="569" spans="1:19" s="29" customFormat="1" x14ac:dyDescent="0.3">
      <c r="A569" s="27"/>
      <c r="B569" s="27"/>
      <c r="D569" s="3"/>
      <c r="I569" s="108"/>
      <c r="M569" s="69">
        <f t="shared" si="16"/>
        <v>0</v>
      </c>
      <c r="N569" s="69">
        <f t="shared" si="17"/>
        <v>0</v>
      </c>
      <c r="O569" s="108">
        <f>SUM(O567:O568)</f>
        <v>11038</v>
      </c>
      <c r="Q569" s="27"/>
      <c r="R569" s="27"/>
    </row>
    <row r="570" spans="1:19" s="29" customFormat="1" x14ac:dyDescent="0.3">
      <c r="A570" s="27"/>
      <c r="B570" s="27"/>
      <c r="D570" s="3"/>
      <c r="I570" s="108"/>
      <c r="M570" s="69">
        <f t="shared" si="16"/>
        <v>0</v>
      </c>
      <c r="N570" s="69">
        <f t="shared" si="17"/>
        <v>0</v>
      </c>
      <c r="O570" s="108"/>
      <c r="Q570" s="27"/>
      <c r="R570" s="27"/>
    </row>
    <row r="571" spans="1:19" s="29" customFormat="1" x14ac:dyDescent="0.3">
      <c r="A571" s="27">
        <v>45173</v>
      </c>
      <c r="B571" s="15" t="str">
        <f>TEXT(A571,"mmmm")</f>
        <v>September</v>
      </c>
      <c r="C571" s="98" t="s">
        <v>2246</v>
      </c>
      <c r="D571" s="3" t="s">
        <v>2247</v>
      </c>
      <c r="F571" s="3" t="s">
        <v>54</v>
      </c>
      <c r="G571" s="29" t="s">
        <v>22</v>
      </c>
      <c r="H571" s="29" t="s">
        <v>10</v>
      </c>
      <c r="I571" s="108">
        <v>38600</v>
      </c>
      <c r="J571" s="29">
        <f>P571*9%</f>
        <v>900</v>
      </c>
      <c r="K571" s="29">
        <f>J571</f>
        <v>900</v>
      </c>
      <c r="M571" s="69">
        <f t="shared" si="16"/>
        <v>1800</v>
      </c>
      <c r="N571" s="69">
        <f t="shared" si="17"/>
        <v>36800</v>
      </c>
      <c r="O571" s="108">
        <v>26800</v>
      </c>
      <c r="P571" s="29">
        <v>10000</v>
      </c>
      <c r="Q571" s="63" t="s">
        <v>2354</v>
      </c>
      <c r="R571" s="97">
        <v>45178</v>
      </c>
      <c r="S571" s="29" t="s">
        <v>2248</v>
      </c>
    </row>
    <row r="572" spans="1:19" s="29" customFormat="1" x14ac:dyDescent="0.3">
      <c r="A572" s="27"/>
      <c r="B572" s="27"/>
      <c r="D572" s="3"/>
      <c r="H572" s="122" t="s">
        <v>2249</v>
      </c>
      <c r="I572" s="108"/>
      <c r="M572" s="69">
        <f t="shared" si="16"/>
        <v>0</v>
      </c>
      <c r="N572" s="69">
        <f t="shared" si="17"/>
        <v>0</v>
      </c>
      <c r="O572" s="108"/>
      <c r="Q572" s="27"/>
      <c r="R572" s="27"/>
    </row>
    <row r="573" spans="1:19" s="29" customFormat="1" x14ac:dyDescent="0.3">
      <c r="A573" s="27"/>
      <c r="B573" s="27"/>
      <c r="D573" s="3"/>
      <c r="H573" s="123"/>
      <c r="I573" s="108"/>
      <c r="M573" s="69">
        <f t="shared" si="16"/>
        <v>0</v>
      </c>
      <c r="N573" s="69">
        <f t="shared" si="17"/>
        <v>0</v>
      </c>
      <c r="O573" s="108"/>
      <c r="Q573" s="27"/>
      <c r="R573" s="27"/>
    </row>
    <row r="574" spans="1:19" s="29" customFormat="1" x14ac:dyDescent="0.3">
      <c r="A574" s="27">
        <v>45174</v>
      </c>
      <c r="B574" s="15" t="str">
        <f>TEXT(A574,"mmmm")</f>
        <v>September</v>
      </c>
      <c r="C574" s="98" t="s">
        <v>2259</v>
      </c>
      <c r="D574" s="3" t="s">
        <v>2258</v>
      </c>
      <c r="E574" s="29">
        <v>4</v>
      </c>
      <c r="F574" s="3" t="s">
        <v>54</v>
      </c>
      <c r="G574" s="29" t="s">
        <v>24</v>
      </c>
      <c r="H574" s="29" t="s">
        <v>2260</v>
      </c>
      <c r="I574" s="108">
        <v>36108</v>
      </c>
      <c r="J574" s="29">
        <f>P574*9%</f>
        <v>630</v>
      </c>
      <c r="K574" s="29">
        <f>J574</f>
        <v>630</v>
      </c>
      <c r="M574" s="69">
        <f t="shared" si="16"/>
        <v>1260</v>
      </c>
      <c r="N574" s="69">
        <f t="shared" si="17"/>
        <v>34848</v>
      </c>
      <c r="O574" s="29">
        <v>14560</v>
      </c>
      <c r="P574" s="29">
        <v>7000</v>
      </c>
      <c r="Q574" s="63" t="s">
        <v>2354</v>
      </c>
      <c r="R574" s="97" t="s">
        <v>2266</v>
      </c>
    </row>
    <row r="575" spans="1:19" s="29" customFormat="1" x14ac:dyDescent="0.3">
      <c r="A575" s="27"/>
      <c r="B575" s="27"/>
      <c r="D575" s="3" t="s">
        <v>384</v>
      </c>
      <c r="H575" s="123"/>
      <c r="I575" s="108"/>
      <c r="M575" s="69">
        <f t="shared" si="16"/>
        <v>0</v>
      </c>
      <c r="N575" s="69">
        <f t="shared" si="17"/>
        <v>0</v>
      </c>
      <c r="O575" s="29">
        <v>5096</v>
      </c>
      <c r="Q575" s="27"/>
      <c r="R575" s="27" t="s">
        <v>2267</v>
      </c>
    </row>
    <row r="576" spans="1:19" s="29" customFormat="1" x14ac:dyDescent="0.3">
      <c r="A576" s="27"/>
      <c r="B576" s="27"/>
      <c r="D576" s="3" t="s">
        <v>2280</v>
      </c>
      <c r="H576" s="123"/>
      <c r="I576" s="108"/>
      <c r="M576" s="69">
        <f t="shared" si="16"/>
        <v>0</v>
      </c>
      <c r="N576" s="69">
        <f t="shared" si="17"/>
        <v>0</v>
      </c>
      <c r="O576" s="29">
        <v>3712</v>
      </c>
      <c r="Q576" s="27"/>
      <c r="R576" s="27" t="s">
        <v>2277</v>
      </c>
    </row>
    <row r="577" spans="1:19" s="29" customFormat="1" x14ac:dyDescent="0.3">
      <c r="A577" s="27"/>
      <c r="B577" s="27"/>
      <c r="D577" s="3" t="s">
        <v>2302</v>
      </c>
      <c r="H577" s="29" t="s">
        <v>2303</v>
      </c>
      <c r="I577" s="108"/>
      <c r="M577" s="69">
        <f t="shared" si="16"/>
        <v>0</v>
      </c>
      <c r="N577" s="69">
        <f t="shared" si="17"/>
        <v>0</v>
      </c>
      <c r="O577" s="29">
        <v>4480</v>
      </c>
      <c r="Q577" s="27"/>
      <c r="R577" s="27" t="s">
        <v>2304</v>
      </c>
    </row>
    <row r="578" spans="1:19" s="29" customFormat="1" x14ac:dyDescent="0.3">
      <c r="A578" s="27"/>
      <c r="B578" s="27"/>
      <c r="D578" s="3"/>
      <c r="G578" s="29">
        <f>F578/2</f>
        <v>0</v>
      </c>
      <c r="I578" s="108"/>
      <c r="M578" s="69">
        <f t="shared" si="16"/>
        <v>0</v>
      </c>
      <c r="N578" s="69">
        <f t="shared" si="17"/>
        <v>0</v>
      </c>
      <c r="O578" s="108">
        <f>SUM(O574:O577)</f>
        <v>27848</v>
      </c>
      <c r="Q578" s="27"/>
      <c r="R578" s="27"/>
    </row>
    <row r="579" spans="1:19" s="29" customFormat="1" x14ac:dyDescent="0.3">
      <c r="A579" s="27"/>
      <c r="B579" s="27"/>
      <c r="D579" s="3"/>
      <c r="I579" s="108"/>
      <c r="M579" s="69">
        <f t="shared" ref="M579:M642" si="18">SUM(J579:L579)</f>
        <v>0</v>
      </c>
      <c r="N579" s="69">
        <f t="shared" ref="N579:N642" si="19">I579-M579</f>
        <v>0</v>
      </c>
      <c r="O579" s="108"/>
      <c r="Q579" s="27"/>
      <c r="R579" s="27"/>
    </row>
    <row r="580" spans="1:19" s="29" customFormat="1" ht="26.4" x14ac:dyDescent="0.3">
      <c r="A580" s="27">
        <v>45176</v>
      </c>
      <c r="B580" s="15" t="str">
        <f>TEXT(A580,"mmmm")</f>
        <v>September</v>
      </c>
      <c r="C580" s="98" t="s">
        <v>2281</v>
      </c>
      <c r="D580" s="3" t="s">
        <v>2289</v>
      </c>
      <c r="F580" s="3" t="s">
        <v>60</v>
      </c>
      <c r="G580" s="3" t="s">
        <v>26</v>
      </c>
      <c r="H580" s="3" t="s">
        <v>10</v>
      </c>
      <c r="I580" s="108">
        <v>38246</v>
      </c>
      <c r="J580" s="29">
        <f>P580*9%</f>
        <v>90</v>
      </c>
      <c r="K580" s="29">
        <f>J580</f>
        <v>90</v>
      </c>
      <c r="M580" s="69">
        <f t="shared" si="18"/>
        <v>180</v>
      </c>
      <c r="N580" s="69">
        <f t="shared" si="19"/>
        <v>38066</v>
      </c>
      <c r="O580" s="108">
        <v>23314</v>
      </c>
      <c r="P580" s="29">
        <v>1000</v>
      </c>
      <c r="Q580" s="97" t="s">
        <v>2332</v>
      </c>
      <c r="R580" s="63" t="s">
        <v>2314</v>
      </c>
      <c r="S580" s="29" t="s">
        <v>2282</v>
      </c>
    </row>
    <row r="581" spans="1:19" s="29" customFormat="1" ht="26.4" x14ac:dyDescent="0.3">
      <c r="A581" s="27"/>
      <c r="B581" s="27"/>
      <c r="D581" s="3" t="s">
        <v>2283</v>
      </c>
      <c r="F581" s="3"/>
      <c r="G581" s="3"/>
      <c r="H581" s="3">
        <f>23314+11492-2484</f>
        <v>32322</v>
      </c>
      <c r="I581" s="108"/>
      <c r="M581" s="69">
        <f t="shared" si="18"/>
        <v>0</v>
      </c>
      <c r="N581" s="69">
        <f t="shared" si="19"/>
        <v>0</v>
      </c>
      <c r="O581" s="88">
        <v>2260</v>
      </c>
      <c r="Q581" s="27"/>
      <c r="R581" s="62" t="s">
        <v>2274</v>
      </c>
    </row>
    <row r="582" spans="1:19" s="29" customFormat="1" x14ac:dyDescent="0.3">
      <c r="A582" s="27"/>
      <c r="B582" s="27"/>
      <c r="D582" s="3" t="s">
        <v>2290</v>
      </c>
      <c r="H582" s="123"/>
      <c r="I582" s="108"/>
      <c r="M582" s="69">
        <f t="shared" si="18"/>
        <v>0</v>
      </c>
      <c r="N582" s="69">
        <f t="shared" si="19"/>
        <v>0</v>
      </c>
      <c r="O582" s="29">
        <v>11492</v>
      </c>
      <c r="Q582" s="27"/>
      <c r="R582" s="27"/>
      <c r="S582" s="29" t="s">
        <v>2291</v>
      </c>
    </row>
    <row r="583" spans="1:19" s="29" customFormat="1" x14ac:dyDescent="0.3">
      <c r="A583" s="27"/>
      <c r="B583" s="27"/>
      <c r="D583" s="3"/>
      <c r="F583" s="3"/>
      <c r="G583" s="3"/>
      <c r="H583" s="3"/>
      <c r="I583" s="108"/>
      <c r="M583" s="69">
        <f t="shared" si="18"/>
        <v>0</v>
      </c>
      <c r="N583" s="69">
        <f t="shared" si="19"/>
        <v>0</v>
      </c>
      <c r="O583" s="108">
        <f>SUM(O580:O582)</f>
        <v>37066</v>
      </c>
      <c r="Q583" s="27"/>
      <c r="R583" s="27"/>
    </row>
    <row r="584" spans="1:19" s="29" customFormat="1" x14ac:dyDescent="0.3">
      <c r="A584" s="27"/>
      <c r="B584" s="27"/>
      <c r="D584" s="3"/>
      <c r="F584" s="3"/>
      <c r="G584" s="3"/>
      <c r="H584" s="3"/>
      <c r="I584" s="108"/>
      <c r="M584" s="69">
        <f t="shared" si="18"/>
        <v>0</v>
      </c>
      <c r="N584" s="69">
        <f t="shared" si="19"/>
        <v>0</v>
      </c>
      <c r="O584" s="108"/>
      <c r="Q584" s="27"/>
      <c r="R584" s="27"/>
    </row>
    <row r="585" spans="1:19" s="29" customFormat="1" ht="26.4" x14ac:dyDescent="0.3">
      <c r="A585" s="27">
        <v>45176</v>
      </c>
      <c r="B585" s="15" t="str">
        <f>TEXT(A585,"mmmm")</f>
        <v>September</v>
      </c>
      <c r="C585" s="124" t="s">
        <v>2286</v>
      </c>
      <c r="D585" s="3" t="s">
        <v>2285</v>
      </c>
      <c r="F585" s="3" t="s">
        <v>60</v>
      </c>
      <c r="G585" s="3" t="s">
        <v>2287</v>
      </c>
      <c r="H585" s="3" t="s">
        <v>2288</v>
      </c>
      <c r="I585" s="108">
        <v>10335</v>
      </c>
      <c r="J585" s="29">
        <v>153.5</v>
      </c>
      <c r="K585" s="29">
        <f>J585</f>
        <v>153.5</v>
      </c>
      <c r="M585" s="69">
        <f t="shared" si="18"/>
        <v>307</v>
      </c>
      <c r="N585" s="69">
        <f t="shared" si="19"/>
        <v>10028</v>
      </c>
      <c r="O585" s="88">
        <v>8325.0499999999993</v>
      </c>
      <c r="P585" s="29">
        <v>1703</v>
      </c>
      <c r="Q585" s="97" t="s">
        <v>2332</v>
      </c>
      <c r="R585" s="62" t="s">
        <v>2274</v>
      </c>
    </row>
    <row r="586" spans="1:19" s="29" customFormat="1" x14ac:dyDescent="0.3">
      <c r="A586" s="27"/>
      <c r="B586" s="27"/>
      <c r="D586" s="3"/>
      <c r="F586" s="3"/>
      <c r="G586" s="3"/>
      <c r="H586" s="122" t="s">
        <v>258</v>
      </c>
      <c r="I586" s="107">
        <v>517</v>
      </c>
      <c r="M586" s="69">
        <f t="shared" si="18"/>
        <v>0</v>
      </c>
      <c r="N586" s="69">
        <f t="shared" si="19"/>
        <v>517</v>
      </c>
      <c r="O586" s="108"/>
      <c r="Q586" s="27"/>
      <c r="R586" s="27"/>
    </row>
    <row r="587" spans="1:19" s="29" customFormat="1" x14ac:dyDescent="0.3">
      <c r="A587" s="27"/>
      <c r="B587" s="27"/>
      <c r="D587" s="3"/>
      <c r="F587" s="3"/>
      <c r="G587" s="3"/>
      <c r="H587" s="3"/>
      <c r="I587" s="108">
        <f>SUM(I585:I586)</f>
        <v>10852</v>
      </c>
      <c r="M587" s="69">
        <f t="shared" si="18"/>
        <v>0</v>
      </c>
      <c r="N587" s="69">
        <f t="shared" si="19"/>
        <v>10852</v>
      </c>
      <c r="O587" s="108"/>
      <c r="Q587" s="27"/>
      <c r="R587" s="27"/>
    </row>
    <row r="588" spans="1:19" s="29" customFormat="1" x14ac:dyDescent="0.3">
      <c r="A588" s="27"/>
      <c r="B588" s="27"/>
      <c r="D588" s="3"/>
      <c r="F588" s="3"/>
      <c r="G588" s="3"/>
      <c r="H588" s="3"/>
      <c r="I588" s="108"/>
      <c r="M588" s="69">
        <f t="shared" si="18"/>
        <v>0</v>
      </c>
      <c r="N588" s="69">
        <f t="shared" si="19"/>
        <v>0</v>
      </c>
      <c r="O588" s="108">
        <f>8325.05-7975</f>
        <v>350.04999999999927</v>
      </c>
      <c r="Q588" s="27"/>
      <c r="R588" s="27"/>
    </row>
    <row r="589" spans="1:19" s="29" customFormat="1" x14ac:dyDescent="0.3">
      <c r="A589" s="27">
        <v>45177</v>
      </c>
      <c r="B589" s="15" t="str">
        <f>TEXT(A589,"mmmm")</f>
        <v>September</v>
      </c>
      <c r="C589" s="29" t="s">
        <v>2315</v>
      </c>
      <c r="D589" s="3" t="s">
        <v>2292</v>
      </c>
      <c r="F589" s="3" t="s">
        <v>54</v>
      </c>
      <c r="G589" s="3" t="s">
        <v>9</v>
      </c>
      <c r="H589" s="3" t="s">
        <v>1134</v>
      </c>
      <c r="I589" s="108"/>
      <c r="M589" s="69">
        <f t="shared" si="18"/>
        <v>0</v>
      </c>
      <c r="N589" s="69">
        <f t="shared" si="19"/>
        <v>0</v>
      </c>
      <c r="O589" s="108"/>
      <c r="Q589" s="27"/>
      <c r="R589" s="27"/>
    </row>
    <row r="590" spans="1:19" s="29" customFormat="1" x14ac:dyDescent="0.3">
      <c r="A590" s="27"/>
      <c r="B590" s="27"/>
      <c r="D590" s="3" t="s">
        <v>2293</v>
      </c>
      <c r="F590" s="3"/>
      <c r="G590" s="3"/>
      <c r="H590" s="3"/>
      <c r="I590" s="108">
        <f>SUM(J590,K590,O597,P590)</f>
        <v>65644</v>
      </c>
      <c r="J590" s="29">
        <v>1563</v>
      </c>
      <c r="K590" s="29">
        <f>J590</f>
        <v>1563</v>
      </c>
      <c r="M590" s="69">
        <f t="shared" si="18"/>
        <v>3126</v>
      </c>
      <c r="N590" s="69">
        <f t="shared" si="19"/>
        <v>62518</v>
      </c>
      <c r="O590" s="29">
        <v>6773</v>
      </c>
      <c r="P590" s="29">
        <f>1250*10</f>
        <v>12500</v>
      </c>
      <c r="Q590" s="63" t="s">
        <v>2509</v>
      </c>
      <c r="R590" s="97">
        <v>45187</v>
      </c>
      <c r="S590" s="29" t="s">
        <v>2294</v>
      </c>
    </row>
    <row r="591" spans="1:19" s="29" customFormat="1" x14ac:dyDescent="0.3">
      <c r="A591" s="27"/>
      <c r="B591" s="27"/>
      <c r="D591" s="3" t="s">
        <v>2295</v>
      </c>
      <c r="F591" s="3"/>
      <c r="G591" s="3"/>
      <c r="H591" s="3"/>
      <c r="I591" s="108"/>
      <c r="M591" s="69">
        <f t="shared" si="18"/>
        <v>0</v>
      </c>
      <c r="N591" s="69">
        <f t="shared" si="19"/>
        <v>0</v>
      </c>
      <c r="O591" s="29">
        <v>3780</v>
      </c>
      <c r="Q591" s="27"/>
      <c r="R591" s="27"/>
      <c r="S591" s="29" t="s">
        <v>2296</v>
      </c>
    </row>
    <row r="592" spans="1:19" s="29" customFormat="1" x14ac:dyDescent="0.3">
      <c r="A592" s="27"/>
      <c r="B592" s="27"/>
      <c r="D592" s="3" t="s">
        <v>2297</v>
      </c>
      <c r="F592" s="3"/>
      <c r="G592" s="3"/>
      <c r="H592" s="3"/>
      <c r="I592" s="108"/>
      <c r="M592" s="69">
        <f t="shared" si="18"/>
        <v>0</v>
      </c>
      <c r="N592" s="69">
        <f t="shared" si="19"/>
        <v>0</v>
      </c>
      <c r="O592" s="29">
        <v>7203</v>
      </c>
      <c r="Q592" s="27"/>
      <c r="R592" s="27"/>
      <c r="S592" s="29" t="s">
        <v>2298</v>
      </c>
    </row>
    <row r="593" spans="1:19" s="29" customFormat="1" ht="39.6" x14ac:dyDescent="0.3">
      <c r="A593" s="27"/>
      <c r="B593" s="27"/>
      <c r="D593" s="3" t="s">
        <v>2299</v>
      </c>
      <c r="F593" s="3"/>
      <c r="G593" s="3"/>
      <c r="H593" s="3"/>
      <c r="I593" s="108"/>
      <c r="M593" s="69">
        <f t="shared" si="18"/>
        <v>0</v>
      </c>
      <c r="N593" s="69">
        <f t="shared" si="19"/>
        <v>0</v>
      </c>
      <c r="O593" s="29">
        <f>3360+3360+3570</f>
        <v>10290</v>
      </c>
      <c r="Q593" s="27"/>
      <c r="R593" s="27"/>
      <c r="S593" s="110" t="s">
        <v>2300</v>
      </c>
    </row>
    <row r="594" spans="1:19" s="29" customFormat="1" x14ac:dyDescent="0.3">
      <c r="A594" s="27"/>
      <c r="B594" s="27"/>
      <c r="D594" s="3" t="s">
        <v>2406</v>
      </c>
      <c r="F594" s="3"/>
      <c r="G594" s="3"/>
      <c r="H594" s="3"/>
      <c r="I594" s="108"/>
      <c r="M594" s="69">
        <f t="shared" si="18"/>
        <v>0</v>
      </c>
      <c r="N594" s="69">
        <f t="shared" si="19"/>
        <v>0</v>
      </c>
      <c r="O594" s="29">
        <v>7718</v>
      </c>
      <c r="Q594" s="27"/>
      <c r="R594" s="27"/>
      <c r="S594" s="29" t="s">
        <v>2408</v>
      </c>
    </row>
    <row r="595" spans="1:19" s="29" customFormat="1" x14ac:dyDescent="0.3">
      <c r="A595" s="27"/>
      <c r="B595" s="27"/>
      <c r="D595" s="3" t="s">
        <v>2407</v>
      </c>
      <c r="F595" s="3"/>
      <c r="G595" s="3"/>
      <c r="H595" s="3"/>
      <c r="I595" s="108"/>
      <c r="M595" s="69">
        <f t="shared" si="18"/>
        <v>0</v>
      </c>
      <c r="N595" s="69">
        <f t="shared" si="19"/>
        <v>0</v>
      </c>
      <c r="O595" s="29">
        <v>5938</v>
      </c>
      <c r="Q595" s="27"/>
      <c r="R595" s="27"/>
      <c r="S595" s="29" t="s">
        <v>2409</v>
      </c>
    </row>
    <row r="596" spans="1:19" s="29" customFormat="1" x14ac:dyDescent="0.3">
      <c r="A596" s="27"/>
      <c r="B596" s="27"/>
      <c r="D596" s="3" t="s">
        <v>2411</v>
      </c>
      <c r="F596" s="3"/>
      <c r="G596" s="3"/>
      <c r="H596" s="3"/>
      <c r="I596" s="108"/>
      <c r="M596" s="69">
        <f t="shared" si="18"/>
        <v>0</v>
      </c>
      <c r="N596" s="69">
        <f t="shared" si="19"/>
        <v>0</v>
      </c>
      <c r="O596" s="29">
        <v>8316</v>
      </c>
      <c r="Q596" s="27"/>
      <c r="R596" s="27"/>
      <c r="S596" s="29" t="s">
        <v>2410</v>
      </c>
    </row>
    <row r="597" spans="1:19" s="29" customFormat="1" x14ac:dyDescent="0.3">
      <c r="A597" s="27"/>
      <c r="B597" s="27"/>
      <c r="D597" s="3"/>
      <c r="F597" s="3"/>
      <c r="G597" s="3"/>
      <c r="H597" s="3"/>
      <c r="I597" s="108"/>
      <c r="M597" s="69">
        <f t="shared" si="18"/>
        <v>0</v>
      </c>
      <c r="N597" s="69">
        <f t="shared" si="19"/>
        <v>0</v>
      </c>
      <c r="O597" s="108">
        <f>SUM(O590:O596)</f>
        <v>50018</v>
      </c>
      <c r="Q597" s="27"/>
      <c r="R597" s="27"/>
    </row>
    <row r="598" spans="1:19" s="29" customFormat="1" x14ac:dyDescent="0.3">
      <c r="A598" s="27"/>
      <c r="B598" s="27"/>
      <c r="D598" s="3"/>
      <c r="F598" s="3"/>
      <c r="G598" s="3"/>
      <c r="H598" s="3"/>
      <c r="I598" s="108"/>
      <c r="M598" s="69">
        <f t="shared" si="18"/>
        <v>0</v>
      </c>
      <c r="N598" s="69">
        <f t="shared" si="19"/>
        <v>0</v>
      </c>
      <c r="O598" s="108"/>
      <c r="Q598" s="27"/>
      <c r="R598" s="27"/>
    </row>
    <row r="599" spans="1:19" s="29" customFormat="1" ht="26.4" x14ac:dyDescent="0.3">
      <c r="A599" s="9">
        <v>45177</v>
      </c>
      <c r="B599" s="15" t="str">
        <f>TEXT(A599,"mmmm")</f>
        <v>September</v>
      </c>
      <c r="C599" s="10" t="s">
        <v>2327</v>
      </c>
      <c r="D599" s="10" t="s">
        <v>2329</v>
      </c>
      <c r="E599" s="10"/>
      <c r="F599" s="10" t="s">
        <v>60</v>
      </c>
      <c r="G599" s="10" t="s">
        <v>26</v>
      </c>
      <c r="H599" s="10" t="s">
        <v>10</v>
      </c>
      <c r="I599" s="17">
        <v>2484</v>
      </c>
      <c r="J599" s="10">
        <v>190</v>
      </c>
      <c r="K599" s="10">
        <v>190</v>
      </c>
      <c r="L599" s="10"/>
      <c r="M599" s="69">
        <f t="shared" si="18"/>
        <v>380</v>
      </c>
      <c r="N599" s="69">
        <f t="shared" si="19"/>
        <v>2104</v>
      </c>
      <c r="O599" s="17">
        <v>0</v>
      </c>
      <c r="P599" s="17">
        <v>2104</v>
      </c>
      <c r="Q599" s="9"/>
      <c r="R599" s="64" t="s">
        <v>2331</v>
      </c>
      <c r="S599" s="10" t="s">
        <v>2330</v>
      </c>
    </row>
    <row r="600" spans="1:19" s="29" customFormat="1" x14ac:dyDescent="0.3">
      <c r="A600" s="9"/>
      <c r="B600" s="9"/>
      <c r="C600" s="10"/>
      <c r="D600" s="10" t="s">
        <v>2328</v>
      </c>
      <c r="E600" s="10"/>
      <c r="F600" s="10"/>
      <c r="G600" s="10"/>
      <c r="H600" s="10"/>
      <c r="I600" s="17"/>
      <c r="J600" s="10"/>
      <c r="K600" s="10"/>
      <c r="L600" s="10"/>
      <c r="M600" s="69">
        <f t="shared" si="18"/>
        <v>0</v>
      </c>
      <c r="N600" s="69">
        <f t="shared" si="19"/>
        <v>0</v>
      </c>
      <c r="O600" s="17"/>
      <c r="P600" s="10"/>
      <c r="Q600" s="9"/>
      <c r="R600" s="9"/>
      <c r="S600" s="10"/>
    </row>
    <row r="601" spans="1:19" s="29" customFormat="1" x14ac:dyDescent="0.3">
      <c r="A601" s="27"/>
      <c r="B601" s="27"/>
      <c r="D601" s="3"/>
      <c r="F601" s="3"/>
      <c r="G601" s="3"/>
      <c r="H601" s="3"/>
      <c r="I601" s="108"/>
      <c r="M601" s="69">
        <f t="shared" si="18"/>
        <v>0</v>
      </c>
      <c r="N601" s="69">
        <f t="shared" si="19"/>
        <v>0</v>
      </c>
      <c r="O601" s="108"/>
      <c r="Q601" s="27"/>
      <c r="R601" s="27"/>
    </row>
    <row r="602" spans="1:19" s="29" customFormat="1" x14ac:dyDescent="0.3">
      <c r="A602" s="27"/>
      <c r="B602" s="27"/>
      <c r="D602" s="3"/>
      <c r="F602" s="3"/>
      <c r="G602" s="3"/>
      <c r="H602" s="3"/>
      <c r="I602" s="108"/>
      <c r="M602" s="69">
        <f t="shared" si="18"/>
        <v>0</v>
      </c>
      <c r="N602" s="69">
        <f t="shared" si="19"/>
        <v>0</v>
      </c>
      <c r="O602" s="108"/>
      <c r="Q602" s="27"/>
      <c r="R602" s="27"/>
    </row>
    <row r="603" spans="1:19" s="29" customFormat="1" x14ac:dyDescent="0.3">
      <c r="A603" s="27">
        <v>45178</v>
      </c>
      <c r="B603" s="15" t="str">
        <f>TEXT(A603,"mmmm")</f>
        <v>September</v>
      </c>
      <c r="C603" s="29" t="s">
        <v>2319</v>
      </c>
      <c r="D603" s="3" t="s">
        <v>2320</v>
      </c>
      <c r="F603" s="3" t="s">
        <v>54</v>
      </c>
      <c r="G603" s="3" t="s">
        <v>26</v>
      </c>
      <c r="H603" s="3" t="s">
        <v>10</v>
      </c>
      <c r="I603" s="108">
        <v>258908</v>
      </c>
      <c r="J603" s="29">
        <f>P603*9%</f>
        <v>1597.5</v>
      </c>
      <c r="K603" s="29">
        <f>J603</f>
        <v>1597.5</v>
      </c>
      <c r="M603" s="69">
        <f t="shared" si="18"/>
        <v>3195</v>
      </c>
      <c r="N603" s="69">
        <f t="shared" si="19"/>
        <v>255713</v>
      </c>
      <c r="O603" s="29">
        <v>3537</v>
      </c>
      <c r="P603" s="29">
        <f>350*45+2000</f>
        <v>17750</v>
      </c>
      <c r="Q603" s="63" t="s">
        <v>2509</v>
      </c>
      <c r="R603" s="5" t="s">
        <v>2412</v>
      </c>
      <c r="S603" s="29" t="s">
        <v>2322</v>
      </c>
    </row>
    <row r="604" spans="1:19" s="29" customFormat="1" x14ac:dyDescent="0.3">
      <c r="A604" s="27"/>
      <c r="B604" s="27"/>
      <c r="D604" s="3" t="s">
        <v>2321</v>
      </c>
      <c r="F604" s="3"/>
      <c r="G604" s="3"/>
      <c r="H604" s="3"/>
      <c r="I604" s="108"/>
      <c r="M604" s="69">
        <f t="shared" si="18"/>
        <v>0</v>
      </c>
      <c r="N604" s="69">
        <f t="shared" si="19"/>
        <v>0</v>
      </c>
      <c r="O604" s="29">
        <v>3977</v>
      </c>
      <c r="Q604" s="27"/>
      <c r="R604" s="27"/>
      <c r="S604" s="29" t="s">
        <v>2323</v>
      </c>
    </row>
    <row r="605" spans="1:19" s="29" customFormat="1" x14ac:dyDescent="0.3">
      <c r="A605" s="27"/>
      <c r="B605" s="27"/>
      <c r="D605" s="3" t="s">
        <v>2333</v>
      </c>
      <c r="F605" s="3"/>
      <c r="G605" s="3"/>
      <c r="H605" s="3"/>
      <c r="I605" s="108"/>
      <c r="M605" s="69">
        <f t="shared" si="18"/>
        <v>0</v>
      </c>
      <c r="N605" s="69">
        <f t="shared" si="19"/>
        <v>0</v>
      </c>
      <c r="O605" s="29">
        <v>4855</v>
      </c>
      <c r="Q605" s="27"/>
      <c r="R605" s="27"/>
      <c r="S605" s="29" t="s">
        <v>2334</v>
      </c>
    </row>
    <row r="606" spans="1:19" s="29" customFormat="1" x14ac:dyDescent="0.3">
      <c r="A606" s="27"/>
      <c r="B606" s="27"/>
      <c r="D606" s="3" t="s">
        <v>2338</v>
      </c>
      <c r="F606" s="3"/>
      <c r="G606" s="3"/>
      <c r="H606" s="3"/>
      <c r="I606" s="108"/>
      <c r="M606" s="69">
        <f t="shared" si="18"/>
        <v>0</v>
      </c>
      <c r="N606" s="69">
        <f t="shared" si="19"/>
        <v>0</v>
      </c>
      <c r="O606" s="29">
        <v>8767</v>
      </c>
      <c r="Q606" s="27"/>
      <c r="R606" s="27"/>
      <c r="S606" s="29" t="s">
        <v>2339</v>
      </c>
    </row>
    <row r="607" spans="1:19" s="29" customFormat="1" x14ac:dyDescent="0.3">
      <c r="A607" s="27"/>
      <c r="B607" s="27"/>
      <c r="D607" s="3" t="s">
        <v>2340</v>
      </c>
      <c r="F607" s="3"/>
      <c r="G607" s="3"/>
      <c r="H607" s="3"/>
      <c r="I607" s="108"/>
      <c r="M607" s="69">
        <f t="shared" si="18"/>
        <v>0</v>
      </c>
      <c r="N607" s="69">
        <f t="shared" si="19"/>
        <v>0</v>
      </c>
      <c r="O607" s="29">
        <v>8793</v>
      </c>
      <c r="Q607" s="27"/>
      <c r="R607" s="27"/>
      <c r="S607" s="29" t="s">
        <v>2343</v>
      </c>
    </row>
    <row r="608" spans="1:19" s="29" customFormat="1" ht="26.4" x14ac:dyDescent="0.3">
      <c r="A608" s="27"/>
      <c r="B608" s="27"/>
      <c r="D608" s="3" t="s">
        <v>2341</v>
      </c>
      <c r="F608" s="3"/>
      <c r="G608" s="3"/>
      <c r="H608" s="3" t="s">
        <v>807</v>
      </c>
      <c r="I608" s="108"/>
      <c r="M608" s="69">
        <f t="shared" si="18"/>
        <v>0</v>
      </c>
      <c r="N608" s="69">
        <f t="shared" si="19"/>
        <v>0</v>
      </c>
      <c r="O608" s="88">
        <v>360</v>
      </c>
      <c r="Q608" s="27"/>
      <c r="R608" s="62" t="s">
        <v>2342</v>
      </c>
    </row>
    <row r="609" spans="1:19" s="29" customFormat="1" x14ac:dyDescent="0.3">
      <c r="A609" s="27"/>
      <c r="B609" s="27"/>
      <c r="D609" s="3" t="s">
        <v>2348</v>
      </c>
      <c r="F609" s="3"/>
      <c r="G609" s="3"/>
      <c r="H609" s="3"/>
      <c r="I609" s="108"/>
      <c r="M609" s="69">
        <f t="shared" si="18"/>
        <v>0</v>
      </c>
      <c r="N609" s="69">
        <f t="shared" si="19"/>
        <v>0</v>
      </c>
      <c r="O609" s="29">
        <v>3410</v>
      </c>
      <c r="Q609" s="27"/>
      <c r="R609" s="27"/>
      <c r="S609" s="29" t="s">
        <v>2349</v>
      </c>
    </row>
    <row r="610" spans="1:19" s="29" customFormat="1" x14ac:dyDescent="0.3">
      <c r="A610" s="27"/>
      <c r="B610" s="27"/>
      <c r="D610" s="3" t="s">
        <v>2070</v>
      </c>
      <c r="F610" s="3"/>
      <c r="G610" s="3"/>
      <c r="H610" s="3"/>
      <c r="I610" s="108"/>
      <c r="M610" s="69">
        <f t="shared" si="18"/>
        <v>0</v>
      </c>
      <c r="N610" s="69">
        <f t="shared" si="19"/>
        <v>0</v>
      </c>
      <c r="O610" s="29">
        <v>5712</v>
      </c>
      <c r="Q610" s="27"/>
      <c r="R610" s="27"/>
      <c r="S610" s="29" t="s">
        <v>2350</v>
      </c>
    </row>
    <row r="611" spans="1:19" s="29" customFormat="1" x14ac:dyDescent="0.3">
      <c r="A611" s="27"/>
      <c r="B611" s="27"/>
      <c r="D611" s="3" t="s">
        <v>2071</v>
      </c>
      <c r="F611" s="3"/>
      <c r="G611" s="3"/>
      <c r="H611" s="3"/>
      <c r="I611" s="108"/>
      <c r="M611" s="69">
        <f t="shared" si="18"/>
        <v>0</v>
      </c>
      <c r="N611" s="69">
        <f t="shared" si="19"/>
        <v>0</v>
      </c>
      <c r="O611" s="29">
        <v>12241</v>
      </c>
      <c r="Q611" s="27"/>
      <c r="R611" s="27"/>
      <c r="S611" s="29" t="s">
        <v>2351</v>
      </c>
    </row>
    <row r="612" spans="1:19" s="29" customFormat="1" x14ac:dyDescent="0.3">
      <c r="A612" s="27"/>
      <c r="B612" s="27"/>
      <c r="D612" s="3" t="s">
        <v>2352</v>
      </c>
      <c r="F612" s="3"/>
      <c r="G612" s="3"/>
      <c r="H612" s="3"/>
      <c r="I612" s="108"/>
      <c r="M612" s="69">
        <f t="shared" si="18"/>
        <v>0</v>
      </c>
      <c r="N612" s="69">
        <f t="shared" si="19"/>
        <v>0</v>
      </c>
      <c r="O612" s="29">
        <v>6858</v>
      </c>
      <c r="Q612" s="27"/>
      <c r="R612" s="27"/>
      <c r="S612" s="29" t="s">
        <v>2353</v>
      </c>
    </row>
    <row r="613" spans="1:19" s="29" customFormat="1" x14ac:dyDescent="0.3">
      <c r="A613" s="27"/>
      <c r="B613" s="27"/>
      <c r="D613" s="3" t="s">
        <v>2356</v>
      </c>
      <c r="F613" s="3"/>
      <c r="G613" s="3"/>
      <c r="H613" s="3"/>
      <c r="I613" s="108"/>
      <c r="M613" s="69">
        <f t="shared" si="18"/>
        <v>0</v>
      </c>
      <c r="N613" s="69">
        <f t="shared" si="19"/>
        <v>0</v>
      </c>
      <c r="O613" s="29">
        <v>12406</v>
      </c>
      <c r="Q613" s="27"/>
      <c r="R613" s="27"/>
      <c r="S613" s="29" t="s">
        <v>2357</v>
      </c>
    </row>
    <row r="614" spans="1:19" s="29" customFormat="1" x14ac:dyDescent="0.3">
      <c r="A614" s="27"/>
      <c r="B614" s="27"/>
      <c r="D614" s="3" t="s">
        <v>2359</v>
      </c>
      <c r="F614" s="3"/>
      <c r="G614" s="3"/>
      <c r="H614" s="3"/>
      <c r="I614" s="108"/>
      <c r="M614" s="69">
        <f t="shared" si="18"/>
        <v>0</v>
      </c>
      <c r="N614" s="69">
        <f t="shared" si="19"/>
        <v>0</v>
      </c>
      <c r="O614" s="29">
        <v>5360</v>
      </c>
      <c r="Q614" s="27"/>
      <c r="R614" s="27"/>
      <c r="S614" s="29" t="s">
        <v>2358</v>
      </c>
    </row>
    <row r="615" spans="1:19" s="29" customFormat="1" x14ac:dyDescent="0.3">
      <c r="A615" s="27"/>
      <c r="B615" s="27"/>
      <c r="D615" s="3" t="s">
        <v>2360</v>
      </c>
      <c r="F615" s="3"/>
      <c r="G615" s="3"/>
      <c r="H615" s="3"/>
      <c r="I615" s="108"/>
      <c r="M615" s="69">
        <f t="shared" si="18"/>
        <v>0</v>
      </c>
      <c r="N615" s="69">
        <f t="shared" si="19"/>
        <v>0</v>
      </c>
      <c r="O615" s="29">
        <v>5508</v>
      </c>
      <c r="Q615" s="27"/>
      <c r="R615" s="27"/>
      <c r="S615" s="29" t="s">
        <v>2361</v>
      </c>
    </row>
    <row r="616" spans="1:19" s="29" customFormat="1" x14ac:dyDescent="0.3">
      <c r="A616" s="27"/>
      <c r="B616" s="27"/>
      <c r="D616" s="3" t="s">
        <v>2363</v>
      </c>
      <c r="F616" s="3"/>
      <c r="G616" s="3"/>
      <c r="H616" s="3"/>
      <c r="I616" s="108"/>
      <c r="M616" s="69">
        <f t="shared" si="18"/>
        <v>0</v>
      </c>
      <c r="N616" s="69">
        <f t="shared" si="19"/>
        <v>0</v>
      </c>
      <c r="O616" s="29">
        <v>14559</v>
      </c>
      <c r="Q616" s="27"/>
      <c r="R616" s="27"/>
      <c r="S616" s="29" t="s">
        <v>2362</v>
      </c>
    </row>
    <row r="617" spans="1:19" s="29" customFormat="1" x14ac:dyDescent="0.3">
      <c r="A617" s="27"/>
      <c r="B617" s="27"/>
      <c r="D617" s="3" t="s">
        <v>2364</v>
      </c>
      <c r="F617" s="3"/>
      <c r="G617" s="3"/>
      <c r="H617" s="3"/>
      <c r="I617" s="108"/>
      <c r="M617" s="69">
        <f t="shared" si="18"/>
        <v>0</v>
      </c>
      <c r="N617" s="69">
        <f t="shared" si="19"/>
        <v>0</v>
      </c>
      <c r="O617" s="29">
        <v>10296</v>
      </c>
      <c r="Q617" s="27"/>
      <c r="R617" s="27"/>
      <c r="S617" s="29" t="s">
        <v>2365</v>
      </c>
    </row>
    <row r="618" spans="1:19" s="29" customFormat="1" x14ac:dyDescent="0.3">
      <c r="A618" s="27"/>
      <c r="B618" s="27"/>
      <c r="D618" s="3" t="s">
        <v>2366</v>
      </c>
      <c r="F618" s="3"/>
      <c r="G618" s="3"/>
      <c r="H618" s="3"/>
      <c r="I618" s="108"/>
      <c r="M618" s="69">
        <f t="shared" si="18"/>
        <v>0</v>
      </c>
      <c r="N618" s="69">
        <f t="shared" si="19"/>
        <v>0</v>
      </c>
      <c r="O618" s="29">
        <v>2986</v>
      </c>
      <c r="Q618" s="27"/>
      <c r="R618" s="27"/>
      <c r="S618" s="29" t="s">
        <v>2368</v>
      </c>
    </row>
    <row r="619" spans="1:19" s="29" customFormat="1" x14ac:dyDescent="0.3">
      <c r="A619" s="27"/>
      <c r="B619" s="27"/>
      <c r="D619" s="3" t="s">
        <v>2367</v>
      </c>
      <c r="F619" s="3"/>
      <c r="G619" s="3"/>
      <c r="H619" s="3"/>
      <c r="I619" s="108"/>
      <c r="M619" s="69">
        <f t="shared" si="18"/>
        <v>0</v>
      </c>
      <c r="N619" s="69">
        <f t="shared" si="19"/>
        <v>0</v>
      </c>
      <c r="O619" s="29">
        <v>2938</v>
      </c>
      <c r="Q619" s="27"/>
      <c r="R619" s="27"/>
      <c r="S619" s="29" t="s">
        <v>2369</v>
      </c>
    </row>
    <row r="620" spans="1:19" s="29" customFormat="1" x14ac:dyDescent="0.3">
      <c r="A620" s="27"/>
      <c r="B620" s="27"/>
      <c r="D620" s="3" t="s">
        <v>2370</v>
      </c>
      <c r="F620" s="3"/>
      <c r="G620" s="3"/>
      <c r="H620" s="3"/>
      <c r="I620" s="108"/>
      <c r="M620" s="69">
        <f t="shared" si="18"/>
        <v>0</v>
      </c>
      <c r="N620" s="69">
        <f t="shared" si="19"/>
        <v>0</v>
      </c>
      <c r="O620" s="29">
        <v>5663</v>
      </c>
      <c r="Q620" s="27"/>
      <c r="R620" s="27"/>
      <c r="S620" s="29" t="s">
        <v>2372</v>
      </c>
    </row>
    <row r="621" spans="1:19" s="29" customFormat="1" x14ac:dyDescent="0.3">
      <c r="A621" s="27"/>
      <c r="B621" s="27"/>
      <c r="D621" s="3" t="s">
        <v>2371</v>
      </c>
      <c r="F621" s="3"/>
      <c r="G621" s="3"/>
      <c r="H621" s="3"/>
      <c r="I621" s="108"/>
      <c r="M621" s="69">
        <f t="shared" si="18"/>
        <v>0</v>
      </c>
      <c r="N621" s="69">
        <f t="shared" si="19"/>
        <v>0</v>
      </c>
      <c r="O621" s="29">
        <v>4537</v>
      </c>
      <c r="Q621" s="27"/>
      <c r="R621" s="27"/>
      <c r="S621" s="29" t="s">
        <v>2373</v>
      </c>
    </row>
    <row r="622" spans="1:19" s="29" customFormat="1" x14ac:dyDescent="0.3">
      <c r="A622" s="27"/>
      <c r="B622" s="27"/>
      <c r="D622" s="3" t="s">
        <v>2374</v>
      </c>
      <c r="F622" s="3"/>
      <c r="G622" s="3"/>
      <c r="H622" s="3"/>
      <c r="I622" s="108"/>
      <c r="M622" s="69">
        <f t="shared" si="18"/>
        <v>0</v>
      </c>
      <c r="N622" s="69">
        <f t="shared" si="19"/>
        <v>0</v>
      </c>
      <c r="O622" s="29">
        <v>2668</v>
      </c>
      <c r="Q622" s="27"/>
      <c r="R622" s="27"/>
      <c r="S622" s="29" t="s">
        <v>2375</v>
      </c>
    </row>
    <row r="623" spans="1:19" s="29" customFormat="1" x14ac:dyDescent="0.3">
      <c r="A623" s="27"/>
      <c r="B623" s="27"/>
      <c r="D623" s="3" t="s">
        <v>2376</v>
      </c>
      <c r="F623" s="3"/>
      <c r="G623" s="3"/>
      <c r="H623" s="3"/>
      <c r="I623" s="108"/>
      <c r="M623" s="69">
        <f t="shared" si="18"/>
        <v>0</v>
      </c>
      <c r="N623" s="69">
        <f t="shared" si="19"/>
        <v>0</v>
      </c>
      <c r="O623" s="29">
        <v>3605</v>
      </c>
      <c r="Q623" s="27"/>
      <c r="R623" s="27"/>
      <c r="S623" s="29" t="s">
        <v>2377</v>
      </c>
    </row>
    <row r="624" spans="1:19" s="29" customFormat="1" x14ac:dyDescent="0.3">
      <c r="A624" s="27"/>
      <c r="B624" s="27"/>
      <c r="D624" s="3" t="s">
        <v>2378</v>
      </c>
      <c r="F624" s="3"/>
      <c r="G624" s="3"/>
      <c r="H624" s="3"/>
      <c r="I624" s="108"/>
      <c r="M624" s="69">
        <f t="shared" si="18"/>
        <v>0</v>
      </c>
      <c r="N624" s="69">
        <f t="shared" si="19"/>
        <v>0</v>
      </c>
      <c r="O624" s="29">
        <v>15854</v>
      </c>
      <c r="Q624" s="27"/>
      <c r="R624" s="27"/>
      <c r="S624" s="29" t="s">
        <v>2379</v>
      </c>
    </row>
    <row r="625" spans="1:19" s="29" customFormat="1" x14ac:dyDescent="0.3">
      <c r="A625" s="27"/>
      <c r="B625" s="27"/>
      <c r="D625" s="3" t="s">
        <v>2380</v>
      </c>
      <c r="F625" s="3"/>
      <c r="G625" s="3"/>
      <c r="H625" s="3"/>
      <c r="I625" s="108"/>
      <c r="M625" s="69">
        <f t="shared" si="18"/>
        <v>0</v>
      </c>
      <c r="N625" s="69">
        <f t="shared" si="19"/>
        <v>0</v>
      </c>
      <c r="O625" s="29">
        <v>4534</v>
      </c>
      <c r="Q625" s="27"/>
      <c r="R625" s="27"/>
      <c r="S625" s="29" t="s">
        <v>2381</v>
      </c>
    </row>
    <row r="626" spans="1:19" s="29" customFormat="1" x14ac:dyDescent="0.3">
      <c r="A626" s="27"/>
      <c r="B626" s="27"/>
      <c r="D626" s="3" t="s">
        <v>2382</v>
      </c>
      <c r="F626" s="3"/>
      <c r="G626" s="3"/>
      <c r="H626" s="3"/>
      <c r="I626" s="108"/>
      <c r="M626" s="69">
        <f t="shared" si="18"/>
        <v>0</v>
      </c>
      <c r="N626" s="69">
        <f t="shared" si="19"/>
        <v>0</v>
      </c>
      <c r="O626" s="29">
        <v>6583</v>
      </c>
      <c r="Q626" s="27"/>
      <c r="R626" s="27"/>
      <c r="S626" s="29" t="s">
        <v>2384</v>
      </c>
    </row>
    <row r="627" spans="1:19" s="29" customFormat="1" x14ac:dyDescent="0.3">
      <c r="A627" s="27"/>
      <c r="B627" s="27"/>
      <c r="D627" s="3" t="s">
        <v>2383</v>
      </c>
      <c r="F627" s="3"/>
      <c r="G627" s="3"/>
      <c r="H627" s="3"/>
      <c r="I627" s="108"/>
      <c r="M627" s="69">
        <f t="shared" si="18"/>
        <v>0</v>
      </c>
      <c r="N627" s="69">
        <f t="shared" si="19"/>
        <v>0</v>
      </c>
      <c r="O627" s="29">
        <v>5922</v>
      </c>
      <c r="Q627" s="27"/>
      <c r="R627" s="27"/>
      <c r="S627" s="29" t="s">
        <v>2385</v>
      </c>
    </row>
    <row r="628" spans="1:19" s="29" customFormat="1" x14ac:dyDescent="0.3">
      <c r="A628" s="27"/>
      <c r="B628" s="27"/>
      <c r="D628" s="3" t="s">
        <v>2386</v>
      </c>
      <c r="F628" s="3"/>
      <c r="G628" s="3"/>
      <c r="H628" s="3"/>
      <c r="I628" s="108"/>
      <c r="M628" s="69">
        <f t="shared" si="18"/>
        <v>0</v>
      </c>
      <c r="N628" s="69">
        <f t="shared" si="19"/>
        <v>0</v>
      </c>
      <c r="O628" s="29">
        <v>4861</v>
      </c>
      <c r="Q628" s="27"/>
      <c r="R628" s="27"/>
      <c r="S628" s="29" t="s">
        <v>2388</v>
      </c>
    </row>
    <row r="629" spans="1:19" s="29" customFormat="1" x14ac:dyDescent="0.3">
      <c r="A629" s="27"/>
      <c r="B629" s="27"/>
      <c r="D629" s="3" t="s">
        <v>2387</v>
      </c>
      <c r="F629" s="3"/>
      <c r="G629" s="3"/>
      <c r="H629" s="3"/>
      <c r="I629" s="108"/>
      <c r="M629" s="69">
        <f t="shared" si="18"/>
        <v>0</v>
      </c>
      <c r="N629" s="69">
        <f t="shared" si="19"/>
        <v>0</v>
      </c>
      <c r="O629" s="29">
        <v>7646</v>
      </c>
      <c r="Q629" s="27"/>
      <c r="R629" s="27"/>
      <c r="S629" s="29" t="s">
        <v>2389</v>
      </c>
    </row>
    <row r="630" spans="1:19" s="29" customFormat="1" x14ac:dyDescent="0.3">
      <c r="A630" s="27"/>
      <c r="B630" s="27"/>
      <c r="D630" s="3" t="s">
        <v>2405</v>
      </c>
      <c r="F630" s="3"/>
      <c r="G630" s="3"/>
      <c r="H630" s="3"/>
      <c r="I630" s="108"/>
      <c r="M630" s="69">
        <f t="shared" si="18"/>
        <v>0</v>
      </c>
      <c r="N630" s="69">
        <f t="shared" si="19"/>
        <v>0</v>
      </c>
      <c r="O630" s="29">
        <v>900</v>
      </c>
      <c r="Q630" s="27"/>
      <c r="R630" s="27"/>
    </row>
    <row r="631" spans="1:19" s="29" customFormat="1" x14ac:dyDescent="0.3">
      <c r="A631" s="27"/>
      <c r="B631" s="27"/>
      <c r="D631" s="3" t="s">
        <v>2391</v>
      </c>
      <c r="F631" s="3"/>
      <c r="G631" s="3"/>
      <c r="H631" s="3"/>
      <c r="I631" s="108"/>
      <c r="M631" s="69">
        <f t="shared" si="18"/>
        <v>0</v>
      </c>
      <c r="N631" s="69">
        <f t="shared" si="19"/>
        <v>0</v>
      </c>
      <c r="O631" s="29">
        <v>7646</v>
      </c>
      <c r="Q631" s="27"/>
      <c r="R631" s="27"/>
      <c r="S631" s="29" t="s">
        <v>2392</v>
      </c>
    </row>
    <row r="632" spans="1:19" s="29" customFormat="1" x14ac:dyDescent="0.3">
      <c r="A632" s="27"/>
      <c r="B632" s="27"/>
      <c r="D632" s="3" t="s">
        <v>2390</v>
      </c>
      <c r="F632" s="3"/>
      <c r="G632" s="3"/>
      <c r="H632" s="3"/>
      <c r="I632" s="108"/>
      <c r="M632" s="69">
        <f t="shared" si="18"/>
        <v>0</v>
      </c>
      <c r="N632" s="69">
        <f t="shared" si="19"/>
        <v>0</v>
      </c>
      <c r="O632" s="29">
        <v>7033</v>
      </c>
      <c r="Q632" s="27"/>
      <c r="R632" s="27"/>
      <c r="S632" s="29" t="s">
        <v>2393</v>
      </c>
    </row>
    <row r="633" spans="1:19" s="29" customFormat="1" x14ac:dyDescent="0.3">
      <c r="A633" s="27"/>
      <c r="B633" s="27"/>
      <c r="D633" s="3" t="s">
        <v>2394</v>
      </c>
      <c r="F633" s="3"/>
      <c r="G633" s="3"/>
      <c r="H633" s="3"/>
      <c r="I633" s="108"/>
      <c r="M633" s="69">
        <f t="shared" si="18"/>
        <v>0</v>
      </c>
      <c r="N633" s="69">
        <f t="shared" si="19"/>
        <v>0</v>
      </c>
      <c r="O633" s="29">
        <v>5999</v>
      </c>
      <c r="Q633" s="27"/>
      <c r="R633" s="27"/>
      <c r="S633" s="29" t="s">
        <v>2395</v>
      </c>
    </row>
    <row r="634" spans="1:19" s="29" customFormat="1" x14ac:dyDescent="0.3">
      <c r="A634" s="27"/>
      <c r="B634" s="27"/>
      <c r="D634" s="3" t="s">
        <v>2396</v>
      </c>
      <c r="F634" s="3"/>
      <c r="G634" s="3"/>
      <c r="H634" s="3"/>
      <c r="I634" s="108"/>
      <c r="M634" s="69">
        <f t="shared" si="18"/>
        <v>0</v>
      </c>
      <c r="N634" s="69">
        <f t="shared" si="19"/>
        <v>0</v>
      </c>
      <c r="O634" s="29">
        <v>5934</v>
      </c>
      <c r="Q634" s="27"/>
      <c r="R634" s="27"/>
      <c r="S634" s="29" t="s">
        <v>2397</v>
      </c>
    </row>
    <row r="635" spans="1:19" s="29" customFormat="1" x14ac:dyDescent="0.3">
      <c r="A635" s="27"/>
      <c r="B635" s="27"/>
      <c r="D635" s="3" t="s">
        <v>2399</v>
      </c>
      <c r="F635" s="3"/>
      <c r="G635" s="3"/>
      <c r="H635" s="3"/>
      <c r="I635" s="108"/>
      <c r="M635" s="69">
        <f t="shared" si="18"/>
        <v>0</v>
      </c>
      <c r="N635" s="69">
        <f t="shared" si="19"/>
        <v>0</v>
      </c>
      <c r="O635" s="29">
        <v>11023</v>
      </c>
      <c r="Q635" s="27"/>
      <c r="R635" s="27"/>
      <c r="S635" s="29" t="s">
        <v>2400</v>
      </c>
    </row>
    <row r="636" spans="1:19" s="29" customFormat="1" x14ac:dyDescent="0.3">
      <c r="A636" s="27"/>
      <c r="B636" s="27"/>
      <c r="D636" s="3" t="s">
        <v>2398</v>
      </c>
      <c r="F636" s="3"/>
      <c r="G636" s="3"/>
      <c r="H636" s="3"/>
      <c r="I636" s="108"/>
      <c r="M636" s="69">
        <f t="shared" si="18"/>
        <v>0</v>
      </c>
      <c r="N636" s="69">
        <f t="shared" si="19"/>
        <v>0</v>
      </c>
      <c r="O636" s="29">
        <v>11794</v>
      </c>
      <c r="Q636" s="27"/>
      <c r="R636" s="27"/>
      <c r="S636" s="29" t="s">
        <v>2401</v>
      </c>
    </row>
    <row r="637" spans="1:19" s="29" customFormat="1" x14ac:dyDescent="0.3">
      <c r="A637" s="27"/>
      <c r="B637" s="27"/>
      <c r="D637" s="3" t="s">
        <v>2402</v>
      </c>
      <c r="F637" s="3"/>
      <c r="G637" s="3"/>
      <c r="H637" s="3"/>
      <c r="I637" s="108"/>
      <c r="M637" s="69">
        <f t="shared" si="18"/>
        <v>0</v>
      </c>
      <c r="N637" s="69">
        <f t="shared" si="19"/>
        <v>0</v>
      </c>
      <c r="O637" s="29">
        <v>9550</v>
      </c>
      <c r="Q637" s="27"/>
      <c r="R637" s="27"/>
      <c r="S637" s="29" t="s">
        <v>2403</v>
      </c>
    </row>
    <row r="638" spans="1:19" s="29" customFormat="1" x14ac:dyDescent="0.3">
      <c r="A638" s="27"/>
      <c r="B638" s="27"/>
      <c r="D638" s="3" t="s">
        <v>2402</v>
      </c>
      <c r="F638" s="3"/>
      <c r="G638" s="3"/>
      <c r="H638" s="3"/>
      <c r="I638" s="108"/>
      <c r="M638" s="69">
        <f t="shared" si="18"/>
        <v>0</v>
      </c>
      <c r="N638" s="69">
        <f t="shared" si="19"/>
        <v>0</v>
      </c>
      <c r="O638" s="29">
        <v>3883</v>
      </c>
      <c r="Q638" s="27"/>
      <c r="R638" s="27"/>
      <c r="S638" s="29" t="s">
        <v>2404</v>
      </c>
    </row>
    <row r="639" spans="1:19" s="29" customFormat="1" x14ac:dyDescent="0.3">
      <c r="A639" s="27"/>
      <c r="B639" s="27"/>
      <c r="D639" s="3"/>
      <c r="F639" s="3"/>
      <c r="G639" s="3"/>
      <c r="H639" s="3">
        <f>O639-360</f>
        <v>237838</v>
      </c>
      <c r="I639" s="108"/>
      <c r="M639" s="69">
        <f t="shared" si="18"/>
        <v>0</v>
      </c>
      <c r="N639" s="69">
        <f t="shared" si="19"/>
        <v>0</v>
      </c>
      <c r="O639" s="108">
        <f>SUM(O603:O638)</f>
        <v>238198</v>
      </c>
      <c r="P639" s="29">
        <f>O639-236668-360</f>
        <v>1170</v>
      </c>
      <c r="Q639" s="27"/>
      <c r="R639" s="27"/>
    </row>
    <row r="640" spans="1:19" s="29" customFormat="1" x14ac:dyDescent="0.3">
      <c r="A640" s="27"/>
      <c r="B640" s="27"/>
      <c r="D640" s="3"/>
      <c r="F640" s="3"/>
      <c r="G640" s="3"/>
      <c r="H640" s="3"/>
      <c r="I640" s="108"/>
      <c r="M640" s="69">
        <f t="shared" si="18"/>
        <v>0</v>
      </c>
      <c r="N640" s="69">
        <f t="shared" si="19"/>
        <v>0</v>
      </c>
      <c r="O640" s="108"/>
      <c r="Q640" s="27"/>
      <c r="R640" s="27"/>
    </row>
    <row r="641" spans="1:19" s="3" customFormat="1" x14ac:dyDescent="0.3">
      <c r="A641" s="5">
        <v>45179</v>
      </c>
      <c r="B641" s="15" t="str">
        <f>TEXT(A641,"mmmm")</f>
        <v>September</v>
      </c>
      <c r="C641" s="98" t="s">
        <v>2324</v>
      </c>
      <c r="D641" s="3" t="s">
        <v>3519</v>
      </c>
      <c r="E641" s="3">
        <v>2</v>
      </c>
      <c r="G641" s="3" t="s">
        <v>26</v>
      </c>
      <c r="H641" s="3" t="s">
        <v>10</v>
      </c>
      <c r="I641" s="3">
        <v>14386</v>
      </c>
      <c r="J641" s="3">
        <v>82</v>
      </c>
      <c r="K641" s="3">
        <v>82</v>
      </c>
      <c r="M641" s="69">
        <f t="shared" si="18"/>
        <v>164</v>
      </c>
      <c r="N641" s="69">
        <f t="shared" si="19"/>
        <v>14222</v>
      </c>
      <c r="O641" s="3">
        <v>7737</v>
      </c>
      <c r="P641" s="3">
        <v>906</v>
      </c>
      <c r="Q641" s="5">
        <v>45208</v>
      </c>
      <c r="R641" s="15">
        <v>45185</v>
      </c>
      <c r="S641" s="3" t="s">
        <v>2326</v>
      </c>
    </row>
    <row r="642" spans="1:19" s="3" customFormat="1" x14ac:dyDescent="0.3">
      <c r="A642" s="5"/>
      <c r="B642" s="5"/>
      <c r="M642" s="69">
        <f t="shared" si="18"/>
        <v>0</v>
      </c>
      <c r="N642" s="69">
        <f t="shared" si="19"/>
        <v>0</v>
      </c>
      <c r="O642" s="3">
        <v>5579</v>
      </c>
      <c r="Q642" s="5" t="s">
        <v>191</v>
      </c>
      <c r="R642" s="5"/>
      <c r="S642" s="3" t="s">
        <v>2325</v>
      </c>
    </row>
    <row r="643" spans="1:19" s="3" customFormat="1" x14ac:dyDescent="0.3">
      <c r="A643" s="5"/>
      <c r="B643" s="5"/>
      <c r="I643" s="4"/>
      <c r="M643" s="69">
        <f t="shared" ref="M643:M706" si="20">SUM(J643:L643)</f>
        <v>0</v>
      </c>
      <c r="N643" s="69">
        <f t="shared" ref="N643:N706" si="21">I643-M643</f>
        <v>0</v>
      </c>
      <c r="O643" s="4">
        <f>SUM(O641:O642)</f>
        <v>13316</v>
      </c>
      <c r="Q643" s="5"/>
      <c r="R643" s="5"/>
    </row>
    <row r="644" spans="1:19" s="29" customFormat="1" x14ac:dyDescent="0.3">
      <c r="A644" s="27"/>
      <c r="B644" s="27"/>
      <c r="D644" s="3"/>
      <c r="H644" s="123"/>
      <c r="I644" s="108"/>
      <c r="M644" s="69">
        <f t="shared" si="20"/>
        <v>0</v>
      </c>
      <c r="N644" s="69">
        <f t="shared" si="21"/>
        <v>0</v>
      </c>
      <c r="O644" s="108"/>
      <c r="Q644" s="27"/>
      <c r="R644" s="27"/>
    </row>
    <row r="645" spans="1:19" s="29" customFormat="1" ht="26.4" x14ac:dyDescent="0.3">
      <c r="A645" s="27">
        <v>45181</v>
      </c>
      <c r="B645" s="15" t="str">
        <f>TEXT(A645,"mmmm")</f>
        <v>September</v>
      </c>
      <c r="C645" s="98" t="s">
        <v>2335</v>
      </c>
      <c r="D645" s="3" t="s">
        <v>2336</v>
      </c>
      <c r="E645" s="29">
        <v>1</v>
      </c>
      <c r="F645" s="3" t="s">
        <v>54</v>
      </c>
      <c r="G645" s="29" t="s">
        <v>24</v>
      </c>
      <c r="H645" s="29" t="s">
        <v>2337</v>
      </c>
      <c r="I645" s="108">
        <v>11532</v>
      </c>
      <c r="J645" s="29">
        <f>P645*9%</f>
        <v>162</v>
      </c>
      <c r="K645" s="29">
        <f>J645</f>
        <v>162</v>
      </c>
      <c r="M645" s="69">
        <f t="shared" si="20"/>
        <v>324</v>
      </c>
      <c r="N645" s="69">
        <f t="shared" si="21"/>
        <v>11208</v>
      </c>
      <c r="O645" s="108">
        <f>6272+3136</f>
        <v>9408</v>
      </c>
      <c r="P645" s="29">
        <f>600*3</f>
        <v>1800</v>
      </c>
      <c r="Q645" s="63" t="s">
        <v>2509</v>
      </c>
      <c r="R645" s="62" t="s">
        <v>2355</v>
      </c>
    </row>
    <row r="646" spans="1:19" s="3" customFormat="1" x14ac:dyDescent="0.3">
      <c r="A646" s="5"/>
      <c r="B646" s="5"/>
      <c r="I646" s="4"/>
      <c r="M646" s="69">
        <f t="shared" si="20"/>
        <v>0</v>
      </c>
      <c r="N646" s="69">
        <f t="shared" si="21"/>
        <v>0</v>
      </c>
      <c r="O646" s="4"/>
      <c r="Q646" s="5"/>
      <c r="R646" s="5"/>
    </row>
    <row r="647" spans="1:19" s="3" customFormat="1" x14ac:dyDescent="0.3">
      <c r="A647" s="5">
        <v>45183</v>
      </c>
      <c r="B647" s="15" t="str">
        <f>TEXT(A647,"mmmm")</f>
        <v>September</v>
      </c>
      <c r="C647" s="98" t="s">
        <v>2344</v>
      </c>
      <c r="D647" s="3" t="s">
        <v>2525</v>
      </c>
      <c r="E647" s="3">
        <v>1</v>
      </c>
      <c r="G647" s="3" t="s">
        <v>26</v>
      </c>
      <c r="H647" s="3" t="s">
        <v>10</v>
      </c>
      <c r="I647" s="4">
        <v>144971</v>
      </c>
      <c r="J647" s="3">
        <f>P647*9%</f>
        <v>549</v>
      </c>
      <c r="K647" s="3">
        <f>J647</f>
        <v>549</v>
      </c>
      <c r="M647" s="69">
        <f t="shared" si="20"/>
        <v>1098</v>
      </c>
      <c r="N647" s="69">
        <f t="shared" si="21"/>
        <v>143873</v>
      </c>
      <c r="O647" s="3">
        <v>132728</v>
      </c>
      <c r="P647" s="3">
        <v>6100</v>
      </c>
      <c r="Q647" s="15">
        <v>45185</v>
      </c>
      <c r="R647" s="15">
        <v>45185</v>
      </c>
      <c r="S647" s="3" t="s">
        <v>2346</v>
      </c>
    </row>
    <row r="648" spans="1:19" s="3" customFormat="1" x14ac:dyDescent="0.3">
      <c r="A648" s="5"/>
      <c r="B648" s="5"/>
      <c r="I648" s="4"/>
      <c r="M648" s="69">
        <f t="shared" si="20"/>
        <v>0</v>
      </c>
      <c r="N648" s="69">
        <f t="shared" si="21"/>
        <v>0</v>
      </c>
      <c r="O648" s="3">
        <v>5045</v>
      </c>
      <c r="Q648" s="5"/>
      <c r="R648" s="5"/>
    </row>
    <row r="649" spans="1:19" s="3" customFormat="1" x14ac:dyDescent="0.3">
      <c r="A649" s="5"/>
      <c r="B649" s="5"/>
      <c r="I649" s="4"/>
      <c r="M649" s="69">
        <f t="shared" si="20"/>
        <v>0</v>
      </c>
      <c r="N649" s="69">
        <f t="shared" si="21"/>
        <v>0</v>
      </c>
      <c r="O649" s="4">
        <f>SUM(O647:O648)</f>
        <v>137773</v>
      </c>
      <c r="Q649" s="5"/>
      <c r="R649" s="5"/>
    </row>
    <row r="650" spans="1:19" s="3" customFormat="1" x14ac:dyDescent="0.3">
      <c r="A650" s="5"/>
      <c r="B650" s="5"/>
      <c r="I650" s="4"/>
      <c r="M650" s="69">
        <f t="shared" si="20"/>
        <v>0</v>
      </c>
      <c r="N650" s="69">
        <f t="shared" si="21"/>
        <v>0</v>
      </c>
      <c r="O650" s="4"/>
      <c r="Q650" s="5"/>
      <c r="R650" s="5"/>
    </row>
    <row r="651" spans="1:19" s="29" customFormat="1" x14ac:dyDescent="0.3">
      <c r="A651" s="27">
        <v>45183</v>
      </c>
      <c r="B651" s="15" t="str">
        <f>TEXT(A651,"mmmm")</f>
        <v>September</v>
      </c>
      <c r="C651" s="98" t="s">
        <v>2413</v>
      </c>
      <c r="D651" s="3" t="s">
        <v>2414</v>
      </c>
      <c r="E651" s="29">
        <v>1</v>
      </c>
      <c r="G651" s="29" t="s">
        <v>8</v>
      </c>
      <c r="H651" s="29" t="s">
        <v>57</v>
      </c>
      <c r="I651" s="108">
        <v>3516</v>
      </c>
      <c r="J651" s="29">
        <v>268.5</v>
      </c>
      <c r="K651" s="29">
        <v>268.5</v>
      </c>
      <c r="M651" s="69">
        <f t="shared" si="20"/>
        <v>537</v>
      </c>
      <c r="N651" s="69">
        <f t="shared" si="21"/>
        <v>2979</v>
      </c>
      <c r="O651" s="108">
        <v>2979</v>
      </c>
      <c r="Q651" s="27">
        <v>45166</v>
      </c>
      <c r="R651" s="62"/>
    </row>
    <row r="652" spans="1:19" s="29" customFormat="1" x14ac:dyDescent="0.3">
      <c r="A652" s="27"/>
      <c r="B652" s="27"/>
      <c r="C652" s="98"/>
      <c r="D652" s="3"/>
      <c r="I652" s="108"/>
      <c r="M652" s="69">
        <f t="shared" si="20"/>
        <v>0</v>
      </c>
      <c r="N652" s="69">
        <f t="shared" si="21"/>
        <v>0</v>
      </c>
      <c r="O652" s="108"/>
      <c r="Q652" s="27"/>
      <c r="R652" s="62"/>
    </row>
    <row r="653" spans="1:19" s="29" customFormat="1" x14ac:dyDescent="0.3">
      <c r="A653" s="27">
        <v>45187</v>
      </c>
      <c r="B653" s="15" t="str">
        <f>TEXT(A653,"mmmm")</f>
        <v>September</v>
      </c>
      <c r="C653" s="29" t="s">
        <v>2415</v>
      </c>
      <c r="D653" s="125" t="s">
        <v>2416</v>
      </c>
      <c r="E653" s="29">
        <v>1</v>
      </c>
      <c r="F653" s="3" t="s">
        <v>54</v>
      </c>
      <c r="G653" s="29" t="s">
        <v>26</v>
      </c>
      <c r="H653" s="29" t="s">
        <v>10</v>
      </c>
      <c r="I653" s="108">
        <v>259895</v>
      </c>
      <c r="J653" s="29">
        <v>1823</v>
      </c>
      <c r="K653" s="29">
        <f>J653</f>
        <v>1823</v>
      </c>
      <c r="M653" s="69">
        <f t="shared" si="20"/>
        <v>3646</v>
      </c>
      <c r="N653" s="69">
        <f t="shared" si="21"/>
        <v>256249</v>
      </c>
      <c r="O653" s="29">
        <v>118</v>
      </c>
      <c r="P653" s="29">
        <f>(1000*5)+(350*35)+3000</f>
        <v>20250</v>
      </c>
      <c r="Q653" s="63" t="s">
        <v>2509</v>
      </c>
      <c r="R653" s="5" t="s">
        <v>2499</v>
      </c>
      <c r="S653" s="29" t="s">
        <v>2425</v>
      </c>
    </row>
    <row r="654" spans="1:19" s="29" customFormat="1" ht="26.4" x14ac:dyDescent="0.3">
      <c r="A654" s="27"/>
      <c r="B654" s="27"/>
      <c r="C654" s="98"/>
      <c r="D654" s="3" t="s">
        <v>2254</v>
      </c>
      <c r="I654" s="108"/>
      <c r="M654" s="69">
        <f t="shared" si="20"/>
        <v>0</v>
      </c>
      <c r="N654" s="69">
        <f t="shared" si="21"/>
        <v>0</v>
      </c>
      <c r="O654" s="29">
        <v>21655</v>
      </c>
      <c r="Q654" s="27"/>
      <c r="R654" s="62" t="s">
        <v>2498</v>
      </c>
      <c r="S654" s="29" t="s">
        <v>2419</v>
      </c>
    </row>
    <row r="655" spans="1:19" s="29" customFormat="1" x14ac:dyDescent="0.3">
      <c r="A655" s="27"/>
      <c r="B655" s="27"/>
      <c r="C655" s="98"/>
      <c r="D655" s="3" t="s">
        <v>2418</v>
      </c>
      <c r="I655" s="108"/>
      <c r="M655" s="69">
        <f t="shared" si="20"/>
        <v>0</v>
      </c>
      <c r="N655" s="69">
        <f t="shared" si="21"/>
        <v>0</v>
      </c>
      <c r="O655" s="29">
        <v>2350</v>
      </c>
      <c r="Q655" s="27"/>
      <c r="R655" s="62"/>
      <c r="S655" s="29" t="s">
        <v>2426</v>
      </c>
    </row>
    <row r="656" spans="1:19" s="29" customFormat="1" x14ac:dyDescent="0.3">
      <c r="A656" s="27"/>
      <c r="B656" s="27"/>
      <c r="C656" s="98"/>
      <c r="D656" s="3" t="s">
        <v>2417</v>
      </c>
      <c r="I656" s="108"/>
      <c r="M656" s="69">
        <f t="shared" si="20"/>
        <v>0</v>
      </c>
      <c r="N656" s="69">
        <f t="shared" si="21"/>
        <v>0</v>
      </c>
      <c r="O656" s="29">
        <v>2742</v>
      </c>
      <c r="Q656" s="27"/>
      <c r="R656" s="62"/>
      <c r="S656" s="29" t="s">
        <v>2427</v>
      </c>
    </row>
    <row r="657" spans="1:19" s="29" customFormat="1" ht="26.4" x14ac:dyDescent="0.3">
      <c r="A657" s="27"/>
      <c r="B657" s="27"/>
      <c r="C657" s="98"/>
      <c r="D657" s="125" t="s">
        <v>2420</v>
      </c>
      <c r="H657" s="29" t="s">
        <v>2432</v>
      </c>
      <c r="I657" s="108"/>
      <c r="M657" s="69">
        <f t="shared" si="20"/>
        <v>0</v>
      </c>
      <c r="N657" s="69">
        <f t="shared" si="21"/>
        <v>0</v>
      </c>
      <c r="O657" s="88">
        <v>4025</v>
      </c>
      <c r="Q657" s="27"/>
      <c r="R657" s="62" t="s">
        <v>2421</v>
      </c>
    </row>
    <row r="658" spans="1:19" s="29" customFormat="1" x14ac:dyDescent="0.3">
      <c r="A658" s="27"/>
      <c r="B658" s="27"/>
      <c r="C658" s="98"/>
      <c r="D658" s="3" t="s">
        <v>2423</v>
      </c>
      <c r="I658" s="108"/>
      <c r="M658" s="69">
        <f t="shared" si="20"/>
        <v>0</v>
      </c>
      <c r="N658" s="69">
        <f t="shared" si="21"/>
        <v>0</v>
      </c>
      <c r="O658" s="29">
        <v>5999</v>
      </c>
      <c r="Q658" s="27"/>
      <c r="R658" s="62"/>
      <c r="S658" s="29" t="s">
        <v>2424</v>
      </c>
    </row>
    <row r="659" spans="1:19" s="29" customFormat="1" x14ac:dyDescent="0.3">
      <c r="A659" s="27"/>
      <c r="B659" s="27"/>
      <c r="C659" s="98"/>
      <c r="D659" s="3" t="s">
        <v>2428</v>
      </c>
      <c r="I659" s="108"/>
      <c r="M659" s="69">
        <f t="shared" si="20"/>
        <v>0</v>
      </c>
      <c r="N659" s="69">
        <f t="shared" si="21"/>
        <v>0</v>
      </c>
      <c r="O659" s="29">
        <v>4179</v>
      </c>
      <c r="Q659" s="27"/>
      <c r="R659" s="62"/>
      <c r="S659" s="29" t="s">
        <v>2429</v>
      </c>
    </row>
    <row r="660" spans="1:19" s="29" customFormat="1" x14ac:dyDescent="0.3">
      <c r="A660" s="27"/>
      <c r="B660" s="27"/>
      <c r="C660" s="98"/>
      <c r="D660" s="3" t="s">
        <v>2431</v>
      </c>
      <c r="I660" s="108"/>
      <c r="M660" s="69">
        <f t="shared" si="20"/>
        <v>0</v>
      </c>
      <c r="N660" s="69">
        <f t="shared" si="21"/>
        <v>0</v>
      </c>
      <c r="O660" s="29">
        <v>6558</v>
      </c>
      <c r="Q660" s="27"/>
      <c r="R660" s="62"/>
      <c r="S660" s="29" t="s">
        <v>2430</v>
      </c>
    </row>
    <row r="661" spans="1:19" s="29" customFormat="1" x14ac:dyDescent="0.3">
      <c r="A661" s="27"/>
      <c r="B661" s="27"/>
      <c r="C661" s="98"/>
      <c r="D661" s="3" t="s">
        <v>2422</v>
      </c>
      <c r="I661" s="108"/>
      <c r="M661" s="69">
        <f t="shared" si="20"/>
        <v>0</v>
      </c>
      <c r="N661" s="69">
        <f t="shared" si="21"/>
        <v>0</v>
      </c>
      <c r="O661" s="29">
        <v>4500</v>
      </c>
      <c r="Q661" s="27"/>
      <c r="R661" s="62"/>
      <c r="S661" s="29" t="s">
        <v>2434</v>
      </c>
    </row>
    <row r="662" spans="1:19" s="29" customFormat="1" x14ac:dyDescent="0.3">
      <c r="A662" s="27"/>
      <c r="B662" s="27"/>
      <c r="C662" s="98"/>
      <c r="D662" s="3" t="s">
        <v>1682</v>
      </c>
      <c r="I662" s="108"/>
      <c r="M662" s="69">
        <f t="shared" si="20"/>
        <v>0</v>
      </c>
      <c r="N662" s="69">
        <f t="shared" si="21"/>
        <v>0</v>
      </c>
      <c r="O662" s="29">
        <v>5816</v>
      </c>
      <c r="Q662" s="27"/>
      <c r="R662" s="62"/>
      <c r="S662" s="29" t="s">
        <v>2433</v>
      </c>
    </row>
    <row r="663" spans="1:19" s="29" customFormat="1" x14ac:dyDescent="0.3">
      <c r="A663" s="27"/>
      <c r="B663" s="27"/>
      <c r="C663" s="98"/>
      <c r="D663" s="3" t="s">
        <v>2435</v>
      </c>
      <c r="I663" s="108"/>
      <c r="M663" s="69">
        <f t="shared" si="20"/>
        <v>0</v>
      </c>
      <c r="N663" s="69">
        <f t="shared" si="21"/>
        <v>0</v>
      </c>
      <c r="O663" s="29">
        <v>10830</v>
      </c>
      <c r="Q663" s="27"/>
      <c r="R663" s="62"/>
      <c r="S663" s="29" t="s">
        <v>2436</v>
      </c>
    </row>
    <row r="664" spans="1:19" s="29" customFormat="1" x14ac:dyDescent="0.3">
      <c r="A664" s="27"/>
      <c r="B664" s="27"/>
      <c r="C664" s="98"/>
      <c r="D664" s="3" t="s">
        <v>2438</v>
      </c>
      <c r="I664" s="108"/>
      <c r="M664" s="69">
        <f t="shared" si="20"/>
        <v>0</v>
      </c>
      <c r="N664" s="69">
        <f t="shared" si="21"/>
        <v>0</v>
      </c>
      <c r="O664" s="29">
        <v>10836</v>
      </c>
      <c r="Q664" s="27"/>
      <c r="R664" s="62"/>
      <c r="S664" s="29" t="s">
        <v>2437</v>
      </c>
    </row>
    <row r="665" spans="1:19" s="29" customFormat="1" ht="26.4" x14ac:dyDescent="0.3">
      <c r="A665" s="27"/>
      <c r="B665" s="27"/>
      <c r="C665" s="98"/>
      <c r="D665" s="125" t="s">
        <v>2439</v>
      </c>
      <c r="H665" s="29" t="s">
        <v>2432</v>
      </c>
      <c r="I665" s="108"/>
      <c r="M665" s="69">
        <f t="shared" si="20"/>
        <v>0</v>
      </c>
      <c r="N665" s="69">
        <f t="shared" si="21"/>
        <v>0</v>
      </c>
      <c r="O665" s="88">
        <v>2750</v>
      </c>
      <c r="Q665" s="27"/>
      <c r="R665" s="62" t="s">
        <v>2440</v>
      </c>
    </row>
    <row r="666" spans="1:19" s="29" customFormat="1" ht="26.4" x14ac:dyDescent="0.3">
      <c r="A666" s="27"/>
      <c r="B666" s="27"/>
      <c r="C666" s="98"/>
      <c r="D666" s="125" t="s">
        <v>2444</v>
      </c>
      <c r="H666" s="110" t="s">
        <v>1983</v>
      </c>
      <c r="I666" s="108"/>
      <c r="M666" s="69">
        <f t="shared" si="20"/>
        <v>0</v>
      </c>
      <c r="N666" s="69">
        <f t="shared" si="21"/>
        <v>0</v>
      </c>
      <c r="O666" s="88">
        <v>2950</v>
      </c>
      <c r="Q666" s="27"/>
      <c r="R666" s="62" t="s">
        <v>2440</v>
      </c>
    </row>
    <row r="667" spans="1:19" s="29" customFormat="1" x14ac:dyDescent="0.3">
      <c r="A667" s="27"/>
      <c r="B667" s="27"/>
      <c r="C667" s="98"/>
      <c r="D667" s="3" t="s">
        <v>2447</v>
      </c>
      <c r="I667" s="108"/>
      <c r="M667" s="69">
        <f t="shared" si="20"/>
        <v>0</v>
      </c>
      <c r="N667" s="69">
        <f t="shared" si="21"/>
        <v>0</v>
      </c>
      <c r="O667" s="29">
        <v>4020</v>
      </c>
      <c r="Q667" s="27"/>
      <c r="R667" s="62"/>
      <c r="S667" s="29" t="s">
        <v>2446</v>
      </c>
    </row>
    <row r="668" spans="1:19" s="29" customFormat="1" x14ac:dyDescent="0.3">
      <c r="A668" s="27"/>
      <c r="B668" s="27"/>
      <c r="C668" s="98"/>
      <c r="D668" s="3" t="s">
        <v>2448</v>
      </c>
      <c r="I668" s="108"/>
      <c r="M668" s="69">
        <f t="shared" si="20"/>
        <v>0</v>
      </c>
      <c r="N668" s="69">
        <f t="shared" si="21"/>
        <v>0</v>
      </c>
      <c r="O668" s="29">
        <f>5326</f>
        <v>5326</v>
      </c>
      <c r="Q668" s="27"/>
      <c r="R668" s="62"/>
      <c r="S668" s="29" t="s">
        <v>2449</v>
      </c>
    </row>
    <row r="669" spans="1:19" s="29" customFormat="1" ht="26.4" x14ac:dyDescent="0.3">
      <c r="A669" s="27"/>
      <c r="B669" s="27"/>
      <c r="C669" s="98"/>
      <c r="D669" s="3" t="s">
        <v>2454</v>
      </c>
      <c r="I669" s="108"/>
      <c r="M669" s="69">
        <f t="shared" si="20"/>
        <v>0</v>
      </c>
      <c r="N669" s="69">
        <f t="shared" si="21"/>
        <v>0</v>
      </c>
      <c r="O669" s="29">
        <f>350+350</f>
        <v>700</v>
      </c>
      <c r="Q669" s="27"/>
      <c r="R669" s="62"/>
      <c r="S669" s="110" t="s">
        <v>2456</v>
      </c>
    </row>
    <row r="670" spans="1:19" s="29" customFormat="1" x14ac:dyDescent="0.3">
      <c r="A670" s="27"/>
      <c r="B670" s="27"/>
      <c r="C670" s="98"/>
      <c r="D670" s="3" t="s">
        <v>2453</v>
      </c>
      <c r="I670" s="108"/>
      <c r="M670" s="69">
        <f t="shared" si="20"/>
        <v>0</v>
      </c>
      <c r="N670" s="69">
        <f t="shared" si="21"/>
        <v>0</v>
      </c>
      <c r="O670" s="29">
        <v>6589</v>
      </c>
      <c r="Q670" s="27"/>
      <c r="R670" s="62"/>
      <c r="S670" s="29" t="s">
        <v>2455</v>
      </c>
    </row>
    <row r="671" spans="1:19" s="29" customFormat="1" x14ac:dyDescent="0.3">
      <c r="A671" s="27"/>
      <c r="B671" s="27"/>
      <c r="C671" s="98"/>
      <c r="D671" s="3" t="s">
        <v>2450</v>
      </c>
      <c r="I671" s="108"/>
      <c r="M671" s="69">
        <f t="shared" si="20"/>
        <v>0</v>
      </c>
      <c r="N671" s="69">
        <f t="shared" si="21"/>
        <v>0</v>
      </c>
      <c r="O671" s="29">
        <v>9154</v>
      </c>
      <c r="Q671" s="27"/>
      <c r="R671" s="62"/>
      <c r="S671" s="29" t="s">
        <v>2458</v>
      </c>
    </row>
    <row r="672" spans="1:19" s="29" customFormat="1" x14ac:dyDescent="0.3">
      <c r="A672" s="27"/>
      <c r="B672" s="27"/>
      <c r="C672" s="98"/>
      <c r="D672" s="3" t="s">
        <v>2451</v>
      </c>
      <c r="I672" s="108"/>
      <c r="M672" s="69">
        <f t="shared" si="20"/>
        <v>0</v>
      </c>
      <c r="N672" s="69">
        <f t="shared" si="21"/>
        <v>0</v>
      </c>
      <c r="O672" s="29">
        <v>9592</v>
      </c>
      <c r="Q672" s="27"/>
      <c r="R672" s="62"/>
      <c r="S672" s="29" t="s">
        <v>2459</v>
      </c>
    </row>
    <row r="673" spans="1:19" s="29" customFormat="1" x14ac:dyDescent="0.3">
      <c r="A673" s="27"/>
      <c r="B673" s="27"/>
      <c r="C673" s="98"/>
      <c r="D673" s="3" t="s">
        <v>2452</v>
      </c>
      <c r="I673" s="108"/>
      <c r="M673" s="69">
        <f t="shared" si="20"/>
        <v>0</v>
      </c>
      <c r="N673" s="69">
        <f t="shared" si="21"/>
        <v>0</v>
      </c>
      <c r="O673" s="29">
        <v>5216</v>
      </c>
      <c r="Q673" s="27"/>
      <c r="R673" s="62"/>
      <c r="S673" s="29" t="s">
        <v>2460</v>
      </c>
    </row>
    <row r="674" spans="1:19" s="29" customFormat="1" x14ac:dyDescent="0.3">
      <c r="A674" s="27"/>
      <c r="B674" s="27"/>
      <c r="C674" s="98"/>
      <c r="D674" s="3" t="s">
        <v>2457</v>
      </c>
      <c r="I674" s="108"/>
      <c r="M674" s="69">
        <f t="shared" si="20"/>
        <v>0</v>
      </c>
      <c r="N674" s="69">
        <f t="shared" si="21"/>
        <v>0</v>
      </c>
      <c r="O674" s="29">
        <v>118</v>
      </c>
      <c r="Q674" s="27"/>
      <c r="R674" s="62"/>
      <c r="S674" s="29" t="s">
        <v>2461</v>
      </c>
    </row>
    <row r="675" spans="1:19" s="29" customFormat="1" x14ac:dyDescent="0.3">
      <c r="A675" s="27"/>
      <c r="B675" s="27"/>
      <c r="C675" s="98"/>
      <c r="D675" s="3" t="s">
        <v>2466</v>
      </c>
      <c r="I675" s="108"/>
      <c r="M675" s="69">
        <f t="shared" si="20"/>
        <v>0</v>
      </c>
      <c r="N675" s="69">
        <f t="shared" si="21"/>
        <v>0</v>
      </c>
      <c r="O675" s="29">
        <v>6661</v>
      </c>
      <c r="Q675" s="27"/>
      <c r="R675" s="62"/>
      <c r="S675" s="29" t="s">
        <v>2467</v>
      </c>
    </row>
    <row r="676" spans="1:19" s="29" customFormat="1" x14ac:dyDescent="0.3">
      <c r="A676" s="27"/>
      <c r="B676" s="27"/>
      <c r="C676" s="98"/>
      <c r="D676" s="3" t="s">
        <v>2468</v>
      </c>
      <c r="I676" s="108"/>
      <c r="M676" s="69">
        <f t="shared" si="20"/>
        <v>0</v>
      </c>
      <c r="N676" s="69">
        <f t="shared" si="21"/>
        <v>0</v>
      </c>
      <c r="O676" s="29">
        <v>13252</v>
      </c>
      <c r="Q676" s="27"/>
      <c r="R676" s="62"/>
      <c r="S676" s="29" t="s">
        <v>2469</v>
      </c>
    </row>
    <row r="677" spans="1:19" s="29" customFormat="1" x14ac:dyDescent="0.3">
      <c r="A677" s="27"/>
      <c r="B677" s="27"/>
      <c r="C677" s="98"/>
      <c r="D677" s="3" t="s">
        <v>2501</v>
      </c>
      <c r="I677" s="108"/>
      <c r="M677" s="69">
        <f t="shared" si="20"/>
        <v>0</v>
      </c>
      <c r="N677" s="69">
        <f t="shared" si="21"/>
        <v>0</v>
      </c>
      <c r="O677" s="29">
        <v>9662</v>
      </c>
      <c r="Q677" s="27"/>
      <c r="R677" s="62"/>
      <c r="S677" s="29" t="s">
        <v>2470</v>
      </c>
    </row>
    <row r="678" spans="1:19" s="29" customFormat="1" x14ac:dyDescent="0.3">
      <c r="A678" s="27"/>
      <c r="B678" s="27"/>
      <c r="C678" s="98"/>
      <c r="D678" s="3" t="s">
        <v>2471</v>
      </c>
      <c r="I678" s="108"/>
      <c r="M678" s="69">
        <f t="shared" si="20"/>
        <v>0</v>
      </c>
      <c r="N678" s="69">
        <f t="shared" si="21"/>
        <v>0</v>
      </c>
      <c r="O678" s="29">
        <v>6110</v>
      </c>
      <c r="Q678" s="27"/>
      <c r="R678" s="62"/>
      <c r="S678" s="29" t="s">
        <v>2472</v>
      </c>
    </row>
    <row r="679" spans="1:19" s="29" customFormat="1" x14ac:dyDescent="0.3">
      <c r="A679" s="27"/>
      <c r="B679" s="27"/>
      <c r="C679" s="98"/>
      <c r="D679" s="3" t="s">
        <v>2473</v>
      </c>
      <c r="I679" s="108"/>
      <c r="M679" s="69">
        <f t="shared" si="20"/>
        <v>0</v>
      </c>
      <c r="N679" s="69">
        <f t="shared" si="21"/>
        <v>0</v>
      </c>
      <c r="O679" s="29">
        <v>6810</v>
      </c>
      <c r="Q679" s="27"/>
      <c r="R679" s="62"/>
      <c r="S679" s="29" t="s">
        <v>2475</v>
      </c>
    </row>
    <row r="680" spans="1:19" s="29" customFormat="1" x14ac:dyDescent="0.3">
      <c r="A680" s="27"/>
      <c r="B680" s="27"/>
      <c r="C680" s="98"/>
      <c r="D680" s="3" t="s">
        <v>2474</v>
      </c>
      <c r="I680" s="108"/>
      <c r="M680" s="69">
        <f t="shared" si="20"/>
        <v>0</v>
      </c>
      <c r="N680" s="69">
        <f t="shared" si="21"/>
        <v>0</v>
      </c>
      <c r="O680" s="29">
        <v>700</v>
      </c>
      <c r="Q680" s="27"/>
      <c r="R680" s="62"/>
      <c r="S680" s="29" t="s">
        <v>2477</v>
      </c>
    </row>
    <row r="681" spans="1:19" s="29" customFormat="1" x14ac:dyDescent="0.3">
      <c r="A681" s="27"/>
      <c r="B681" s="27"/>
      <c r="C681" s="98"/>
      <c r="D681" s="125" t="s">
        <v>2476</v>
      </c>
      <c r="I681" s="108"/>
      <c r="M681" s="69">
        <f t="shared" si="20"/>
        <v>0</v>
      </c>
      <c r="N681" s="69">
        <f t="shared" si="21"/>
        <v>0</v>
      </c>
      <c r="O681" s="29">
        <v>10981</v>
      </c>
      <c r="Q681" s="27"/>
      <c r="R681" s="62"/>
      <c r="S681" s="29" t="s">
        <v>2496</v>
      </c>
    </row>
    <row r="682" spans="1:19" s="29" customFormat="1" x14ac:dyDescent="0.3">
      <c r="A682" s="27"/>
      <c r="B682" s="27"/>
      <c r="C682" s="98"/>
      <c r="D682" s="3" t="s">
        <v>2495</v>
      </c>
      <c r="I682" s="108"/>
      <c r="M682" s="69">
        <f t="shared" si="20"/>
        <v>0</v>
      </c>
      <c r="N682" s="69">
        <f t="shared" si="21"/>
        <v>0</v>
      </c>
      <c r="O682" s="29">
        <f>27000+1800</f>
        <v>28800</v>
      </c>
      <c r="Q682" s="27"/>
      <c r="R682" s="62"/>
      <c r="S682" s="29" t="s">
        <v>2494</v>
      </c>
    </row>
    <row r="683" spans="1:19" s="29" customFormat="1" x14ac:dyDescent="0.3">
      <c r="A683" s="27"/>
      <c r="B683" s="27"/>
      <c r="C683" s="98"/>
      <c r="D683" s="3" t="s">
        <v>2478</v>
      </c>
      <c r="I683" s="108"/>
      <c r="M683" s="69">
        <f t="shared" si="20"/>
        <v>0</v>
      </c>
      <c r="N683" s="69">
        <f t="shared" si="21"/>
        <v>0</v>
      </c>
      <c r="O683" s="29">
        <v>27000</v>
      </c>
      <c r="Q683" s="27"/>
      <c r="R683" s="62"/>
      <c r="S683" s="29" t="s">
        <v>2497</v>
      </c>
    </row>
    <row r="684" spans="1:19" s="29" customFormat="1" x14ac:dyDescent="0.3">
      <c r="A684" s="27"/>
      <c r="B684" s="27"/>
      <c r="C684" s="98"/>
      <c r="D684" s="3"/>
      <c r="I684" s="108"/>
      <c r="M684" s="69">
        <f t="shared" si="20"/>
        <v>0</v>
      </c>
      <c r="N684" s="69">
        <f t="shared" si="21"/>
        <v>0</v>
      </c>
      <c r="O684" s="108">
        <f>SUM(O653:O683)</f>
        <v>235999</v>
      </c>
      <c r="Q684" s="27"/>
      <c r="R684" s="62"/>
    </row>
    <row r="685" spans="1:19" s="29" customFormat="1" x14ac:dyDescent="0.3">
      <c r="A685" s="27"/>
      <c r="B685" s="27"/>
      <c r="C685" s="98"/>
      <c r="D685" s="3"/>
      <c r="I685" s="108"/>
      <c r="M685" s="69">
        <f t="shared" si="20"/>
        <v>0</v>
      </c>
      <c r="N685" s="69">
        <f t="shared" si="21"/>
        <v>0</v>
      </c>
      <c r="O685" s="108"/>
      <c r="Q685" s="27"/>
      <c r="R685" s="62"/>
    </row>
    <row r="686" spans="1:19" s="10" customFormat="1" ht="39.6" x14ac:dyDescent="0.3">
      <c r="A686" s="9">
        <v>45187</v>
      </c>
      <c r="B686" s="15" t="str">
        <f>TEXT(A686,"mmmm")</f>
        <v>September</v>
      </c>
      <c r="C686" s="10" t="s">
        <v>2479</v>
      </c>
      <c r="D686" s="112" t="s">
        <v>2488</v>
      </c>
      <c r="F686" s="10" t="s">
        <v>54</v>
      </c>
      <c r="G686" s="50" t="s">
        <v>26</v>
      </c>
      <c r="H686" s="50" t="s">
        <v>10</v>
      </c>
      <c r="I686" s="10">
        <v>72273</v>
      </c>
      <c r="J686" s="10">
        <v>284</v>
      </c>
      <c r="K686" s="10">
        <v>284</v>
      </c>
      <c r="M686" s="69">
        <f t="shared" si="20"/>
        <v>568</v>
      </c>
      <c r="N686" s="69">
        <f t="shared" si="21"/>
        <v>71705</v>
      </c>
      <c r="O686" s="17">
        <v>68555</v>
      </c>
      <c r="P686" s="10">
        <v>3150</v>
      </c>
      <c r="Q686" s="64" t="s">
        <v>2500</v>
      </c>
      <c r="R686" s="64"/>
      <c r="S686" s="68" t="s">
        <v>2480</v>
      </c>
    </row>
    <row r="687" spans="1:19" s="10" customFormat="1" ht="39.6" x14ac:dyDescent="0.3">
      <c r="A687" s="9"/>
      <c r="B687" s="9"/>
      <c r="C687" s="50"/>
      <c r="D687" s="112" t="s">
        <v>950</v>
      </c>
      <c r="G687" s="50"/>
      <c r="H687" s="50"/>
      <c r="M687" s="69">
        <f t="shared" si="20"/>
        <v>0</v>
      </c>
      <c r="N687" s="69">
        <f t="shared" si="21"/>
        <v>0</v>
      </c>
      <c r="O687" s="17"/>
      <c r="Q687" s="17">
        <v>10836</v>
      </c>
      <c r="R687" s="64"/>
      <c r="S687" s="68" t="s">
        <v>2481</v>
      </c>
    </row>
    <row r="688" spans="1:19" s="10" customFormat="1" ht="39.6" x14ac:dyDescent="0.3">
      <c r="A688" s="9"/>
      <c r="B688" s="9"/>
      <c r="C688" s="50"/>
      <c r="D688" s="112" t="s">
        <v>2487</v>
      </c>
      <c r="G688" s="50"/>
      <c r="H688" s="50"/>
      <c r="M688" s="69">
        <f t="shared" si="20"/>
        <v>0</v>
      </c>
      <c r="N688" s="69">
        <f t="shared" si="21"/>
        <v>0</v>
      </c>
      <c r="O688" s="17"/>
      <c r="Q688" s="64"/>
      <c r="R688" s="64"/>
      <c r="S688" s="68" t="s">
        <v>2482</v>
      </c>
    </row>
    <row r="689" spans="1:19" s="10" customFormat="1" ht="39.6" x14ac:dyDescent="0.3">
      <c r="A689" s="9"/>
      <c r="B689" s="9"/>
      <c r="C689" s="50"/>
      <c r="D689" s="112" t="s">
        <v>2487</v>
      </c>
      <c r="G689" s="50"/>
      <c r="H689" s="50"/>
      <c r="M689" s="69">
        <f t="shared" si="20"/>
        <v>0</v>
      </c>
      <c r="N689" s="69">
        <f t="shared" si="21"/>
        <v>0</v>
      </c>
      <c r="O689" s="17"/>
      <c r="Q689" s="64"/>
      <c r="R689" s="64"/>
      <c r="S689" s="68" t="s">
        <v>2483</v>
      </c>
    </row>
    <row r="690" spans="1:19" s="10" customFormat="1" ht="39.6" x14ac:dyDescent="0.3">
      <c r="A690" s="9"/>
      <c r="B690" s="9"/>
      <c r="C690" s="50"/>
      <c r="D690" s="112" t="s">
        <v>950</v>
      </c>
      <c r="G690" s="50"/>
      <c r="H690" s="50"/>
      <c r="M690" s="69">
        <f t="shared" si="20"/>
        <v>0</v>
      </c>
      <c r="N690" s="69">
        <f t="shared" si="21"/>
        <v>0</v>
      </c>
      <c r="O690" s="17"/>
      <c r="Q690" s="64"/>
      <c r="R690" s="64"/>
      <c r="S690" s="68" t="s">
        <v>2484</v>
      </c>
    </row>
    <row r="691" spans="1:19" s="10" customFormat="1" ht="39.6" x14ac:dyDescent="0.3">
      <c r="A691" s="9"/>
      <c r="B691" s="9"/>
      <c r="C691" s="50"/>
      <c r="D691" s="112" t="s">
        <v>2486</v>
      </c>
      <c r="G691" s="50"/>
      <c r="H691" s="50"/>
      <c r="M691" s="69">
        <f t="shared" si="20"/>
        <v>0</v>
      </c>
      <c r="N691" s="69">
        <f t="shared" si="21"/>
        <v>0</v>
      </c>
      <c r="O691" s="17"/>
      <c r="Q691" s="64"/>
      <c r="R691" s="64"/>
      <c r="S691" s="68" t="s">
        <v>2485</v>
      </c>
    </row>
    <row r="692" spans="1:19" s="10" customFormat="1" ht="39.6" x14ac:dyDescent="0.3">
      <c r="A692" s="9"/>
      <c r="B692" s="9"/>
      <c r="C692" s="50"/>
      <c r="D692" s="112" t="s">
        <v>2490</v>
      </c>
      <c r="G692" s="50"/>
      <c r="H692" s="50"/>
      <c r="M692" s="69">
        <f t="shared" si="20"/>
        <v>0</v>
      </c>
      <c r="N692" s="69">
        <f t="shared" si="21"/>
        <v>0</v>
      </c>
      <c r="O692" s="17"/>
      <c r="Q692" s="64"/>
      <c r="R692" s="64"/>
      <c r="S692" s="68" t="s">
        <v>2489</v>
      </c>
    </row>
    <row r="693" spans="1:19" s="10" customFormat="1" ht="39.6" x14ac:dyDescent="0.3">
      <c r="A693" s="9"/>
      <c r="B693" s="9"/>
      <c r="C693" s="50"/>
      <c r="D693" s="112" t="s">
        <v>2491</v>
      </c>
      <c r="G693" s="50"/>
      <c r="H693" s="50"/>
      <c r="M693" s="69">
        <f t="shared" si="20"/>
        <v>0</v>
      </c>
      <c r="N693" s="69">
        <f t="shared" si="21"/>
        <v>0</v>
      </c>
      <c r="O693" s="17"/>
      <c r="Q693" s="64"/>
      <c r="R693" s="64"/>
      <c r="S693" s="68" t="s">
        <v>2492</v>
      </c>
    </row>
    <row r="694" spans="1:19" s="10" customFormat="1" ht="39.6" x14ac:dyDescent="0.3">
      <c r="A694" s="9"/>
      <c r="B694" s="9"/>
      <c r="C694" s="50"/>
      <c r="D694" s="112" t="s">
        <v>950</v>
      </c>
      <c r="G694" s="50"/>
      <c r="H694" s="63"/>
      <c r="M694" s="69">
        <f t="shared" si="20"/>
        <v>0</v>
      </c>
      <c r="N694" s="69">
        <f t="shared" si="21"/>
        <v>0</v>
      </c>
      <c r="O694" s="17"/>
      <c r="Q694" s="64"/>
      <c r="R694" s="64"/>
      <c r="S694" s="68" t="s">
        <v>2521</v>
      </c>
    </row>
    <row r="695" spans="1:19" s="10" customFormat="1" x14ac:dyDescent="0.3">
      <c r="A695" s="9"/>
      <c r="B695" s="9"/>
      <c r="D695" s="70"/>
      <c r="H695" s="62"/>
      <c r="I695" s="17"/>
      <c r="M695" s="69">
        <f t="shared" si="20"/>
        <v>0</v>
      </c>
      <c r="N695" s="69">
        <f t="shared" si="21"/>
        <v>0</v>
      </c>
      <c r="O695" s="17"/>
      <c r="Q695" s="9"/>
      <c r="R695" s="9"/>
    </row>
    <row r="696" spans="1:19" s="29" customFormat="1" x14ac:dyDescent="0.3">
      <c r="A696" s="27"/>
      <c r="B696" s="27"/>
      <c r="D696" s="3"/>
      <c r="I696" s="108"/>
      <c r="M696" s="69">
        <f t="shared" si="20"/>
        <v>0</v>
      </c>
      <c r="N696" s="69">
        <f t="shared" si="21"/>
        <v>0</v>
      </c>
      <c r="O696" s="108"/>
      <c r="Q696" s="27"/>
      <c r="R696" s="62"/>
    </row>
    <row r="697" spans="1:19" s="29" customFormat="1" x14ac:dyDescent="0.3">
      <c r="A697" s="27"/>
      <c r="B697" s="27"/>
      <c r="C697" s="98"/>
      <c r="D697" s="3"/>
      <c r="I697" s="108"/>
      <c r="M697" s="69">
        <f t="shared" si="20"/>
        <v>0</v>
      </c>
      <c r="N697" s="69">
        <f t="shared" si="21"/>
        <v>0</v>
      </c>
      <c r="O697" s="108"/>
      <c r="Q697" s="27"/>
      <c r="R697" s="62"/>
    </row>
    <row r="698" spans="1:19" s="29" customFormat="1" x14ac:dyDescent="0.3">
      <c r="A698" s="27">
        <v>45189</v>
      </c>
      <c r="B698" s="15" t="str">
        <f>TEXT(A698,"mmmm")</f>
        <v>September</v>
      </c>
      <c r="C698" s="29" t="s">
        <v>2441</v>
      </c>
      <c r="D698" s="3" t="s">
        <v>2247</v>
      </c>
      <c r="F698" s="3" t="s">
        <v>54</v>
      </c>
      <c r="G698" s="29" t="s">
        <v>22</v>
      </c>
      <c r="H698" s="29" t="s">
        <v>10</v>
      </c>
      <c r="I698" s="108">
        <v>28950</v>
      </c>
      <c r="J698" s="29">
        <f>P698*9%</f>
        <v>675</v>
      </c>
      <c r="K698" s="29">
        <f>J698</f>
        <v>675</v>
      </c>
      <c r="M698" s="69">
        <f t="shared" si="20"/>
        <v>1350</v>
      </c>
      <c r="N698" s="69">
        <f t="shared" si="21"/>
        <v>27600</v>
      </c>
      <c r="O698" s="29">
        <v>6700</v>
      </c>
      <c r="P698" s="29">
        <v>7500</v>
      </c>
      <c r="Q698" s="126" t="s">
        <v>2509</v>
      </c>
      <c r="R698" s="27">
        <v>45193</v>
      </c>
      <c r="S698" s="29" t="s">
        <v>2442</v>
      </c>
    </row>
    <row r="699" spans="1:19" s="29" customFormat="1" ht="26.4" x14ac:dyDescent="0.3">
      <c r="A699" s="27"/>
      <c r="B699" s="27"/>
      <c r="C699" s="98"/>
      <c r="D699" s="3"/>
      <c r="F699" s="3"/>
      <c r="H699" s="122" t="s">
        <v>2249</v>
      </c>
      <c r="I699" s="108"/>
      <c r="M699" s="69">
        <f t="shared" si="20"/>
        <v>0</v>
      </c>
      <c r="N699" s="69">
        <f t="shared" si="21"/>
        <v>0</v>
      </c>
      <c r="O699" s="29">
        <v>6700</v>
      </c>
      <c r="Q699" s="126" t="s">
        <v>2541</v>
      </c>
      <c r="R699" s="97"/>
      <c r="S699" s="29" t="s">
        <v>2443</v>
      </c>
    </row>
    <row r="700" spans="1:19" s="29" customFormat="1" x14ac:dyDescent="0.3">
      <c r="A700" s="27"/>
      <c r="B700" s="27"/>
      <c r="C700" s="98"/>
      <c r="D700" s="3"/>
      <c r="F700" s="3"/>
      <c r="I700" s="108"/>
      <c r="M700" s="69">
        <f t="shared" si="20"/>
        <v>0</v>
      </c>
      <c r="N700" s="69">
        <f t="shared" si="21"/>
        <v>0</v>
      </c>
      <c r="O700" s="29">
        <v>6700</v>
      </c>
      <c r="Q700" s="126"/>
      <c r="R700" s="97"/>
      <c r="S700" s="29" t="s">
        <v>2445</v>
      </c>
    </row>
    <row r="701" spans="1:19" s="29" customFormat="1" x14ac:dyDescent="0.3">
      <c r="A701" s="27"/>
      <c r="B701" s="27"/>
      <c r="D701" s="3"/>
      <c r="I701" s="108"/>
      <c r="M701" s="69">
        <f t="shared" si="20"/>
        <v>0</v>
      </c>
      <c r="N701" s="69">
        <f t="shared" si="21"/>
        <v>0</v>
      </c>
      <c r="O701" s="108">
        <f>SUM(O698:O700)</f>
        <v>20100</v>
      </c>
      <c r="Q701" s="27"/>
      <c r="R701" s="27"/>
    </row>
    <row r="702" spans="1:19" s="29" customFormat="1" x14ac:dyDescent="0.3">
      <c r="A702" s="27"/>
      <c r="B702" s="27"/>
      <c r="D702" s="3"/>
      <c r="I702" s="108"/>
      <c r="M702" s="69">
        <f t="shared" si="20"/>
        <v>0</v>
      </c>
      <c r="N702" s="69">
        <f t="shared" si="21"/>
        <v>0</v>
      </c>
      <c r="O702" s="108"/>
      <c r="Q702" s="27"/>
      <c r="R702" s="27"/>
    </row>
    <row r="703" spans="1:19" s="29" customFormat="1" x14ac:dyDescent="0.3">
      <c r="A703" s="27">
        <v>45190</v>
      </c>
      <c r="B703" s="15" t="str">
        <f>TEXT(A703,"mmmm")</f>
        <v>September</v>
      </c>
      <c r="C703" s="98" t="s">
        <v>2462</v>
      </c>
      <c r="D703" s="3" t="s">
        <v>1954</v>
      </c>
      <c r="E703" s="29">
        <v>1</v>
      </c>
      <c r="G703" s="29" t="s">
        <v>24</v>
      </c>
      <c r="H703" s="29" t="s">
        <v>10</v>
      </c>
      <c r="I703" s="108">
        <v>11311</v>
      </c>
      <c r="J703" s="29">
        <f>P703*9%</f>
        <v>180</v>
      </c>
      <c r="K703" s="29">
        <f>J703</f>
        <v>180</v>
      </c>
      <c r="M703" s="69">
        <f t="shared" si="20"/>
        <v>360</v>
      </c>
      <c r="N703" s="69">
        <f t="shared" si="21"/>
        <v>10951</v>
      </c>
      <c r="O703" s="108">
        <v>8951</v>
      </c>
      <c r="P703" s="29">
        <v>2000</v>
      </c>
      <c r="Q703" s="63" t="s">
        <v>2628</v>
      </c>
      <c r="R703" s="27">
        <v>45193</v>
      </c>
      <c r="S703" s="29" t="s">
        <v>2463</v>
      </c>
    </row>
    <row r="704" spans="1:19" s="29" customFormat="1" ht="26.4" x14ac:dyDescent="0.3">
      <c r="A704" s="27"/>
      <c r="B704" s="27"/>
      <c r="C704" s="98"/>
      <c r="D704" s="3"/>
      <c r="I704" s="108"/>
      <c r="M704" s="69">
        <f t="shared" si="20"/>
        <v>0</v>
      </c>
      <c r="N704" s="69">
        <f t="shared" si="21"/>
        <v>0</v>
      </c>
      <c r="O704" s="108"/>
      <c r="Q704" s="62" t="s">
        <v>2621</v>
      </c>
      <c r="R704" s="27"/>
    </row>
    <row r="705" spans="1:19" s="29" customFormat="1" x14ac:dyDescent="0.3">
      <c r="A705" s="27"/>
      <c r="B705" s="27"/>
      <c r="C705" s="98"/>
      <c r="D705" s="3"/>
      <c r="I705" s="108"/>
      <c r="M705" s="69">
        <f t="shared" si="20"/>
        <v>0</v>
      </c>
      <c r="N705" s="69">
        <f t="shared" si="21"/>
        <v>0</v>
      </c>
      <c r="O705" s="108"/>
      <c r="Q705" s="27"/>
      <c r="R705" s="62"/>
    </row>
    <row r="706" spans="1:19" s="29" customFormat="1" ht="26.4" x14ac:dyDescent="0.3">
      <c r="A706" s="27">
        <v>45191</v>
      </c>
      <c r="B706" s="15" t="str">
        <f>TEXT(A706,"mmmm")</f>
        <v>September</v>
      </c>
      <c r="C706" s="29" t="s">
        <v>2464</v>
      </c>
      <c r="D706" s="3" t="s">
        <v>2493</v>
      </c>
      <c r="F706" s="3" t="s">
        <v>54</v>
      </c>
      <c r="G706" s="3" t="s">
        <v>2287</v>
      </c>
      <c r="H706" s="3" t="s">
        <v>2288</v>
      </c>
      <c r="I706" s="108">
        <v>17259</v>
      </c>
      <c r="J706" s="29">
        <f>P706*9%</f>
        <v>324</v>
      </c>
      <c r="K706" s="29">
        <f>J706</f>
        <v>324</v>
      </c>
      <c r="M706" s="69">
        <f t="shared" si="20"/>
        <v>648</v>
      </c>
      <c r="N706" s="69">
        <f t="shared" si="21"/>
        <v>16611</v>
      </c>
      <c r="O706" s="108">
        <f>12494.31+437.3+39.36+39.36</f>
        <v>13010.33</v>
      </c>
      <c r="P706" s="29">
        <f>1200*3</f>
        <v>3600</v>
      </c>
      <c r="Q706" s="126" t="s">
        <v>2509</v>
      </c>
      <c r="R706" s="62" t="s">
        <v>2465</v>
      </c>
    </row>
    <row r="707" spans="1:19" s="29" customFormat="1" ht="26.4" x14ac:dyDescent="0.3">
      <c r="A707" s="27"/>
      <c r="B707" s="27"/>
      <c r="D707" s="3"/>
      <c r="F707" s="3"/>
      <c r="G707" s="3"/>
      <c r="H707" s="122" t="s">
        <v>2249</v>
      </c>
      <c r="I707" s="108"/>
      <c r="M707" s="69">
        <f t="shared" ref="M707:M770" si="22">SUM(J707:L707)</f>
        <v>0</v>
      </c>
      <c r="N707" s="69">
        <f t="shared" ref="N707:N770" si="23">I707-M707</f>
        <v>0</v>
      </c>
      <c r="O707" s="108"/>
      <c r="Q707" s="126" t="s">
        <v>2541</v>
      </c>
      <c r="R707" s="27"/>
    </row>
    <row r="708" spans="1:19" s="29" customFormat="1" x14ac:dyDescent="0.3">
      <c r="A708" s="27"/>
      <c r="B708" s="27"/>
      <c r="D708" s="3"/>
      <c r="F708" s="3"/>
      <c r="G708" s="3"/>
      <c r="H708" s="3"/>
      <c r="I708" s="108"/>
      <c r="M708" s="69">
        <f t="shared" si="22"/>
        <v>0</v>
      </c>
      <c r="N708" s="69">
        <f t="shared" si="23"/>
        <v>0</v>
      </c>
      <c r="O708" s="108"/>
      <c r="Q708" s="27"/>
      <c r="R708" s="27"/>
    </row>
    <row r="709" spans="1:19" x14ac:dyDescent="0.3">
      <c r="A709" s="27">
        <v>45195</v>
      </c>
      <c r="B709" s="15" t="str">
        <f>TEXT(A709,"mmmm")</f>
        <v>September</v>
      </c>
      <c r="C709" s="69" t="s">
        <v>2502</v>
      </c>
      <c r="D709" s="69" t="s">
        <v>1591</v>
      </c>
      <c r="E709" s="69">
        <v>3</v>
      </c>
      <c r="F709" s="69" t="s">
        <v>1593</v>
      </c>
      <c r="G709" s="69" t="s">
        <v>26</v>
      </c>
      <c r="H709" s="69" t="s">
        <v>10</v>
      </c>
      <c r="I709" s="16">
        <f ca="1">SUM(L709:P709)</f>
        <v>18272</v>
      </c>
      <c r="L709" s="69">
        <f>P709*18%</f>
        <v>36</v>
      </c>
      <c r="M709" s="69">
        <f t="shared" si="22"/>
        <v>36</v>
      </c>
      <c r="N709" s="69">
        <f t="shared" ca="1" si="23"/>
        <v>71580</v>
      </c>
      <c r="O709" s="16">
        <f>4500*2*2</f>
        <v>18000</v>
      </c>
      <c r="P709" s="69">
        <v>200</v>
      </c>
      <c r="Q709" s="63">
        <v>45197</v>
      </c>
      <c r="R709" s="63">
        <v>45201</v>
      </c>
      <c r="S709" s="69" t="s">
        <v>2507</v>
      </c>
    </row>
    <row r="710" spans="1:19" x14ac:dyDescent="0.3">
      <c r="D710" s="69" t="s">
        <v>1592</v>
      </c>
      <c r="M710" s="69">
        <f t="shared" si="22"/>
        <v>0</v>
      </c>
      <c r="N710" s="69">
        <f t="shared" si="23"/>
        <v>0</v>
      </c>
    </row>
    <row r="711" spans="1:19" s="29" customFormat="1" x14ac:dyDescent="0.3">
      <c r="A711" s="27"/>
      <c r="B711" s="27"/>
      <c r="C711" s="98"/>
      <c r="D711" s="3"/>
      <c r="I711" s="108"/>
      <c r="M711" s="69">
        <f t="shared" si="22"/>
        <v>0</v>
      </c>
      <c r="N711" s="69">
        <f t="shared" si="23"/>
        <v>0</v>
      </c>
      <c r="O711" s="108"/>
      <c r="Q711" s="27"/>
      <c r="R711" s="62"/>
    </row>
    <row r="712" spans="1:19" s="29" customFormat="1" x14ac:dyDescent="0.3">
      <c r="A712" s="27"/>
      <c r="B712" s="27"/>
      <c r="C712" s="98"/>
      <c r="D712" s="3"/>
      <c r="I712" s="108"/>
      <c r="M712" s="69">
        <f t="shared" si="22"/>
        <v>0</v>
      </c>
      <c r="N712" s="69">
        <f t="shared" si="23"/>
        <v>0</v>
      </c>
      <c r="O712" s="108"/>
      <c r="Q712" s="27"/>
      <c r="R712" s="62"/>
    </row>
    <row r="713" spans="1:19" s="29" customFormat="1" x14ac:dyDescent="0.3">
      <c r="A713" s="27">
        <v>45195</v>
      </c>
      <c r="B713" s="15" t="str">
        <f>TEXT(A713,"mmmm")</f>
        <v>September</v>
      </c>
      <c r="C713" s="98" t="s">
        <v>2506</v>
      </c>
      <c r="D713" s="3" t="s">
        <v>262</v>
      </c>
      <c r="E713" s="29">
        <v>1</v>
      </c>
      <c r="F713" s="3" t="s">
        <v>60</v>
      </c>
      <c r="G713" s="29" t="s">
        <v>26</v>
      </c>
      <c r="H713" s="29" t="s">
        <v>10</v>
      </c>
      <c r="I713" s="108">
        <v>86057</v>
      </c>
      <c r="J713" s="29">
        <v>90</v>
      </c>
      <c r="K713" s="29">
        <v>90</v>
      </c>
      <c r="M713" s="69">
        <f t="shared" si="22"/>
        <v>180</v>
      </c>
      <c r="N713" s="69">
        <f t="shared" si="23"/>
        <v>85877</v>
      </c>
      <c r="O713" s="29">
        <v>79059</v>
      </c>
      <c r="P713" s="29">
        <v>1000</v>
      </c>
      <c r="Q713" s="62">
        <v>45202</v>
      </c>
      <c r="R713" s="63">
        <v>45201</v>
      </c>
      <c r="S713" s="29" t="s">
        <v>2505</v>
      </c>
    </row>
    <row r="714" spans="1:19" s="29" customFormat="1" x14ac:dyDescent="0.3">
      <c r="A714" s="27"/>
      <c r="B714" s="27"/>
      <c r="C714" s="98"/>
      <c r="D714" s="3" t="s">
        <v>973</v>
      </c>
      <c r="I714" s="108"/>
      <c r="M714" s="69">
        <f t="shared" si="22"/>
        <v>0</v>
      </c>
      <c r="N714" s="69">
        <f t="shared" si="23"/>
        <v>0</v>
      </c>
      <c r="O714" s="29">
        <v>5818</v>
      </c>
      <c r="Q714" s="27"/>
      <c r="R714" s="62"/>
      <c r="S714" s="29" t="s">
        <v>2508</v>
      </c>
    </row>
    <row r="715" spans="1:19" s="29" customFormat="1" x14ac:dyDescent="0.3">
      <c r="A715" s="27"/>
      <c r="B715" s="27"/>
      <c r="C715" s="98"/>
      <c r="D715" s="3"/>
      <c r="I715" s="108"/>
      <c r="M715" s="69">
        <f t="shared" si="22"/>
        <v>0</v>
      </c>
      <c r="N715" s="69">
        <f t="shared" si="23"/>
        <v>0</v>
      </c>
      <c r="O715" s="108">
        <f>SUM(O713:O714)</f>
        <v>84877</v>
      </c>
      <c r="Q715" s="27"/>
      <c r="R715" s="62"/>
    </row>
    <row r="716" spans="1:19" s="29" customFormat="1" x14ac:dyDescent="0.3">
      <c r="A716" s="27"/>
      <c r="B716" s="27"/>
      <c r="C716" s="98"/>
      <c r="D716" s="3"/>
      <c r="I716" s="108"/>
      <c r="M716" s="69">
        <f t="shared" si="22"/>
        <v>0</v>
      </c>
      <c r="N716" s="69">
        <f t="shared" si="23"/>
        <v>0</v>
      </c>
      <c r="O716" s="108"/>
      <c r="Q716" s="27"/>
      <c r="R716" s="62"/>
    </row>
    <row r="717" spans="1:19" s="29" customFormat="1" x14ac:dyDescent="0.3">
      <c r="A717" s="27">
        <v>45196</v>
      </c>
      <c r="B717" s="15" t="str">
        <f>TEXT(A717,"mmmm")</f>
        <v>September</v>
      </c>
      <c r="C717" s="98" t="s">
        <v>2511</v>
      </c>
      <c r="D717" s="3" t="s">
        <v>2510</v>
      </c>
      <c r="E717" s="29">
        <v>1</v>
      </c>
      <c r="F717" s="3" t="s">
        <v>54</v>
      </c>
      <c r="G717" s="29" t="s">
        <v>26</v>
      </c>
      <c r="H717" s="29" t="s">
        <v>10</v>
      </c>
      <c r="I717" s="108">
        <v>99180</v>
      </c>
      <c r="J717" s="29">
        <f>P717*9%</f>
        <v>648</v>
      </c>
      <c r="K717" s="29">
        <f>J717</f>
        <v>648</v>
      </c>
      <c r="M717" s="69">
        <f t="shared" si="22"/>
        <v>1296</v>
      </c>
      <c r="N717" s="69">
        <f t="shared" si="23"/>
        <v>97884</v>
      </c>
      <c r="O717" s="29">
        <v>8436</v>
      </c>
      <c r="P717" s="29">
        <f>(350*12)+(1000*3)</f>
        <v>7200</v>
      </c>
      <c r="Q717" s="62" t="s">
        <v>2647</v>
      </c>
      <c r="R717" s="63" t="s">
        <v>2548</v>
      </c>
      <c r="S717" s="29" t="s">
        <v>2512</v>
      </c>
    </row>
    <row r="718" spans="1:19" s="29" customFormat="1" ht="39.6" x14ac:dyDescent="0.3">
      <c r="A718" s="27"/>
      <c r="B718" s="27"/>
      <c r="C718" s="98"/>
      <c r="D718" s="3" t="s">
        <v>2520</v>
      </c>
      <c r="F718" s="3"/>
      <c r="I718" s="108"/>
      <c r="M718" s="69">
        <f t="shared" si="22"/>
        <v>0</v>
      </c>
      <c r="N718" s="69">
        <f t="shared" si="23"/>
        <v>0</v>
      </c>
      <c r="O718" s="29">
        <v>8972</v>
      </c>
      <c r="Q718" s="62" t="s">
        <v>2648</v>
      </c>
      <c r="R718" s="29">
        <f>83709-10836-1050</f>
        <v>71823</v>
      </c>
      <c r="S718" s="29" t="s">
        <v>2528</v>
      </c>
    </row>
    <row r="719" spans="1:19" s="29" customFormat="1" x14ac:dyDescent="0.3">
      <c r="A719" s="27"/>
      <c r="B719" s="27"/>
      <c r="C719" s="98"/>
      <c r="D719" s="3" t="s">
        <v>2526</v>
      </c>
      <c r="F719" s="3"/>
      <c r="I719" s="108"/>
      <c r="M719" s="69">
        <f t="shared" si="22"/>
        <v>0</v>
      </c>
      <c r="N719" s="69">
        <f t="shared" si="23"/>
        <v>0</v>
      </c>
      <c r="O719" s="29">
        <v>3334</v>
      </c>
      <c r="Q719" s="27"/>
      <c r="R719" s="62" t="s">
        <v>2546</v>
      </c>
      <c r="S719" s="29" t="s">
        <v>2527</v>
      </c>
    </row>
    <row r="720" spans="1:19" s="29" customFormat="1" ht="26.4" x14ac:dyDescent="0.3">
      <c r="A720" s="27"/>
      <c r="B720" s="27"/>
      <c r="C720" s="98"/>
      <c r="D720" s="3" t="s">
        <v>2530</v>
      </c>
      <c r="F720" s="3"/>
      <c r="I720" s="108"/>
      <c r="M720" s="69">
        <f t="shared" si="22"/>
        <v>0</v>
      </c>
      <c r="N720" s="69">
        <f t="shared" si="23"/>
        <v>0</v>
      </c>
      <c r="O720" s="29">
        <v>11872</v>
      </c>
      <c r="Q720" s="27"/>
      <c r="R720" s="62" t="s">
        <v>2547</v>
      </c>
      <c r="S720" s="29" t="s">
        <v>2531</v>
      </c>
    </row>
    <row r="721" spans="1:19" s="29" customFormat="1" x14ac:dyDescent="0.3">
      <c r="A721" s="27"/>
      <c r="B721" s="27"/>
      <c r="C721" s="98"/>
      <c r="D721" s="3" t="s">
        <v>2532</v>
      </c>
      <c r="F721" s="3"/>
      <c r="I721" s="108"/>
      <c r="M721" s="69">
        <f t="shared" si="22"/>
        <v>0</v>
      </c>
      <c r="N721" s="69">
        <f t="shared" si="23"/>
        <v>0</v>
      </c>
      <c r="O721" s="29">
        <v>6668</v>
      </c>
      <c r="Q721" s="27"/>
      <c r="R721" s="62"/>
      <c r="S721" s="29" t="s">
        <v>2534</v>
      </c>
    </row>
    <row r="722" spans="1:19" s="29" customFormat="1" x14ac:dyDescent="0.3">
      <c r="A722" s="27"/>
      <c r="B722" s="27"/>
      <c r="C722" s="98"/>
      <c r="D722" s="3" t="s">
        <v>2533</v>
      </c>
      <c r="F722" s="3"/>
      <c r="I722" s="108"/>
      <c r="M722" s="69">
        <f t="shared" si="22"/>
        <v>0</v>
      </c>
      <c r="N722" s="69">
        <f t="shared" si="23"/>
        <v>0</v>
      </c>
      <c r="O722" s="29">
        <v>3334</v>
      </c>
      <c r="Q722" s="27"/>
      <c r="R722" s="62"/>
      <c r="S722" s="29" t="s">
        <v>2535</v>
      </c>
    </row>
    <row r="723" spans="1:19" s="29" customFormat="1" x14ac:dyDescent="0.3">
      <c r="A723" s="27"/>
      <c r="B723" s="27"/>
      <c r="C723" s="98"/>
      <c r="D723" s="3" t="s">
        <v>2538</v>
      </c>
      <c r="F723" s="3"/>
      <c r="I723" s="108"/>
      <c r="M723" s="69">
        <f t="shared" si="22"/>
        <v>0</v>
      </c>
      <c r="N723" s="69">
        <f t="shared" si="23"/>
        <v>0</v>
      </c>
      <c r="O723" s="29">
        <v>9727</v>
      </c>
      <c r="Q723" s="27"/>
      <c r="R723" s="62"/>
      <c r="S723" s="29" t="s">
        <v>2536</v>
      </c>
    </row>
    <row r="724" spans="1:19" s="29" customFormat="1" x14ac:dyDescent="0.3">
      <c r="A724" s="27"/>
      <c r="B724" s="27"/>
      <c r="C724" s="98"/>
      <c r="D724" s="3" t="s">
        <v>2539</v>
      </c>
      <c r="F724" s="3"/>
      <c r="I724" s="108"/>
      <c r="M724" s="69">
        <f t="shared" si="22"/>
        <v>0</v>
      </c>
      <c r="N724" s="69">
        <f t="shared" si="23"/>
        <v>0</v>
      </c>
      <c r="O724" s="29">
        <v>31366</v>
      </c>
      <c r="Q724" s="27"/>
      <c r="R724" s="62"/>
      <c r="S724" s="29" t="s">
        <v>2537</v>
      </c>
    </row>
    <row r="725" spans="1:19" s="29" customFormat="1" ht="26.4" x14ac:dyDescent="0.3">
      <c r="A725" s="27"/>
      <c r="B725" s="27"/>
      <c r="C725" s="98"/>
      <c r="D725" s="3" t="s">
        <v>1541</v>
      </c>
      <c r="F725" s="3"/>
      <c r="I725" s="108"/>
      <c r="M725" s="69">
        <f t="shared" si="22"/>
        <v>0</v>
      </c>
      <c r="N725" s="69">
        <f t="shared" si="23"/>
        <v>0</v>
      </c>
      <c r="O725" s="88">
        <v>4025</v>
      </c>
      <c r="Q725" s="27"/>
      <c r="R725" s="62" t="s">
        <v>2540</v>
      </c>
    </row>
    <row r="726" spans="1:19" s="29" customFormat="1" ht="26.4" x14ac:dyDescent="0.3">
      <c r="A726" s="27"/>
      <c r="B726" s="27"/>
      <c r="C726" s="98"/>
      <c r="D726" s="3" t="s">
        <v>1541</v>
      </c>
      <c r="F726" s="3"/>
      <c r="I726" s="108"/>
      <c r="M726" s="69">
        <f t="shared" si="22"/>
        <v>0</v>
      </c>
      <c r="N726" s="69">
        <f t="shared" si="23"/>
        <v>0</v>
      </c>
      <c r="O726" s="88">
        <v>2950</v>
      </c>
      <c r="Q726" s="27"/>
      <c r="R726" s="62" t="s">
        <v>2540</v>
      </c>
    </row>
    <row r="727" spans="1:19" s="29" customFormat="1" x14ac:dyDescent="0.3">
      <c r="A727" s="27"/>
      <c r="B727" s="27"/>
      <c r="C727" s="98"/>
      <c r="D727" s="3"/>
      <c r="F727" s="3"/>
      <c r="I727" s="108"/>
      <c r="M727" s="69">
        <f t="shared" si="22"/>
        <v>0</v>
      </c>
      <c r="N727" s="69">
        <f t="shared" si="23"/>
        <v>0</v>
      </c>
      <c r="O727" s="108">
        <f>SUM(O717:O726)</f>
        <v>90684</v>
      </c>
      <c r="Q727" s="27"/>
      <c r="R727" s="62"/>
    </row>
    <row r="728" spans="1:19" s="29" customFormat="1" x14ac:dyDescent="0.3">
      <c r="A728" s="27"/>
      <c r="B728" s="27"/>
      <c r="C728" s="98"/>
      <c r="D728" s="3"/>
      <c r="F728" s="3"/>
      <c r="I728" s="108"/>
      <c r="M728" s="69">
        <f t="shared" si="22"/>
        <v>0</v>
      </c>
      <c r="N728" s="69">
        <f t="shared" si="23"/>
        <v>0</v>
      </c>
      <c r="O728" s="108"/>
      <c r="Q728" s="27"/>
      <c r="R728" s="62"/>
    </row>
    <row r="729" spans="1:19" s="29" customFormat="1" x14ac:dyDescent="0.3">
      <c r="A729" s="27">
        <v>45196</v>
      </c>
      <c r="B729" s="15" t="str">
        <f>TEXT(A729,"mmmm")</f>
        <v>September</v>
      </c>
      <c r="C729" s="29" t="s">
        <v>2513</v>
      </c>
      <c r="D729" s="3" t="s">
        <v>2517</v>
      </c>
      <c r="E729" s="29">
        <v>2</v>
      </c>
      <c r="F729" s="3"/>
      <c r="G729" s="29" t="s">
        <v>26</v>
      </c>
      <c r="H729" s="29" t="s">
        <v>10</v>
      </c>
      <c r="I729" s="108">
        <v>41000</v>
      </c>
      <c r="J729" s="29">
        <v>133.5</v>
      </c>
      <c r="K729" s="29">
        <f>J729</f>
        <v>133.5</v>
      </c>
      <c r="M729" s="69">
        <f t="shared" si="22"/>
        <v>267</v>
      </c>
      <c r="N729" s="69">
        <f t="shared" si="23"/>
        <v>40733</v>
      </c>
      <c r="O729" s="29">
        <v>13182</v>
      </c>
      <c r="P729" s="29">
        <v>1479</v>
      </c>
      <c r="Q729" s="97">
        <v>45204</v>
      </c>
      <c r="R729" s="63">
        <v>45201</v>
      </c>
      <c r="S729" s="29" t="s">
        <v>2514</v>
      </c>
    </row>
    <row r="730" spans="1:19" s="29" customFormat="1" x14ac:dyDescent="0.3">
      <c r="A730" s="27"/>
      <c r="B730" s="27"/>
      <c r="C730" s="98"/>
      <c r="D730" s="3"/>
      <c r="F730" s="3"/>
      <c r="I730" s="108"/>
      <c r="M730" s="69">
        <f t="shared" si="22"/>
        <v>0</v>
      </c>
      <c r="N730" s="69">
        <f t="shared" si="23"/>
        <v>0</v>
      </c>
      <c r="O730" s="29">
        <v>26072</v>
      </c>
      <c r="Q730" s="27" t="s">
        <v>30</v>
      </c>
      <c r="R730" s="62"/>
      <c r="S730" s="29" t="s">
        <v>2515</v>
      </c>
    </row>
    <row r="731" spans="1:19" s="29" customFormat="1" x14ac:dyDescent="0.3">
      <c r="A731" s="27"/>
      <c r="B731" s="27"/>
      <c r="C731" s="98"/>
      <c r="D731" s="3"/>
      <c r="F731" s="3"/>
      <c r="I731" s="108"/>
      <c r="M731" s="69">
        <f t="shared" si="22"/>
        <v>0</v>
      </c>
      <c r="N731" s="69">
        <f t="shared" si="23"/>
        <v>0</v>
      </c>
      <c r="O731" s="108">
        <f>SUM(O729:O730)</f>
        <v>39254</v>
      </c>
      <c r="Q731" s="27"/>
      <c r="R731" s="62"/>
    </row>
    <row r="732" spans="1:19" s="29" customFormat="1" x14ac:dyDescent="0.3">
      <c r="A732" s="27"/>
      <c r="B732" s="27"/>
      <c r="C732" s="98"/>
      <c r="D732" s="3"/>
      <c r="F732" s="3"/>
      <c r="I732" s="108"/>
      <c r="M732" s="69">
        <f t="shared" si="22"/>
        <v>0</v>
      </c>
      <c r="N732" s="69">
        <f t="shared" si="23"/>
        <v>0</v>
      </c>
      <c r="O732" s="108"/>
      <c r="Q732" s="27"/>
      <c r="R732" s="62"/>
    </row>
    <row r="733" spans="1:19" s="29" customFormat="1" x14ac:dyDescent="0.3">
      <c r="A733" s="27">
        <v>45198</v>
      </c>
      <c r="B733" s="15" t="str">
        <f>TEXT(A733,"mmmm")</f>
        <v>September</v>
      </c>
      <c r="C733" s="29" t="s">
        <v>2516</v>
      </c>
      <c r="D733" s="3" t="s">
        <v>2345</v>
      </c>
      <c r="E733" s="29">
        <v>1</v>
      </c>
      <c r="F733" s="3"/>
      <c r="G733" s="29" t="s">
        <v>8</v>
      </c>
      <c r="H733" s="29" t="s">
        <v>57</v>
      </c>
      <c r="I733" s="108">
        <v>1221</v>
      </c>
      <c r="J733" s="29">
        <v>29</v>
      </c>
      <c r="K733" s="29">
        <v>29</v>
      </c>
      <c r="M733" s="69">
        <f t="shared" si="22"/>
        <v>58</v>
      </c>
      <c r="N733" s="69">
        <f t="shared" si="23"/>
        <v>1163</v>
      </c>
      <c r="O733" s="108">
        <v>847</v>
      </c>
      <c r="P733" s="29">
        <v>316</v>
      </c>
      <c r="Q733" s="27">
        <v>45197</v>
      </c>
      <c r="R733" s="63" t="s">
        <v>2529</v>
      </c>
      <c r="S733" s="29">
        <v>10099542</v>
      </c>
    </row>
    <row r="734" spans="1:19" s="29" customFormat="1" x14ac:dyDescent="0.3">
      <c r="A734" s="27"/>
      <c r="B734" s="27"/>
      <c r="C734" s="98"/>
      <c r="D734" s="3"/>
      <c r="F734" s="3"/>
      <c r="I734" s="108"/>
      <c r="M734" s="69">
        <f t="shared" si="22"/>
        <v>0</v>
      </c>
      <c r="N734" s="69">
        <f t="shared" si="23"/>
        <v>0</v>
      </c>
      <c r="O734" s="108"/>
      <c r="Q734" s="27"/>
      <c r="R734" s="62"/>
    </row>
    <row r="735" spans="1:19" s="29" customFormat="1" x14ac:dyDescent="0.3">
      <c r="A735" s="27"/>
      <c r="B735" s="27"/>
      <c r="C735" s="98"/>
      <c r="D735" s="3"/>
      <c r="F735" s="3"/>
      <c r="I735" s="108"/>
      <c r="M735" s="69">
        <f t="shared" si="22"/>
        <v>0</v>
      </c>
      <c r="N735" s="69">
        <f t="shared" si="23"/>
        <v>0</v>
      </c>
      <c r="O735" s="108"/>
      <c r="Q735" s="27"/>
      <c r="R735" s="62"/>
    </row>
    <row r="736" spans="1:19" s="29" customFormat="1" x14ac:dyDescent="0.3">
      <c r="A736" s="27">
        <v>45198</v>
      </c>
      <c r="B736" s="15" t="str">
        <f>TEXT(A736,"mmmm")</f>
        <v>September</v>
      </c>
      <c r="C736" s="98" t="s">
        <v>2522</v>
      </c>
      <c r="D736" s="3" t="s">
        <v>2524</v>
      </c>
      <c r="E736" s="29">
        <v>1</v>
      </c>
      <c r="F736" s="3"/>
      <c r="G736" s="29" t="s">
        <v>8</v>
      </c>
      <c r="H736" s="29" t="s">
        <v>57</v>
      </c>
      <c r="I736" s="108">
        <v>374</v>
      </c>
      <c r="J736" s="29">
        <v>29</v>
      </c>
      <c r="K736" s="29">
        <v>29</v>
      </c>
      <c r="M736" s="69">
        <f t="shared" si="22"/>
        <v>58</v>
      </c>
      <c r="N736" s="69">
        <f t="shared" si="23"/>
        <v>316</v>
      </c>
      <c r="O736" s="108">
        <v>316</v>
      </c>
      <c r="Q736" s="27">
        <v>45198</v>
      </c>
      <c r="R736" s="62" t="s">
        <v>2543</v>
      </c>
    </row>
    <row r="737" spans="1:19" s="29" customFormat="1" x14ac:dyDescent="0.3">
      <c r="A737" s="27"/>
      <c r="B737" s="27"/>
      <c r="C737" s="98"/>
      <c r="D737" s="3"/>
      <c r="F737" s="3"/>
      <c r="I737" s="108"/>
      <c r="M737" s="69">
        <f t="shared" si="22"/>
        <v>0</v>
      </c>
      <c r="N737" s="69">
        <f t="shared" si="23"/>
        <v>0</v>
      </c>
      <c r="O737" s="108"/>
      <c r="Q737" s="27"/>
      <c r="R737" s="62"/>
    </row>
    <row r="738" spans="1:19" s="29" customFormat="1" x14ac:dyDescent="0.3">
      <c r="A738" s="27"/>
      <c r="B738" s="27"/>
      <c r="C738" s="98"/>
      <c r="D738" s="3"/>
      <c r="F738" s="3"/>
      <c r="I738" s="108"/>
      <c r="M738" s="69">
        <f t="shared" si="22"/>
        <v>0</v>
      </c>
      <c r="N738" s="69">
        <f t="shared" si="23"/>
        <v>0</v>
      </c>
      <c r="O738" s="108"/>
      <c r="Q738" s="27"/>
      <c r="R738" s="62"/>
    </row>
    <row r="739" spans="1:19" s="29" customFormat="1" x14ac:dyDescent="0.3">
      <c r="A739" s="27">
        <v>45198</v>
      </c>
      <c r="B739" s="15" t="str">
        <f>TEXT(A739,"mmmm")</f>
        <v>September</v>
      </c>
      <c r="C739" s="29" t="s">
        <v>2523</v>
      </c>
      <c r="D739" s="3" t="s">
        <v>2567</v>
      </c>
      <c r="F739" s="3"/>
      <c r="G739" s="29" t="s">
        <v>24</v>
      </c>
      <c r="H739" s="29" t="s">
        <v>2518</v>
      </c>
      <c r="I739" s="108">
        <v>524097</v>
      </c>
      <c r="J739" s="29">
        <f>P739*9%</f>
        <v>4050</v>
      </c>
      <c r="K739" s="29">
        <f>J739</f>
        <v>4050</v>
      </c>
      <c r="M739" s="69">
        <f t="shared" si="22"/>
        <v>8100</v>
      </c>
      <c r="N739" s="69">
        <f t="shared" si="23"/>
        <v>515997</v>
      </c>
      <c r="O739" s="108">
        <v>470997</v>
      </c>
      <c r="P739" s="29">
        <v>45000</v>
      </c>
      <c r="Q739" s="97">
        <v>45204</v>
      </c>
      <c r="R739" s="62" t="s">
        <v>2519</v>
      </c>
    </row>
    <row r="740" spans="1:19" s="29" customFormat="1" x14ac:dyDescent="0.3">
      <c r="A740" s="27"/>
      <c r="B740" s="27"/>
      <c r="C740" s="98"/>
      <c r="D740" s="3"/>
      <c r="F740" s="3"/>
      <c r="I740" s="108"/>
      <c r="M740" s="69">
        <f t="shared" si="22"/>
        <v>0</v>
      </c>
      <c r="N740" s="69">
        <f t="shared" si="23"/>
        <v>0</v>
      </c>
      <c r="O740" s="108"/>
      <c r="Q740" s="27" t="s">
        <v>30</v>
      </c>
      <c r="R740" s="27" t="s">
        <v>2542</v>
      </c>
    </row>
    <row r="741" spans="1:19" s="29" customFormat="1" x14ac:dyDescent="0.3">
      <c r="A741" s="27"/>
      <c r="B741" s="27"/>
      <c r="C741" s="98"/>
      <c r="D741" s="3"/>
      <c r="F741" s="3"/>
      <c r="I741" s="108"/>
      <c r="M741" s="69">
        <f t="shared" si="22"/>
        <v>0</v>
      </c>
      <c r="N741" s="69">
        <f t="shared" si="23"/>
        <v>0</v>
      </c>
      <c r="O741" s="108"/>
      <c r="Q741" s="27"/>
      <c r="R741" s="62"/>
    </row>
    <row r="742" spans="1:19" s="29" customFormat="1" x14ac:dyDescent="0.3">
      <c r="A742" s="27">
        <v>45202</v>
      </c>
      <c r="B742" s="15" t="str">
        <f>TEXT(A742,"mmmm")</f>
        <v>October</v>
      </c>
      <c r="C742" s="98" t="s">
        <v>2544</v>
      </c>
      <c r="D742" s="3" t="s">
        <v>2549</v>
      </c>
      <c r="E742" s="29">
        <v>2</v>
      </c>
      <c r="F742" s="3"/>
      <c r="G742" s="29" t="s">
        <v>2550</v>
      </c>
      <c r="H742" s="29" t="s">
        <v>2551</v>
      </c>
      <c r="I742" s="108">
        <v>101980</v>
      </c>
      <c r="J742" s="29">
        <v>1330</v>
      </c>
      <c r="K742" s="29">
        <f>J742</f>
        <v>1330</v>
      </c>
      <c r="M742" s="69">
        <f t="shared" si="22"/>
        <v>2660</v>
      </c>
      <c r="N742" s="69">
        <f t="shared" si="23"/>
        <v>99320</v>
      </c>
      <c r="O742" s="108">
        <v>84550</v>
      </c>
      <c r="P742" s="29">
        <v>14770</v>
      </c>
      <c r="Q742" s="27" t="s">
        <v>2552</v>
      </c>
      <c r="R742" s="62" t="s">
        <v>2553</v>
      </c>
      <c r="S742" s="29" t="s">
        <v>2572</v>
      </c>
    </row>
    <row r="743" spans="1:19" s="29" customFormat="1" x14ac:dyDescent="0.3">
      <c r="A743" s="27"/>
      <c r="B743" s="27"/>
      <c r="C743" s="98"/>
      <c r="D743" s="3"/>
      <c r="F743" s="118" t="s">
        <v>2554</v>
      </c>
      <c r="G743" s="118">
        <v>20396</v>
      </c>
      <c r="I743" s="108"/>
      <c r="M743" s="69">
        <f t="shared" si="22"/>
        <v>0</v>
      </c>
      <c r="N743" s="69">
        <f t="shared" si="23"/>
        <v>0</v>
      </c>
      <c r="O743" s="108"/>
      <c r="Q743" s="29" t="s">
        <v>2620</v>
      </c>
      <c r="R743" s="62"/>
    </row>
    <row r="744" spans="1:19" s="29" customFormat="1" x14ac:dyDescent="0.3">
      <c r="A744" s="27"/>
      <c r="B744" s="27"/>
      <c r="C744" s="98"/>
      <c r="D744" s="3"/>
      <c r="F744" s="16" t="s">
        <v>1317</v>
      </c>
      <c r="G744" s="16">
        <f>G743+I742</f>
        <v>122376</v>
      </c>
      <c r="I744" s="108"/>
      <c r="M744" s="69">
        <f t="shared" si="22"/>
        <v>0</v>
      </c>
      <c r="N744" s="69">
        <f t="shared" si="23"/>
        <v>0</v>
      </c>
      <c r="O744" s="108"/>
      <c r="Q744" s="98" t="s">
        <v>2629</v>
      </c>
      <c r="R744" s="62"/>
    </row>
    <row r="745" spans="1:19" s="29" customFormat="1" x14ac:dyDescent="0.3">
      <c r="A745" s="27"/>
      <c r="B745" s="27"/>
      <c r="C745" s="98"/>
      <c r="D745" s="3"/>
      <c r="F745" s="3"/>
      <c r="I745" s="108"/>
      <c r="M745" s="69">
        <f t="shared" si="22"/>
        <v>0</v>
      </c>
      <c r="N745" s="69">
        <f t="shared" si="23"/>
        <v>0</v>
      </c>
      <c r="O745" s="108"/>
      <c r="Q745" s="27"/>
      <c r="R745" s="62"/>
    </row>
    <row r="746" spans="1:19" s="29" customFormat="1" x14ac:dyDescent="0.3">
      <c r="A746" s="27">
        <v>45202</v>
      </c>
      <c r="B746" s="15" t="str">
        <f>TEXT(A746,"mmmm")</f>
        <v>October</v>
      </c>
      <c r="C746" s="98" t="s">
        <v>2555</v>
      </c>
      <c r="D746" s="3" t="s">
        <v>2545</v>
      </c>
      <c r="E746" s="29">
        <v>3</v>
      </c>
      <c r="F746" s="69" t="s">
        <v>1593</v>
      </c>
      <c r="G746" s="29" t="s">
        <v>14</v>
      </c>
      <c r="H746" s="29" t="s">
        <v>20</v>
      </c>
      <c r="I746" s="108">
        <f>135000+133680</f>
        <v>268680</v>
      </c>
      <c r="L746" s="29">
        <v>12795</v>
      </c>
      <c r="M746" s="69">
        <f t="shared" si="22"/>
        <v>12795</v>
      </c>
      <c r="N746" s="69">
        <f t="shared" si="23"/>
        <v>255885</v>
      </c>
      <c r="O746" s="108">
        <f>203100+1500</f>
        <v>204600</v>
      </c>
      <c r="P746" s="29">
        <v>51285</v>
      </c>
      <c r="Q746" s="62" t="s">
        <v>2564</v>
      </c>
      <c r="R746" s="62" t="s">
        <v>2565</v>
      </c>
    </row>
    <row r="747" spans="1:19" s="29" customFormat="1" ht="26.4" x14ac:dyDescent="0.3">
      <c r="A747" s="27"/>
      <c r="B747" s="27"/>
      <c r="C747" s="98"/>
      <c r="D747" s="3"/>
      <c r="F747" s="3"/>
      <c r="I747" s="108"/>
      <c r="L747" s="29" t="s">
        <v>2566</v>
      </c>
      <c r="M747" s="69">
        <f t="shared" si="22"/>
        <v>0</v>
      </c>
      <c r="N747" s="69">
        <f t="shared" si="23"/>
        <v>0</v>
      </c>
      <c r="O747" s="108"/>
      <c r="Q747" s="62" t="s">
        <v>2563</v>
      </c>
      <c r="R747" s="62" t="s">
        <v>2622</v>
      </c>
    </row>
    <row r="748" spans="1:19" s="29" customFormat="1" x14ac:dyDescent="0.3">
      <c r="A748" s="27"/>
      <c r="B748" s="27"/>
      <c r="C748" s="98"/>
      <c r="D748" s="3"/>
      <c r="F748" s="3"/>
      <c r="I748" s="108"/>
      <c r="M748" s="69">
        <f t="shared" si="22"/>
        <v>0</v>
      </c>
      <c r="N748" s="69">
        <f t="shared" si="23"/>
        <v>0</v>
      </c>
      <c r="O748" s="108"/>
      <c r="Q748" s="27"/>
      <c r="R748" s="62" t="s">
        <v>2797</v>
      </c>
    </row>
    <row r="749" spans="1:19" s="29" customFormat="1" x14ac:dyDescent="0.3">
      <c r="A749" s="27"/>
      <c r="B749" s="27"/>
      <c r="C749" s="98"/>
      <c r="D749" s="3"/>
      <c r="F749" s="3"/>
      <c r="I749" s="108"/>
      <c r="M749" s="69">
        <f t="shared" si="22"/>
        <v>0</v>
      </c>
      <c r="N749" s="69">
        <f t="shared" si="23"/>
        <v>0</v>
      </c>
      <c r="O749" s="108"/>
      <c r="Q749" s="27"/>
      <c r="R749" s="62"/>
    </row>
    <row r="750" spans="1:19" s="29" customFormat="1" x14ac:dyDescent="0.3">
      <c r="A750" s="27">
        <v>45202</v>
      </c>
      <c r="B750" s="15" t="str">
        <f>TEXT(A750,"mmmm")</f>
        <v>October</v>
      </c>
      <c r="C750" s="29" t="s">
        <v>2556</v>
      </c>
      <c r="D750" s="3" t="s">
        <v>2557</v>
      </c>
      <c r="F750" s="3" t="s">
        <v>54</v>
      </c>
      <c r="G750" s="29" t="s">
        <v>26</v>
      </c>
      <c r="H750" s="29" t="s">
        <v>10</v>
      </c>
      <c r="I750" s="108">
        <v>216260</v>
      </c>
      <c r="J750" s="29">
        <f>P750*9%</f>
        <v>1737</v>
      </c>
      <c r="K750" s="29">
        <f>J750</f>
        <v>1737</v>
      </c>
      <c r="M750" s="69">
        <f t="shared" si="22"/>
        <v>3474</v>
      </c>
      <c r="N750" s="69">
        <f t="shared" si="23"/>
        <v>212786</v>
      </c>
      <c r="O750" s="29">
        <v>15858</v>
      </c>
      <c r="P750" s="29">
        <f>350*38+1000*4+2000</f>
        <v>19300</v>
      </c>
      <c r="Q750" s="27">
        <v>45216</v>
      </c>
      <c r="R750" s="27" t="s">
        <v>2646</v>
      </c>
      <c r="S750" s="29" t="s">
        <v>2558</v>
      </c>
    </row>
    <row r="751" spans="1:19" s="29" customFormat="1" ht="26.4" x14ac:dyDescent="0.3">
      <c r="A751" s="27"/>
      <c r="B751" s="27"/>
      <c r="C751" s="98"/>
      <c r="D751" s="125" t="s">
        <v>2612</v>
      </c>
      <c r="F751" s="3"/>
      <c r="I751" s="108"/>
      <c r="M751" s="69">
        <f t="shared" si="22"/>
        <v>0</v>
      </c>
      <c r="N751" s="69">
        <f t="shared" si="23"/>
        <v>0</v>
      </c>
      <c r="O751" s="88">
        <v>4025</v>
      </c>
      <c r="Q751" s="27"/>
      <c r="R751" s="62" t="s">
        <v>2559</v>
      </c>
    </row>
    <row r="752" spans="1:19" s="29" customFormat="1" x14ac:dyDescent="0.3">
      <c r="A752" s="27"/>
      <c r="B752" s="27"/>
      <c r="C752" s="98"/>
      <c r="D752" s="3" t="s">
        <v>2560</v>
      </c>
      <c r="F752" s="3"/>
      <c r="I752" s="108"/>
      <c r="M752" s="69">
        <f t="shared" si="22"/>
        <v>0</v>
      </c>
      <c r="N752" s="69">
        <f t="shared" si="23"/>
        <v>0</v>
      </c>
      <c r="O752" s="29">
        <v>4636</v>
      </c>
      <c r="Q752" s="27"/>
      <c r="R752" s="62"/>
      <c r="S752" s="29" t="s">
        <v>2561</v>
      </c>
    </row>
    <row r="753" spans="1:19" s="29" customFormat="1" x14ac:dyDescent="0.3">
      <c r="A753" s="27"/>
      <c r="B753" s="27"/>
      <c r="C753" s="98"/>
      <c r="D753" s="3" t="s">
        <v>1750</v>
      </c>
      <c r="F753" s="3"/>
      <c r="I753" s="108"/>
      <c r="M753" s="69">
        <f t="shared" si="22"/>
        <v>0</v>
      </c>
      <c r="N753" s="69">
        <f t="shared" si="23"/>
        <v>0</v>
      </c>
      <c r="O753" s="29">
        <v>6380</v>
      </c>
      <c r="Q753" s="27"/>
      <c r="R753" s="62"/>
      <c r="S753" s="29" t="s">
        <v>2562</v>
      </c>
    </row>
    <row r="754" spans="1:19" s="29" customFormat="1" x14ac:dyDescent="0.3">
      <c r="A754" s="27"/>
      <c r="B754" s="27"/>
      <c r="C754" s="98"/>
      <c r="D754" s="3" t="s">
        <v>2568</v>
      </c>
      <c r="F754" s="3"/>
      <c r="I754" s="108"/>
      <c r="M754" s="69">
        <f t="shared" si="22"/>
        <v>0</v>
      </c>
      <c r="N754" s="69">
        <f t="shared" si="23"/>
        <v>0</v>
      </c>
      <c r="O754" s="29">
        <v>11625</v>
      </c>
      <c r="Q754" s="27"/>
      <c r="R754" s="62"/>
      <c r="S754" s="29" t="s">
        <v>2569</v>
      </c>
    </row>
    <row r="755" spans="1:19" s="29" customFormat="1" ht="26.4" x14ac:dyDescent="0.3">
      <c r="A755" s="27"/>
      <c r="B755" s="27"/>
      <c r="C755" s="98"/>
      <c r="D755" s="25" t="s">
        <v>2571</v>
      </c>
      <c r="F755" s="3"/>
      <c r="I755" s="108"/>
      <c r="M755" s="69">
        <f t="shared" si="22"/>
        <v>0</v>
      </c>
      <c r="N755" s="69">
        <f t="shared" si="23"/>
        <v>0</v>
      </c>
      <c r="O755" s="88">
        <v>2560</v>
      </c>
      <c r="Q755" s="27"/>
      <c r="R755" s="62" t="s">
        <v>2570</v>
      </c>
    </row>
    <row r="756" spans="1:19" s="29" customFormat="1" x14ac:dyDescent="0.3">
      <c r="A756" s="27"/>
      <c r="B756" s="27"/>
      <c r="C756" s="98"/>
      <c r="D756" s="3" t="s">
        <v>2581</v>
      </c>
      <c r="F756" s="3"/>
      <c r="I756" s="108"/>
      <c r="M756" s="69">
        <f t="shared" si="22"/>
        <v>0</v>
      </c>
      <c r="N756" s="69">
        <f t="shared" si="23"/>
        <v>0</v>
      </c>
      <c r="O756" s="29">
        <v>14226</v>
      </c>
      <c r="Q756" s="27"/>
      <c r="R756" s="62"/>
      <c r="S756" s="29" t="s">
        <v>2582</v>
      </c>
    </row>
    <row r="757" spans="1:19" s="29" customFormat="1" x14ac:dyDescent="0.3">
      <c r="A757" s="27"/>
      <c r="B757" s="27"/>
      <c r="C757" s="98"/>
      <c r="D757" s="3" t="s">
        <v>2030</v>
      </c>
      <c r="F757" s="3"/>
      <c r="I757" s="108"/>
      <c r="M757" s="69">
        <f t="shared" si="22"/>
        <v>0</v>
      </c>
      <c r="N757" s="69">
        <f t="shared" si="23"/>
        <v>0</v>
      </c>
      <c r="O757" s="29">
        <v>4107</v>
      </c>
      <c r="Q757" s="27"/>
      <c r="R757" s="62"/>
      <c r="S757" s="29" t="s">
        <v>2583</v>
      </c>
    </row>
    <row r="758" spans="1:19" s="29" customFormat="1" ht="26.4" x14ac:dyDescent="0.3">
      <c r="A758" s="27"/>
      <c r="B758" s="27"/>
      <c r="C758" s="98"/>
      <c r="D758" s="125" t="s">
        <v>2613</v>
      </c>
      <c r="F758" s="3"/>
      <c r="I758" s="108"/>
      <c r="M758" s="69">
        <f t="shared" si="22"/>
        <v>0</v>
      </c>
      <c r="N758" s="69">
        <f t="shared" si="23"/>
        <v>0</v>
      </c>
      <c r="O758" s="88">
        <v>4025</v>
      </c>
      <c r="Q758" s="27"/>
      <c r="R758" s="62" t="s">
        <v>2570</v>
      </c>
    </row>
    <row r="759" spans="1:19" s="29" customFormat="1" ht="26.4" x14ac:dyDescent="0.3">
      <c r="A759" s="27"/>
      <c r="B759" s="27"/>
      <c r="C759" s="98"/>
      <c r="D759" s="125" t="s">
        <v>2614</v>
      </c>
      <c r="F759" s="3"/>
      <c r="I759" s="108"/>
      <c r="M759" s="69">
        <f t="shared" si="22"/>
        <v>0</v>
      </c>
      <c r="N759" s="69">
        <f t="shared" si="23"/>
        <v>0</v>
      </c>
      <c r="O759" s="88">
        <v>2750</v>
      </c>
      <c r="Q759" s="27"/>
      <c r="R759" s="62" t="s">
        <v>2570</v>
      </c>
    </row>
    <row r="760" spans="1:19" s="29" customFormat="1" x14ac:dyDescent="0.3">
      <c r="A760" s="27"/>
      <c r="B760" s="27"/>
      <c r="C760" s="98"/>
      <c r="D760" s="3" t="s">
        <v>2035</v>
      </c>
      <c r="F760" s="3"/>
      <c r="I760" s="108"/>
      <c r="M760" s="69">
        <f t="shared" si="22"/>
        <v>0</v>
      </c>
      <c r="N760" s="69">
        <f t="shared" si="23"/>
        <v>0</v>
      </c>
      <c r="O760" s="29">
        <v>3533</v>
      </c>
      <c r="Q760" s="27"/>
      <c r="R760" s="62"/>
      <c r="S760" s="29" t="s">
        <v>2617</v>
      </c>
    </row>
    <row r="761" spans="1:19" s="29" customFormat="1" x14ac:dyDescent="0.3">
      <c r="A761" s="27"/>
      <c r="B761" s="27"/>
      <c r="C761" s="98"/>
      <c r="D761" s="3" t="s">
        <v>2618</v>
      </c>
      <c r="F761" s="3"/>
      <c r="I761" s="108"/>
      <c r="M761" s="69">
        <f t="shared" si="22"/>
        <v>0</v>
      </c>
      <c r="N761" s="69">
        <f t="shared" si="23"/>
        <v>0</v>
      </c>
      <c r="O761" s="29">
        <v>10524</v>
      </c>
      <c r="Q761" s="27"/>
      <c r="R761" s="62"/>
      <c r="S761" s="29" t="s">
        <v>2619</v>
      </c>
    </row>
    <row r="762" spans="1:19" s="29" customFormat="1" x14ac:dyDescent="0.3">
      <c r="A762" s="27"/>
      <c r="B762" s="27"/>
      <c r="C762" s="98"/>
      <c r="D762" s="3" t="s">
        <v>2623</v>
      </c>
      <c r="F762" s="3"/>
      <c r="I762" s="108"/>
      <c r="M762" s="69">
        <f t="shared" si="22"/>
        <v>0</v>
      </c>
      <c r="N762" s="69">
        <f t="shared" si="23"/>
        <v>0</v>
      </c>
      <c r="O762" s="29">
        <v>30031</v>
      </c>
      <c r="Q762" s="27"/>
      <c r="R762" s="62"/>
      <c r="S762" s="29" t="s">
        <v>2624</v>
      </c>
    </row>
    <row r="763" spans="1:19" s="29" customFormat="1" ht="26.4" x14ac:dyDescent="0.3">
      <c r="A763" s="27"/>
      <c r="B763" s="27"/>
      <c r="C763" s="98"/>
      <c r="D763" s="125" t="s">
        <v>2625</v>
      </c>
      <c r="F763" s="3"/>
      <c r="I763" s="108"/>
      <c r="M763" s="69">
        <f t="shared" si="22"/>
        <v>0</v>
      </c>
      <c r="N763" s="69">
        <f t="shared" si="23"/>
        <v>0</v>
      </c>
      <c r="O763" s="88">
        <v>4000</v>
      </c>
      <c r="Q763" s="27"/>
      <c r="R763" s="62" t="s">
        <v>2626</v>
      </c>
    </row>
    <row r="764" spans="1:19" s="29" customFormat="1" x14ac:dyDescent="0.3">
      <c r="A764" s="27"/>
      <c r="B764" s="27"/>
      <c r="C764" s="98"/>
      <c r="D764" s="3" t="s">
        <v>2627</v>
      </c>
      <c r="F764" s="3"/>
      <c r="I764" s="108"/>
      <c r="M764" s="69">
        <f t="shared" si="22"/>
        <v>0</v>
      </c>
      <c r="N764" s="69">
        <f t="shared" si="23"/>
        <v>0</v>
      </c>
      <c r="O764" s="29">
        <v>1145</v>
      </c>
      <c r="Q764" s="27"/>
      <c r="R764" s="62"/>
      <c r="S764" s="29" t="s">
        <v>2641</v>
      </c>
    </row>
    <row r="765" spans="1:19" s="29" customFormat="1" x14ac:dyDescent="0.3">
      <c r="A765" s="27"/>
      <c r="B765" s="27"/>
      <c r="C765" s="98"/>
      <c r="D765" s="3" t="s">
        <v>2630</v>
      </c>
      <c r="F765" s="3"/>
      <c r="I765" s="108"/>
      <c r="M765" s="69">
        <f t="shared" si="22"/>
        <v>0</v>
      </c>
      <c r="N765" s="69">
        <f t="shared" si="23"/>
        <v>0</v>
      </c>
      <c r="O765" s="29">
        <v>26015</v>
      </c>
      <c r="Q765" s="27"/>
      <c r="R765" s="62"/>
      <c r="S765" s="29" t="s">
        <v>2631</v>
      </c>
    </row>
    <row r="766" spans="1:19" s="29" customFormat="1" x14ac:dyDescent="0.3">
      <c r="A766" s="27"/>
      <c r="B766" s="27"/>
      <c r="C766" s="98"/>
      <c r="D766" s="3" t="s">
        <v>2632</v>
      </c>
      <c r="F766" s="3"/>
      <c r="I766" s="108"/>
      <c r="M766" s="69">
        <f t="shared" si="22"/>
        <v>0</v>
      </c>
      <c r="N766" s="69">
        <f t="shared" si="23"/>
        <v>0</v>
      </c>
      <c r="O766" s="29">
        <v>22692</v>
      </c>
      <c r="Q766" s="27"/>
      <c r="R766" s="62"/>
      <c r="S766" s="29" t="s">
        <v>2635</v>
      </c>
    </row>
    <row r="767" spans="1:19" s="29" customFormat="1" ht="26.4" x14ac:dyDescent="0.3">
      <c r="A767" s="27"/>
      <c r="B767" s="27"/>
      <c r="C767" s="98"/>
      <c r="D767" s="3" t="s">
        <v>2634</v>
      </c>
      <c r="F767" s="3"/>
      <c r="I767" s="108"/>
      <c r="M767" s="69">
        <f t="shared" si="22"/>
        <v>0</v>
      </c>
      <c r="N767" s="69">
        <f t="shared" si="23"/>
        <v>0</v>
      </c>
      <c r="O767" s="88">
        <v>500</v>
      </c>
      <c r="Q767" s="27"/>
      <c r="R767" s="62" t="s">
        <v>2633</v>
      </c>
    </row>
    <row r="768" spans="1:19" s="29" customFormat="1" ht="26.4" x14ac:dyDescent="0.3">
      <c r="A768" s="27"/>
      <c r="B768" s="27"/>
      <c r="C768" s="98"/>
      <c r="D768" s="3" t="s">
        <v>2636</v>
      </c>
      <c r="F768" s="3"/>
      <c r="I768" s="108"/>
      <c r="M768" s="69">
        <f t="shared" si="22"/>
        <v>0</v>
      </c>
      <c r="N768" s="69">
        <f t="shared" si="23"/>
        <v>0</v>
      </c>
      <c r="O768" s="88">
        <v>500</v>
      </c>
      <c r="Q768" s="27"/>
      <c r="R768" s="62" t="s">
        <v>2633</v>
      </c>
    </row>
    <row r="769" spans="1:19" s="29" customFormat="1" x14ac:dyDescent="0.3">
      <c r="A769" s="27"/>
      <c r="B769" s="27"/>
      <c r="C769" s="98"/>
      <c r="D769" s="3" t="s">
        <v>2637</v>
      </c>
      <c r="F769" s="3"/>
      <c r="I769" s="108"/>
      <c r="M769" s="69">
        <f t="shared" si="22"/>
        <v>0</v>
      </c>
      <c r="N769" s="69">
        <f t="shared" si="23"/>
        <v>0</v>
      </c>
      <c r="O769" s="29">
        <v>13008</v>
      </c>
      <c r="Q769" s="27"/>
      <c r="R769" s="62"/>
      <c r="S769" s="29" t="s">
        <v>2639</v>
      </c>
    </row>
    <row r="770" spans="1:19" s="29" customFormat="1" x14ac:dyDescent="0.3">
      <c r="A770" s="27"/>
      <c r="B770" s="27"/>
      <c r="C770" s="98"/>
      <c r="D770" s="3" t="s">
        <v>2638</v>
      </c>
      <c r="F770" s="3"/>
      <c r="I770" s="108"/>
      <c r="M770" s="69">
        <f t="shared" si="22"/>
        <v>0</v>
      </c>
      <c r="N770" s="69">
        <f t="shared" si="23"/>
        <v>0</v>
      </c>
      <c r="O770" s="29">
        <v>11346</v>
      </c>
      <c r="Q770" s="27"/>
      <c r="R770" s="62"/>
      <c r="S770" s="29" t="s">
        <v>2640</v>
      </c>
    </row>
    <row r="771" spans="1:19" s="29" customFormat="1" x14ac:dyDescent="0.3">
      <c r="A771" s="27"/>
      <c r="B771" s="27"/>
      <c r="C771" s="98"/>
      <c r="D771" s="3"/>
      <c r="F771" s="3"/>
      <c r="I771" s="108"/>
      <c r="M771" s="69">
        <f t="shared" ref="M771:M834" si="24">SUM(J771:L771)</f>
        <v>0</v>
      </c>
      <c r="N771" s="69">
        <f t="shared" ref="N771:N834" si="25">I771-M771</f>
        <v>0</v>
      </c>
      <c r="O771" s="108">
        <f>SUM(O750:O769)</f>
        <v>182140</v>
      </c>
      <c r="Q771" s="27"/>
      <c r="R771" s="62"/>
    </row>
    <row r="772" spans="1:19" s="29" customFormat="1" x14ac:dyDescent="0.3">
      <c r="A772" s="27"/>
      <c r="B772" s="27"/>
      <c r="C772" s="98"/>
      <c r="D772" s="3"/>
      <c r="F772" s="3"/>
      <c r="I772" s="108"/>
      <c r="M772" s="69">
        <f t="shared" si="24"/>
        <v>0</v>
      </c>
      <c r="N772" s="69">
        <f t="shared" si="25"/>
        <v>0</v>
      </c>
      <c r="O772" s="108"/>
      <c r="Q772" s="27"/>
      <c r="R772" s="62"/>
    </row>
    <row r="773" spans="1:19" s="29" customFormat="1" ht="26.4" x14ac:dyDescent="0.3">
      <c r="A773" s="27">
        <v>45203</v>
      </c>
      <c r="B773" s="15" t="str">
        <f>TEXT(A773,"mmmm")</f>
        <v>October</v>
      </c>
      <c r="C773" s="98" t="s">
        <v>2573</v>
      </c>
      <c r="D773" s="3" t="s">
        <v>2574</v>
      </c>
      <c r="F773" s="3" t="s">
        <v>60</v>
      </c>
      <c r="G773" s="29" t="s">
        <v>26</v>
      </c>
      <c r="H773" s="29" t="s">
        <v>10</v>
      </c>
      <c r="I773" s="108">
        <v>19274</v>
      </c>
      <c r="J773" s="29">
        <f>P773*9%</f>
        <v>63</v>
      </c>
      <c r="K773" s="29">
        <f>J773</f>
        <v>63</v>
      </c>
      <c r="M773" s="69">
        <f t="shared" si="24"/>
        <v>126</v>
      </c>
      <c r="N773" s="69">
        <f t="shared" si="25"/>
        <v>19148</v>
      </c>
      <c r="O773" s="29">
        <v>11014</v>
      </c>
      <c r="P773" s="29">
        <v>700</v>
      </c>
      <c r="Q773" s="97">
        <v>45204</v>
      </c>
      <c r="R773" s="63" t="s">
        <v>2642</v>
      </c>
      <c r="S773" s="29" t="s">
        <v>2580</v>
      </c>
    </row>
    <row r="774" spans="1:19" s="29" customFormat="1" ht="26.4" x14ac:dyDescent="0.3">
      <c r="A774" s="27"/>
      <c r="B774" s="27"/>
      <c r="C774" s="98"/>
      <c r="D774" s="3"/>
      <c r="F774" s="3"/>
      <c r="I774" s="108"/>
      <c r="M774" s="69">
        <f t="shared" si="24"/>
        <v>0</v>
      </c>
      <c r="N774" s="69">
        <f t="shared" si="25"/>
        <v>0</v>
      </c>
      <c r="O774" s="29">
        <v>7434</v>
      </c>
      <c r="Q774" s="27"/>
      <c r="R774" s="62" t="s">
        <v>2578</v>
      </c>
      <c r="S774" s="29" t="s">
        <v>2579</v>
      </c>
    </row>
    <row r="775" spans="1:19" s="29" customFormat="1" x14ac:dyDescent="0.3">
      <c r="A775" s="27"/>
      <c r="B775" s="27"/>
      <c r="C775" s="98"/>
      <c r="D775" s="3"/>
      <c r="F775" s="3"/>
      <c r="I775" s="108"/>
      <c r="M775" s="69">
        <f t="shared" si="24"/>
        <v>0</v>
      </c>
      <c r="N775" s="69">
        <f t="shared" si="25"/>
        <v>0</v>
      </c>
      <c r="O775" s="108">
        <f>SUM(O773:O774)</f>
        <v>18448</v>
      </c>
      <c r="Q775" s="27"/>
      <c r="R775" s="62"/>
    </row>
    <row r="776" spans="1:19" s="29" customFormat="1" x14ac:dyDescent="0.3">
      <c r="A776" s="27"/>
      <c r="B776" s="27"/>
      <c r="C776" s="98"/>
      <c r="D776" s="3"/>
      <c r="F776" s="3"/>
      <c r="I776" s="108"/>
      <c r="M776" s="69">
        <f t="shared" si="24"/>
        <v>0</v>
      </c>
      <c r="N776" s="69">
        <f t="shared" si="25"/>
        <v>0</v>
      </c>
      <c r="O776" s="108"/>
      <c r="Q776" s="27"/>
      <c r="R776" s="62"/>
    </row>
    <row r="777" spans="1:19" s="29" customFormat="1" ht="26.4" x14ac:dyDescent="0.3">
      <c r="A777" s="27">
        <v>45203</v>
      </c>
      <c r="B777" s="15" t="str">
        <f>TEXT(A777,"mmmm")</f>
        <v>October</v>
      </c>
      <c r="C777" s="98" t="s">
        <v>2575</v>
      </c>
      <c r="D777" s="3" t="s">
        <v>2645</v>
      </c>
      <c r="F777" s="3" t="s">
        <v>2644</v>
      </c>
      <c r="G777" s="29" t="s">
        <v>26</v>
      </c>
      <c r="H777" s="29" t="s">
        <v>10</v>
      </c>
      <c r="I777" s="108">
        <v>19274</v>
      </c>
      <c r="J777" s="29">
        <f>P777*9%</f>
        <v>63</v>
      </c>
      <c r="K777" s="29">
        <f>J777</f>
        <v>63</v>
      </c>
      <c r="M777" s="69">
        <f t="shared" si="24"/>
        <v>126</v>
      </c>
      <c r="N777" s="69">
        <f t="shared" si="25"/>
        <v>19148</v>
      </c>
      <c r="O777" s="29">
        <v>11014</v>
      </c>
      <c r="P777" s="29">
        <v>700</v>
      </c>
      <c r="Q777" s="27">
        <v>45209</v>
      </c>
      <c r="R777" s="63" t="s">
        <v>2642</v>
      </c>
      <c r="S777" s="29" t="s">
        <v>2580</v>
      </c>
    </row>
    <row r="778" spans="1:19" s="29" customFormat="1" ht="26.4" x14ac:dyDescent="0.3">
      <c r="A778" s="27"/>
      <c r="B778" s="27"/>
      <c r="C778" s="98"/>
      <c r="D778" s="3"/>
      <c r="F778" s="3"/>
      <c r="I778" s="108"/>
      <c r="M778" s="69">
        <f t="shared" si="24"/>
        <v>0</v>
      </c>
      <c r="N778" s="69">
        <f t="shared" si="25"/>
        <v>0</v>
      </c>
      <c r="O778" s="29">
        <v>7434</v>
      </c>
      <c r="Q778" s="27"/>
      <c r="R778" s="62" t="s">
        <v>2578</v>
      </c>
      <c r="S778" s="29" t="s">
        <v>2579</v>
      </c>
    </row>
    <row r="779" spans="1:19" s="29" customFormat="1" x14ac:dyDescent="0.3">
      <c r="A779" s="27"/>
      <c r="B779" s="27"/>
      <c r="C779" s="98"/>
      <c r="D779" s="3"/>
      <c r="F779" s="3"/>
      <c r="I779" s="108"/>
      <c r="M779" s="69">
        <f t="shared" si="24"/>
        <v>0</v>
      </c>
      <c r="N779" s="69">
        <f t="shared" si="25"/>
        <v>0</v>
      </c>
      <c r="O779" s="108">
        <f>SUM(O777:O778)</f>
        <v>18448</v>
      </c>
      <c r="Q779" s="27"/>
      <c r="R779" s="62"/>
    </row>
    <row r="780" spans="1:19" s="29" customFormat="1" x14ac:dyDescent="0.3">
      <c r="A780" s="27"/>
      <c r="B780" s="27"/>
      <c r="C780" s="98"/>
      <c r="D780" s="3"/>
      <c r="F780" s="3"/>
      <c r="I780" s="108"/>
      <c r="M780" s="69">
        <f t="shared" si="24"/>
        <v>0</v>
      </c>
      <c r="N780" s="69">
        <f t="shared" si="25"/>
        <v>0</v>
      </c>
      <c r="O780" s="108"/>
      <c r="Q780" s="27"/>
      <c r="R780" s="62"/>
    </row>
    <row r="781" spans="1:19" s="29" customFormat="1" ht="26.4" x14ac:dyDescent="0.3">
      <c r="A781" s="27">
        <v>45203</v>
      </c>
      <c r="B781" s="15" t="str">
        <f>TEXT(A781,"mmmm")</f>
        <v>October</v>
      </c>
      <c r="C781" s="98" t="s">
        <v>2576</v>
      </c>
      <c r="D781" s="3" t="s">
        <v>2577</v>
      </c>
      <c r="F781" s="3"/>
      <c r="G781" s="29" t="s">
        <v>26</v>
      </c>
      <c r="H781" s="29" t="s">
        <v>10</v>
      </c>
      <c r="I781" s="108">
        <v>19120</v>
      </c>
      <c r="J781" s="29">
        <f>P781*9%</f>
        <v>36</v>
      </c>
      <c r="K781" s="29">
        <f>J781</f>
        <v>36</v>
      </c>
      <c r="M781" s="69">
        <f t="shared" si="24"/>
        <v>72</v>
      </c>
      <c r="N781" s="69">
        <f t="shared" si="25"/>
        <v>19048</v>
      </c>
      <c r="O781" s="29">
        <v>11014</v>
      </c>
      <c r="P781" s="29">
        <v>400</v>
      </c>
      <c r="Q781" s="27">
        <v>45215</v>
      </c>
      <c r="R781" s="63" t="s">
        <v>2642</v>
      </c>
      <c r="S781" s="29" t="s">
        <v>2580</v>
      </c>
    </row>
    <row r="782" spans="1:19" s="29" customFormat="1" ht="26.4" x14ac:dyDescent="0.3">
      <c r="A782" s="27"/>
      <c r="B782" s="27"/>
      <c r="C782" s="98"/>
      <c r="D782" s="3"/>
      <c r="F782" s="3"/>
      <c r="I782" s="108"/>
      <c r="M782" s="69">
        <f t="shared" si="24"/>
        <v>0</v>
      </c>
      <c r="N782" s="69">
        <f t="shared" si="25"/>
        <v>0</v>
      </c>
      <c r="O782" s="29">
        <v>7434</v>
      </c>
      <c r="Q782" s="27" t="s">
        <v>191</v>
      </c>
      <c r="R782" s="62" t="s">
        <v>2578</v>
      </c>
      <c r="S782" s="29" t="s">
        <v>2579</v>
      </c>
    </row>
    <row r="783" spans="1:19" s="29" customFormat="1" x14ac:dyDescent="0.3">
      <c r="A783" s="27"/>
      <c r="B783" s="27"/>
      <c r="C783" s="98"/>
      <c r="D783" s="3"/>
      <c r="F783" s="3"/>
      <c r="I783" s="108"/>
      <c r="M783" s="69">
        <f t="shared" si="24"/>
        <v>0</v>
      </c>
      <c r="N783" s="69">
        <f t="shared" si="25"/>
        <v>0</v>
      </c>
      <c r="O783" s="29">
        <v>200</v>
      </c>
      <c r="Q783" s="27"/>
      <c r="R783" s="62"/>
      <c r="S783" s="29" t="s">
        <v>2631</v>
      </c>
    </row>
    <row r="784" spans="1:19" s="29" customFormat="1" x14ac:dyDescent="0.3">
      <c r="A784" s="27"/>
      <c r="B784" s="27"/>
      <c r="C784" s="98"/>
      <c r="D784" s="3"/>
      <c r="F784" s="3"/>
      <c r="I784" s="108"/>
      <c r="M784" s="69">
        <f t="shared" si="24"/>
        <v>0</v>
      </c>
      <c r="N784" s="69">
        <f t="shared" si="25"/>
        <v>0</v>
      </c>
      <c r="O784" s="108">
        <f>SUM(O781:O783)</f>
        <v>18648</v>
      </c>
      <c r="Q784" s="27"/>
      <c r="R784" s="62"/>
    </row>
    <row r="785" spans="1:20" s="29" customFormat="1" x14ac:dyDescent="0.3">
      <c r="A785" s="27"/>
      <c r="B785" s="27"/>
      <c r="C785" s="98"/>
      <c r="D785" s="3"/>
      <c r="F785" s="3"/>
      <c r="I785" s="108"/>
      <c r="M785" s="69">
        <f t="shared" si="24"/>
        <v>0</v>
      </c>
      <c r="N785" s="69">
        <f t="shared" si="25"/>
        <v>0</v>
      </c>
      <c r="O785" s="108"/>
      <c r="Q785" s="27"/>
      <c r="R785" s="62"/>
    </row>
    <row r="786" spans="1:20" s="29" customFormat="1" x14ac:dyDescent="0.3">
      <c r="A786" s="27">
        <v>45203</v>
      </c>
      <c r="B786" s="15" t="str">
        <f>TEXT(A786,"mmmm")</f>
        <v>October</v>
      </c>
      <c r="C786" s="98" t="s">
        <v>2584</v>
      </c>
      <c r="D786" s="3" t="s">
        <v>2585</v>
      </c>
      <c r="F786" s="3" t="s">
        <v>54</v>
      </c>
      <c r="G786" s="29" t="s">
        <v>547</v>
      </c>
      <c r="H786" s="29" t="s">
        <v>1134</v>
      </c>
      <c r="I786" s="108">
        <v>82414</v>
      </c>
      <c r="J786" s="135">
        <v>1963</v>
      </c>
      <c r="K786" s="29">
        <f>J786</f>
        <v>1963</v>
      </c>
      <c r="M786" s="69">
        <f t="shared" si="24"/>
        <v>3926</v>
      </c>
      <c r="N786" s="69">
        <f t="shared" si="25"/>
        <v>78488</v>
      </c>
      <c r="O786" s="108"/>
      <c r="P786" s="29">
        <f>1250*13</f>
        <v>16250</v>
      </c>
      <c r="Q786" s="62" t="s">
        <v>2647</v>
      </c>
      <c r="R786" s="63">
        <v>45204</v>
      </c>
    </row>
    <row r="787" spans="1:20" s="29" customFormat="1" x14ac:dyDescent="0.3">
      <c r="A787" s="27"/>
      <c r="B787" s="27"/>
      <c r="C787" s="98"/>
      <c r="D787" s="25" t="s">
        <v>2600</v>
      </c>
      <c r="F787" s="3"/>
      <c r="I787" s="108"/>
      <c r="M787" s="69">
        <f t="shared" si="24"/>
        <v>0</v>
      </c>
      <c r="N787" s="69">
        <f t="shared" si="25"/>
        <v>0</v>
      </c>
      <c r="O787" s="134">
        <v>4536</v>
      </c>
      <c r="P787" s="127"/>
      <c r="Q787" s="27"/>
      <c r="R787" s="62"/>
      <c r="S787" s="134" t="s">
        <v>2586</v>
      </c>
      <c r="T787" s="127"/>
    </row>
    <row r="788" spans="1:20" s="29" customFormat="1" x14ac:dyDescent="0.3">
      <c r="A788" s="27"/>
      <c r="B788" s="27"/>
      <c r="C788" s="98"/>
      <c r="D788" s="25" t="s">
        <v>2601</v>
      </c>
      <c r="F788" s="3"/>
      <c r="I788" s="108"/>
      <c r="M788" s="69">
        <f t="shared" si="24"/>
        <v>0</v>
      </c>
      <c r="N788" s="69">
        <f t="shared" si="25"/>
        <v>0</v>
      </c>
      <c r="O788" s="134">
        <v>4195</v>
      </c>
      <c r="P788" s="127"/>
      <c r="Q788" s="27"/>
      <c r="R788" s="62"/>
      <c r="S788" s="134" t="s">
        <v>2587</v>
      </c>
      <c r="T788" s="127"/>
    </row>
    <row r="789" spans="1:20" s="29" customFormat="1" x14ac:dyDescent="0.3">
      <c r="A789" s="27"/>
      <c r="B789" s="27"/>
      <c r="C789" s="98"/>
      <c r="D789" s="25" t="s">
        <v>2602</v>
      </c>
      <c r="F789" s="3"/>
      <c r="I789" s="108"/>
      <c r="M789" s="69">
        <f t="shared" si="24"/>
        <v>0</v>
      </c>
      <c r="N789" s="69">
        <f t="shared" si="25"/>
        <v>0</v>
      </c>
      <c r="O789" s="134">
        <v>5047</v>
      </c>
      <c r="P789" s="127"/>
      <c r="Q789" s="27"/>
      <c r="R789" s="62"/>
      <c r="S789" s="134" t="s">
        <v>2588</v>
      </c>
      <c r="T789" s="127"/>
    </row>
    <row r="790" spans="1:20" s="29" customFormat="1" x14ac:dyDescent="0.3">
      <c r="A790" s="27"/>
      <c r="B790" s="27"/>
      <c r="C790" s="98"/>
      <c r="D790" s="25" t="s">
        <v>2603</v>
      </c>
      <c r="F790" s="3"/>
      <c r="I790" s="108"/>
      <c r="M790" s="69">
        <f t="shared" si="24"/>
        <v>0</v>
      </c>
      <c r="N790" s="69">
        <f t="shared" si="25"/>
        <v>0</v>
      </c>
      <c r="O790" s="134">
        <v>6321</v>
      </c>
      <c r="P790" s="127"/>
      <c r="Q790" s="27"/>
      <c r="R790" s="62"/>
      <c r="S790" s="134" t="s">
        <v>2589</v>
      </c>
      <c r="T790" s="127"/>
    </row>
    <row r="791" spans="1:20" s="29" customFormat="1" x14ac:dyDescent="0.3">
      <c r="A791" s="27"/>
      <c r="B791" s="27"/>
      <c r="C791" s="98"/>
      <c r="D791" s="3" t="s">
        <v>2599</v>
      </c>
      <c r="F791" s="3"/>
      <c r="I791" s="108"/>
      <c r="M791" s="69">
        <f t="shared" si="24"/>
        <v>0</v>
      </c>
      <c r="N791" s="69">
        <f t="shared" si="25"/>
        <v>0</v>
      </c>
      <c r="O791" s="134">
        <v>6636</v>
      </c>
      <c r="P791" s="127"/>
      <c r="Q791" s="27"/>
      <c r="R791" s="62"/>
      <c r="S791" s="134" t="s">
        <v>2590</v>
      </c>
      <c r="T791" s="127"/>
    </row>
    <row r="792" spans="1:20" s="29" customFormat="1" x14ac:dyDescent="0.3">
      <c r="A792" s="27"/>
      <c r="B792" s="27"/>
      <c r="C792" s="98"/>
      <c r="D792" s="25" t="s">
        <v>2604</v>
      </c>
      <c r="F792" s="3"/>
      <c r="I792" s="108"/>
      <c r="M792" s="69">
        <f t="shared" si="24"/>
        <v>0</v>
      </c>
      <c r="N792" s="69">
        <f t="shared" si="25"/>
        <v>0</v>
      </c>
      <c r="O792" s="134">
        <v>4867</v>
      </c>
      <c r="P792" s="127"/>
      <c r="Q792" s="27"/>
      <c r="R792" s="62"/>
      <c r="S792" s="134" t="s">
        <v>2591</v>
      </c>
      <c r="T792" s="127"/>
    </row>
    <row r="793" spans="1:20" s="29" customFormat="1" x14ac:dyDescent="0.3">
      <c r="A793" s="27"/>
      <c r="B793" s="27"/>
      <c r="C793" s="98"/>
      <c r="D793" s="3" t="s">
        <v>2605</v>
      </c>
      <c r="F793" s="3"/>
      <c r="I793" s="108"/>
      <c r="M793" s="69">
        <f t="shared" si="24"/>
        <v>0</v>
      </c>
      <c r="N793" s="69">
        <f t="shared" si="25"/>
        <v>0</v>
      </c>
      <c r="O793" s="134">
        <v>4473</v>
      </c>
      <c r="P793" s="127"/>
      <c r="Q793" s="27"/>
      <c r="R793" s="62"/>
      <c r="S793" s="134" t="s">
        <v>2592</v>
      </c>
      <c r="T793" s="127"/>
    </row>
    <row r="794" spans="1:20" s="29" customFormat="1" x14ac:dyDescent="0.3">
      <c r="A794" s="27"/>
      <c r="B794" s="27"/>
      <c r="C794" s="98"/>
      <c r="D794" s="3" t="s">
        <v>2606</v>
      </c>
      <c r="F794" s="3"/>
      <c r="I794" s="108"/>
      <c r="M794" s="69">
        <f t="shared" si="24"/>
        <v>0</v>
      </c>
      <c r="N794" s="69">
        <f t="shared" si="25"/>
        <v>0</v>
      </c>
      <c r="O794" s="134">
        <v>6011</v>
      </c>
      <c r="P794" s="127"/>
      <c r="Q794" s="27"/>
      <c r="R794" s="62"/>
      <c r="S794" s="134" t="s">
        <v>2593</v>
      </c>
      <c r="T794" s="127"/>
    </row>
    <row r="795" spans="1:20" s="29" customFormat="1" x14ac:dyDescent="0.3">
      <c r="A795" s="27"/>
      <c r="B795" s="27"/>
      <c r="C795" s="98"/>
      <c r="D795" s="3" t="s">
        <v>2607</v>
      </c>
      <c r="F795" s="3"/>
      <c r="I795" s="108"/>
      <c r="M795" s="69">
        <f t="shared" si="24"/>
        <v>0</v>
      </c>
      <c r="N795" s="69">
        <f t="shared" si="25"/>
        <v>0</v>
      </c>
      <c r="O795" s="134">
        <v>3686</v>
      </c>
      <c r="P795" s="127"/>
      <c r="Q795" s="27"/>
      <c r="R795" s="62"/>
      <c r="S795" s="134" t="s">
        <v>2594</v>
      </c>
      <c r="T795" s="127"/>
    </row>
    <row r="796" spans="1:20" s="29" customFormat="1" x14ac:dyDescent="0.3">
      <c r="A796" s="27"/>
      <c r="B796" s="27"/>
      <c r="C796" s="98"/>
      <c r="D796" s="3" t="s">
        <v>2608</v>
      </c>
      <c r="F796" s="3"/>
      <c r="I796" s="108"/>
      <c r="M796" s="69">
        <f t="shared" si="24"/>
        <v>0</v>
      </c>
      <c r="N796" s="69">
        <f t="shared" si="25"/>
        <v>0</v>
      </c>
      <c r="O796" s="134">
        <v>3502</v>
      </c>
      <c r="P796" s="127"/>
      <c r="Q796" s="27"/>
      <c r="R796" s="62"/>
      <c r="S796" s="134" t="s">
        <v>2595</v>
      </c>
      <c r="T796" s="127"/>
    </row>
    <row r="797" spans="1:20" s="29" customFormat="1" x14ac:dyDescent="0.3">
      <c r="A797" s="27"/>
      <c r="B797" s="27"/>
      <c r="C797" s="98"/>
      <c r="D797" s="3" t="s">
        <v>2609</v>
      </c>
      <c r="F797" s="3"/>
      <c r="I797" s="108"/>
      <c r="M797" s="69">
        <f t="shared" si="24"/>
        <v>0</v>
      </c>
      <c r="N797" s="69">
        <f t="shared" si="25"/>
        <v>0</v>
      </c>
      <c r="O797" s="134">
        <v>5619</v>
      </c>
      <c r="P797" s="127"/>
      <c r="Q797" s="27"/>
      <c r="R797" s="62"/>
      <c r="S797" s="134" t="s">
        <v>2596</v>
      </c>
      <c r="T797" s="127"/>
    </row>
    <row r="798" spans="1:20" s="29" customFormat="1" x14ac:dyDescent="0.3">
      <c r="A798" s="27"/>
      <c r="B798" s="27"/>
      <c r="C798" s="98"/>
      <c r="D798" s="3" t="s">
        <v>2610</v>
      </c>
      <c r="F798" s="3"/>
      <c r="I798" s="108"/>
      <c r="M798" s="69">
        <f t="shared" si="24"/>
        <v>0</v>
      </c>
      <c r="N798" s="69">
        <f t="shared" si="25"/>
        <v>0</v>
      </c>
      <c r="O798" s="134">
        <v>4129</v>
      </c>
      <c r="P798" s="127"/>
      <c r="Q798" s="27"/>
      <c r="R798" s="62"/>
      <c r="S798" s="134" t="s">
        <v>2597</v>
      </c>
      <c r="T798" s="127"/>
    </row>
    <row r="799" spans="1:20" s="29" customFormat="1" x14ac:dyDescent="0.3">
      <c r="A799" s="27"/>
      <c r="B799" s="27"/>
      <c r="C799" s="98"/>
      <c r="D799" s="3" t="s">
        <v>2611</v>
      </c>
      <c r="F799" s="3"/>
      <c r="I799" s="108"/>
      <c r="M799" s="69">
        <f t="shared" si="24"/>
        <v>0</v>
      </c>
      <c r="N799" s="69">
        <f t="shared" si="25"/>
        <v>0</v>
      </c>
      <c r="O799" s="134">
        <v>3216</v>
      </c>
      <c r="P799" s="127"/>
      <c r="Q799" s="27"/>
      <c r="R799" s="62"/>
      <c r="S799" s="134" t="s">
        <v>2598</v>
      </c>
      <c r="T799" s="127"/>
    </row>
    <row r="800" spans="1:20" s="29" customFormat="1" x14ac:dyDescent="0.3">
      <c r="A800" s="128"/>
      <c r="B800" s="128"/>
      <c r="C800" s="129"/>
      <c r="D800" s="130"/>
      <c r="E800" s="131"/>
      <c r="F800" s="130"/>
      <c r="G800" s="131"/>
      <c r="H800" s="131"/>
      <c r="I800" s="132"/>
      <c r="J800" s="131"/>
      <c r="K800" s="131"/>
      <c r="L800" s="131"/>
      <c r="M800" s="69">
        <f t="shared" si="24"/>
        <v>0</v>
      </c>
      <c r="N800" s="69">
        <f t="shared" si="25"/>
        <v>0</v>
      </c>
      <c r="O800" s="132">
        <f>SUM(O787:O799)</f>
        <v>62238</v>
      </c>
      <c r="P800" s="131"/>
      <c r="Q800" s="128"/>
      <c r="R800" s="133"/>
      <c r="S800" s="131"/>
    </row>
    <row r="801" spans="1:19" s="29" customFormat="1" x14ac:dyDescent="0.3">
      <c r="A801" s="27"/>
      <c r="B801" s="27"/>
      <c r="C801" s="98"/>
      <c r="D801" s="3"/>
      <c r="F801" s="3"/>
      <c r="I801" s="108"/>
      <c r="M801" s="69">
        <f t="shared" si="24"/>
        <v>0</v>
      </c>
      <c r="N801" s="69">
        <f t="shared" si="25"/>
        <v>0</v>
      </c>
      <c r="O801" s="108"/>
      <c r="Q801" s="27"/>
      <c r="R801" s="62"/>
    </row>
    <row r="802" spans="1:19" s="29" customFormat="1" x14ac:dyDescent="0.3">
      <c r="A802" s="27">
        <v>45204</v>
      </c>
      <c r="B802" s="15" t="str">
        <f>TEXT(A802,"mmmm")</f>
        <v>October</v>
      </c>
      <c r="C802" s="98" t="s">
        <v>2615</v>
      </c>
      <c r="D802" s="3" t="s">
        <v>19</v>
      </c>
      <c r="E802" s="29">
        <v>1</v>
      </c>
      <c r="F802" s="3"/>
      <c r="G802" s="29" t="s">
        <v>26</v>
      </c>
      <c r="H802" s="29" t="s">
        <v>10</v>
      </c>
      <c r="I802" s="108">
        <v>57891</v>
      </c>
      <c r="J802" s="29">
        <f>P802*9%</f>
        <v>90</v>
      </c>
      <c r="K802" s="29">
        <f>J802</f>
        <v>90</v>
      </c>
      <c r="M802" s="69">
        <f t="shared" si="24"/>
        <v>180</v>
      </c>
      <c r="N802" s="69">
        <f t="shared" si="25"/>
        <v>57711</v>
      </c>
      <c r="O802" s="108">
        <v>56711</v>
      </c>
      <c r="P802" s="29">
        <v>1000</v>
      </c>
      <c r="Q802" s="27">
        <v>45210</v>
      </c>
      <c r="R802" s="63" t="s">
        <v>2643</v>
      </c>
      <c r="S802" s="29" t="s">
        <v>2616</v>
      </c>
    </row>
    <row r="803" spans="1:19" s="29" customFormat="1" x14ac:dyDescent="0.3">
      <c r="A803" s="27"/>
      <c r="B803" s="27"/>
      <c r="C803" s="98"/>
      <c r="D803" s="3"/>
      <c r="F803" s="3"/>
      <c r="I803" s="108"/>
      <c r="M803" s="69">
        <f t="shared" si="24"/>
        <v>0</v>
      </c>
      <c r="N803" s="69">
        <f t="shared" si="25"/>
        <v>0</v>
      </c>
      <c r="O803" s="108"/>
      <c r="Q803" s="27"/>
      <c r="R803" s="62"/>
    </row>
    <row r="804" spans="1:19" s="29" customFormat="1" x14ac:dyDescent="0.3">
      <c r="A804" s="27">
        <v>45214</v>
      </c>
      <c r="B804" s="15" t="str">
        <f>TEXT(A804,"mmmm")</f>
        <v>October</v>
      </c>
      <c r="C804" s="98" t="s">
        <v>2649</v>
      </c>
      <c r="D804" s="3" t="s">
        <v>2650</v>
      </c>
      <c r="F804" s="3" t="s">
        <v>54</v>
      </c>
      <c r="G804" s="29" t="s">
        <v>26</v>
      </c>
      <c r="H804" s="29" t="s">
        <v>10</v>
      </c>
      <c r="I804" s="108">
        <v>501252</v>
      </c>
      <c r="J804" s="29">
        <v>2956.5</v>
      </c>
      <c r="K804" s="29">
        <f>J804</f>
        <v>2956.5</v>
      </c>
      <c r="M804" s="69">
        <f t="shared" si="24"/>
        <v>5913</v>
      </c>
      <c r="N804" s="69">
        <f t="shared" si="25"/>
        <v>495339</v>
      </c>
      <c r="O804" s="71">
        <v>9921</v>
      </c>
      <c r="P804" s="29">
        <f>350*51+1000*12+3000</f>
        <v>32850</v>
      </c>
      <c r="Q804" s="62" t="s">
        <v>2840</v>
      </c>
      <c r="R804" s="136" t="s">
        <v>2653</v>
      </c>
      <c r="S804" s="29" t="s">
        <v>2651</v>
      </c>
    </row>
    <row r="805" spans="1:19" s="29" customFormat="1" ht="39.6" x14ac:dyDescent="0.3">
      <c r="A805" s="27"/>
      <c r="B805" s="27"/>
      <c r="C805" s="98"/>
      <c r="D805" s="3" t="s">
        <v>1524</v>
      </c>
      <c r="F805" s="3"/>
      <c r="I805" s="108"/>
      <c r="M805" s="69">
        <f t="shared" si="24"/>
        <v>0</v>
      </c>
      <c r="N805" s="69">
        <f t="shared" si="25"/>
        <v>0</v>
      </c>
      <c r="O805" s="71">
        <v>5861</v>
      </c>
      <c r="P805" s="29">
        <f>P804*9%</f>
        <v>2956.5</v>
      </c>
      <c r="Q805" s="47" t="s">
        <v>3133</v>
      </c>
      <c r="R805" s="62" t="s">
        <v>2754</v>
      </c>
      <c r="S805" s="29" t="s">
        <v>2652</v>
      </c>
    </row>
    <row r="806" spans="1:19" s="29" customFormat="1" x14ac:dyDescent="0.3">
      <c r="A806" s="27"/>
      <c r="B806" s="27"/>
      <c r="C806" s="98"/>
      <c r="D806" s="3" t="s">
        <v>2661</v>
      </c>
      <c r="F806" s="3"/>
      <c r="I806" s="108"/>
      <c r="M806" s="69">
        <f t="shared" si="24"/>
        <v>0</v>
      </c>
      <c r="N806" s="69">
        <f t="shared" si="25"/>
        <v>0</v>
      </c>
      <c r="O806" s="29">
        <v>6974</v>
      </c>
      <c r="P806" s="29">
        <f>P805*2</f>
        <v>5913</v>
      </c>
      <c r="Q806" s="27"/>
      <c r="R806" s="62" t="s">
        <v>2755</v>
      </c>
      <c r="S806" s="29" t="s">
        <v>2662</v>
      </c>
    </row>
    <row r="807" spans="1:19" s="29" customFormat="1" x14ac:dyDescent="0.3">
      <c r="A807" s="27"/>
      <c r="B807" s="27"/>
      <c r="C807" s="98"/>
      <c r="D807" s="3" t="s">
        <v>1524</v>
      </c>
      <c r="F807" s="3"/>
      <c r="I807" s="108"/>
      <c r="M807" s="69">
        <f t="shared" si="24"/>
        <v>0</v>
      </c>
      <c r="N807" s="69">
        <f t="shared" si="25"/>
        <v>0</v>
      </c>
      <c r="O807" s="29">
        <v>4968</v>
      </c>
      <c r="P807" s="29">
        <f>P806-2777</f>
        <v>3136</v>
      </c>
      <c r="Q807" s="27"/>
      <c r="R807" s="62"/>
      <c r="S807" s="29" t="s">
        <v>2663</v>
      </c>
    </row>
    <row r="808" spans="1:19" s="29" customFormat="1" ht="26.4" x14ac:dyDescent="0.3">
      <c r="A808" s="27"/>
      <c r="B808" s="27"/>
      <c r="C808" s="98"/>
      <c r="D808" s="125" t="s">
        <v>2664</v>
      </c>
      <c r="F808" s="3"/>
      <c r="I808" s="108"/>
      <c r="M808" s="69">
        <f t="shared" si="24"/>
        <v>0</v>
      </c>
      <c r="N808" s="69">
        <f t="shared" si="25"/>
        <v>0</v>
      </c>
      <c r="O808" s="88">
        <v>4025</v>
      </c>
      <c r="P808" s="29">
        <f>P807-2777</f>
        <v>359</v>
      </c>
      <c r="Q808" s="27"/>
      <c r="R808" s="62" t="s">
        <v>2665</v>
      </c>
    </row>
    <row r="809" spans="1:19" s="29" customFormat="1" x14ac:dyDescent="0.3">
      <c r="A809" s="27"/>
      <c r="B809" s="27"/>
      <c r="C809" s="98"/>
      <c r="D809" s="3" t="s">
        <v>1972</v>
      </c>
      <c r="F809" s="3"/>
      <c r="I809" s="108"/>
      <c r="M809" s="69">
        <f t="shared" si="24"/>
        <v>0</v>
      </c>
      <c r="N809" s="69">
        <f t="shared" si="25"/>
        <v>0</v>
      </c>
      <c r="O809" s="29">
        <v>6668</v>
      </c>
      <c r="Q809" s="27"/>
      <c r="R809" s="62"/>
      <c r="S809" s="29" t="s">
        <v>2666</v>
      </c>
    </row>
    <row r="810" spans="1:19" s="29" customFormat="1" ht="26.4" x14ac:dyDescent="0.3">
      <c r="A810" s="27"/>
      <c r="B810" s="27"/>
      <c r="C810" s="98"/>
      <c r="D810" s="3" t="s">
        <v>2680</v>
      </c>
      <c r="F810" s="3"/>
      <c r="I810" s="108"/>
      <c r="M810" s="69">
        <f t="shared" si="24"/>
        <v>0</v>
      </c>
      <c r="N810" s="69">
        <f t="shared" si="25"/>
        <v>0</v>
      </c>
      <c r="O810" s="29">
        <f>2120+960</f>
        <v>3080</v>
      </c>
      <c r="Q810" s="27"/>
      <c r="R810" s="62"/>
      <c r="S810" s="110" t="s">
        <v>2742</v>
      </c>
    </row>
    <row r="811" spans="1:19" s="29" customFormat="1" ht="26.4" x14ac:dyDescent="0.3">
      <c r="A811" s="27"/>
      <c r="B811" s="27"/>
      <c r="C811" s="98"/>
      <c r="D811" s="3" t="s">
        <v>2681</v>
      </c>
      <c r="F811" s="3"/>
      <c r="I811" s="108"/>
      <c r="M811" s="69">
        <f t="shared" si="24"/>
        <v>0</v>
      </c>
      <c r="N811" s="69">
        <f t="shared" si="25"/>
        <v>0</v>
      </c>
      <c r="O811" s="88">
        <v>1080</v>
      </c>
      <c r="Q811" s="27"/>
      <c r="R811" s="62" t="s">
        <v>2665</v>
      </c>
    </row>
    <row r="812" spans="1:19" s="29" customFormat="1" ht="26.4" x14ac:dyDescent="0.3">
      <c r="A812" s="27"/>
      <c r="B812" s="27"/>
      <c r="C812" s="98"/>
      <c r="D812" s="125" t="s">
        <v>2667</v>
      </c>
      <c r="F812" s="3"/>
      <c r="I812" s="108"/>
      <c r="M812" s="69">
        <f t="shared" si="24"/>
        <v>0</v>
      </c>
      <c r="N812" s="69">
        <f t="shared" si="25"/>
        <v>0</v>
      </c>
      <c r="O812" s="88">
        <v>2750</v>
      </c>
      <c r="Q812" s="27"/>
      <c r="R812" s="62" t="s">
        <v>2665</v>
      </c>
    </row>
    <row r="813" spans="1:19" s="29" customFormat="1" x14ac:dyDescent="0.3">
      <c r="A813" s="27"/>
      <c r="B813" s="27"/>
      <c r="C813" s="98"/>
      <c r="D813" s="3" t="s">
        <v>2668</v>
      </c>
      <c r="F813" s="3"/>
      <c r="I813" s="108"/>
      <c r="M813" s="69">
        <f t="shared" si="24"/>
        <v>0</v>
      </c>
      <c r="N813" s="69">
        <f t="shared" si="25"/>
        <v>0</v>
      </c>
      <c r="O813" s="29">
        <v>13908</v>
      </c>
      <c r="Q813" s="27"/>
      <c r="R813" s="62"/>
      <c r="S813" s="29" t="s">
        <v>2669</v>
      </c>
    </row>
    <row r="814" spans="1:19" s="29" customFormat="1" x14ac:dyDescent="0.3">
      <c r="A814" s="27"/>
      <c r="B814" s="27"/>
      <c r="C814" s="98"/>
      <c r="D814" s="3" t="s">
        <v>2670</v>
      </c>
      <c r="F814" s="3"/>
      <c r="I814" s="108"/>
      <c r="M814" s="69">
        <f t="shared" si="24"/>
        <v>0</v>
      </c>
      <c r="N814" s="69">
        <f t="shared" si="25"/>
        <v>0</v>
      </c>
      <c r="O814" s="29">
        <v>4790</v>
      </c>
      <c r="Q814" s="27"/>
      <c r="R814" s="62"/>
      <c r="S814" s="29" t="s">
        <v>2671</v>
      </c>
    </row>
    <row r="815" spans="1:19" s="29" customFormat="1" x14ac:dyDescent="0.3">
      <c r="A815" s="27"/>
      <c r="B815" s="27"/>
      <c r="C815" s="98"/>
      <c r="D815" s="3" t="s">
        <v>2673</v>
      </c>
      <c r="F815" s="3"/>
      <c r="I815" s="108"/>
      <c r="M815" s="69">
        <f t="shared" si="24"/>
        <v>0</v>
      </c>
      <c r="N815" s="69">
        <f t="shared" si="25"/>
        <v>0</v>
      </c>
      <c r="O815" s="29">
        <v>2622</v>
      </c>
      <c r="Q815" s="27"/>
      <c r="R815" s="62"/>
      <c r="S815" s="29" t="s">
        <v>2672</v>
      </c>
    </row>
    <row r="816" spans="1:19" s="29" customFormat="1" x14ac:dyDescent="0.3">
      <c r="A816" s="27"/>
      <c r="B816" s="27"/>
      <c r="C816" s="98"/>
      <c r="D816" s="3" t="s">
        <v>2675</v>
      </c>
      <c r="F816" s="3"/>
      <c r="I816" s="108"/>
      <c r="M816" s="69">
        <f t="shared" si="24"/>
        <v>0</v>
      </c>
      <c r="N816" s="69">
        <f t="shared" si="25"/>
        <v>0</v>
      </c>
      <c r="O816" s="29">
        <v>3233</v>
      </c>
      <c r="Q816" s="27"/>
      <c r="R816" s="62"/>
      <c r="S816" s="29" t="s">
        <v>2674</v>
      </c>
    </row>
    <row r="817" spans="1:19" s="29" customFormat="1" x14ac:dyDescent="0.3">
      <c r="A817" s="27"/>
      <c r="B817" s="27"/>
      <c r="C817" s="98"/>
      <c r="D817" s="125" t="s">
        <v>2677</v>
      </c>
      <c r="F817" s="3"/>
      <c r="I817" s="108"/>
      <c r="M817" s="69">
        <f t="shared" si="24"/>
        <v>0</v>
      </c>
      <c r="N817" s="69">
        <f t="shared" si="25"/>
        <v>0</v>
      </c>
      <c r="O817" s="29">
        <v>52491</v>
      </c>
      <c r="Q817" s="27"/>
      <c r="R817" s="62"/>
      <c r="S817" s="29" t="s">
        <v>2678</v>
      </c>
    </row>
    <row r="818" spans="1:19" s="29" customFormat="1" x14ac:dyDescent="0.3">
      <c r="A818" s="27"/>
      <c r="B818" s="27"/>
      <c r="C818" s="98"/>
      <c r="D818" s="125" t="s">
        <v>2679</v>
      </c>
      <c r="F818" s="3"/>
      <c r="I818" s="108"/>
      <c r="M818" s="69">
        <f t="shared" si="24"/>
        <v>0</v>
      </c>
      <c r="N818" s="69">
        <f t="shared" si="25"/>
        <v>0</v>
      </c>
      <c r="O818" s="29">
        <v>60793</v>
      </c>
      <c r="Q818" s="27"/>
      <c r="R818" s="62"/>
    </row>
    <row r="819" spans="1:19" s="29" customFormat="1" x14ac:dyDescent="0.3">
      <c r="A819" s="27"/>
      <c r="B819" s="27"/>
      <c r="C819" s="98"/>
      <c r="D819" s="3" t="s">
        <v>2690</v>
      </c>
      <c r="F819" s="3"/>
      <c r="I819" s="108"/>
      <c r="M819" s="69">
        <f t="shared" si="24"/>
        <v>0</v>
      </c>
      <c r="N819" s="69">
        <f t="shared" si="25"/>
        <v>0</v>
      </c>
      <c r="O819" s="29">
        <v>4214</v>
      </c>
      <c r="Q819" s="27"/>
      <c r="R819" s="62"/>
      <c r="S819" s="29" t="s">
        <v>2691</v>
      </c>
    </row>
    <row r="820" spans="1:19" s="29" customFormat="1" x14ac:dyDescent="0.3">
      <c r="A820" s="27"/>
      <c r="B820" s="27"/>
      <c r="C820" s="98"/>
      <c r="D820" s="3" t="s">
        <v>2689</v>
      </c>
      <c r="F820" s="3"/>
      <c r="I820" s="108"/>
      <c r="M820" s="69">
        <f t="shared" si="24"/>
        <v>0</v>
      </c>
      <c r="N820" s="69">
        <f t="shared" si="25"/>
        <v>0</v>
      </c>
      <c r="O820" s="29">
        <v>4477</v>
      </c>
      <c r="Q820" s="27"/>
      <c r="R820" s="62"/>
      <c r="S820" s="29" t="s">
        <v>2692</v>
      </c>
    </row>
    <row r="821" spans="1:19" s="29" customFormat="1" x14ac:dyDescent="0.3">
      <c r="A821" s="27"/>
      <c r="B821" s="27"/>
      <c r="C821" s="98"/>
      <c r="D821" s="3" t="s">
        <v>2693</v>
      </c>
      <c r="F821" s="3"/>
      <c r="I821" s="108"/>
      <c r="M821" s="69">
        <f t="shared" si="24"/>
        <v>0</v>
      </c>
      <c r="N821" s="69">
        <f t="shared" si="25"/>
        <v>0</v>
      </c>
      <c r="O821" s="29">
        <v>9822</v>
      </c>
      <c r="Q821" s="27"/>
      <c r="R821" s="62"/>
      <c r="S821" s="29" t="s">
        <v>2695</v>
      </c>
    </row>
    <row r="822" spans="1:19" s="29" customFormat="1" x14ac:dyDescent="0.3">
      <c r="A822" s="27"/>
      <c r="B822" s="27"/>
      <c r="C822" s="98"/>
      <c r="D822" s="3" t="s">
        <v>2694</v>
      </c>
      <c r="F822" s="3"/>
      <c r="I822" s="108"/>
      <c r="M822" s="69">
        <f t="shared" si="24"/>
        <v>0</v>
      </c>
      <c r="N822" s="69">
        <f t="shared" si="25"/>
        <v>0</v>
      </c>
      <c r="O822" s="29">
        <v>11241</v>
      </c>
      <c r="Q822" s="27"/>
      <c r="R822" s="62"/>
      <c r="S822" s="29" t="s">
        <v>2696</v>
      </c>
    </row>
    <row r="823" spans="1:19" s="29" customFormat="1" x14ac:dyDescent="0.3">
      <c r="A823" s="27"/>
      <c r="B823" s="27"/>
      <c r="C823" s="98"/>
      <c r="D823" s="3" t="s">
        <v>2697</v>
      </c>
      <c r="F823" s="3"/>
      <c r="I823" s="108"/>
      <c r="M823" s="69">
        <f t="shared" si="24"/>
        <v>0</v>
      </c>
      <c r="N823" s="69">
        <f t="shared" si="25"/>
        <v>0</v>
      </c>
      <c r="O823" s="29">
        <v>9061</v>
      </c>
      <c r="Q823" s="27"/>
      <c r="R823" s="62"/>
      <c r="S823" s="29" t="s">
        <v>2699</v>
      </c>
    </row>
    <row r="824" spans="1:19" s="29" customFormat="1" x14ac:dyDescent="0.3">
      <c r="A824" s="27"/>
      <c r="B824" s="27"/>
      <c r="C824" s="98"/>
      <c r="D824" s="3" t="s">
        <v>2698</v>
      </c>
      <c r="F824" s="3"/>
      <c r="I824" s="108"/>
      <c r="M824" s="69">
        <f t="shared" si="24"/>
        <v>0</v>
      </c>
      <c r="N824" s="69">
        <f t="shared" si="25"/>
        <v>0</v>
      </c>
      <c r="O824" s="29">
        <v>8021</v>
      </c>
      <c r="Q824" s="27"/>
      <c r="R824" s="62"/>
      <c r="S824" s="29" t="s">
        <v>2700</v>
      </c>
    </row>
    <row r="825" spans="1:19" s="29" customFormat="1" x14ac:dyDescent="0.3">
      <c r="A825" s="27"/>
      <c r="B825" s="27"/>
      <c r="C825" s="98"/>
      <c r="D825" s="3" t="s">
        <v>2702</v>
      </c>
      <c r="F825" s="3"/>
      <c r="I825" s="108"/>
      <c r="M825" s="69">
        <f t="shared" si="24"/>
        <v>0</v>
      </c>
      <c r="N825" s="69">
        <f t="shared" si="25"/>
        <v>0</v>
      </c>
      <c r="O825" s="29">
        <v>12992</v>
      </c>
      <c r="Q825" s="27"/>
      <c r="R825" s="62"/>
      <c r="S825" s="29" t="s">
        <v>2701</v>
      </c>
    </row>
    <row r="826" spans="1:19" s="29" customFormat="1" x14ac:dyDescent="0.3">
      <c r="A826" s="27"/>
      <c r="B826" s="27"/>
      <c r="C826" s="98"/>
      <c r="D826" s="3" t="s">
        <v>2703</v>
      </c>
      <c r="F826" s="3"/>
      <c r="I826" s="108"/>
      <c r="M826" s="69">
        <f t="shared" si="24"/>
        <v>0</v>
      </c>
      <c r="N826" s="69">
        <f t="shared" si="25"/>
        <v>0</v>
      </c>
      <c r="O826" s="29">
        <v>8688</v>
      </c>
      <c r="Q826" s="27"/>
      <c r="R826" s="62"/>
      <c r="S826" s="29" t="s">
        <v>2721</v>
      </c>
    </row>
    <row r="827" spans="1:19" s="29" customFormat="1" x14ac:dyDescent="0.3">
      <c r="A827" s="27"/>
      <c r="B827" s="27"/>
      <c r="C827" s="98"/>
      <c r="D827" s="3" t="s">
        <v>2704</v>
      </c>
      <c r="F827" s="3"/>
      <c r="I827" s="108"/>
      <c r="M827" s="69">
        <f t="shared" si="24"/>
        <v>0</v>
      </c>
      <c r="N827" s="69">
        <f t="shared" si="25"/>
        <v>0</v>
      </c>
      <c r="O827" s="29">
        <v>8688</v>
      </c>
      <c r="Q827" s="27"/>
      <c r="R827" s="62"/>
      <c r="S827" s="29" t="s">
        <v>2705</v>
      </c>
    </row>
    <row r="828" spans="1:19" s="29" customFormat="1" x14ac:dyDescent="0.3">
      <c r="A828" s="27"/>
      <c r="B828" s="27"/>
      <c r="C828" s="98"/>
      <c r="D828" s="125" t="s">
        <v>2706</v>
      </c>
      <c r="F828" s="3"/>
      <c r="I828" s="108"/>
      <c r="M828" s="69">
        <f t="shared" si="24"/>
        <v>0</v>
      </c>
      <c r="N828" s="69">
        <f t="shared" si="25"/>
        <v>0</v>
      </c>
      <c r="O828" s="29">
        <v>44401</v>
      </c>
      <c r="Q828" s="27"/>
      <c r="R828" s="62"/>
      <c r="S828" s="29" t="s">
        <v>2708</v>
      </c>
    </row>
    <row r="829" spans="1:19" s="29" customFormat="1" x14ac:dyDescent="0.3">
      <c r="A829" s="27"/>
      <c r="B829" s="27"/>
      <c r="C829" s="98"/>
      <c r="D829" s="125" t="s">
        <v>2707</v>
      </c>
      <c r="F829" s="3"/>
      <c r="I829" s="108"/>
      <c r="M829" s="69">
        <f t="shared" si="24"/>
        <v>0</v>
      </c>
      <c r="N829" s="69">
        <f t="shared" si="25"/>
        <v>0</v>
      </c>
      <c r="O829" s="29">
        <v>44471</v>
      </c>
      <c r="Q829" s="27"/>
      <c r="R829" s="62"/>
      <c r="S829" s="29" t="s">
        <v>2709</v>
      </c>
    </row>
    <row r="830" spans="1:19" s="29" customFormat="1" x14ac:dyDescent="0.3">
      <c r="A830" s="27"/>
      <c r="B830" s="27"/>
      <c r="C830" s="98"/>
      <c r="D830" s="3" t="s">
        <v>2710</v>
      </c>
      <c r="F830" s="3"/>
      <c r="I830" s="108"/>
      <c r="M830" s="69">
        <f t="shared" si="24"/>
        <v>0</v>
      </c>
      <c r="N830" s="69">
        <f t="shared" si="25"/>
        <v>0</v>
      </c>
      <c r="O830" s="29">
        <v>7702</v>
      </c>
      <c r="Q830" s="27"/>
      <c r="R830" s="62"/>
      <c r="S830" s="29" t="s">
        <v>2712</v>
      </c>
    </row>
    <row r="831" spans="1:19" s="29" customFormat="1" x14ac:dyDescent="0.3">
      <c r="A831" s="27"/>
      <c r="B831" s="27"/>
      <c r="C831" s="98"/>
      <c r="D831" s="3" t="s">
        <v>2711</v>
      </c>
      <c r="F831" s="3"/>
      <c r="I831" s="108"/>
      <c r="M831" s="69">
        <f t="shared" si="24"/>
        <v>0</v>
      </c>
      <c r="N831" s="69">
        <f t="shared" si="25"/>
        <v>0</v>
      </c>
      <c r="O831" s="29">
        <v>5441</v>
      </c>
      <c r="Q831" s="27"/>
      <c r="R831" s="62"/>
      <c r="S831" s="29" t="s">
        <v>2713</v>
      </c>
    </row>
    <row r="832" spans="1:19" s="29" customFormat="1" x14ac:dyDescent="0.3">
      <c r="A832" s="27"/>
      <c r="B832" s="27"/>
      <c r="C832" s="98"/>
      <c r="D832" s="3" t="s">
        <v>2714</v>
      </c>
      <c r="F832" s="3"/>
      <c r="I832" s="108"/>
      <c r="M832" s="69">
        <f t="shared" si="24"/>
        <v>0</v>
      </c>
      <c r="N832" s="69">
        <f t="shared" si="25"/>
        <v>0</v>
      </c>
      <c r="O832" s="29">
        <v>27396</v>
      </c>
      <c r="Q832" s="27"/>
      <c r="R832" s="62"/>
      <c r="S832" s="29" t="s">
        <v>2716</v>
      </c>
    </row>
    <row r="833" spans="1:19" s="29" customFormat="1" x14ac:dyDescent="0.3">
      <c r="A833" s="27"/>
      <c r="B833" s="27"/>
      <c r="C833" s="98"/>
      <c r="D833" s="3" t="s">
        <v>2715</v>
      </c>
      <c r="F833" s="3"/>
      <c r="I833" s="108"/>
      <c r="M833" s="69">
        <f t="shared" si="24"/>
        <v>0</v>
      </c>
      <c r="N833" s="69">
        <f t="shared" si="25"/>
        <v>0</v>
      </c>
      <c r="O833" s="29">
        <v>11843</v>
      </c>
      <c r="Q833" s="27"/>
      <c r="R833" s="62"/>
      <c r="S833" s="29" t="s">
        <v>2717</v>
      </c>
    </row>
    <row r="834" spans="1:19" s="29" customFormat="1" ht="26.4" x14ac:dyDescent="0.3">
      <c r="A834" s="27"/>
      <c r="B834" s="27"/>
      <c r="C834" s="98"/>
      <c r="D834" s="25" t="s">
        <v>2718</v>
      </c>
      <c r="F834" s="3"/>
      <c r="I834" s="108"/>
      <c r="M834" s="69">
        <f t="shared" si="24"/>
        <v>0</v>
      </c>
      <c r="N834" s="69">
        <f t="shared" si="25"/>
        <v>0</v>
      </c>
      <c r="O834" s="29">
        <f>2483+6300</f>
        <v>8783</v>
      </c>
      <c r="Q834" s="27"/>
      <c r="R834" s="62"/>
      <c r="S834" s="110" t="s">
        <v>2722</v>
      </c>
    </row>
    <row r="835" spans="1:19" s="29" customFormat="1" x14ac:dyDescent="0.3">
      <c r="A835" s="27"/>
      <c r="B835" s="27"/>
      <c r="C835" s="98"/>
      <c r="D835" s="3" t="s">
        <v>2720</v>
      </c>
      <c r="F835" s="3"/>
      <c r="I835" s="108"/>
      <c r="M835" s="69">
        <f t="shared" ref="M835:M898" si="26">SUM(J835:L835)</f>
        <v>0</v>
      </c>
      <c r="N835" s="69">
        <f t="shared" ref="N835:N898" si="27">I835-M835</f>
        <v>0</v>
      </c>
      <c r="O835" s="29">
        <v>2618</v>
      </c>
      <c r="Q835" s="27"/>
      <c r="R835" s="62"/>
      <c r="S835" s="29" t="s">
        <v>2723</v>
      </c>
    </row>
    <row r="836" spans="1:19" s="29" customFormat="1" x14ac:dyDescent="0.3">
      <c r="A836" s="27"/>
      <c r="B836" s="27"/>
      <c r="C836" s="98"/>
      <c r="D836" s="3" t="s">
        <v>1064</v>
      </c>
      <c r="F836" s="3"/>
      <c r="I836" s="108"/>
      <c r="M836" s="69">
        <f t="shared" si="26"/>
        <v>0</v>
      </c>
      <c r="N836" s="69">
        <f t="shared" si="27"/>
        <v>0</v>
      </c>
      <c r="O836" s="29">
        <v>6787</v>
      </c>
      <c r="Q836" s="27"/>
      <c r="R836" s="62"/>
      <c r="S836" s="29" t="s">
        <v>2724</v>
      </c>
    </row>
    <row r="837" spans="1:19" s="29" customFormat="1" x14ac:dyDescent="0.3">
      <c r="A837" s="27"/>
      <c r="B837" s="27"/>
      <c r="C837" s="98"/>
      <c r="D837" s="3" t="s">
        <v>2729</v>
      </c>
      <c r="F837" s="3"/>
      <c r="I837" s="108"/>
      <c r="M837" s="69">
        <f t="shared" si="26"/>
        <v>0</v>
      </c>
      <c r="N837" s="69">
        <f t="shared" si="27"/>
        <v>0</v>
      </c>
      <c r="O837" s="29">
        <v>2618</v>
      </c>
      <c r="Q837" s="27"/>
      <c r="R837" s="62"/>
      <c r="S837" s="29" t="s">
        <v>2730</v>
      </c>
    </row>
    <row r="838" spans="1:19" s="29" customFormat="1" x14ac:dyDescent="0.3">
      <c r="A838" s="27"/>
      <c r="B838" s="27"/>
      <c r="C838" s="98"/>
      <c r="D838" s="3" t="s">
        <v>2725</v>
      </c>
      <c r="F838" s="3"/>
      <c r="I838" s="108"/>
      <c r="M838" s="69">
        <f t="shared" si="26"/>
        <v>0</v>
      </c>
      <c r="N838" s="69">
        <f t="shared" si="27"/>
        <v>0</v>
      </c>
      <c r="O838" s="29">
        <v>6683</v>
      </c>
      <c r="Q838" s="27"/>
      <c r="R838" s="62"/>
      <c r="S838" s="29" t="s">
        <v>2726</v>
      </c>
    </row>
    <row r="839" spans="1:19" s="29" customFormat="1" x14ac:dyDescent="0.3">
      <c r="A839" s="27"/>
      <c r="B839" s="27"/>
      <c r="C839" s="98"/>
      <c r="D839" s="3" t="s">
        <v>2727</v>
      </c>
      <c r="F839" s="3"/>
      <c r="I839" s="108"/>
      <c r="M839" s="69">
        <f t="shared" si="26"/>
        <v>0</v>
      </c>
      <c r="N839" s="69">
        <f t="shared" si="27"/>
        <v>0</v>
      </c>
      <c r="O839" s="29">
        <v>200</v>
      </c>
      <c r="Q839" s="27"/>
      <c r="R839" s="62"/>
      <c r="S839" s="29" t="s">
        <v>2728</v>
      </c>
    </row>
    <row r="840" spans="1:19" s="29" customFormat="1" x14ac:dyDescent="0.3">
      <c r="A840" s="27"/>
      <c r="B840" s="27"/>
      <c r="C840" s="98"/>
      <c r="D840" s="3" t="s">
        <v>2731</v>
      </c>
      <c r="F840" s="3"/>
      <c r="I840" s="108"/>
      <c r="M840" s="69">
        <f t="shared" si="26"/>
        <v>0</v>
      </c>
      <c r="N840" s="69">
        <f t="shared" si="27"/>
        <v>0</v>
      </c>
      <c r="O840" s="29">
        <v>3878</v>
      </c>
      <c r="Q840" s="27"/>
      <c r="R840" s="62"/>
      <c r="S840" s="29" t="s">
        <v>2732</v>
      </c>
    </row>
    <row r="841" spans="1:19" s="29" customFormat="1" x14ac:dyDescent="0.3">
      <c r="A841" s="27"/>
      <c r="B841" s="27"/>
      <c r="C841" s="98"/>
      <c r="D841" s="3" t="s">
        <v>2719</v>
      </c>
      <c r="F841" s="3"/>
      <c r="I841" s="108"/>
      <c r="M841" s="69">
        <f t="shared" si="26"/>
        <v>0</v>
      </c>
      <c r="N841" s="69">
        <f t="shared" si="27"/>
        <v>0</v>
      </c>
      <c r="O841" s="29">
        <v>12057</v>
      </c>
      <c r="Q841" s="27"/>
      <c r="R841" s="62"/>
      <c r="S841" s="29" t="s">
        <v>2737</v>
      </c>
    </row>
    <row r="842" spans="1:19" s="29" customFormat="1" x14ac:dyDescent="0.3">
      <c r="A842" s="27"/>
      <c r="B842" s="27"/>
      <c r="C842" s="98"/>
      <c r="D842" s="3" t="s">
        <v>2733</v>
      </c>
      <c r="F842" s="3"/>
      <c r="I842" s="108"/>
      <c r="M842" s="69">
        <f t="shared" si="26"/>
        <v>0</v>
      </c>
      <c r="N842" s="69">
        <f t="shared" si="27"/>
        <v>0</v>
      </c>
      <c r="O842" s="29">
        <v>9065</v>
      </c>
      <c r="Q842" s="27"/>
      <c r="R842" s="62"/>
      <c r="S842" s="29" t="s">
        <v>2734</v>
      </c>
    </row>
    <row r="843" spans="1:19" s="29" customFormat="1" x14ac:dyDescent="0.3">
      <c r="A843" s="27"/>
      <c r="B843" s="27"/>
      <c r="C843" s="98"/>
      <c r="D843" s="3" t="s">
        <v>2735</v>
      </c>
      <c r="F843" s="3"/>
      <c r="I843" s="108"/>
      <c r="M843" s="69">
        <f t="shared" si="26"/>
        <v>0</v>
      </c>
      <c r="N843" s="69">
        <f t="shared" si="27"/>
        <v>0</v>
      </c>
      <c r="O843" s="29">
        <v>7130</v>
      </c>
      <c r="Q843" s="27"/>
      <c r="R843" s="62"/>
      <c r="S843" s="29" t="s">
        <v>2736</v>
      </c>
    </row>
    <row r="844" spans="1:19" s="29" customFormat="1" x14ac:dyDescent="0.3">
      <c r="A844" s="27"/>
      <c r="B844" s="27"/>
      <c r="C844" s="98"/>
      <c r="D844" s="125" t="s">
        <v>2744</v>
      </c>
      <c r="F844" s="3"/>
      <c r="I844" s="108"/>
      <c r="M844" s="69">
        <f t="shared" si="26"/>
        <v>0</v>
      </c>
      <c r="N844" s="69">
        <f t="shared" si="27"/>
        <v>0</v>
      </c>
      <c r="O844" s="29">
        <v>1048</v>
      </c>
      <c r="Q844" s="27"/>
      <c r="R844" s="62"/>
      <c r="S844" s="29" t="s">
        <v>2745</v>
      </c>
    </row>
    <row r="845" spans="1:19" s="29" customFormat="1" x14ac:dyDescent="0.3">
      <c r="A845" s="27"/>
      <c r="B845" s="27"/>
      <c r="C845" s="98"/>
      <c r="D845" s="3"/>
      <c r="F845" s="3"/>
      <c r="I845" s="108"/>
      <c r="M845" s="69">
        <f t="shared" si="26"/>
        <v>0</v>
      </c>
      <c r="N845" s="69">
        <f t="shared" si="27"/>
        <v>0</v>
      </c>
      <c r="O845" s="108">
        <f>SUM(O804:O844)</f>
        <v>462489</v>
      </c>
      <c r="Q845" s="27"/>
      <c r="R845" s="62"/>
    </row>
    <row r="846" spans="1:19" s="29" customFormat="1" x14ac:dyDescent="0.3">
      <c r="A846" s="27"/>
      <c r="B846" s="27"/>
      <c r="C846" s="98"/>
      <c r="D846" s="3"/>
      <c r="F846" s="3"/>
      <c r="I846" s="108"/>
      <c r="M846" s="69">
        <f t="shared" si="26"/>
        <v>0</v>
      </c>
      <c r="N846" s="69">
        <f t="shared" si="27"/>
        <v>0</v>
      </c>
      <c r="O846" s="108"/>
      <c r="Q846" s="27"/>
      <c r="R846" s="62"/>
    </row>
    <row r="847" spans="1:19" s="29" customFormat="1" ht="26.4" x14ac:dyDescent="0.3">
      <c r="A847" s="27">
        <v>45216</v>
      </c>
      <c r="B847" s="15" t="str">
        <f>TEXT(A847,"mmmm")</f>
        <v>October</v>
      </c>
      <c r="C847" s="98" t="s">
        <v>2654</v>
      </c>
      <c r="D847" s="3" t="s">
        <v>833</v>
      </c>
      <c r="E847" s="29">
        <v>1</v>
      </c>
      <c r="F847" s="3"/>
      <c r="G847" s="29" t="s">
        <v>26</v>
      </c>
      <c r="H847" s="29" t="s">
        <v>10</v>
      </c>
      <c r="I847" s="108">
        <v>6700</v>
      </c>
      <c r="J847" s="29">
        <v>11.5</v>
      </c>
      <c r="K847" s="29">
        <v>11.5</v>
      </c>
      <c r="M847" s="69">
        <f t="shared" si="26"/>
        <v>23</v>
      </c>
      <c r="N847" s="69">
        <f t="shared" si="27"/>
        <v>6677</v>
      </c>
      <c r="O847" s="108">
        <v>6526</v>
      </c>
      <c r="P847" s="29">
        <v>123</v>
      </c>
      <c r="Q847" s="146" t="s">
        <v>2989</v>
      </c>
      <c r="R847" s="62">
        <v>45217</v>
      </c>
      <c r="S847" s="29" t="s">
        <v>2655</v>
      </c>
    </row>
    <row r="848" spans="1:19" s="29" customFormat="1" x14ac:dyDescent="0.3">
      <c r="A848" s="27"/>
      <c r="B848" s="27"/>
      <c r="C848" s="98"/>
      <c r="D848" s="3"/>
      <c r="F848" s="3"/>
      <c r="I848" s="108"/>
      <c r="M848" s="69">
        <f t="shared" si="26"/>
        <v>0</v>
      </c>
      <c r="N848" s="69">
        <f t="shared" si="27"/>
        <v>0</v>
      </c>
      <c r="O848" s="108"/>
      <c r="Q848" s="27"/>
      <c r="R848" s="62"/>
    </row>
    <row r="849" spans="1:19" s="29" customFormat="1" x14ac:dyDescent="0.3">
      <c r="A849" s="27">
        <v>45217</v>
      </c>
      <c r="B849" s="15" t="str">
        <f>TEXT(A849,"mmmm")</f>
        <v>October</v>
      </c>
      <c r="C849" s="98" t="s">
        <v>2656</v>
      </c>
      <c r="D849" s="3" t="s">
        <v>2657</v>
      </c>
      <c r="E849" s="29">
        <v>2</v>
      </c>
      <c r="F849" s="3"/>
      <c r="G849" s="29" t="s">
        <v>26</v>
      </c>
      <c r="H849" s="29" t="s">
        <v>2682</v>
      </c>
      <c r="I849" s="108">
        <v>15144</v>
      </c>
      <c r="L849" s="29">
        <v>754</v>
      </c>
      <c r="M849" s="69">
        <f t="shared" si="26"/>
        <v>754</v>
      </c>
      <c r="N849" s="69">
        <f t="shared" si="27"/>
        <v>14390</v>
      </c>
      <c r="O849" s="108">
        <v>10206</v>
      </c>
      <c r="P849" s="29">
        <v>4184</v>
      </c>
      <c r="Q849" s="62" t="s">
        <v>2658</v>
      </c>
      <c r="R849" s="62" t="s">
        <v>2683</v>
      </c>
      <c r="S849" s="29" t="s">
        <v>2684</v>
      </c>
    </row>
    <row r="850" spans="1:19" s="29" customFormat="1" x14ac:dyDescent="0.3">
      <c r="A850" s="27"/>
      <c r="B850" s="27"/>
      <c r="C850" s="98"/>
      <c r="D850" s="3"/>
      <c r="F850" s="3"/>
      <c r="I850" s="108"/>
      <c r="M850" s="69">
        <f t="shared" si="26"/>
        <v>0</v>
      </c>
      <c r="N850" s="69">
        <f t="shared" si="27"/>
        <v>0</v>
      </c>
      <c r="O850" s="108"/>
      <c r="Q850" s="27"/>
      <c r="R850" s="62"/>
    </row>
    <row r="851" spans="1:19" s="29" customFormat="1" x14ac:dyDescent="0.3">
      <c r="A851" s="27">
        <v>45219</v>
      </c>
      <c r="B851" s="15" t="str">
        <f>TEXT(A851,"mmmm")</f>
        <v>October</v>
      </c>
      <c r="C851" s="98" t="s">
        <v>2738</v>
      </c>
      <c r="D851" s="3" t="s">
        <v>3524</v>
      </c>
      <c r="F851" s="3"/>
      <c r="G851" s="29" t="s">
        <v>14</v>
      </c>
      <c r="H851" s="29" t="s">
        <v>2687</v>
      </c>
      <c r="I851" s="108">
        <v>92500</v>
      </c>
      <c r="J851" s="29">
        <v>2203</v>
      </c>
      <c r="K851" s="29">
        <f>J851</f>
        <v>2203</v>
      </c>
      <c r="M851" s="69">
        <f t="shared" si="26"/>
        <v>4406</v>
      </c>
      <c r="N851" s="69">
        <f t="shared" si="27"/>
        <v>88094</v>
      </c>
      <c r="O851" s="108">
        <v>69300</v>
      </c>
      <c r="P851" s="29">
        <v>18794</v>
      </c>
      <c r="Q851" s="27">
        <v>45261</v>
      </c>
      <c r="R851" s="27" t="s">
        <v>2688</v>
      </c>
    </row>
    <row r="852" spans="1:19" s="29" customFormat="1" x14ac:dyDescent="0.3">
      <c r="A852" s="27"/>
      <c r="B852" s="27"/>
      <c r="C852" s="98"/>
      <c r="D852" s="3"/>
      <c r="F852" s="3"/>
      <c r="I852" s="108"/>
      <c r="M852" s="69">
        <f t="shared" si="26"/>
        <v>0</v>
      </c>
      <c r="N852" s="69">
        <f t="shared" si="27"/>
        <v>0</v>
      </c>
      <c r="O852" s="108"/>
      <c r="Q852" s="27"/>
      <c r="R852" s="62"/>
    </row>
    <row r="853" spans="1:19" s="29" customFormat="1" x14ac:dyDescent="0.3">
      <c r="A853" s="27">
        <v>45222</v>
      </c>
      <c r="B853" s="15" t="str">
        <f>TEXT(A853,"mmmm")</f>
        <v>October</v>
      </c>
      <c r="C853" s="98" t="s">
        <v>2739</v>
      </c>
      <c r="D853" s="3" t="s">
        <v>2740</v>
      </c>
      <c r="E853" s="29">
        <v>1</v>
      </c>
      <c r="F853" s="3" t="s">
        <v>54</v>
      </c>
      <c r="G853" s="29" t="s">
        <v>24</v>
      </c>
      <c r="H853" s="29" t="s">
        <v>10</v>
      </c>
      <c r="I853" s="108">
        <v>6509</v>
      </c>
      <c r="J853" s="29">
        <v>90</v>
      </c>
      <c r="K853" s="29">
        <v>90</v>
      </c>
      <c r="M853" s="69">
        <f t="shared" si="26"/>
        <v>180</v>
      </c>
      <c r="N853" s="69">
        <f t="shared" si="27"/>
        <v>6329</v>
      </c>
      <c r="O853" s="108">
        <v>5329</v>
      </c>
      <c r="P853" s="29">
        <v>1000</v>
      </c>
      <c r="Q853" s="62" t="s">
        <v>2840</v>
      </c>
      <c r="R853" s="27" t="s">
        <v>2746</v>
      </c>
      <c r="S853" s="29" t="s">
        <v>2741</v>
      </c>
    </row>
    <row r="854" spans="1:19" s="29" customFormat="1" x14ac:dyDescent="0.3">
      <c r="A854" s="27"/>
      <c r="B854" s="27"/>
      <c r="C854" s="98"/>
      <c r="D854" s="3"/>
      <c r="F854" s="3"/>
      <c r="I854" s="108"/>
      <c r="M854" s="69">
        <f t="shared" si="26"/>
        <v>0</v>
      </c>
      <c r="N854" s="69">
        <f t="shared" si="27"/>
        <v>0</v>
      </c>
      <c r="O854" s="108"/>
      <c r="Q854" s="27"/>
      <c r="R854" s="27"/>
    </row>
    <row r="855" spans="1:19" s="3" customFormat="1" x14ac:dyDescent="0.3">
      <c r="A855" s="5">
        <v>45222</v>
      </c>
      <c r="B855" s="15" t="str">
        <f>TEXT(A855,"mmmm")</f>
        <v>October</v>
      </c>
      <c r="C855" s="69" t="s">
        <v>2749</v>
      </c>
      <c r="D855" s="3" t="s">
        <v>2760</v>
      </c>
      <c r="E855" s="3">
        <v>3</v>
      </c>
      <c r="G855" s="3" t="s">
        <v>14</v>
      </c>
      <c r="H855" s="3" t="s">
        <v>2318</v>
      </c>
      <c r="I855" s="4">
        <v>227540</v>
      </c>
      <c r="J855" s="3">
        <v>5418</v>
      </c>
      <c r="K855" s="3">
        <v>5418</v>
      </c>
      <c r="M855" s="69">
        <f t="shared" si="26"/>
        <v>10836</v>
      </c>
      <c r="N855" s="69">
        <f t="shared" si="27"/>
        <v>216704</v>
      </c>
      <c r="O855" s="4">
        <f>32000+20000+93800+58525-53800+22175</f>
        <v>172700</v>
      </c>
      <c r="P855" s="3">
        <v>44004</v>
      </c>
      <c r="Q855" s="79" t="s">
        <v>2284</v>
      </c>
      <c r="R855" s="30" t="s">
        <v>1863</v>
      </c>
    </row>
    <row r="856" spans="1:19" x14ac:dyDescent="0.3">
      <c r="C856" s="3"/>
      <c r="F856" s="118" t="s">
        <v>258</v>
      </c>
      <c r="G856" s="118">
        <v>11377</v>
      </c>
      <c r="H856" s="69" t="s">
        <v>1817</v>
      </c>
      <c r="M856" s="69">
        <f t="shared" si="26"/>
        <v>0</v>
      </c>
      <c r="N856" s="69">
        <f t="shared" si="27"/>
        <v>0</v>
      </c>
      <c r="Q856" s="25" t="s">
        <v>2301</v>
      </c>
      <c r="R856" s="30" t="s">
        <v>1864</v>
      </c>
    </row>
    <row r="857" spans="1:19" x14ac:dyDescent="0.3">
      <c r="C857" s="3"/>
      <c r="F857" s="16" t="s">
        <v>1317</v>
      </c>
      <c r="G857" s="16">
        <v>238917</v>
      </c>
      <c r="H857" s="69" t="s">
        <v>2318</v>
      </c>
      <c r="M857" s="69">
        <f t="shared" si="26"/>
        <v>0</v>
      </c>
      <c r="N857" s="69">
        <f t="shared" si="27"/>
        <v>0</v>
      </c>
      <c r="Q857" s="25" t="s">
        <v>2763</v>
      </c>
      <c r="R857" s="30" t="s">
        <v>2316</v>
      </c>
    </row>
    <row r="858" spans="1:19" x14ac:dyDescent="0.3">
      <c r="C858" s="3"/>
      <c r="H858" s="69" t="s">
        <v>1817</v>
      </c>
      <c r="M858" s="69">
        <f t="shared" si="26"/>
        <v>0</v>
      </c>
      <c r="N858" s="69">
        <f t="shared" si="27"/>
        <v>0</v>
      </c>
      <c r="Q858" s="3"/>
      <c r="R858" s="30" t="s">
        <v>2317</v>
      </c>
    </row>
    <row r="859" spans="1:19" x14ac:dyDescent="0.3">
      <c r="C859" s="3"/>
      <c r="H859" s="69" t="s">
        <v>2318</v>
      </c>
      <c r="M859" s="69">
        <f t="shared" si="26"/>
        <v>0</v>
      </c>
      <c r="N859" s="69">
        <f t="shared" si="27"/>
        <v>0</v>
      </c>
      <c r="Q859" s="3"/>
      <c r="R859" s="69" t="s">
        <v>2761</v>
      </c>
    </row>
    <row r="860" spans="1:19" x14ac:dyDescent="0.3">
      <c r="C860" s="3"/>
      <c r="H860" s="69" t="s">
        <v>1817</v>
      </c>
      <c r="M860" s="69">
        <f t="shared" si="26"/>
        <v>0</v>
      </c>
      <c r="N860" s="69">
        <f t="shared" si="27"/>
        <v>0</v>
      </c>
      <c r="Q860" s="79"/>
      <c r="R860" s="79" t="s">
        <v>2762</v>
      </c>
    </row>
    <row r="861" spans="1:19" s="29" customFormat="1" x14ac:dyDescent="0.3">
      <c r="A861" s="27"/>
      <c r="B861" s="27"/>
      <c r="C861" s="98"/>
      <c r="D861" s="3"/>
      <c r="F861" s="3"/>
      <c r="I861" s="108"/>
      <c r="M861" s="69">
        <f t="shared" si="26"/>
        <v>0</v>
      </c>
      <c r="N861" s="69">
        <f t="shared" si="27"/>
        <v>0</v>
      </c>
      <c r="O861" s="108"/>
      <c r="Q861" s="27"/>
      <c r="R861" s="27"/>
    </row>
    <row r="862" spans="1:19" s="29" customFormat="1" ht="26.4" x14ac:dyDescent="0.3">
      <c r="A862" s="27">
        <v>45223</v>
      </c>
      <c r="B862" s="15" t="str">
        <f>TEXT(A862,"mmmm")</f>
        <v>October</v>
      </c>
      <c r="C862" s="29" t="s">
        <v>2759</v>
      </c>
      <c r="D862" s="3" t="s">
        <v>2750</v>
      </c>
      <c r="F862" s="3" t="s">
        <v>54</v>
      </c>
      <c r="G862" s="29" t="s">
        <v>26</v>
      </c>
      <c r="H862" s="29" t="s">
        <v>10</v>
      </c>
      <c r="I862" s="108">
        <v>591188</v>
      </c>
      <c r="J862" s="29">
        <f>P862*9%</f>
        <v>4194</v>
      </c>
      <c r="K862" s="29">
        <f>J862</f>
        <v>4194</v>
      </c>
      <c r="M862" s="69">
        <f t="shared" si="26"/>
        <v>8388</v>
      </c>
      <c r="N862" s="69">
        <f t="shared" si="27"/>
        <v>582800</v>
      </c>
      <c r="O862" s="29">
        <f>1113+524</f>
        <v>1637</v>
      </c>
      <c r="P862" s="29">
        <f>350*116+1000*2+4000</f>
        <v>46600</v>
      </c>
      <c r="Q862" s="62" t="s">
        <v>2955</v>
      </c>
      <c r="R862" s="27" t="s">
        <v>2901</v>
      </c>
      <c r="S862" s="110" t="s">
        <v>2776</v>
      </c>
    </row>
    <row r="863" spans="1:19" s="29" customFormat="1" x14ac:dyDescent="0.3">
      <c r="A863" s="27"/>
      <c r="B863" s="27"/>
      <c r="C863" s="98"/>
      <c r="D863" s="3" t="s">
        <v>2844</v>
      </c>
      <c r="F863" s="3"/>
      <c r="I863" s="108"/>
      <c r="M863" s="69">
        <f t="shared" si="26"/>
        <v>0</v>
      </c>
      <c r="N863" s="69">
        <f t="shared" si="27"/>
        <v>0</v>
      </c>
      <c r="O863" s="29">
        <v>7406</v>
      </c>
      <c r="Q863" s="113"/>
      <c r="R863" s="27" t="s">
        <v>2902</v>
      </c>
      <c r="S863" s="29" t="s">
        <v>2756</v>
      </c>
    </row>
    <row r="864" spans="1:19" s="29" customFormat="1" x14ac:dyDescent="0.3">
      <c r="A864" s="27"/>
      <c r="B864" s="27"/>
      <c r="C864" s="98"/>
      <c r="D864" s="3" t="s">
        <v>2845</v>
      </c>
      <c r="F864" s="3"/>
      <c r="I864" s="108"/>
      <c r="M864" s="69">
        <f t="shared" si="26"/>
        <v>0</v>
      </c>
      <c r="N864" s="69">
        <f t="shared" si="27"/>
        <v>0</v>
      </c>
      <c r="O864" s="29">
        <v>6429</v>
      </c>
      <c r="Q864" s="27"/>
      <c r="R864" s="27" t="s">
        <v>2980</v>
      </c>
      <c r="S864" s="29" t="s">
        <v>2757</v>
      </c>
    </row>
    <row r="865" spans="1:19" s="29" customFormat="1" x14ac:dyDescent="0.3">
      <c r="A865" s="27"/>
      <c r="B865" s="27"/>
      <c r="C865" s="98"/>
      <c r="D865" s="3" t="s">
        <v>2846</v>
      </c>
      <c r="F865" s="3"/>
      <c r="I865" s="108"/>
      <c r="M865" s="69">
        <f t="shared" si="26"/>
        <v>0</v>
      </c>
      <c r="N865" s="69">
        <f t="shared" si="27"/>
        <v>0</v>
      </c>
      <c r="O865" s="29">
        <v>350</v>
      </c>
      <c r="Q865" s="27"/>
      <c r="R865" s="27"/>
      <c r="S865" s="29" t="s">
        <v>2758</v>
      </c>
    </row>
    <row r="866" spans="1:19" s="29" customFormat="1" x14ac:dyDescent="0.3">
      <c r="A866" s="27"/>
      <c r="B866" s="27"/>
      <c r="C866" s="98"/>
      <c r="D866" s="3" t="s">
        <v>2764</v>
      </c>
      <c r="F866" s="3"/>
      <c r="I866" s="108"/>
      <c r="M866" s="69">
        <f t="shared" si="26"/>
        <v>0</v>
      </c>
      <c r="N866" s="69">
        <f t="shared" si="27"/>
        <v>0</v>
      </c>
      <c r="O866" s="29">
        <v>9177</v>
      </c>
      <c r="Q866" s="27"/>
      <c r="R866" s="27"/>
      <c r="S866" s="29" t="s">
        <v>2765</v>
      </c>
    </row>
    <row r="867" spans="1:19" s="29" customFormat="1" x14ac:dyDescent="0.3">
      <c r="A867" s="27"/>
      <c r="B867" s="27"/>
      <c r="C867" s="98"/>
      <c r="D867" s="3" t="s">
        <v>2767</v>
      </c>
      <c r="F867" s="3"/>
      <c r="I867" s="108"/>
      <c r="M867" s="69">
        <f t="shared" si="26"/>
        <v>0</v>
      </c>
      <c r="N867" s="69">
        <f t="shared" si="27"/>
        <v>0</v>
      </c>
      <c r="O867" s="29">
        <v>10336</v>
      </c>
      <c r="Q867" s="27"/>
      <c r="R867" s="27"/>
      <c r="S867" s="29" t="s">
        <v>2766</v>
      </c>
    </row>
    <row r="868" spans="1:19" s="29" customFormat="1" x14ac:dyDescent="0.3">
      <c r="A868" s="27"/>
      <c r="B868" s="27"/>
      <c r="C868" s="98"/>
      <c r="D868" s="3" t="s">
        <v>2769</v>
      </c>
      <c r="F868" s="3"/>
      <c r="I868" s="108"/>
      <c r="M868" s="69">
        <f t="shared" si="26"/>
        <v>0</v>
      </c>
      <c r="N868" s="69">
        <f t="shared" si="27"/>
        <v>0</v>
      </c>
      <c r="O868" s="29">
        <v>4358</v>
      </c>
      <c r="Q868" s="27"/>
      <c r="R868" s="27"/>
      <c r="S868" s="29" t="s">
        <v>2768</v>
      </c>
    </row>
    <row r="869" spans="1:19" s="29" customFormat="1" x14ac:dyDescent="0.3">
      <c r="A869" s="27"/>
      <c r="B869" s="27"/>
      <c r="C869" s="98"/>
      <c r="D869" s="3" t="s">
        <v>2770</v>
      </c>
      <c r="F869" s="3"/>
      <c r="I869" s="108"/>
      <c r="M869" s="69">
        <f t="shared" si="26"/>
        <v>0</v>
      </c>
      <c r="N869" s="69">
        <f t="shared" si="27"/>
        <v>0</v>
      </c>
      <c r="O869" s="29">
        <v>5283</v>
      </c>
      <c r="Q869" s="27"/>
      <c r="R869" s="27"/>
      <c r="S869" s="29" t="s">
        <v>2777</v>
      </c>
    </row>
    <row r="870" spans="1:19" s="29" customFormat="1" x14ac:dyDescent="0.3">
      <c r="A870" s="27"/>
      <c r="B870" s="27"/>
      <c r="C870" s="98"/>
      <c r="D870" s="3" t="s">
        <v>2772</v>
      </c>
      <c r="F870" s="3"/>
      <c r="I870" s="108"/>
      <c r="M870" s="69">
        <f t="shared" si="26"/>
        <v>0</v>
      </c>
      <c r="N870" s="69">
        <f t="shared" si="27"/>
        <v>0</v>
      </c>
      <c r="O870" s="29">
        <v>5831</v>
      </c>
      <c r="Q870" s="27"/>
      <c r="R870" s="27"/>
      <c r="S870" s="29" t="s">
        <v>2773</v>
      </c>
    </row>
    <row r="871" spans="1:19" s="29" customFormat="1" x14ac:dyDescent="0.3">
      <c r="A871" s="27"/>
      <c r="B871" s="27"/>
      <c r="C871" s="98"/>
      <c r="D871" s="3" t="s">
        <v>2774</v>
      </c>
      <c r="F871" s="3"/>
      <c r="I871" s="108"/>
      <c r="M871" s="69">
        <f t="shared" si="26"/>
        <v>0</v>
      </c>
      <c r="N871" s="69">
        <f t="shared" si="27"/>
        <v>0</v>
      </c>
      <c r="O871" s="29">
        <v>21656</v>
      </c>
      <c r="Q871" s="27"/>
      <c r="R871" s="27"/>
      <c r="S871" s="29" t="s">
        <v>2775</v>
      </c>
    </row>
    <row r="872" spans="1:19" s="29" customFormat="1" ht="26.4" x14ac:dyDescent="0.3">
      <c r="A872" s="27"/>
      <c r="B872" s="27"/>
      <c r="C872" s="98"/>
      <c r="D872" s="3" t="s">
        <v>2781</v>
      </c>
      <c r="F872" s="3"/>
      <c r="I872" s="108"/>
      <c r="M872" s="69">
        <f t="shared" si="26"/>
        <v>0</v>
      </c>
      <c r="N872" s="69">
        <f t="shared" si="27"/>
        <v>0</v>
      </c>
      <c r="O872" s="29">
        <f>7092+200</f>
        <v>7292</v>
      </c>
      <c r="Q872" s="27"/>
      <c r="R872" s="27"/>
      <c r="S872" s="110" t="s">
        <v>2782</v>
      </c>
    </row>
    <row r="873" spans="1:19" s="29" customFormat="1" x14ac:dyDescent="0.3">
      <c r="A873" s="27"/>
      <c r="B873" s="27"/>
      <c r="C873" s="98"/>
      <c r="D873" s="3" t="s">
        <v>2803</v>
      </c>
      <c r="F873" s="3"/>
      <c r="I873" s="108"/>
      <c r="M873" s="69">
        <f t="shared" si="26"/>
        <v>0</v>
      </c>
      <c r="N873" s="69">
        <f t="shared" si="27"/>
        <v>0</v>
      </c>
      <c r="O873" s="29">
        <v>4261</v>
      </c>
      <c r="Q873" s="27"/>
      <c r="R873" s="27"/>
      <c r="S873" s="29" t="s">
        <v>2800</v>
      </c>
    </row>
    <row r="874" spans="1:19" s="29" customFormat="1" x14ac:dyDescent="0.3">
      <c r="A874" s="27"/>
      <c r="B874" s="27"/>
      <c r="C874" s="98"/>
      <c r="D874" s="3" t="s">
        <v>2802</v>
      </c>
      <c r="F874" s="3"/>
      <c r="I874" s="108"/>
      <c r="M874" s="69">
        <f t="shared" si="26"/>
        <v>0</v>
      </c>
      <c r="N874" s="69">
        <f t="shared" si="27"/>
        <v>0</v>
      </c>
      <c r="O874" s="29">
        <v>3783</v>
      </c>
      <c r="Q874" s="27"/>
      <c r="R874" s="27"/>
      <c r="S874" s="29" t="s">
        <v>2801</v>
      </c>
    </row>
    <row r="875" spans="1:19" s="29" customFormat="1" x14ac:dyDescent="0.3">
      <c r="A875" s="27"/>
      <c r="B875" s="27"/>
      <c r="C875" s="98"/>
      <c r="D875" s="3" t="s">
        <v>2804</v>
      </c>
      <c r="F875" s="3"/>
      <c r="I875" s="108"/>
      <c r="M875" s="69">
        <f t="shared" si="26"/>
        <v>0</v>
      </c>
      <c r="N875" s="69">
        <f t="shared" si="27"/>
        <v>0</v>
      </c>
      <c r="O875" s="29">
        <v>27451</v>
      </c>
      <c r="Q875" s="27"/>
      <c r="R875" s="27"/>
      <c r="S875" s="29" t="s">
        <v>2806</v>
      </c>
    </row>
    <row r="876" spans="1:19" s="29" customFormat="1" x14ac:dyDescent="0.3">
      <c r="A876" s="27"/>
      <c r="B876" s="27"/>
      <c r="C876" s="98"/>
      <c r="D876" s="3" t="s">
        <v>2808</v>
      </c>
      <c r="F876" s="3"/>
      <c r="I876" s="108"/>
      <c r="M876" s="69">
        <f t="shared" si="26"/>
        <v>0</v>
      </c>
      <c r="N876" s="69">
        <f t="shared" si="27"/>
        <v>0</v>
      </c>
      <c r="O876" s="29">
        <v>28856</v>
      </c>
      <c r="Q876" s="27"/>
      <c r="R876" s="27"/>
      <c r="S876" s="29" t="s">
        <v>2807</v>
      </c>
    </row>
    <row r="877" spans="1:19" s="29" customFormat="1" x14ac:dyDescent="0.3">
      <c r="A877" s="27"/>
      <c r="B877" s="27"/>
      <c r="C877" s="98"/>
      <c r="D877" s="3" t="s">
        <v>2813</v>
      </c>
      <c r="F877" s="3"/>
      <c r="I877" s="108"/>
      <c r="M877" s="69">
        <f t="shared" si="26"/>
        <v>0</v>
      </c>
      <c r="N877" s="69">
        <f t="shared" si="27"/>
        <v>0</v>
      </c>
      <c r="O877" s="29">
        <v>19237</v>
      </c>
      <c r="Q877" s="27"/>
      <c r="R877" s="27"/>
      <c r="S877" s="29" t="s">
        <v>2809</v>
      </c>
    </row>
    <row r="878" spans="1:19" s="29" customFormat="1" x14ac:dyDescent="0.3">
      <c r="A878" s="27"/>
      <c r="B878" s="27"/>
      <c r="C878" s="98"/>
      <c r="D878" s="3" t="s">
        <v>2805</v>
      </c>
      <c r="F878" s="3"/>
      <c r="I878" s="108"/>
      <c r="M878" s="69">
        <f t="shared" si="26"/>
        <v>0</v>
      </c>
      <c r="N878" s="69">
        <f t="shared" si="27"/>
        <v>0</v>
      </c>
      <c r="O878" s="29">
        <v>34208</v>
      </c>
      <c r="Q878" s="27"/>
      <c r="R878" s="27"/>
      <c r="S878" s="29" t="s">
        <v>2810</v>
      </c>
    </row>
    <row r="879" spans="1:19" s="29" customFormat="1" x14ac:dyDescent="0.3">
      <c r="A879" s="27"/>
      <c r="B879" s="27"/>
      <c r="C879" s="98"/>
      <c r="D879" s="3" t="s">
        <v>2812</v>
      </c>
      <c r="F879" s="3"/>
      <c r="I879" s="108"/>
      <c r="M879" s="69">
        <f t="shared" si="26"/>
        <v>0</v>
      </c>
      <c r="N879" s="69">
        <f t="shared" si="27"/>
        <v>0</v>
      </c>
      <c r="O879" s="29">
        <v>34208</v>
      </c>
      <c r="Q879" s="27"/>
      <c r="R879" s="27"/>
      <c r="S879" s="29" t="s">
        <v>2811</v>
      </c>
    </row>
    <row r="880" spans="1:19" s="29" customFormat="1" x14ac:dyDescent="0.3">
      <c r="A880" s="27"/>
      <c r="B880" s="27"/>
      <c r="C880" s="98"/>
      <c r="D880" s="3" t="s">
        <v>2814</v>
      </c>
      <c r="F880" s="3"/>
      <c r="I880" s="108"/>
      <c r="M880" s="69">
        <f t="shared" si="26"/>
        <v>0</v>
      </c>
      <c r="N880" s="69">
        <f t="shared" si="27"/>
        <v>0</v>
      </c>
      <c r="O880" s="29">
        <v>24375</v>
      </c>
      <c r="Q880" s="27"/>
      <c r="R880" s="27"/>
      <c r="S880" s="29" t="s">
        <v>2815</v>
      </c>
    </row>
    <row r="881" spans="1:19" s="29" customFormat="1" x14ac:dyDescent="0.3">
      <c r="A881" s="27"/>
      <c r="B881" s="27"/>
      <c r="C881" s="98"/>
      <c r="D881" s="3" t="s">
        <v>2151</v>
      </c>
      <c r="F881" s="3"/>
      <c r="I881" s="108"/>
      <c r="M881" s="69">
        <f t="shared" si="26"/>
        <v>0</v>
      </c>
      <c r="N881" s="69">
        <f t="shared" si="27"/>
        <v>0</v>
      </c>
      <c r="O881" s="29">
        <f>6769+200</f>
        <v>6969</v>
      </c>
      <c r="Q881" s="27"/>
      <c r="R881" s="27"/>
      <c r="S881" s="29" t="s">
        <v>2816</v>
      </c>
    </row>
    <row r="882" spans="1:19" s="29" customFormat="1" x14ac:dyDescent="0.3">
      <c r="A882" s="27"/>
      <c r="B882" s="27"/>
      <c r="C882" s="98"/>
      <c r="D882" s="3" t="s">
        <v>2817</v>
      </c>
      <c r="F882" s="3"/>
      <c r="I882" s="108"/>
      <c r="M882" s="69">
        <f t="shared" si="26"/>
        <v>0</v>
      </c>
      <c r="N882" s="69">
        <f t="shared" si="27"/>
        <v>0</v>
      </c>
      <c r="O882" s="29">
        <v>5190</v>
      </c>
      <c r="Q882" s="27"/>
      <c r="R882" s="27"/>
      <c r="S882" s="29" t="s">
        <v>2819</v>
      </c>
    </row>
    <row r="883" spans="1:19" s="29" customFormat="1" x14ac:dyDescent="0.3">
      <c r="A883" s="27"/>
      <c r="B883" s="27"/>
      <c r="C883" s="98"/>
      <c r="D883" s="3" t="s">
        <v>2818</v>
      </c>
      <c r="F883" s="3"/>
      <c r="I883" s="108"/>
      <c r="M883" s="69">
        <f t="shared" si="26"/>
        <v>0</v>
      </c>
      <c r="N883" s="69">
        <f t="shared" si="27"/>
        <v>0</v>
      </c>
      <c r="O883" s="29">
        <v>5054</v>
      </c>
      <c r="Q883" s="27"/>
      <c r="R883" s="27"/>
      <c r="S883" s="29" t="s">
        <v>2820</v>
      </c>
    </row>
    <row r="884" spans="1:19" s="29" customFormat="1" x14ac:dyDescent="0.3">
      <c r="A884" s="27"/>
      <c r="B884" s="27"/>
      <c r="C884" s="98"/>
      <c r="D884" s="3" t="s">
        <v>2823</v>
      </c>
      <c r="F884" s="3"/>
      <c r="I884" s="108"/>
      <c r="M884" s="69">
        <f t="shared" si="26"/>
        <v>0</v>
      </c>
      <c r="N884" s="69">
        <f t="shared" si="27"/>
        <v>0</v>
      </c>
      <c r="O884" s="29">
        <v>14436</v>
      </c>
      <c r="Q884" s="27"/>
      <c r="R884" s="27"/>
      <c r="S884" s="29" t="s">
        <v>2821</v>
      </c>
    </row>
    <row r="885" spans="1:19" s="29" customFormat="1" x14ac:dyDescent="0.3">
      <c r="A885" s="27"/>
      <c r="B885" s="27"/>
      <c r="C885" s="98"/>
      <c r="D885" s="3" t="s">
        <v>2824</v>
      </c>
      <c r="F885" s="3"/>
      <c r="I885" s="108"/>
      <c r="M885" s="69">
        <f t="shared" si="26"/>
        <v>0</v>
      </c>
      <c r="N885" s="69">
        <f t="shared" si="27"/>
        <v>0</v>
      </c>
      <c r="O885" s="29">
        <v>15768</v>
      </c>
      <c r="Q885" s="27"/>
      <c r="R885" s="27"/>
      <c r="S885" s="29" t="s">
        <v>2822</v>
      </c>
    </row>
    <row r="886" spans="1:19" s="29" customFormat="1" x14ac:dyDescent="0.3">
      <c r="A886" s="27"/>
      <c r="B886" s="27"/>
      <c r="C886" s="98"/>
      <c r="D886" s="3" t="s">
        <v>2825</v>
      </c>
      <c r="F886" s="3"/>
      <c r="I886" s="108"/>
      <c r="M886" s="69">
        <f t="shared" si="26"/>
        <v>0</v>
      </c>
      <c r="N886" s="69">
        <f t="shared" si="27"/>
        <v>0</v>
      </c>
      <c r="O886" s="29">
        <v>236</v>
      </c>
      <c r="Q886" s="27"/>
      <c r="R886" s="27"/>
      <c r="S886" s="29" t="s">
        <v>2838</v>
      </c>
    </row>
    <row r="887" spans="1:19" s="29" customFormat="1" ht="26.4" x14ac:dyDescent="0.3">
      <c r="A887" s="27"/>
      <c r="B887" s="27"/>
      <c r="C887" s="98"/>
      <c r="D887" s="3" t="s">
        <v>2827</v>
      </c>
      <c r="F887" s="3"/>
      <c r="I887" s="108"/>
      <c r="M887" s="69">
        <f t="shared" si="26"/>
        <v>0</v>
      </c>
      <c r="N887" s="69">
        <f t="shared" si="27"/>
        <v>0</v>
      </c>
      <c r="O887" s="88">
        <v>4275</v>
      </c>
      <c r="Q887" s="27"/>
      <c r="R887" s="62" t="s">
        <v>2829</v>
      </c>
    </row>
    <row r="888" spans="1:19" s="29" customFormat="1" ht="26.4" x14ac:dyDescent="0.3">
      <c r="A888" s="27"/>
      <c r="B888" s="27"/>
      <c r="C888" s="98"/>
      <c r="D888" s="3" t="s">
        <v>2828</v>
      </c>
      <c r="F888" s="3"/>
      <c r="I888" s="108"/>
      <c r="M888" s="69">
        <f t="shared" si="26"/>
        <v>0</v>
      </c>
      <c r="N888" s="69">
        <f t="shared" si="27"/>
        <v>0</v>
      </c>
      <c r="O888" s="88">
        <v>2750</v>
      </c>
      <c r="Q888" s="27"/>
      <c r="R888" s="62" t="s">
        <v>2829</v>
      </c>
    </row>
    <row r="889" spans="1:19" s="29" customFormat="1" x14ac:dyDescent="0.3">
      <c r="A889" s="27"/>
      <c r="B889" s="27"/>
      <c r="C889" s="98"/>
      <c r="D889" s="3" t="s">
        <v>2830</v>
      </c>
      <c r="F889" s="3"/>
      <c r="I889" s="108"/>
      <c r="M889" s="69">
        <f t="shared" si="26"/>
        <v>0</v>
      </c>
      <c r="N889" s="69">
        <f t="shared" si="27"/>
        <v>0</v>
      </c>
      <c r="O889" s="29">
        <v>6023</v>
      </c>
      <c r="Q889" s="27"/>
      <c r="R889" s="27"/>
      <c r="S889" s="29" t="s">
        <v>2831</v>
      </c>
    </row>
    <row r="890" spans="1:19" s="29" customFormat="1" x14ac:dyDescent="0.3">
      <c r="A890" s="27"/>
      <c r="B890" s="27"/>
      <c r="C890" s="98"/>
      <c r="D890" s="3" t="s">
        <v>2826</v>
      </c>
      <c r="F890" s="3"/>
      <c r="I890" s="108"/>
      <c r="M890" s="69">
        <f t="shared" si="26"/>
        <v>0</v>
      </c>
      <c r="N890" s="69">
        <f t="shared" si="27"/>
        <v>0</v>
      </c>
      <c r="O890" s="29">
        <v>118</v>
      </c>
      <c r="Q890" s="27"/>
      <c r="R890" s="27"/>
      <c r="S890" s="29" t="s">
        <v>2839</v>
      </c>
    </row>
    <row r="891" spans="1:19" s="29" customFormat="1" x14ac:dyDescent="0.3">
      <c r="A891" s="27"/>
      <c r="B891" s="27"/>
      <c r="C891" s="98"/>
      <c r="D891" s="3" t="s">
        <v>2832</v>
      </c>
      <c r="F891" s="3"/>
      <c r="I891" s="108"/>
      <c r="M891" s="69">
        <f t="shared" si="26"/>
        <v>0</v>
      </c>
      <c r="N891" s="69">
        <f t="shared" si="27"/>
        <v>0</v>
      </c>
      <c r="O891" s="29">
        <v>8757</v>
      </c>
      <c r="Q891" s="27"/>
      <c r="R891" s="27"/>
      <c r="S891" s="29" t="s">
        <v>2833</v>
      </c>
    </row>
    <row r="892" spans="1:19" s="29" customFormat="1" x14ac:dyDescent="0.3">
      <c r="A892" s="27"/>
      <c r="B892" s="27"/>
      <c r="C892" s="98"/>
      <c r="D892" s="3" t="s">
        <v>2834</v>
      </c>
      <c r="F892" s="3"/>
      <c r="I892" s="108"/>
      <c r="M892" s="69">
        <f t="shared" si="26"/>
        <v>0</v>
      </c>
      <c r="N892" s="69">
        <f t="shared" si="27"/>
        <v>0</v>
      </c>
      <c r="O892" s="29">
        <v>39645</v>
      </c>
      <c r="Q892" s="27"/>
      <c r="R892" s="27"/>
      <c r="S892" s="29" t="s">
        <v>2835</v>
      </c>
    </row>
    <row r="893" spans="1:19" s="29" customFormat="1" x14ac:dyDescent="0.3">
      <c r="A893" s="27"/>
      <c r="B893" s="27"/>
      <c r="C893" s="98"/>
      <c r="D893" s="3" t="s">
        <v>2836</v>
      </c>
      <c r="F893" s="3"/>
      <c r="I893" s="108"/>
      <c r="M893" s="69">
        <f t="shared" si="26"/>
        <v>0</v>
      </c>
      <c r="N893" s="69">
        <f t="shared" si="27"/>
        <v>0</v>
      </c>
      <c r="O893" s="29">
        <v>16722</v>
      </c>
      <c r="Q893" s="27"/>
      <c r="R893" s="27"/>
      <c r="S893" s="29" t="s">
        <v>2837</v>
      </c>
    </row>
    <row r="894" spans="1:19" s="29" customFormat="1" x14ac:dyDescent="0.3">
      <c r="A894" s="27"/>
      <c r="B894" s="27"/>
      <c r="C894" s="98"/>
      <c r="D894" s="3" t="s">
        <v>2841</v>
      </c>
      <c r="F894" s="3"/>
      <c r="I894" s="108"/>
      <c r="M894" s="69">
        <f t="shared" si="26"/>
        <v>0</v>
      </c>
      <c r="N894" s="69">
        <f t="shared" si="27"/>
        <v>0</v>
      </c>
      <c r="O894" s="29">
        <v>74069</v>
      </c>
      <c r="Q894" s="27"/>
      <c r="R894" s="27"/>
      <c r="S894" s="29" t="s">
        <v>2842</v>
      </c>
    </row>
    <row r="895" spans="1:19" s="29" customFormat="1" x14ac:dyDescent="0.3">
      <c r="A895" s="27"/>
      <c r="B895" s="27"/>
      <c r="C895" s="98"/>
      <c r="D895" s="3" t="s">
        <v>2849</v>
      </c>
      <c r="F895" s="3"/>
      <c r="I895" s="108"/>
      <c r="M895" s="69">
        <f t="shared" si="26"/>
        <v>0</v>
      </c>
      <c r="N895" s="69">
        <f t="shared" si="27"/>
        <v>0</v>
      </c>
      <c r="O895" s="29">
        <v>367</v>
      </c>
      <c r="Q895" s="27"/>
      <c r="R895" s="27"/>
      <c r="S895" s="29" t="s">
        <v>2851</v>
      </c>
    </row>
    <row r="896" spans="1:19" s="29" customFormat="1" x14ac:dyDescent="0.3">
      <c r="A896" s="27"/>
      <c r="B896" s="27"/>
      <c r="C896" s="98"/>
      <c r="D896" s="3" t="s">
        <v>2852</v>
      </c>
      <c r="F896" s="3"/>
      <c r="I896" s="108"/>
      <c r="M896" s="69">
        <f t="shared" si="26"/>
        <v>0</v>
      </c>
      <c r="N896" s="69">
        <f t="shared" si="27"/>
        <v>0</v>
      </c>
      <c r="O896" s="29">
        <v>4979</v>
      </c>
      <c r="Q896" s="27"/>
      <c r="R896" s="27"/>
      <c r="S896" s="29" t="s">
        <v>2853</v>
      </c>
    </row>
    <row r="897" spans="1:19" s="29" customFormat="1" x14ac:dyDescent="0.3">
      <c r="A897" s="27"/>
      <c r="B897" s="27"/>
      <c r="C897" s="98"/>
      <c r="D897" s="3" t="s">
        <v>2855</v>
      </c>
      <c r="F897" s="3"/>
      <c r="I897" s="108"/>
      <c r="M897" s="69">
        <f t="shared" si="26"/>
        <v>0</v>
      </c>
      <c r="N897" s="69">
        <f t="shared" si="27"/>
        <v>0</v>
      </c>
      <c r="O897" s="29">
        <v>3357</v>
      </c>
      <c r="Q897" s="27"/>
      <c r="R897" s="27"/>
      <c r="S897" s="29" t="s">
        <v>2854</v>
      </c>
    </row>
    <row r="898" spans="1:19" s="29" customFormat="1" x14ac:dyDescent="0.3">
      <c r="A898" s="27"/>
      <c r="B898" s="27"/>
      <c r="C898" s="98"/>
      <c r="D898" s="3" t="s">
        <v>2856</v>
      </c>
      <c r="F898" s="3"/>
      <c r="I898" s="108"/>
      <c r="M898" s="69">
        <f t="shared" si="26"/>
        <v>0</v>
      </c>
      <c r="N898" s="69">
        <f t="shared" si="27"/>
        <v>0</v>
      </c>
      <c r="O898" s="29">
        <v>4814</v>
      </c>
      <c r="Q898" s="27"/>
      <c r="R898" s="27"/>
      <c r="S898" s="29" t="s">
        <v>2859</v>
      </c>
    </row>
    <row r="899" spans="1:19" s="29" customFormat="1" x14ac:dyDescent="0.3">
      <c r="A899" s="27"/>
      <c r="B899" s="27"/>
      <c r="C899" s="98"/>
      <c r="D899" s="3" t="s">
        <v>2857</v>
      </c>
      <c r="F899" s="3"/>
      <c r="I899" s="108"/>
      <c r="M899" s="69">
        <f t="shared" ref="M899:M962" si="28">SUM(J899:L899)</f>
        <v>0</v>
      </c>
      <c r="N899" s="69">
        <f t="shared" ref="N899:N962" si="29">I899-M899</f>
        <v>0</v>
      </c>
      <c r="O899" s="29">
        <v>4449</v>
      </c>
      <c r="Q899" s="27"/>
      <c r="R899" s="27"/>
      <c r="S899" s="29" t="s">
        <v>2860</v>
      </c>
    </row>
    <row r="900" spans="1:19" s="29" customFormat="1" x14ac:dyDescent="0.3">
      <c r="A900" s="27"/>
      <c r="B900" s="27"/>
      <c r="C900" s="98"/>
      <c r="D900" s="3" t="s">
        <v>2858</v>
      </c>
      <c r="F900" s="3"/>
      <c r="I900" s="108"/>
      <c r="M900" s="69">
        <f t="shared" si="28"/>
        <v>0</v>
      </c>
      <c r="N900" s="69">
        <f t="shared" si="29"/>
        <v>0</v>
      </c>
      <c r="O900" s="29">
        <v>12505</v>
      </c>
      <c r="Q900" s="27"/>
      <c r="R900" s="27"/>
      <c r="S900" s="29" t="s">
        <v>2861</v>
      </c>
    </row>
    <row r="901" spans="1:19" s="29" customFormat="1" x14ac:dyDescent="0.3">
      <c r="A901" s="27"/>
      <c r="B901" s="27"/>
      <c r="C901" s="98"/>
      <c r="D901" s="3" t="s">
        <v>2862</v>
      </c>
      <c r="F901" s="3"/>
      <c r="I901" s="108"/>
      <c r="M901" s="69">
        <f t="shared" si="28"/>
        <v>0</v>
      </c>
      <c r="N901" s="69">
        <f t="shared" si="29"/>
        <v>0</v>
      </c>
      <c r="O901" s="29">
        <v>11058</v>
      </c>
      <c r="Q901" s="27"/>
      <c r="R901" s="27"/>
      <c r="S901" s="29" t="s">
        <v>2863</v>
      </c>
    </row>
    <row r="902" spans="1:19" s="29" customFormat="1" x14ac:dyDescent="0.3">
      <c r="A902" s="27"/>
      <c r="B902" s="27"/>
      <c r="C902" s="98"/>
      <c r="D902" s="3" t="s">
        <v>2864</v>
      </c>
      <c r="F902" s="3"/>
      <c r="I902" s="108"/>
      <c r="M902" s="69">
        <f t="shared" si="28"/>
        <v>0</v>
      </c>
      <c r="N902" s="69">
        <f t="shared" si="29"/>
        <v>0</v>
      </c>
      <c r="O902" s="29">
        <v>3974</v>
      </c>
      <c r="Q902" s="27"/>
      <c r="R902" s="27"/>
      <c r="S902" s="29" t="s">
        <v>2865</v>
      </c>
    </row>
    <row r="903" spans="1:19" s="29" customFormat="1" x14ac:dyDescent="0.3">
      <c r="A903" s="27"/>
      <c r="B903" s="27"/>
      <c r="C903" s="98"/>
      <c r="D903" s="3" t="s">
        <v>2866</v>
      </c>
      <c r="F903" s="3"/>
      <c r="I903" s="108"/>
      <c r="M903" s="69">
        <f t="shared" si="28"/>
        <v>0</v>
      </c>
      <c r="N903" s="69">
        <f t="shared" si="29"/>
        <v>0</v>
      </c>
      <c r="O903" s="29">
        <v>7346</v>
      </c>
      <c r="Q903" s="27"/>
      <c r="R903" s="27"/>
      <c r="S903" s="29" t="s">
        <v>2868</v>
      </c>
    </row>
    <row r="904" spans="1:19" s="29" customFormat="1" x14ac:dyDescent="0.3">
      <c r="A904" s="27"/>
      <c r="B904" s="27"/>
      <c r="C904" s="98"/>
      <c r="D904" s="3" t="s">
        <v>2867</v>
      </c>
      <c r="F904" s="3"/>
      <c r="I904" s="108"/>
      <c r="M904" s="69">
        <f t="shared" si="28"/>
        <v>0</v>
      </c>
      <c r="N904" s="69">
        <f t="shared" si="29"/>
        <v>0</v>
      </c>
      <c r="O904" s="29">
        <v>11745</v>
      </c>
      <c r="Q904" s="27"/>
      <c r="R904" s="27"/>
      <c r="S904" s="29" t="s">
        <v>2869</v>
      </c>
    </row>
    <row r="905" spans="1:19" s="29" customFormat="1" x14ac:dyDescent="0.3">
      <c r="A905" s="27"/>
      <c r="B905" s="27"/>
      <c r="C905" s="98"/>
      <c r="D905" s="3" t="s">
        <v>2870</v>
      </c>
      <c r="F905" s="3"/>
      <c r="I905" s="108"/>
      <c r="M905" s="69">
        <f t="shared" si="28"/>
        <v>0</v>
      </c>
      <c r="N905" s="69">
        <f t="shared" si="29"/>
        <v>0</v>
      </c>
      <c r="O905" s="29">
        <v>15460</v>
      </c>
      <c r="Q905" s="27"/>
      <c r="R905" s="27"/>
      <c r="S905" s="29" t="s">
        <v>2871</v>
      </c>
    </row>
    <row r="906" spans="1:19" s="29" customFormat="1" x14ac:dyDescent="0.3">
      <c r="A906" s="27"/>
      <c r="B906" s="27"/>
      <c r="C906" s="98"/>
      <c r="D906" s="3"/>
      <c r="F906" s="3"/>
      <c r="I906" s="108"/>
      <c r="M906" s="69">
        <f t="shared" si="28"/>
        <v>0</v>
      </c>
      <c r="N906" s="69">
        <f t="shared" si="29"/>
        <v>0</v>
      </c>
      <c r="O906" s="108">
        <f>SUM(O862:O905)</f>
        <v>536200</v>
      </c>
      <c r="Q906" s="27"/>
      <c r="R906" s="27"/>
    </row>
    <row r="907" spans="1:19" s="29" customFormat="1" x14ac:dyDescent="0.3">
      <c r="A907" s="27"/>
      <c r="B907" s="27"/>
      <c r="C907" s="98"/>
      <c r="D907" s="3"/>
      <c r="F907" s="3"/>
      <c r="I907" s="108"/>
      <c r="M907" s="69">
        <f t="shared" si="28"/>
        <v>0</v>
      </c>
      <c r="N907" s="69">
        <f t="shared" si="29"/>
        <v>0</v>
      </c>
      <c r="O907" s="108"/>
      <c r="Q907" s="27"/>
      <c r="R907" s="27"/>
    </row>
    <row r="908" spans="1:19" s="10" customFormat="1" x14ac:dyDescent="0.3">
      <c r="A908" s="9">
        <v>45224</v>
      </c>
      <c r="B908" s="15" t="str">
        <f>TEXT(A908,"mmmm")</f>
        <v>October</v>
      </c>
      <c r="C908" s="50" t="s">
        <v>2747</v>
      </c>
      <c r="D908" s="10" t="s">
        <v>2748</v>
      </c>
      <c r="E908" s="10">
        <v>1</v>
      </c>
      <c r="F908" s="10" t="s">
        <v>60</v>
      </c>
      <c r="G908" s="10" t="s">
        <v>26</v>
      </c>
      <c r="H908" s="10" t="s">
        <v>10</v>
      </c>
      <c r="I908" s="17">
        <v>15380</v>
      </c>
      <c r="J908" s="10">
        <f>P908*9%</f>
        <v>36</v>
      </c>
      <c r="K908" s="10">
        <f>J908</f>
        <v>36</v>
      </c>
      <c r="L908" s="17"/>
      <c r="M908" s="69">
        <f t="shared" si="28"/>
        <v>72</v>
      </c>
      <c r="N908" s="69">
        <f t="shared" si="29"/>
        <v>15308</v>
      </c>
      <c r="O908" s="17">
        <v>14908</v>
      </c>
      <c r="P908" s="10">
        <v>400</v>
      </c>
      <c r="Q908" s="9" t="s">
        <v>2751</v>
      </c>
      <c r="R908" s="115" t="s">
        <v>2994</v>
      </c>
    </row>
    <row r="909" spans="1:19" s="10" customFormat="1" x14ac:dyDescent="0.3">
      <c r="A909" s="9"/>
      <c r="B909" s="9"/>
      <c r="C909" s="50"/>
      <c r="I909" s="17"/>
      <c r="M909" s="69">
        <f t="shared" si="28"/>
        <v>0</v>
      </c>
      <c r="N909" s="69">
        <f t="shared" si="29"/>
        <v>0</v>
      </c>
      <c r="Q909" s="9"/>
      <c r="R909" s="64"/>
    </row>
    <row r="910" spans="1:19" s="10" customFormat="1" x14ac:dyDescent="0.3">
      <c r="A910" s="9">
        <v>45224</v>
      </c>
      <c r="B910" s="15" t="str">
        <f>TEXT(A910,"mmmm")</f>
        <v>October</v>
      </c>
      <c r="C910" s="50" t="s">
        <v>2752</v>
      </c>
      <c r="D910" s="10" t="s">
        <v>2645</v>
      </c>
      <c r="F910" s="10" t="s">
        <v>2644</v>
      </c>
      <c r="G910" s="10" t="s">
        <v>26</v>
      </c>
      <c r="H910" s="10" t="s">
        <v>10</v>
      </c>
      <c r="I910" s="17">
        <v>15380</v>
      </c>
      <c r="J910" s="10">
        <f>P910*9%</f>
        <v>36</v>
      </c>
      <c r="K910" s="10">
        <f>J910</f>
        <v>36</v>
      </c>
      <c r="L910" s="17"/>
      <c r="M910" s="69">
        <f t="shared" si="28"/>
        <v>72</v>
      </c>
      <c r="N910" s="69">
        <f t="shared" si="29"/>
        <v>15308</v>
      </c>
      <c r="O910" s="17">
        <v>14908</v>
      </c>
      <c r="P910" s="10">
        <v>400</v>
      </c>
      <c r="Q910" s="9" t="s">
        <v>2751</v>
      </c>
      <c r="R910" s="27" t="s">
        <v>2783</v>
      </c>
    </row>
    <row r="911" spans="1:19" s="10" customFormat="1" x14ac:dyDescent="0.3">
      <c r="A911" s="9"/>
      <c r="B911" s="9"/>
      <c r="C911" s="50"/>
      <c r="I911" s="17"/>
      <c r="M911" s="69">
        <f t="shared" si="28"/>
        <v>0</v>
      </c>
      <c r="N911" s="69">
        <f t="shared" si="29"/>
        <v>0</v>
      </c>
      <c r="Q911" s="9"/>
      <c r="R911" s="64"/>
    </row>
    <row r="912" spans="1:19" s="10" customFormat="1" x14ac:dyDescent="0.3">
      <c r="A912" s="9">
        <v>45224</v>
      </c>
      <c r="B912" s="15" t="str">
        <f>TEXT(A912,"mmmm")</f>
        <v>October</v>
      </c>
      <c r="C912" s="50" t="s">
        <v>2753</v>
      </c>
      <c r="D912" s="10" t="s">
        <v>2577</v>
      </c>
      <c r="G912" s="10" t="s">
        <v>26</v>
      </c>
      <c r="H912" s="10" t="s">
        <v>10</v>
      </c>
      <c r="I912" s="17">
        <v>15380</v>
      </c>
      <c r="J912" s="10">
        <f>P912*9%</f>
        <v>36</v>
      </c>
      <c r="K912" s="10">
        <f>J912</f>
        <v>36</v>
      </c>
      <c r="L912" s="17"/>
      <c r="M912" s="69">
        <f t="shared" si="28"/>
        <v>72</v>
      </c>
      <c r="N912" s="69">
        <f t="shared" si="29"/>
        <v>15308</v>
      </c>
      <c r="O912" s="17">
        <v>14908</v>
      </c>
      <c r="P912" s="10">
        <v>400</v>
      </c>
      <c r="Q912" s="9" t="s">
        <v>2751</v>
      </c>
      <c r="R912" s="27" t="s">
        <v>2990</v>
      </c>
    </row>
    <row r="913" spans="1:19" s="29" customFormat="1" x14ac:dyDescent="0.3">
      <c r="A913" s="27"/>
      <c r="B913" s="27"/>
      <c r="C913" s="98"/>
      <c r="D913" s="3"/>
      <c r="F913" s="3"/>
      <c r="I913" s="108"/>
      <c r="M913" s="69">
        <f t="shared" si="28"/>
        <v>0</v>
      </c>
      <c r="N913" s="69">
        <f t="shared" si="29"/>
        <v>0</v>
      </c>
      <c r="O913" s="108"/>
      <c r="Q913" s="27"/>
      <c r="R913" s="62"/>
    </row>
    <row r="914" spans="1:19" s="29" customFormat="1" x14ac:dyDescent="0.3">
      <c r="A914" s="27">
        <v>45225</v>
      </c>
      <c r="B914" s="15" t="str">
        <f>TEXT(A914,"mmmm")</f>
        <v>October</v>
      </c>
      <c r="C914" s="98" t="s">
        <v>2771</v>
      </c>
      <c r="D914" s="3" t="s">
        <v>2549</v>
      </c>
      <c r="E914" s="29">
        <v>1</v>
      </c>
      <c r="F914" s="3"/>
      <c r="G914" s="29" t="s">
        <v>22</v>
      </c>
      <c r="H914" s="29" t="s">
        <v>58</v>
      </c>
      <c r="I914" s="108">
        <f ca="1">SUM(J914:P914)</f>
        <v>9110</v>
      </c>
      <c r="J914" s="29">
        <f>P914*9%</f>
        <v>135</v>
      </c>
      <c r="K914" s="29">
        <f>J914</f>
        <v>135</v>
      </c>
      <c r="M914" s="69">
        <f t="shared" si="28"/>
        <v>270</v>
      </c>
      <c r="N914" s="69">
        <f t="shared" ca="1" si="29"/>
        <v>71580</v>
      </c>
      <c r="O914" s="108">
        <v>7070</v>
      </c>
      <c r="P914" s="29">
        <v>1500</v>
      </c>
      <c r="Q914" s="97">
        <v>45243</v>
      </c>
      <c r="R914" s="62">
        <v>45225</v>
      </c>
      <c r="S914" s="29" t="s">
        <v>2792</v>
      </c>
    </row>
    <row r="915" spans="1:19" s="29" customFormat="1" x14ac:dyDescent="0.3">
      <c r="A915" s="27"/>
      <c r="B915" s="27"/>
      <c r="C915" s="98"/>
      <c r="D915" s="3"/>
      <c r="F915" s="3"/>
      <c r="I915" s="108"/>
      <c r="M915" s="69">
        <f t="shared" si="28"/>
        <v>0</v>
      </c>
      <c r="N915" s="69">
        <f t="shared" si="29"/>
        <v>0</v>
      </c>
      <c r="O915" s="108"/>
      <c r="Q915" s="62"/>
      <c r="R915" s="62"/>
    </row>
    <row r="916" spans="1:19" s="29" customFormat="1" x14ac:dyDescent="0.3">
      <c r="A916" s="27">
        <v>45226</v>
      </c>
      <c r="B916" s="15" t="str">
        <f>TEXT(A916,"mmmm")</f>
        <v>October</v>
      </c>
      <c r="C916" s="98" t="s">
        <v>2778</v>
      </c>
      <c r="D916" s="3" t="s">
        <v>847</v>
      </c>
      <c r="E916" s="29">
        <v>5</v>
      </c>
      <c r="F916" s="3"/>
      <c r="G916" s="29" t="s">
        <v>26</v>
      </c>
      <c r="H916" s="29" t="s">
        <v>10</v>
      </c>
      <c r="I916" s="108">
        <v>17158</v>
      </c>
      <c r="J916" s="29">
        <f>P916*9%</f>
        <v>90</v>
      </c>
      <c r="K916" s="29">
        <f>J916</f>
        <v>90</v>
      </c>
      <c r="M916" s="69">
        <f t="shared" si="28"/>
        <v>180</v>
      </c>
      <c r="N916" s="69">
        <f t="shared" si="29"/>
        <v>16978</v>
      </c>
      <c r="O916" s="108">
        <v>15978</v>
      </c>
      <c r="P916" s="29">
        <v>1000</v>
      </c>
      <c r="Q916" s="62" t="s">
        <v>3106</v>
      </c>
      <c r="R916" s="97" t="s">
        <v>2850</v>
      </c>
      <c r="S916" s="29" t="s">
        <v>2779</v>
      </c>
    </row>
    <row r="917" spans="1:19" s="29" customFormat="1" x14ac:dyDescent="0.3">
      <c r="A917" s="27"/>
      <c r="B917" s="27"/>
      <c r="C917" s="98"/>
      <c r="D917" s="3"/>
      <c r="F917" s="3"/>
      <c r="I917" s="108"/>
      <c r="M917" s="69">
        <f t="shared" si="28"/>
        <v>0</v>
      </c>
      <c r="N917" s="69">
        <f t="shared" si="29"/>
        <v>0</v>
      </c>
      <c r="Q917" s="27"/>
      <c r="R917" s="62"/>
      <c r="S917" s="29" t="s">
        <v>2780</v>
      </c>
    </row>
    <row r="918" spans="1:19" s="29" customFormat="1" x14ac:dyDescent="0.3">
      <c r="A918" s="27"/>
      <c r="B918" s="27"/>
      <c r="C918" s="98"/>
      <c r="D918" s="3"/>
      <c r="F918" s="3"/>
      <c r="I918" s="108"/>
      <c r="M918" s="69">
        <f t="shared" si="28"/>
        <v>0</v>
      </c>
      <c r="N918" s="69">
        <f t="shared" si="29"/>
        <v>0</v>
      </c>
      <c r="O918" s="108"/>
      <c r="Q918" s="27"/>
      <c r="R918" s="62"/>
    </row>
    <row r="919" spans="1:19" s="29" customFormat="1" x14ac:dyDescent="0.3">
      <c r="A919" s="27">
        <v>45226</v>
      </c>
      <c r="B919" s="15" t="str">
        <f>TEXT(A919,"mmmm")</f>
        <v>October</v>
      </c>
      <c r="C919" s="98" t="s">
        <v>2784</v>
      </c>
      <c r="D919" s="3" t="s">
        <v>2785</v>
      </c>
      <c r="E919" s="29">
        <v>5</v>
      </c>
      <c r="F919" s="3"/>
      <c r="G919" s="29" t="s">
        <v>26</v>
      </c>
      <c r="H919" s="29" t="s">
        <v>10</v>
      </c>
      <c r="I919" s="108">
        <v>17158</v>
      </c>
      <c r="J919" s="29">
        <f>P919*9%</f>
        <v>90</v>
      </c>
      <c r="K919" s="29">
        <f>J919</f>
        <v>90</v>
      </c>
      <c r="M919" s="69">
        <f t="shared" si="28"/>
        <v>180</v>
      </c>
      <c r="N919" s="69">
        <f t="shared" si="29"/>
        <v>16978</v>
      </c>
      <c r="O919" s="108">
        <v>15978</v>
      </c>
      <c r="P919" s="29">
        <v>1000</v>
      </c>
      <c r="Q919" s="62" t="s">
        <v>2991</v>
      </c>
      <c r="R919" s="97" t="s">
        <v>2850</v>
      </c>
      <c r="S919" s="29" t="s">
        <v>2779</v>
      </c>
    </row>
    <row r="920" spans="1:19" s="29" customFormat="1" x14ac:dyDescent="0.3">
      <c r="A920" s="27"/>
      <c r="B920" s="27"/>
      <c r="C920" s="98"/>
      <c r="D920" s="3"/>
      <c r="F920" s="3"/>
      <c r="I920" s="108"/>
      <c r="M920" s="69">
        <f t="shared" si="28"/>
        <v>0</v>
      </c>
      <c r="N920" s="69">
        <f t="shared" si="29"/>
        <v>0</v>
      </c>
      <c r="Q920" s="27"/>
      <c r="R920" s="62"/>
      <c r="S920" s="29" t="s">
        <v>2780</v>
      </c>
    </row>
    <row r="921" spans="1:19" s="29" customFormat="1" x14ac:dyDescent="0.3">
      <c r="A921" s="27"/>
      <c r="B921" s="27"/>
      <c r="C921" s="98"/>
      <c r="D921" s="3"/>
      <c r="F921" s="3"/>
      <c r="I921" s="108"/>
      <c r="M921" s="69">
        <f t="shared" si="28"/>
        <v>0</v>
      </c>
      <c r="N921" s="69">
        <f t="shared" si="29"/>
        <v>0</v>
      </c>
      <c r="O921" s="108"/>
      <c r="Q921" s="27"/>
      <c r="R921" s="62"/>
    </row>
    <row r="922" spans="1:19" s="29" customFormat="1" x14ac:dyDescent="0.3">
      <c r="A922" s="27">
        <v>45226</v>
      </c>
      <c r="B922" s="15" t="str">
        <f>TEXT(A922,"mmmm")</f>
        <v>October</v>
      </c>
      <c r="C922" s="98" t="s">
        <v>2786</v>
      </c>
      <c r="D922" s="3" t="s">
        <v>2787</v>
      </c>
      <c r="E922" s="29">
        <v>5</v>
      </c>
      <c r="F922" s="3"/>
      <c r="G922" s="29" t="s">
        <v>26</v>
      </c>
      <c r="H922" s="29" t="s">
        <v>10</v>
      </c>
      <c r="I922" s="108">
        <v>17158</v>
      </c>
      <c r="J922" s="29">
        <f>P922*9%</f>
        <v>90</v>
      </c>
      <c r="K922" s="29">
        <f>J922</f>
        <v>90</v>
      </c>
      <c r="M922" s="69">
        <f t="shared" si="28"/>
        <v>180</v>
      </c>
      <c r="N922" s="69">
        <f t="shared" si="29"/>
        <v>16978</v>
      </c>
      <c r="O922" s="108">
        <v>15978</v>
      </c>
      <c r="P922" s="29">
        <v>1000</v>
      </c>
      <c r="Q922" s="62">
        <v>45240</v>
      </c>
      <c r="R922" s="97" t="s">
        <v>2850</v>
      </c>
      <c r="S922" s="29" t="s">
        <v>2779</v>
      </c>
    </row>
    <row r="923" spans="1:19" s="29" customFormat="1" x14ac:dyDescent="0.3">
      <c r="A923" s="27"/>
      <c r="B923" s="27"/>
      <c r="C923" s="98"/>
      <c r="D923" s="3"/>
      <c r="F923" s="3"/>
      <c r="I923" s="108"/>
      <c r="M923" s="69">
        <f t="shared" si="28"/>
        <v>0</v>
      </c>
      <c r="N923" s="69">
        <f t="shared" si="29"/>
        <v>0</v>
      </c>
      <c r="Q923" s="27" t="s">
        <v>191</v>
      </c>
      <c r="R923" s="62"/>
      <c r="S923" s="29" t="s">
        <v>2780</v>
      </c>
    </row>
    <row r="924" spans="1:19" s="29" customFormat="1" x14ac:dyDescent="0.3">
      <c r="A924" s="27"/>
      <c r="B924" s="27"/>
      <c r="C924" s="98"/>
      <c r="D924" s="3"/>
      <c r="F924" s="3"/>
      <c r="I924" s="108"/>
      <c r="M924" s="69">
        <f t="shared" si="28"/>
        <v>0</v>
      </c>
      <c r="N924" s="69">
        <f t="shared" si="29"/>
        <v>0</v>
      </c>
      <c r="O924" s="108"/>
      <c r="Q924" s="27"/>
      <c r="R924" s="62"/>
    </row>
    <row r="925" spans="1:19" s="29" customFormat="1" x14ac:dyDescent="0.3">
      <c r="A925" s="27">
        <v>45226</v>
      </c>
      <c r="B925" s="15" t="str">
        <f>TEXT(A925,"mmmm")</f>
        <v>October</v>
      </c>
      <c r="C925" s="98" t="s">
        <v>2788</v>
      </c>
      <c r="D925" s="3" t="s">
        <v>2789</v>
      </c>
      <c r="E925" s="29">
        <v>5</v>
      </c>
      <c r="F925" s="3"/>
      <c r="G925" s="29" t="s">
        <v>26</v>
      </c>
      <c r="H925" s="29" t="s">
        <v>10</v>
      </c>
      <c r="I925" s="108">
        <v>17158</v>
      </c>
      <c r="J925" s="29">
        <f>P925*9%</f>
        <v>90</v>
      </c>
      <c r="K925" s="29">
        <f>J925</f>
        <v>90</v>
      </c>
      <c r="M925" s="69">
        <f t="shared" si="28"/>
        <v>180</v>
      </c>
      <c r="N925" s="69">
        <f t="shared" si="29"/>
        <v>16978</v>
      </c>
      <c r="O925" s="108">
        <v>15978</v>
      </c>
      <c r="P925" s="29">
        <v>1000</v>
      </c>
      <c r="Q925" s="62" t="s">
        <v>2991</v>
      </c>
      <c r="R925" s="97" t="s">
        <v>2850</v>
      </c>
      <c r="S925" s="29" t="s">
        <v>2779</v>
      </c>
    </row>
    <row r="926" spans="1:19" s="29" customFormat="1" x14ac:dyDescent="0.3">
      <c r="A926" s="27"/>
      <c r="B926" s="27"/>
      <c r="C926" s="98"/>
      <c r="D926" s="3"/>
      <c r="F926" s="3"/>
      <c r="I926" s="108"/>
      <c r="M926" s="69">
        <f t="shared" si="28"/>
        <v>0</v>
      </c>
      <c r="N926" s="69">
        <f t="shared" si="29"/>
        <v>0</v>
      </c>
      <c r="Q926" s="27"/>
      <c r="R926" s="62"/>
      <c r="S926" s="29" t="s">
        <v>2780</v>
      </c>
    </row>
    <row r="927" spans="1:19" s="29" customFormat="1" x14ac:dyDescent="0.3">
      <c r="A927" s="27"/>
      <c r="B927" s="27"/>
      <c r="C927" s="98"/>
      <c r="D927" s="3"/>
      <c r="F927" s="3"/>
      <c r="I927" s="108"/>
      <c r="M927" s="69">
        <f t="shared" si="28"/>
        <v>0</v>
      </c>
      <c r="N927" s="69">
        <f t="shared" si="29"/>
        <v>0</v>
      </c>
      <c r="O927" s="108"/>
      <c r="Q927" s="27"/>
      <c r="R927" s="62"/>
    </row>
    <row r="928" spans="1:19" s="29" customFormat="1" x14ac:dyDescent="0.3">
      <c r="A928" s="27">
        <v>45226</v>
      </c>
      <c r="B928" s="15" t="str">
        <f>TEXT(A928,"mmmm")</f>
        <v>October</v>
      </c>
      <c r="C928" s="98" t="s">
        <v>2790</v>
      </c>
      <c r="D928" s="3" t="s">
        <v>2791</v>
      </c>
      <c r="E928" s="29">
        <v>5</v>
      </c>
      <c r="F928" s="3"/>
      <c r="G928" s="29" t="s">
        <v>26</v>
      </c>
      <c r="H928" s="29" t="s">
        <v>10</v>
      </c>
      <c r="I928" s="108">
        <v>17158</v>
      </c>
      <c r="J928" s="29">
        <f>P928*9%</f>
        <v>90</v>
      </c>
      <c r="K928" s="29">
        <f>J928</f>
        <v>90</v>
      </c>
      <c r="M928" s="69">
        <f t="shared" si="28"/>
        <v>180</v>
      </c>
      <c r="N928" s="69">
        <f t="shared" si="29"/>
        <v>16978</v>
      </c>
      <c r="O928" s="108">
        <v>15978</v>
      </c>
      <c r="P928" s="29">
        <v>1000</v>
      </c>
      <c r="Q928" s="62" t="s">
        <v>2991</v>
      </c>
      <c r="R928" s="97" t="s">
        <v>2850</v>
      </c>
      <c r="S928" s="29" t="s">
        <v>2779</v>
      </c>
    </row>
    <row r="929" spans="1:19" s="29" customFormat="1" x14ac:dyDescent="0.3">
      <c r="A929" s="27"/>
      <c r="B929" s="27"/>
      <c r="C929" s="98"/>
      <c r="D929" s="3"/>
      <c r="F929" s="3"/>
      <c r="I929" s="108"/>
      <c r="M929" s="69">
        <f t="shared" si="28"/>
        <v>0</v>
      </c>
      <c r="N929" s="69">
        <f t="shared" si="29"/>
        <v>0</v>
      </c>
      <c r="Q929" s="27"/>
      <c r="R929" s="62"/>
      <c r="S929" s="29" t="s">
        <v>2780</v>
      </c>
    </row>
    <row r="930" spans="1:19" s="29" customFormat="1" x14ac:dyDescent="0.3">
      <c r="A930" s="27"/>
      <c r="B930" s="27"/>
      <c r="C930" s="98"/>
      <c r="D930" s="3"/>
      <c r="F930" s="3"/>
      <c r="I930" s="108"/>
      <c r="M930" s="69">
        <f t="shared" si="28"/>
        <v>0</v>
      </c>
      <c r="N930" s="69">
        <f t="shared" si="29"/>
        <v>0</v>
      </c>
      <c r="Q930" s="27"/>
      <c r="R930" s="62"/>
    </row>
    <row r="931" spans="1:19" s="29" customFormat="1" x14ac:dyDescent="0.3">
      <c r="A931" s="27">
        <v>45227</v>
      </c>
      <c r="B931" s="15" t="str">
        <f>TEXT(A931,"mmmm")</f>
        <v>October</v>
      </c>
      <c r="C931" s="29" t="s">
        <v>2793</v>
      </c>
      <c r="D931" s="3" t="s">
        <v>2794</v>
      </c>
      <c r="E931" s="29">
        <v>1</v>
      </c>
      <c r="F931" s="3" t="s">
        <v>54</v>
      </c>
      <c r="G931" s="29" t="s">
        <v>24</v>
      </c>
      <c r="H931" s="29" t="s">
        <v>10</v>
      </c>
      <c r="I931" s="108">
        <v>36744</v>
      </c>
      <c r="J931" s="29">
        <f>P931*9%</f>
        <v>270</v>
      </c>
      <c r="K931" s="29">
        <f>J931</f>
        <v>270</v>
      </c>
      <c r="M931" s="69">
        <f t="shared" si="28"/>
        <v>540</v>
      </c>
      <c r="N931" s="69">
        <f t="shared" si="29"/>
        <v>36204</v>
      </c>
      <c r="O931" s="29">
        <v>21038</v>
      </c>
      <c r="P931" s="29">
        <v>3000</v>
      </c>
      <c r="Q931" s="62" t="s">
        <v>2955</v>
      </c>
      <c r="R931" s="27" t="s">
        <v>2890</v>
      </c>
      <c r="S931" s="29" t="s">
        <v>2798</v>
      </c>
    </row>
    <row r="932" spans="1:19" s="29" customFormat="1" x14ac:dyDescent="0.3">
      <c r="A932" s="27"/>
      <c r="B932" s="27"/>
      <c r="C932" s="98"/>
      <c r="D932" s="3"/>
      <c r="F932" s="3"/>
      <c r="I932" s="108"/>
      <c r="M932" s="69">
        <f t="shared" si="28"/>
        <v>0</v>
      </c>
      <c r="N932" s="69">
        <f t="shared" si="29"/>
        <v>0</v>
      </c>
      <c r="O932" s="29">
        <v>12166</v>
      </c>
      <c r="Q932" s="27"/>
      <c r="R932" s="62"/>
      <c r="S932" s="29" t="s">
        <v>2799</v>
      </c>
    </row>
    <row r="933" spans="1:19" s="29" customFormat="1" x14ac:dyDescent="0.3">
      <c r="A933" s="27"/>
      <c r="B933" s="27"/>
      <c r="C933" s="98"/>
      <c r="D933" s="3"/>
      <c r="F933" s="3"/>
      <c r="I933" s="108"/>
      <c r="M933" s="69">
        <f t="shared" si="28"/>
        <v>0</v>
      </c>
      <c r="N933" s="69">
        <f t="shared" si="29"/>
        <v>0</v>
      </c>
      <c r="O933" s="108">
        <f>SUM(O931:O932)</f>
        <v>33204</v>
      </c>
      <c r="Q933" s="27"/>
      <c r="R933" s="62"/>
    </row>
    <row r="934" spans="1:19" s="29" customFormat="1" x14ac:dyDescent="0.3">
      <c r="A934" s="27"/>
      <c r="B934" s="27"/>
      <c r="C934" s="98"/>
      <c r="D934" s="3"/>
      <c r="F934" s="3"/>
      <c r="I934" s="108"/>
      <c r="M934" s="69">
        <f t="shared" si="28"/>
        <v>0</v>
      </c>
      <c r="N934" s="69">
        <f t="shared" si="29"/>
        <v>0</v>
      </c>
      <c r="Q934" s="27"/>
      <c r="R934" s="62"/>
    </row>
    <row r="935" spans="1:19" s="17" customFormat="1" ht="39.6" x14ac:dyDescent="0.3">
      <c r="A935" s="142">
        <v>45231</v>
      </c>
      <c r="B935" s="15" t="str">
        <f>TEXT(A935,"mmmm")</f>
        <v>November</v>
      </c>
      <c r="C935" s="51" t="s">
        <v>2843</v>
      </c>
      <c r="D935" s="112" t="s">
        <v>2847</v>
      </c>
      <c r="F935" s="17" t="s">
        <v>54</v>
      </c>
      <c r="G935" s="51" t="s">
        <v>26</v>
      </c>
      <c r="H935" s="51" t="s">
        <v>10</v>
      </c>
      <c r="I935" s="10">
        <v>45989</v>
      </c>
      <c r="J935" s="10">
        <v>189</v>
      </c>
      <c r="K935" s="10">
        <v>189</v>
      </c>
      <c r="L935" s="10"/>
      <c r="M935" s="69">
        <f t="shared" si="28"/>
        <v>378</v>
      </c>
      <c r="N935" s="69">
        <f t="shared" si="29"/>
        <v>45611</v>
      </c>
      <c r="O935" s="17">
        <v>43511</v>
      </c>
      <c r="P935" s="10">
        <v>2100</v>
      </c>
      <c r="Q935" s="144" t="s">
        <v>3095</v>
      </c>
      <c r="R935" s="144"/>
      <c r="S935" s="145" t="s">
        <v>2848</v>
      </c>
    </row>
    <row r="936" spans="1:19" s="17" customFormat="1" ht="39.6" x14ac:dyDescent="0.3">
      <c r="A936" s="142"/>
      <c r="B936" s="142"/>
      <c r="C936" s="51"/>
      <c r="D936" s="112" t="s">
        <v>2866</v>
      </c>
      <c r="G936" s="51"/>
      <c r="H936" s="51"/>
      <c r="I936" s="10"/>
      <c r="M936" s="69">
        <f t="shared" si="28"/>
        <v>0</v>
      </c>
      <c r="N936" s="69">
        <f t="shared" si="29"/>
        <v>0</v>
      </c>
      <c r="Q936" s="47" t="s">
        <v>3133</v>
      </c>
      <c r="R936" s="144"/>
      <c r="S936" s="145" t="s">
        <v>2905</v>
      </c>
    </row>
    <row r="937" spans="1:19" s="17" customFormat="1" ht="39.6" x14ac:dyDescent="0.3">
      <c r="A937" s="142"/>
      <c r="B937" s="142"/>
      <c r="C937" s="51"/>
      <c r="D937" s="112" t="s">
        <v>2867</v>
      </c>
      <c r="G937" s="51"/>
      <c r="H937" s="51"/>
      <c r="I937" s="10"/>
      <c r="M937" s="69">
        <f t="shared" si="28"/>
        <v>0</v>
      </c>
      <c r="N937" s="69">
        <f t="shared" si="29"/>
        <v>0</v>
      </c>
      <c r="Q937" s="144"/>
      <c r="R937" s="144"/>
      <c r="S937" s="145" t="s">
        <v>2904</v>
      </c>
    </row>
    <row r="938" spans="1:19" s="17" customFormat="1" ht="39.6" x14ac:dyDescent="0.3">
      <c r="A938" s="142"/>
      <c r="B938" s="142"/>
      <c r="C938" s="51"/>
      <c r="D938" s="112" t="s">
        <v>2883</v>
      </c>
      <c r="G938" s="51"/>
      <c r="H938" s="51"/>
      <c r="I938" s="10"/>
      <c r="M938" s="69">
        <f t="shared" si="28"/>
        <v>0</v>
      </c>
      <c r="N938" s="69">
        <f t="shared" si="29"/>
        <v>0</v>
      </c>
      <c r="Q938" s="144"/>
      <c r="R938" s="144"/>
      <c r="S938" s="145" t="s">
        <v>2968</v>
      </c>
    </row>
    <row r="939" spans="1:19" s="17" customFormat="1" x14ac:dyDescent="0.3">
      <c r="A939" s="142"/>
      <c r="B939" s="142"/>
      <c r="C939" s="51"/>
      <c r="D939" s="112" t="s">
        <v>2965</v>
      </c>
      <c r="G939" s="51"/>
      <c r="H939" s="51"/>
      <c r="I939" s="10"/>
      <c r="M939" s="69">
        <f t="shared" si="28"/>
        <v>0</v>
      </c>
      <c r="N939" s="69">
        <f t="shared" si="29"/>
        <v>0</v>
      </c>
      <c r="Q939" s="144"/>
      <c r="R939" s="144"/>
      <c r="S939" s="145"/>
    </row>
    <row r="940" spans="1:19" s="17" customFormat="1" x14ac:dyDescent="0.3">
      <c r="A940" s="142"/>
      <c r="B940" s="142"/>
      <c r="C940" s="51"/>
      <c r="D940" s="17" t="s">
        <v>2903</v>
      </c>
      <c r="M940" s="69">
        <f t="shared" si="28"/>
        <v>0</v>
      </c>
      <c r="N940" s="69">
        <f t="shared" si="29"/>
        <v>0</v>
      </c>
      <c r="Q940" s="142"/>
      <c r="R940" s="144"/>
    </row>
    <row r="941" spans="1:19" s="29" customFormat="1" x14ac:dyDescent="0.3">
      <c r="A941" s="27"/>
      <c r="B941" s="27"/>
      <c r="C941" s="98"/>
      <c r="D941" s="3"/>
      <c r="F941" s="3"/>
      <c r="I941" s="108"/>
      <c r="M941" s="69">
        <f t="shared" si="28"/>
        <v>0</v>
      </c>
      <c r="N941" s="69">
        <f t="shared" si="29"/>
        <v>0</v>
      </c>
      <c r="Q941" s="27"/>
      <c r="R941" s="62"/>
    </row>
    <row r="942" spans="1:19" s="29" customFormat="1" x14ac:dyDescent="0.3">
      <c r="A942" s="27">
        <v>45232</v>
      </c>
      <c r="B942" s="15" t="str">
        <f>TEXT(A942,"mmmm")</f>
        <v>November</v>
      </c>
      <c r="C942" s="98" t="s">
        <v>2873</v>
      </c>
      <c r="D942" s="3" t="s">
        <v>2874</v>
      </c>
      <c r="E942" s="29">
        <v>1</v>
      </c>
      <c r="F942" s="3"/>
      <c r="G942" s="29" t="s">
        <v>26</v>
      </c>
      <c r="H942" s="29" t="s">
        <v>10</v>
      </c>
      <c r="I942" s="29">
        <v>10743</v>
      </c>
      <c r="L942" s="29">
        <v>19</v>
      </c>
      <c r="M942" s="69">
        <f t="shared" si="28"/>
        <v>19</v>
      </c>
      <c r="N942" s="69">
        <f t="shared" si="29"/>
        <v>10724</v>
      </c>
      <c r="O942" s="29">
        <v>4205</v>
      </c>
      <c r="P942" s="29">
        <v>101</v>
      </c>
      <c r="Q942" s="111" t="s">
        <v>2953</v>
      </c>
      <c r="R942" s="62" t="s">
        <v>2877</v>
      </c>
      <c r="S942" s="29" t="s">
        <v>2875</v>
      </c>
    </row>
    <row r="943" spans="1:19" s="29" customFormat="1" x14ac:dyDescent="0.3">
      <c r="A943" s="27"/>
      <c r="B943" s="27"/>
      <c r="C943" s="98"/>
      <c r="D943" s="3"/>
      <c r="F943" s="3"/>
      <c r="G943" s="29">
        <f>19*500</f>
        <v>9500</v>
      </c>
      <c r="I943" s="108"/>
      <c r="M943" s="69">
        <f t="shared" si="28"/>
        <v>0</v>
      </c>
      <c r="N943" s="69">
        <f t="shared" si="29"/>
        <v>0</v>
      </c>
      <c r="O943" s="29">
        <v>6418</v>
      </c>
      <c r="Q943" s="27" t="s">
        <v>191</v>
      </c>
      <c r="R943" s="111">
        <f>496+697</f>
        <v>1193</v>
      </c>
      <c r="S943" s="29" t="s">
        <v>2876</v>
      </c>
    </row>
    <row r="944" spans="1:19" s="29" customFormat="1" ht="39.6" x14ac:dyDescent="0.3">
      <c r="A944" s="27"/>
      <c r="B944" s="27"/>
      <c r="C944" s="98"/>
      <c r="D944" s="3"/>
      <c r="F944" s="3"/>
      <c r="I944" s="108"/>
      <c r="M944" s="69">
        <f t="shared" si="28"/>
        <v>0</v>
      </c>
      <c r="N944" s="69">
        <f t="shared" si="29"/>
        <v>0</v>
      </c>
      <c r="O944" s="108">
        <f>SUM(O942:O943)</f>
        <v>10623</v>
      </c>
      <c r="Q944" s="27"/>
      <c r="R944" s="62" t="s">
        <v>2891</v>
      </c>
      <c r="S944" s="110" t="s">
        <v>2885</v>
      </c>
    </row>
    <row r="945" spans="1:19" s="29" customFormat="1" x14ac:dyDescent="0.3">
      <c r="A945" s="27"/>
      <c r="B945" s="27"/>
      <c r="C945" s="98"/>
      <c r="D945" s="3"/>
      <c r="F945" s="3"/>
      <c r="I945" s="108"/>
      <c r="M945" s="69">
        <f t="shared" si="28"/>
        <v>0</v>
      </c>
      <c r="N945" s="69">
        <f t="shared" si="29"/>
        <v>0</v>
      </c>
      <c r="Q945" s="27"/>
      <c r="R945" s="62"/>
    </row>
    <row r="946" spans="1:19" s="29" customFormat="1" ht="39.6" x14ac:dyDescent="0.3">
      <c r="A946" s="27">
        <v>45232</v>
      </c>
      <c r="B946" s="15" t="str">
        <f>TEXT(A946,"mmmm")</f>
        <v>November</v>
      </c>
      <c r="C946" s="29" t="s">
        <v>2878</v>
      </c>
      <c r="D946" s="3" t="s">
        <v>2879</v>
      </c>
      <c r="F946" s="3" t="s">
        <v>54</v>
      </c>
      <c r="G946" s="29" t="s">
        <v>26</v>
      </c>
      <c r="H946" s="29" t="s">
        <v>10</v>
      </c>
      <c r="I946" s="108">
        <v>237116</v>
      </c>
      <c r="J946" s="29">
        <f>P946*9%</f>
        <v>1890</v>
      </c>
      <c r="K946" s="29">
        <f>J946</f>
        <v>1890</v>
      </c>
      <c r="M946" s="69">
        <f t="shared" si="28"/>
        <v>3780</v>
      </c>
      <c r="N946" s="69">
        <f t="shared" si="29"/>
        <v>233336</v>
      </c>
      <c r="O946" s="29">
        <v>5349</v>
      </c>
      <c r="P946" s="29">
        <f>350*20+500*8+1000*7+3000</f>
        <v>21000</v>
      </c>
      <c r="Q946" s="97">
        <v>45240</v>
      </c>
      <c r="R946" s="62" t="s">
        <v>2981</v>
      </c>
      <c r="S946" s="29" t="s">
        <v>2880</v>
      </c>
    </row>
    <row r="947" spans="1:19" s="29" customFormat="1" x14ac:dyDescent="0.3">
      <c r="A947" s="27"/>
      <c r="B947" s="27"/>
      <c r="C947" s="98"/>
      <c r="D947" s="125" t="s">
        <v>2882</v>
      </c>
      <c r="F947" s="3"/>
      <c r="I947" s="108"/>
      <c r="M947" s="69">
        <f t="shared" si="28"/>
        <v>0</v>
      </c>
      <c r="N947" s="69">
        <f t="shared" si="29"/>
        <v>0</v>
      </c>
      <c r="O947" s="29">
        <v>10901</v>
      </c>
      <c r="Q947" s="27"/>
      <c r="R947" s="111">
        <f>-8295-6922-8118-6729-11128</f>
        <v>-41192</v>
      </c>
      <c r="S947" s="29" t="s">
        <v>2881</v>
      </c>
    </row>
    <row r="948" spans="1:19" s="29" customFormat="1" x14ac:dyDescent="0.3">
      <c r="A948" s="27"/>
      <c r="B948" s="27"/>
      <c r="C948" s="98"/>
      <c r="D948" s="125" t="s">
        <v>2883</v>
      </c>
      <c r="F948" s="3"/>
      <c r="I948" s="108"/>
      <c r="M948" s="69">
        <f t="shared" si="28"/>
        <v>0</v>
      </c>
      <c r="N948" s="69">
        <f t="shared" si="29"/>
        <v>0</v>
      </c>
      <c r="O948" s="29">
        <v>12097</v>
      </c>
      <c r="Q948" s="27"/>
      <c r="R948" s="62"/>
      <c r="S948" s="29" t="s">
        <v>2884</v>
      </c>
    </row>
    <row r="949" spans="1:19" s="29" customFormat="1" x14ac:dyDescent="0.3">
      <c r="A949" s="27"/>
      <c r="B949" s="27"/>
      <c r="C949" s="98"/>
      <c r="D949" s="75" t="s">
        <v>2886</v>
      </c>
      <c r="F949" s="3"/>
      <c r="I949" s="108"/>
      <c r="M949" s="69">
        <f t="shared" si="28"/>
        <v>0</v>
      </c>
      <c r="N949" s="69">
        <f t="shared" si="29"/>
        <v>0</v>
      </c>
      <c r="O949" s="29">
        <v>1565</v>
      </c>
      <c r="Q949" s="27"/>
      <c r="R949" s="62"/>
      <c r="S949" s="29" t="s">
        <v>2889</v>
      </c>
    </row>
    <row r="950" spans="1:19" s="29" customFormat="1" x14ac:dyDescent="0.3">
      <c r="A950" s="27"/>
      <c r="B950" s="27"/>
      <c r="C950" s="98"/>
      <c r="D950" s="3" t="s">
        <v>2887</v>
      </c>
      <c r="F950" s="3"/>
      <c r="I950" s="108"/>
      <c r="M950" s="69">
        <f t="shared" si="28"/>
        <v>0</v>
      </c>
      <c r="N950" s="69">
        <f t="shared" si="29"/>
        <v>0</v>
      </c>
      <c r="O950" s="29">
        <v>5582</v>
      </c>
      <c r="Q950" s="27"/>
      <c r="R950" s="62"/>
      <c r="S950" s="29" t="s">
        <v>2888</v>
      </c>
    </row>
    <row r="951" spans="1:19" s="29" customFormat="1" x14ac:dyDescent="0.3">
      <c r="A951" s="27"/>
      <c r="B951" s="27"/>
      <c r="C951" s="98"/>
      <c r="D951" s="3" t="s">
        <v>2892</v>
      </c>
      <c r="F951" s="3"/>
      <c r="I951" s="108"/>
      <c r="M951" s="69">
        <f t="shared" si="28"/>
        <v>0</v>
      </c>
      <c r="N951" s="69">
        <f t="shared" si="29"/>
        <v>0</v>
      </c>
      <c r="O951" s="29">
        <v>9430</v>
      </c>
      <c r="Q951" s="27"/>
      <c r="R951" s="62"/>
      <c r="S951" s="29" t="s">
        <v>2894</v>
      </c>
    </row>
    <row r="952" spans="1:19" s="29" customFormat="1" x14ac:dyDescent="0.3">
      <c r="A952" s="27"/>
      <c r="B952" s="27"/>
      <c r="C952" s="98"/>
      <c r="D952" s="3" t="s">
        <v>2893</v>
      </c>
      <c r="F952" s="3"/>
      <c r="I952" s="108"/>
      <c r="M952" s="69">
        <f t="shared" si="28"/>
        <v>0</v>
      </c>
      <c r="N952" s="69">
        <f t="shared" si="29"/>
        <v>0</v>
      </c>
      <c r="O952" s="29">
        <v>7613</v>
      </c>
      <c r="Q952" s="27"/>
      <c r="R952" s="62"/>
      <c r="S952" s="29" t="s">
        <v>2895</v>
      </c>
    </row>
    <row r="953" spans="1:19" s="29" customFormat="1" x14ac:dyDescent="0.3">
      <c r="A953" s="27"/>
      <c r="B953" s="27"/>
      <c r="C953" s="98"/>
      <c r="D953" s="3" t="s">
        <v>2870</v>
      </c>
      <c r="F953" s="3"/>
      <c r="I953" s="108"/>
      <c r="M953" s="69">
        <f t="shared" si="28"/>
        <v>0</v>
      </c>
      <c r="N953" s="69">
        <f t="shared" si="29"/>
        <v>0</v>
      </c>
      <c r="O953" s="29">
        <v>19382</v>
      </c>
      <c r="Q953" s="27"/>
      <c r="R953" s="62"/>
      <c r="S953" s="29" t="s">
        <v>2896</v>
      </c>
    </row>
    <row r="954" spans="1:19" s="29" customFormat="1" x14ac:dyDescent="0.3">
      <c r="A954" s="27"/>
      <c r="B954" s="27"/>
      <c r="C954" s="98"/>
      <c r="D954" s="3" t="s">
        <v>2897</v>
      </c>
      <c r="F954" s="3"/>
      <c r="I954" s="108"/>
      <c r="M954" s="69">
        <f t="shared" si="28"/>
        <v>0</v>
      </c>
      <c r="N954" s="69">
        <f t="shared" si="29"/>
        <v>0</v>
      </c>
      <c r="O954" s="29">
        <v>17569</v>
      </c>
      <c r="Q954" s="27"/>
      <c r="R954" s="62"/>
      <c r="S954" s="29" t="s">
        <v>2899</v>
      </c>
    </row>
    <row r="955" spans="1:19" s="29" customFormat="1" x14ac:dyDescent="0.3">
      <c r="A955" s="27"/>
      <c r="B955" s="27"/>
      <c r="C955" s="98"/>
      <c r="D955" s="125" t="s">
        <v>2898</v>
      </c>
      <c r="F955" s="3"/>
      <c r="I955" s="108"/>
      <c r="M955" s="69">
        <f t="shared" si="28"/>
        <v>0</v>
      </c>
      <c r="N955" s="69">
        <f t="shared" si="29"/>
        <v>0</v>
      </c>
      <c r="O955" s="29">
        <v>12097</v>
      </c>
      <c r="Q955" s="27"/>
      <c r="R955" s="62"/>
      <c r="S955" s="29" t="s">
        <v>2900</v>
      </c>
    </row>
    <row r="956" spans="1:19" s="29" customFormat="1" x14ac:dyDescent="0.3">
      <c r="A956" s="27"/>
      <c r="B956" s="27"/>
      <c r="C956" s="98"/>
      <c r="D956" s="3" t="s">
        <v>2883</v>
      </c>
      <c r="F956" s="3"/>
      <c r="I956" s="108"/>
      <c r="M956" s="69">
        <f t="shared" si="28"/>
        <v>0</v>
      </c>
      <c r="N956" s="69">
        <f t="shared" si="29"/>
        <v>0</v>
      </c>
      <c r="O956" s="29">
        <v>8102</v>
      </c>
      <c r="Q956" s="27"/>
      <c r="R956" s="62"/>
      <c r="S956" s="29" t="s">
        <v>2906</v>
      </c>
    </row>
    <row r="957" spans="1:19" s="29" customFormat="1" x14ac:dyDescent="0.3">
      <c r="A957" s="27"/>
      <c r="B957" s="27"/>
      <c r="C957" s="98"/>
      <c r="D957" s="3" t="s">
        <v>2910</v>
      </c>
      <c r="F957" s="3"/>
      <c r="I957" s="108"/>
      <c r="M957" s="69">
        <f t="shared" si="28"/>
        <v>0</v>
      </c>
      <c r="N957" s="69">
        <f t="shared" si="29"/>
        <v>0</v>
      </c>
      <c r="O957" s="29">
        <v>250</v>
      </c>
      <c r="Q957" s="27"/>
      <c r="R957" s="62"/>
      <c r="S957" s="29" t="s">
        <v>2911</v>
      </c>
    </row>
    <row r="958" spans="1:19" s="29" customFormat="1" x14ac:dyDescent="0.3">
      <c r="A958" s="27"/>
      <c r="B958" s="27"/>
      <c r="C958" s="98"/>
      <c r="D958" s="75" t="s">
        <v>2907</v>
      </c>
      <c r="F958" s="3"/>
      <c r="I958" s="108"/>
      <c r="M958" s="69">
        <f t="shared" si="28"/>
        <v>0</v>
      </c>
      <c r="N958" s="69">
        <f t="shared" si="29"/>
        <v>0</v>
      </c>
      <c r="O958" s="29">
        <v>5134</v>
      </c>
      <c r="Q958" s="27"/>
      <c r="R958" s="62"/>
      <c r="S958" s="29" t="s">
        <v>2909</v>
      </c>
    </row>
    <row r="959" spans="1:19" s="29" customFormat="1" x14ac:dyDescent="0.3">
      <c r="A959" s="27"/>
      <c r="B959" s="27"/>
      <c r="C959" s="98"/>
      <c r="D959" s="125" t="s">
        <v>2827</v>
      </c>
      <c r="F959" s="3"/>
      <c r="I959" s="108"/>
      <c r="M959" s="69">
        <f t="shared" si="28"/>
        <v>0</v>
      </c>
      <c r="N959" s="69">
        <f t="shared" si="29"/>
        <v>0</v>
      </c>
      <c r="O959" s="88">
        <v>4275</v>
      </c>
      <c r="Q959" s="27"/>
      <c r="R959" s="62" t="s">
        <v>2908</v>
      </c>
    </row>
    <row r="960" spans="1:19" s="29" customFormat="1" x14ac:dyDescent="0.3">
      <c r="A960" s="27"/>
      <c r="B960" s="27"/>
      <c r="C960" s="98"/>
      <c r="D960" s="125" t="s">
        <v>2828</v>
      </c>
      <c r="F960" s="3"/>
      <c r="I960" s="108"/>
      <c r="M960" s="69">
        <f t="shared" si="28"/>
        <v>0</v>
      </c>
      <c r="N960" s="69">
        <f t="shared" si="29"/>
        <v>0</v>
      </c>
      <c r="O960" s="88">
        <v>2750</v>
      </c>
      <c r="Q960" s="27"/>
      <c r="R960" s="62" t="s">
        <v>2908</v>
      </c>
    </row>
    <row r="961" spans="1:19" s="29" customFormat="1" x14ac:dyDescent="0.3">
      <c r="A961" s="27"/>
      <c r="B961" s="27"/>
      <c r="C961" s="98"/>
      <c r="D961" s="3" t="s">
        <v>2882</v>
      </c>
      <c r="F961" s="3"/>
      <c r="I961" s="108"/>
      <c r="M961" s="69">
        <f t="shared" si="28"/>
        <v>0</v>
      </c>
      <c r="N961" s="69">
        <f t="shared" si="29"/>
        <v>0</v>
      </c>
      <c r="O961" s="29">
        <v>6802</v>
      </c>
      <c r="Q961" s="27"/>
      <c r="R961" s="62"/>
      <c r="S961" s="29" t="s">
        <v>2912</v>
      </c>
    </row>
    <row r="962" spans="1:19" s="29" customFormat="1" x14ac:dyDescent="0.3">
      <c r="A962" s="27"/>
      <c r="B962" s="27"/>
      <c r="C962" s="98"/>
      <c r="D962" s="75" t="s">
        <v>2849</v>
      </c>
      <c r="F962" s="3"/>
      <c r="I962" s="108"/>
      <c r="M962" s="69">
        <f t="shared" si="28"/>
        <v>0</v>
      </c>
      <c r="N962" s="69">
        <f t="shared" si="29"/>
        <v>0</v>
      </c>
      <c r="O962" s="29">
        <v>1869</v>
      </c>
      <c r="Q962" s="27"/>
      <c r="R962" s="62"/>
      <c r="S962" s="29" t="s">
        <v>2915</v>
      </c>
    </row>
    <row r="963" spans="1:19" s="29" customFormat="1" x14ac:dyDescent="0.3">
      <c r="A963" s="27"/>
      <c r="B963" s="27"/>
      <c r="C963" s="98"/>
      <c r="D963" s="3" t="s">
        <v>2913</v>
      </c>
      <c r="F963" s="3"/>
      <c r="I963" s="108"/>
      <c r="M963" s="69">
        <f t="shared" ref="M963:M1026" si="30">SUM(J963:L963)</f>
        <v>0</v>
      </c>
      <c r="N963" s="69">
        <f t="shared" ref="N963:N1026" si="31">I963-M963</f>
        <v>0</v>
      </c>
      <c r="O963" s="29">
        <v>3081</v>
      </c>
      <c r="Q963" s="27"/>
      <c r="R963" s="62"/>
      <c r="S963" s="29" t="s">
        <v>2914</v>
      </c>
    </row>
    <row r="964" spans="1:19" s="29" customFormat="1" x14ac:dyDescent="0.3">
      <c r="A964" s="27"/>
      <c r="B964" s="27"/>
      <c r="C964" s="98"/>
      <c r="D964" s="125" t="s">
        <v>2916</v>
      </c>
      <c r="F964" s="3"/>
      <c r="I964" s="108"/>
      <c r="M964" s="69">
        <f t="shared" si="30"/>
        <v>0</v>
      </c>
      <c r="N964" s="69">
        <f t="shared" si="31"/>
        <v>0</v>
      </c>
      <c r="O964" s="29">
        <v>12274</v>
      </c>
      <c r="Q964" s="27"/>
      <c r="R964" s="62"/>
      <c r="S964" s="29" t="s">
        <v>2917</v>
      </c>
    </row>
    <row r="965" spans="1:19" s="29" customFormat="1" x14ac:dyDescent="0.3">
      <c r="A965" s="27"/>
      <c r="B965" s="27"/>
      <c r="C965" s="98"/>
      <c r="D965" s="3" t="s">
        <v>2919</v>
      </c>
      <c r="F965" s="3"/>
      <c r="I965" s="108"/>
      <c r="M965" s="69">
        <f t="shared" si="30"/>
        <v>0</v>
      </c>
      <c r="N965" s="69">
        <f t="shared" si="31"/>
        <v>0</v>
      </c>
      <c r="O965" s="29">
        <v>6672</v>
      </c>
      <c r="Q965" s="27"/>
      <c r="R965" s="62"/>
      <c r="S965" s="29" t="s">
        <v>2920</v>
      </c>
    </row>
    <row r="966" spans="1:19" s="29" customFormat="1" x14ac:dyDescent="0.3">
      <c r="A966" s="27"/>
      <c r="B966" s="27"/>
      <c r="C966" s="98"/>
      <c r="D966" s="75" t="s">
        <v>2918</v>
      </c>
      <c r="F966" s="3"/>
      <c r="I966" s="108"/>
      <c r="M966" s="69">
        <f t="shared" si="30"/>
        <v>0</v>
      </c>
      <c r="N966" s="69">
        <f t="shared" si="31"/>
        <v>0</v>
      </c>
      <c r="O966" s="29">
        <v>2938</v>
      </c>
      <c r="Q966" s="27"/>
      <c r="R966" s="62"/>
      <c r="S966" s="29" t="s">
        <v>2925</v>
      </c>
    </row>
    <row r="967" spans="1:19" s="29" customFormat="1" x14ac:dyDescent="0.3">
      <c r="A967" s="27"/>
      <c r="B967" s="27"/>
      <c r="C967" s="98"/>
      <c r="D967" s="75" t="s">
        <v>2930</v>
      </c>
      <c r="F967" s="3"/>
      <c r="I967" s="108"/>
      <c r="M967" s="69">
        <f t="shared" si="30"/>
        <v>0</v>
      </c>
      <c r="N967" s="69">
        <f t="shared" si="31"/>
        <v>0</v>
      </c>
      <c r="O967" s="29">
        <v>118</v>
      </c>
      <c r="Q967" s="27"/>
      <c r="R967" s="62"/>
      <c r="S967" s="29" t="s">
        <v>2957</v>
      </c>
    </row>
    <row r="968" spans="1:19" s="29" customFormat="1" x14ac:dyDescent="0.3">
      <c r="A968" s="27"/>
      <c r="B968" s="27"/>
      <c r="C968" s="98"/>
      <c r="D968" s="3" t="s">
        <v>2926</v>
      </c>
      <c r="F968" s="3"/>
      <c r="I968" s="108"/>
      <c r="M968" s="69">
        <f t="shared" si="30"/>
        <v>0</v>
      </c>
      <c r="N968" s="69">
        <f t="shared" si="31"/>
        <v>0</v>
      </c>
      <c r="O968" s="88">
        <v>600</v>
      </c>
      <c r="Q968" s="27"/>
      <c r="R968" s="62" t="s">
        <v>2927</v>
      </c>
    </row>
    <row r="969" spans="1:19" s="29" customFormat="1" x14ac:dyDescent="0.3">
      <c r="A969" s="27"/>
      <c r="B969" s="27"/>
      <c r="C969" s="98"/>
      <c r="D969" s="75" t="s">
        <v>2928</v>
      </c>
      <c r="F969" s="3"/>
      <c r="I969" s="108">
        <f>3734+118+1180</f>
        <v>5032</v>
      </c>
      <c r="M969" s="69">
        <f t="shared" si="30"/>
        <v>0</v>
      </c>
      <c r="N969" s="69">
        <f t="shared" si="31"/>
        <v>5032</v>
      </c>
      <c r="O969" s="29">
        <v>361</v>
      </c>
      <c r="Q969" s="27"/>
      <c r="R969" s="62"/>
      <c r="S969" s="29" t="s">
        <v>2977</v>
      </c>
    </row>
    <row r="970" spans="1:19" s="29" customFormat="1" x14ac:dyDescent="0.3">
      <c r="A970" s="27"/>
      <c r="B970" s="27"/>
      <c r="C970" s="98"/>
      <c r="D970" s="75" t="s">
        <v>2929</v>
      </c>
      <c r="F970" s="3"/>
      <c r="I970" s="29">
        <f>118+1180</f>
        <v>1298</v>
      </c>
      <c r="M970" s="69">
        <f t="shared" si="30"/>
        <v>0</v>
      </c>
      <c r="N970" s="69">
        <f t="shared" si="31"/>
        <v>1298</v>
      </c>
      <c r="O970" s="29">
        <v>1211</v>
      </c>
      <c r="Q970" s="27"/>
      <c r="R970" s="62"/>
      <c r="S970" s="29" t="s">
        <v>2976</v>
      </c>
    </row>
    <row r="971" spans="1:19" s="29" customFormat="1" x14ac:dyDescent="0.3">
      <c r="A971" s="27"/>
      <c r="B971" s="27"/>
      <c r="C971" s="98"/>
      <c r="D971" s="3" t="s">
        <v>2960</v>
      </c>
      <c r="F971" s="3"/>
      <c r="I971" s="108"/>
      <c r="M971" s="69">
        <f t="shared" si="30"/>
        <v>0</v>
      </c>
      <c r="N971" s="69">
        <f t="shared" si="31"/>
        <v>0</v>
      </c>
      <c r="O971" s="29">
        <v>3860</v>
      </c>
      <c r="Q971" s="27"/>
      <c r="R971" s="62"/>
      <c r="S971" s="29" t="s">
        <v>2961</v>
      </c>
    </row>
    <row r="972" spans="1:19" s="29" customFormat="1" x14ac:dyDescent="0.3">
      <c r="A972" s="27"/>
      <c r="B972" s="27"/>
      <c r="C972" s="98"/>
      <c r="D972" s="3" t="s">
        <v>2963</v>
      </c>
      <c r="F972" s="3"/>
      <c r="I972" s="108"/>
      <c r="M972" s="69">
        <f t="shared" si="30"/>
        <v>0</v>
      </c>
      <c r="N972" s="69">
        <f t="shared" si="31"/>
        <v>0</v>
      </c>
      <c r="O972" s="29">
        <v>23236</v>
      </c>
      <c r="Q972" s="27"/>
      <c r="R972" s="62"/>
      <c r="S972" s="29" t="s">
        <v>2962</v>
      </c>
    </row>
    <row r="973" spans="1:19" s="29" customFormat="1" x14ac:dyDescent="0.3">
      <c r="A973" s="27"/>
      <c r="B973" s="27"/>
      <c r="C973" s="98"/>
      <c r="D973" s="3" t="s">
        <v>2964</v>
      </c>
      <c r="F973" s="3"/>
      <c r="I973" s="108"/>
      <c r="M973" s="69">
        <f t="shared" si="30"/>
        <v>0</v>
      </c>
      <c r="N973" s="69">
        <f t="shared" si="31"/>
        <v>0</v>
      </c>
      <c r="O973" s="29">
        <v>16752</v>
      </c>
      <c r="Q973" s="27"/>
      <c r="R973" s="62"/>
      <c r="S973" s="29" t="s">
        <v>2966</v>
      </c>
    </row>
    <row r="974" spans="1:19" s="29" customFormat="1" x14ac:dyDescent="0.3">
      <c r="A974" s="27"/>
      <c r="B974" s="27"/>
      <c r="C974" s="98"/>
      <c r="D974" s="125" t="s">
        <v>2828</v>
      </c>
      <c r="F974" s="3"/>
      <c r="I974" s="108"/>
      <c r="M974" s="69">
        <f t="shared" si="30"/>
        <v>0</v>
      </c>
      <c r="N974" s="69">
        <f t="shared" si="31"/>
        <v>0</v>
      </c>
      <c r="O974" s="88">
        <v>2750</v>
      </c>
      <c r="Q974" s="27"/>
      <c r="R974" s="62" t="s">
        <v>2967</v>
      </c>
    </row>
    <row r="975" spans="1:19" s="29" customFormat="1" x14ac:dyDescent="0.3">
      <c r="A975" s="27"/>
      <c r="B975" s="27"/>
      <c r="C975" s="98"/>
      <c r="D975" s="75" t="s">
        <v>2971</v>
      </c>
      <c r="F975" s="3"/>
      <c r="I975" s="108"/>
      <c r="M975" s="69">
        <f t="shared" si="30"/>
        <v>0</v>
      </c>
      <c r="N975" s="69">
        <f t="shared" si="31"/>
        <v>0</v>
      </c>
      <c r="O975" s="29">
        <v>2318</v>
      </c>
      <c r="Q975" s="27"/>
      <c r="R975" s="62"/>
      <c r="S975" s="29" t="s">
        <v>2978</v>
      </c>
    </row>
    <row r="976" spans="1:19" s="29" customFormat="1" x14ac:dyDescent="0.3">
      <c r="A976" s="27"/>
      <c r="B976" s="27"/>
      <c r="C976" s="98"/>
      <c r="D976" s="3" t="s">
        <v>2972</v>
      </c>
      <c r="F976" s="3"/>
      <c r="I976" s="108"/>
      <c r="M976" s="69">
        <f t="shared" si="30"/>
        <v>0</v>
      </c>
      <c r="N976" s="69">
        <f t="shared" si="31"/>
        <v>0</v>
      </c>
      <c r="O976" s="29">
        <v>2699</v>
      </c>
      <c r="Q976" s="27"/>
      <c r="R976" s="62"/>
      <c r="S976" s="29" t="s">
        <v>2973</v>
      </c>
    </row>
    <row r="977" spans="1:19" s="29" customFormat="1" x14ac:dyDescent="0.3">
      <c r="A977" s="27"/>
      <c r="B977" s="27"/>
      <c r="C977" s="98"/>
      <c r="D977" s="3" t="s">
        <v>2974</v>
      </c>
      <c r="F977" s="3"/>
      <c r="I977" s="108"/>
      <c r="M977" s="69">
        <f t="shared" si="30"/>
        <v>0</v>
      </c>
      <c r="N977" s="69">
        <f t="shared" si="31"/>
        <v>0</v>
      </c>
      <c r="O977" s="29">
        <v>2699</v>
      </c>
      <c r="Q977" s="27"/>
      <c r="R977" s="62"/>
      <c r="S977" s="29" t="s">
        <v>2975</v>
      </c>
    </row>
    <row r="978" spans="1:19" s="29" customFormat="1" x14ac:dyDescent="0.3">
      <c r="A978" s="27"/>
      <c r="B978" s="27"/>
      <c r="C978" s="98"/>
      <c r="D978" s="3"/>
      <c r="F978" s="3"/>
      <c r="I978" s="108"/>
      <c r="M978" s="69">
        <f t="shared" si="30"/>
        <v>0</v>
      </c>
      <c r="N978" s="69">
        <f t="shared" si="31"/>
        <v>0</v>
      </c>
      <c r="O978" s="108">
        <f>SUM(O946:O977)</f>
        <v>212336</v>
      </c>
      <c r="Q978" s="27"/>
      <c r="R978" s="62"/>
    </row>
    <row r="979" spans="1:19" s="29" customFormat="1" x14ac:dyDescent="0.3">
      <c r="A979" s="27"/>
      <c r="B979" s="27"/>
      <c r="C979" s="98"/>
      <c r="D979" s="3"/>
      <c r="F979" s="3"/>
      <c r="I979" s="108"/>
      <c r="M979" s="69">
        <f t="shared" si="30"/>
        <v>0</v>
      </c>
      <c r="N979" s="69">
        <f t="shared" si="31"/>
        <v>0</v>
      </c>
      <c r="O979" s="108"/>
      <c r="Q979" s="27"/>
      <c r="R979" s="62"/>
    </row>
    <row r="980" spans="1:19" s="29" customFormat="1" x14ac:dyDescent="0.3">
      <c r="A980" s="27">
        <v>45234</v>
      </c>
      <c r="B980" s="15" t="str">
        <f>TEXT(A980,"mmmm")</f>
        <v>November</v>
      </c>
      <c r="C980" s="98" t="s">
        <v>2931</v>
      </c>
      <c r="D980" s="3" t="s">
        <v>2923</v>
      </c>
      <c r="F980" s="3"/>
      <c r="G980" s="29" t="s">
        <v>26</v>
      </c>
      <c r="H980" s="29" t="s">
        <v>10</v>
      </c>
      <c r="I980" s="108">
        <v>14977</v>
      </c>
      <c r="L980" s="29">
        <v>18</v>
      </c>
      <c r="M980" s="69">
        <f t="shared" si="30"/>
        <v>18</v>
      </c>
      <c r="N980" s="69">
        <f t="shared" si="31"/>
        <v>14959</v>
      </c>
      <c r="O980" s="29">
        <v>6561</v>
      </c>
      <c r="P980" s="29">
        <v>100</v>
      </c>
      <c r="Q980" s="111">
        <f>14977-1199</f>
        <v>13778</v>
      </c>
      <c r="R980" s="62" t="s">
        <v>2979</v>
      </c>
      <c r="S980" s="29" t="s">
        <v>2921</v>
      </c>
    </row>
    <row r="981" spans="1:19" s="29" customFormat="1" x14ac:dyDescent="0.3">
      <c r="A981" s="27"/>
      <c r="B981" s="27"/>
      <c r="C981" s="98"/>
      <c r="D981" s="3"/>
      <c r="F981" s="3"/>
      <c r="I981" s="108"/>
      <c r="M981" s="69">
        <f t="shared" si="30"/>
        <v>0</v>
      </c>
      <c r="N981" s="69">
        <f t="shared" si="31"/>
        <v>0</v>
      </c>
      <c r="O981" s="29">
        <v>8298</v>
      </c>
      <c r="Q981" s="27" t="s">
        <v>2982</v>
      </c>
      <c r="R981" s="62" t="s">
        <v>2924</v>
      </c>
      <c r="S981" s="29" t="s">
        <v>2922</v>
      </c>
    </row>
    <row r="982" spans="1:19" s="29" customFormat="1" x14ac:dyDescent="0.3">
      <c r="A982" s="27"/>
      <c r="B982" s="27"/>
      <c r="C982" s="98"/>
      <c r="D982" s="3"/>
      <c r="F982" s="3"/>
      <c r="I982" s="108"/>
      <c r="M982" s="69">
        <f t="shared" si="30"/>
        <v>0</v>
      </c>
      <c r="N982" s="69">
        <f t="shared" si="31"/>
        <v>0</v>
      </c>
      <c r="R982" s="111">
        <f>502+697</f>
        <v>1199</v>
      </c>
    </row>
    <row r="983" spans="1:19" s="29" customFormat="1" x14ac:dyDescent="0.3">
      <c r="A983" s="27"/>
      <c r="B983" s="27"/>
      <c r="C983" s="98"/>
      <c r="D983" s="3"/>
      <c r="F983" s="3"/>
      <c r="I983" s="108"/>
      <c r="M983" s="69">
        <f t="shared" si="30"/>
        <v>0</v>
      </c>
      <c r="N983" s="69">
        <f t="shared" si="31"/>
        <v>0</v>
      </c>
      <c r="O983" s="108">
        <f>SUM(O980:O981)</f>
        <v>14859</v>
      </c>
      <c r="Q983" s="27"/>
      <c r="R983" s="111">
        <f>14859-1199</f>
        <v>13660</v>
      </c>
    </row>
    <row r="984" spans="1:19" s="29" customFormat="1" x14ac:dyDescent="0.3">
      <c r="A984" s="27"/>
      <c r="B984" s="27"/>
      <c r="C984" s="98"/>
      <c r="D984" s="3"/>
      <c r="F984" s="3"/>
      <c r="I984" s="108"/>
      <c r="M984" s="69">
        <f t="shared" si="30"/>
        <v>0</v>
      </c>
      <c r="N984" s="69">
        <f t="shared" si="31"/>
        <v>0</v>
      </c>
      <c r="O984" s="108"/>
      <c r="Q984" s="27"/>
      <c r="R984" s="62"/>
    </row>
    <row r="985" spans="1:19" s="29" customFormat="1" x14ac:dyDescent="0.3">
      <c r="A985" s="27">
        <v>45236</v>
      </c>
      <c r="B985" s="15" t="str">
        <f>TEXT(A985,"mmmm")</f>
        <v>November</v>
      </c>
      <c r="C985" s="98" t="s">
        <v>2932</v>
      </c>
      <c r="D985" s="3" t="s">
        <v>2292</v>
      </c>
      <c r="F985" s="3" t="s">
        <v>54</v>
      </c>
      <c r="G985" s="29" t="s">
        <v>2933</v>
      </c>
      <c r="H985" s="29" t="s">
        <v>1134</v>
      </c>
      <c r="I985" s="108">
        <v>65246</v>
      </c>
      <c r="J985" s="29">
        <v>1554</v>
      </c>
      <c r="K985" s="29">
        <v>1554</v>
      </c>
      <c r="M985" s="69">
        <f t="shared" si="30"/>
        <v>3108</v>
      </c>
      <c r="N985" s="69">
        <f t="shared" si="31"/>
        <v>62138</v>
      </c>
      <c r="O985" s="108"/>
      <c r="P985" s="29">
        <f>1250*10</f>
        <v>12500</v>
      </c>
      <c r="Q985" s="63" t="s">
        <v>3009</v>
      </c>
      <c r="R985" s="62" t="s">
        <v>2954</v>
      </c>
    </row>
    <row r="986" spans="1:19" s="29" customFormat="1" x14ac:dyDescent="0.3">
      <c r="A986" s="27"/>
      <c r="B986" s="27"/>
      <c r="C986" s="98"/>
      <c r="D986" s="3" t="s">
        <v>2935</v>
      </c>
      <c r="F986" s="3"/>
      <c r="I986" s="108"/>
      <c r="M986" s="69">
        <f t="shared" si="30"/>
        <v>0</v>
      </c>
      <c r="N986" s="69">
        <f t="shared" si="31"/>
        <v>0</v>
      </c>
      <c r="O986" s="137">
        <v>4636</v>
      </c>
      <c r="Q986" s="27"/>
      <c r="R986" s="97" t="s">
        <v>2959</v>
      </c>
      <c r="S986" s="138" t="s">
        <v>2934</v>
      </c>
    </row>
    <row r="987" spans="1:19" s="29" customFormat="1" x14ac:dyDescent="0.3">
      <c r="A987" s="27"/>
      <c r="B987" s="27"/>
      <c r="C987" s="98"/>
      <c r="D987" s="3" t="s">
        <v>2936</v>
      </c>
      <c r="F987" s="3"/>
      <c r="I987" s="108"/>
      <c r="M987" s="69">
        <f t="shared" si="30"/>
        <v>0</v>
      </c>
      <c r="N987" s="69">
        <f t="shared" si="31"/>
        <v>0</v>
      </c>
      <c r="O987" s="137">
        <v>4541</v>
      </c>
      <c r="Q987" s="27"/>
      <c r="R987" s="62"/>
      <c r="S987" s="138" t="s">
        <v>2940</v>
      </c>
    </row>
    <row r="988" spans="1:19" s="29" customFormat="1" x14ac:dyDescent="0.3">
      <c r="A988" s="27"/>
      <c r="B988" s="27"/>
      <c r="C988" s="98"/>
      <c r="D988" s="3" t="s">
        <v>2937</v>
      </c>
      <c r="F988" s="3"/>
      <c r="I988" s="108"/>
      <c r="M988" s="69">
        <f t="shared" si="30"/>
        <v>0</v>
      </c>
      <c r="N988" s="69">
        <f t="shared" si="31"/>
        <v>0</v>
      </c>
      <c r="O988" s="137">
        <v>5723</v>
      </c>
      <c r="Q988" s="27"/>
      <c r="R988" s="62"/>
      <c r="S988" s="138" t="s">
        <v>2941</v>
      </c>
    </row>
    <row r="989" spans="1:19" s="29" customFormat="1" x14ac:dyDescent="0.3">
      <c r="A989" s="27"/>
      <c r="B989" s="27"/>
      <c r="C989" s="98"/>
      <c r="D989" s="3" t="s">
        <v>2938</v>
      </c>
      <c r="F989" s="3"/>
      <c r="I989" s="108"/>
      <c r="M989" s="69">
        <f t="shared" si="30"/>
        <v>0</v>
      </c>
      <c r="N989" s="69">
        <f t="shared" si="31"/>
        <v>0</v>
      </c>
      <c r="O989" s="137">
        <v>5293</v>
      </c>
      <c r="Q989" s="27"/>
      <c r="R989" s="62"/>
      <c r="S989" s="138" t="s">
        <v>2942</v>
      </c>
    </row>
    <row r="990" spans="1:19" s="29" customFormat="1" x14ac:dyDescent="0.3">
      <c r="A990" s="27"/>
      <c r="B990" s="27"/>
      <c r="C990" s="98"/>
      <c r="D990" s="3" t="s">
        <v>2939</v>
      </c>
      <c r="F990" s="3"/>
      <c r="I990" s="108"/>
      <c r="M990" s="69">
        <f t="shared" si="30"/>
        <v>0</v>
      </c>
      <c r="N990" s="69">
        <f t="shared" si="31"/>
        <v>0</v>
      </c>
      <c r="O990" s="137">
        <v>2520</v>
      </c>
      <c r="Q990" s="27"/>
      <c r="R990" s="62"/>
      <c r="S990" s="138" t="s">
        <v>2943</v>
      </c>
    </row>
    <row r="991" spans="1:19" s="29" customFormat="1" x14ac:dyDescent="0.3">
      <c r="A991" s="27"/>
      <c r="B991" s="27"/>
      <c r="C991" s="98"/>
      <c r="D991" s="3" t="s">
        <v>2947</v>
      </c>
      <c r="F991" s="3"/>
      <c r="I991" s="108"/>
      <c r="M991" s="69">
        <f t="shared" si="30"/>
        <v>0</v>
      </c>
      <c r="N991" s="69">
        <f t="shared" si="31"/>
        <v>0</v>
      </c>
      <c r="O991" s="137">
        <v>5513</v>
      </c>
      <c r="Q991" s="27"/>
      <c r="R991" s="62"/>
      <c r="S991" s="138" t="s">
        <v>2944</v>
      </c>
    </row>
    <row r="992" spans="1:19" s="29" customFormat="1" x14ac:dyDescent="0.3">
      <c r="A992" s="27"/>
      <c r="B992" s="27"/>
      <c r="C992" s="98"/>
      <c r="D992" s="3" t="s">
        <v>2948</v>
      </c>
      <c r="F992" s="3"/>
      <c r="I992" s="108"/>
      <c r="M992" s="69">
        <f t="shared" si="30"/>
        <v>0</v>
      </c>
      <c r="N992" s="69">
        <f t="shared" si="31"/>
        <v>0</v>
      </c>
      <c r="O992" s="137">
        <v>2835</v>
      </c>
      <c r="Q992" s="27"/>
      <c r="R992" s="62"/>
      <c r="S992" s="138" t="s">
        <v>2945</v>
      </c>
    </row>
    <row r="993" spans="1:19" s="29" customFormat="1" x14ac:dyDescent="0.3">
      <c r="A993" s="27"/>
      <c r="B993" s="27"/>
      <c r="C993" s="98"/>
      <c r="D993" s="3" t="s">
        <v>2949</v>
      </c>
      <c r="F993" s="3"/>
      <c r="I993" s="108"/>
      <c r="M993" s="69">
        <f t="shared" si="30"/>
        <v>0</v>
      </c>
      <c r="N993" s="69">
        <f t="shared" si="31"/>
        <v>0</v>
      </c>
      <c r="O993" s="137">
        <v>7037</v>
      </c>
      <c r="Q993" s="27"/>
      <c r="R993" s="62"/>
      <c r="S993" s="138" t="s">
        <v>2946</v>
      </c>
    </row>
    <row r="994" spans="1:19" s="29" customFormat="1" x14ac:dyDescent="0.3">
      <c r="A994" s="27"/>
      <c r="B994" s="27"/>
      <c r="C994" s="98"/>
      <c r="D994" s="3" t="s">
        <v>2950</v>
      </c>
      <c r="F994" s="3"/>
      <c r="H994" s="29" t="s">
        <v>20</v>
      </c>
      <c r="I994" s="108"/>
      <c r="M994" s="69">
        <f t="shared" si="30"/>
        <v>0</v>
      </c>
      <c r="N994" s="69">
        <f t="shared" si="31"/>
        <v>0</v>
      </c>
      <c r="O994" s="29">
        <v>11540</v>
      </c>
      <c r="Q994" s="27"/>
      <c r="R994" s="62"/>
      <c r="S994" s="29" t="s">
        <v>2958</v>
      </c>
    </row>
    <row r="995" spans="1:19" s="29" customFormat="1" x14ac:dyDescent="0.3">
      <c r="A995" s="27"/>
      <c r="B995" s="27"/>
      <c r="C995" s="98"/>
      <c r="D995" s="3"/>
      <c r="F995" s="3"/>
      <c r="I995" s="108"/>
      <c r="M995" s="69">
        <f t="shared" si="30"/>
        <v>0</v>
      </c>
      <c r="N995" s="69">
        <f t="shared" si="31"/>
        <v>0</v>
      </c>
      <c r="O995" s="108">
        <f>SUM(O985:O994)</f>
        <v>49638</v>
      </c>
      <c r="Q995" s="27"/>
      <c r="R995" s="62"/>
    </row>
    <row r="996" spans="1:19" s="29" customFormat="1" x14ac:dyDescent="0.3">
      <c r="A996" s="27"/>
      <c r="B996" s="27"/>
      <c r="C996" s="98"/>
      <c r="D996" s="3"/>
      <c r="F996" s="3"/>
      <c r="I996" s="108"/>
      <c r="M996" s="69">
        <f t="shared" si="30"/>
        <v>0</v>
      </c>
      <c r="N996" s="69">
        <f t="shared" si="31"/>
        <v>0</v>
      </c>
      <c r="O996" s="108"/>
      <c r="Q996" s="27"/>
      <c r="R996" s="62"/>
    </row>
    <row r="997" spans="1:19" s="29" customFormat="1" x14ac:dyDescent="0.3">
      <c r="A997" s="27">
        <v>45236</v>
      </c>
      <c r="B997" s="15" t="str">
        <f>TEXT(A997,"mmmm")</f>
        <v>November</v>
      </c>
      <c r="C997" s="98" t="s">
        <v>2951</v>
      </c>
      <c r="D997" s="3" t="s">
        <v>2952</v>
      </c>
      <c r="E997" s="29">
        <v>1</v>
      </c>
      <c r="F997" s="3"/>
      <c r="G997" s="29" t="s">
        <v>22</v>
      </c>
      <c r="H997" s="29" t="s">
        <v>359</v>
      </c>
      <c r="I997" s="108">
        <v>21440</v>
      </c>
      <c r="J997" s="29">
        <v>315</v>
      </c>
      <c r="K997" s="29">
        <f>J997</f>
        <v>315</v>
      </c>
      <c r="M997" s="69">
        <f t="shared" si="30"/>
        <v>630</v>
      </c>
      <c r="N997" s="69">
        <f t="shared" si="31"/>
        <v>20810</v>
      </c>
      <c r="O997" s="108">
        <v>17310</v>
      </c>
      <c r="P997" s="29">
        <v>3500</v>
      </c>
      <c r="Q997" s="62">
        <v>45237</v>
      </c>
      <c r="R997" s="62">
        <v>45236</v>
      </c>
      <c r="S997" s="29" t="s">
        <v>3112</v>
      </c>
    </row>
    <row r="998" spans="1:19" s="29" customFormat="1" x14ac:dyDescent="0.3">
      <c r="A998" s="27"/>
      <c r="B998" s="27"/>
      <c r="C998" s="98"/>
      <c r="D998" s="3"/>
      <c r="F998" s="3"/>
      <c r="I998" s="108"/>
      <c r="M998" s="69">
        <f t="shared" si="30"/>
        <v>0</v>
      </c>
      <c r="N998" s="69">
        <f t="shared" si="31"/>
        <v>0</v>
      </c>
      <c r="O998" s="108"/>
      <c r="Q998" s="27" t="s">
        <v>2956</v>
      </c>
      <c r="R998" s="62"/>
    </row>
    <row r="999" spans="1:19" s="29" customFormat="1" x14ac:dyDescent="0.3">
      <c r="A999" s="27"/>
      <c r="B999" s="27"/>
      <c r="C999" s="98"/>
      <c r="D999" s="3"/>
      <c r="F999" s="3"/>
      <c r="I999" s="108"/>
      <c r="M999" s="69">
        <f t="shared" si="30"/>
        <v>0</v>
      </c>
      <c r="N999" s="69">
        <f t="shared" si="31"/>
        <v>0</v>
      </c>
      <c r="O999" s="108"/>
      <c r="Q999" s="27"/>
      <c r="R999" s="62"/>
    </row>
    <row r="1000" spans="1:19" s="29" customFormat="1" x14ac:dyDescent="0.3">
      <c r="A1000" s="27">
        <v>45236</v>
      </c>
      <c r="B1000" s="15" t="str">
        <f>TEXT(A1000,"mmmm")</f>
        <v>November</v>
      </c>
      <c r="C1000" s="98" t="s">
        <v>2986</v>
      </c>
      <c r="D1000" s="3" t="s">
        <v>25</v>
      </c>
      <c r="F1000" s="3"/>
      <c r="G1000" s="29" t="s">
        <v>22</v>
      </c>
      <c r="H1000" s="29" t="s">
        <v>2987</v>
      </c>
      <c r="I1000" s="108">
        <v>10500</v>
      </c>
      <c r="J1000" s="29">
        <v>420</v>
      </c>
      <c r="K1000" s="29">
        <v>420</v>
      </c>
      <c r="M1000" s="69">
        <f t="shared" si="30"/>
        <v>840</v>
      </c>
      <c r="N1000" s="69">
        <f t="shared" si="31"/>
        <v>9660</v>
      </c>
      <c r="O1000" s="108">
        <v>5000</v>
      </c>
      <c r="P1000" s="29">
        <v>4660</v>
      </c>
      <c r="Q1000" s="27">
        <v>45243</v>
      </c>
      <c r="R1000" s="62">
        <v>45236</v>
      </c>
    </row>
    <row r="1001" spans="1:19" s="29" customFormat="1" x14ac:dyDescent="0.3">
      <c r="A1001" s="27"/>
      <c r="B1001" s="27"/>
      <c r="C1001" s="98"/>
      <c r="D1001" s="3"/>
      <c r="F1001" s="3"/>
      <c r="I1001" s="108"/>
      <c r="M1001" s="69">
        <f t="shared" si="30"/>
        <v>0</v>
      </c>
      <c r="N1001" s="69">
        <f t="shared" si="31"/>
        <v>0</v>
      </c>
      <c r="O1001" s="108"/>
      <c r="Q1001" s="27"/>
      <c r="R1001" s="62"/>
    </row>
    <row r="1002" spans="1:19" s="29" customFormat="1" x14ac:dyDescent="0.3">
      <c r="A1002" s="27"/>
      <c r="B1002" s="27"/>
      <c r="C1002" s="98"/>
      <c r="D1002" s="3"/>
      <c r="F1002" s="3"/>
      <c r="I1002" s="108"/>
      <c r="M1002" s="69">
        <f t="shared" si="30"/>
        <v>0</v>
      </c>
      <c r="N1002" s="69">
        <f t="shared" si="31"/>
        <v>0</v>
      </c>
      <c r="O1002" s="108"/>
      <c r="Q1002" s="27"/>
      <c r="R1002" s="62"/>
    </row>
    <row r="1003" spans="1:19" s="29" customFormat="1" x14ac:dyDescent="0.3">
      <c r="A1003" s="27">
        <v>45243</v>
      </c>
      <c r="B1003" s="15" t="str">
        <f>TEXT(A1003,"mmmm")</f>
        <v>November</v>
      </c>
      <c r="C1003" s="98" t="s">
        <v>2988</v>
      </c>
      <c r="D1003" s="3" t="s">
        <v>2545</v>
      </c>
      <c r="E1003" s="29">
        <v>5</v>
      </c>
      <c r="F1003" s="3" t="s">
        <v>1593</v>
      </c>
      <c r="G1003" s="29" t="s">
        <v>1105</v>
      </c>
      <c r="H1003" s="29" t="s">
        <v>3022</v>
      </c>
      <c r="I1003" s="108">
        <v>4675</v>
      </c>
      <c r="L1003" s="29">
        <v>223</v>
      </c>
      <c r="M1003" s="69">
        <f t="shared" si="30"/>
        <v>223</v>
      </c>
      <c r="N1003" s="69">
        <f t="shared" si="31"/>
        <v>4452</v>
      </c>
      <c r="O1003" s="108">
        <v>2888</v>
      </c>
      <c r="P1003" s="29">
        <v>1564</v>
      </c>
      <c r="Q1003" s="27" t="s">
        <v>3017</v>
      </c>
      <c r="R1003" s="62">
        <v>45244</v>
      </c>
      <c r="S1003" s="29">
        <v>1580</v>
      </c>
    </row>
    <row r="1004" spans="1:19" s="29" customFormat="1" x14ac:dyDescent="0.3">
      <c r="A1004" s="27"/>
      <c r="B1004" s="27"/>
      <c r="C1004" s="98"/>
      <c r="D1004" s="3"/>
      <c r="F1004" s="3"/>
      <c r="I1004" s="108"/>
      <c r="M1004" s="69">
        <f t="shared" si="30"/>
        <v>0</v>
      </c>
      <c r="N1004" s="69">
        <f t="shared" si="31"/>
        <v>0</v>
      </c>
      <c r="Q1004" s="27"/>
      <c r="R1004" s="62"/>
    </row>
    <row r="1005" spans="1:19" s="29" customFormat="1" ht="26.4" x14ac:dyDescent="0.3">
      <c r="A1005" s="27">
        <v>45245</v>
      </c>
      <c r="B1005" s="15" t="str">
        <f>TEXT(A1005,"mmmm")</f>
        <v>November</v>
      </c>
      <c r="C1005" s="29" t="s">
        <v>2992</v>
      </c>
      <c r="D1005" s="3" t="s">
        <v>2993</v>
      </c>
      <c r="F1005" s="3" t="s">
        <v>60</v>
      </c>
      <c r="G1005" s="69" t="s">
        <v>26</v>
      </c>
      <c r="H1005" s="69" t="s">
        <v>10</v>
      </c>
      <c r="I1005" s="108">
        <f>SUM(J1005:K1005,O1011,P1005)</f>
        <v>230783</v>
      </c>
      <c r="J1005" s="29">
        <f>P1005*9%</f>
        <v>504</v>
      </c>
      <c r="K1005" s="29">
        <f>J1005</f>
        <v>504</v>
      </c>
      <c r="M1005" s="69">
        <f t="shared" si="30"/>
        <v>1008</v>
      </c>
      <c r="N1005" s="69">
        <f t="shared" si="31"/>
        <v>229775</v>
      </c>
      <c r="O1005" s="29">
        <f>7350+118</f>
        <v>7468</v>
      </c>
      <c r="P1005" s="29">
        <f>3000+1400+1000+200</f>
        <v>5600</v>
      </c>
      <c r="Q1005" s="62" t="s">
        <v>3055</v>
      </c>
      <c r="R1005" s="62" t="s">
        <v>3066</v>
      </c>
    </row>
    <row r="1006" spans="1:19" s="29" customFormat="1" x14ac:dyDescent="0.3">
      <c r="A1006" s="27"/>
      <c r="B1006" s="27"/>
      <c r="C1006" s="69"/>
      <c r="D1006" s="3" t="s">
        <v>3035</v>
      </c>
      <c r="F1006" s="3"/>
      <c r="G1006" s="69"/>
      <c r="H1006" s="69"/>
      <c r="I1006" s="108"/>
      <c r="M1006" s="69">
        <f t="shared" si="30"/>
        <v>0</v>
      </c>
      <c r="N1006" s="69">
        <f t="shared" si="31"/>
        <v>0</v>
      </c>
      <c r="O1006" s="29">
        <v>167841</v>
      </c>
      <c r="Q1006" s="62" t="s">
        <v>3097</v>
      </c>
      <c r="R1006" s="62" t="s">
        <v>3067</v>
      </c>
      <c r="S1006" s="29" t="s">
        <v>3044</v>
      </c>
    </row>
    <row r="1007" spans="1:19" s="29" customFormat="1" x14ac:dyDescent="0.3">
      <c r="A1007" s="27"/>
      <c r="B1007" s="27"/>
      <c r="C1007" s="69"/>
      <c r="D1007" s="3" t="s">
        <v>3037</v>
      </c>
      <c r="F1007" s="3"/>
      <c r="G1007" s="69"/>
      <c r="H1007" s="69"/>
      <c r="I1007" s="108"/>
      <c r="M1007" s="69">
        <f t="shared" si="30"/>
        <v>0</v>
      </c>
      <c r="N1007" s="69">
        <f t="shared" si="31"/>
        <v>0</v>
      </c>
      <c r="O1007" s="29">
        <v>17682</v>
      </c>
      <c r="Q1007" s="62"/>
      <c r="R1007" s="62"/>
      <c r="S1007" s="29" t="s">
        <v>3036</v>
      </c>
    </row>
    <row r="1008" spans="1:19" s="29" customFormat="1" x14ac:dyDescent="0.3">
      <c r="A1008" s="27"/>
      <c r="B1008" s="27"/>
      <c r="C1008" s="69"/>
      <c r="D1008" s="3" t="s">
        <v>3052</v>
      </c>
      <c r="F1008" s="3"/>
      <c r="G1008" s="69"/>
      <c r="H1008" s="69"/>
      <c r="I1008" s="108"/>
      <c r="M1008" s="69">
        <f t="shared" si="30"/>
        <v>0</v>
      </c>
      <c r="N1008" s="69">
        <f t="shared" si="31"/>
        <v>0</v>
      </c>
      <c r="O1008" s="29">
        <v>29748</v>
      </c>
      <c r="Q1008" s="62"/>
      <c r="R1008" s="62"/>
      <c r="S1008" s="29" t="s">
        <v>3051</v>
      </c>
    </row>
    <row r="1009" spans="1:19" s="29" customFormat="1" x14ac:dyDescent="0.3">
      <c r="A1009" s="27"/>
      <c r="B1009" s="27"/>
      <c r="C1009" s="69"/>
      <c r="D1009" s="3" t="s">
        <v>3053</v>
      </c>
      <c r="F1009" s="3"/>
      <c r="G1009" s="69"/>
      <c r="H1009" s="69"/>
      <c r="I1009" s="108"/>
      <c r="M1009" s="69">
        <f t="shared" si="30"/>
        <v>0</v>
      </c>
      <c r="N1009" s="69">
        <f t="shared" si="31"/>
        <v>0</v>
      </c>
      <c r="O1009" s="29">
        <v>236</v>
      </c>
      <c r="Q1009" s="62"/>
      <c r="R1009" s="62"/>
      <c r="S1009" s="29" t="s">
        <v>3056</v>
      </c>
    </row>
    <row r="1010" spans="1:19" s="29" customFormat="1" ht="26.4" x14ac:dyDescent="0.3">
      <c r="A1010" s="27"/>
      <c r="B1010" s="27"/>
      <c r="C1010" s="69"/>
      <c r="D1010" s="3" t="s">
        <v>3054</v>
      </c>
      <c r="F1010" s="3"/>
      <c r="G1010" s="69"/>
      <c r="H1010" s="69"/>
      <c r="I1010" s="108"/>
      <c r="M1010" s="69">
        <f t="shared" si="30"/>
        <v>0</v>
      </c>
      <c r="N1010" s="69">
        <f t="shared" si="31"/>
        <v>0</v>
      </c>
      <c r="O1010" s="88">
        <v>1200</v>
      </c>
      <c r="Q1010" s="27"/>
      <c r="R1010" s="62" t="s">
        <v>3065</v>
      </c>
    </row>
    <row r="1011" spans="1:19" s="29" customFormat="1" x14ac:dyDescent="0.3">
      <c r="A1011" s="27"/>
      <c r="B1011" s="27"/>
      <c r="C1011" s="69"/>
      <c r="D1011" s="3"/>
      <c r="F1011" s="3"/>
      <c r="G1011" s="69"/>
      <c r="H1011" s="69"/>
      <c r="I1011" s="108"/>
      <c r="M1011" s="69">
        <f t="shared" si="30"/>
        <v>0</v>
      </c>
      <c r="N1011" s="69">
        <f t="shared" si="31"/>
        <v>0</v>
      </c>
      <c r="O1011" s="108">
        <f>SUM(O1005:O1010)</f>
        <v>224175</v>
      </c>
      <c r="Q1011" s="62"/>
      <c r="R1011" s="62"/>
    </row>
    <row r="1012" spans="1:19" s="29" customFormat="1" x14ac:dyDescent="0.3">
      <c r="A1012" s="27"/>
      <c r="B1012" s="27"/>
      <c r="C1012" s="98"/>
      <c r="D1012" s="3"/>
      <c r="F1012" s="3"/>
      <c r="I1012" s="108"/>
      <c r="M1012" s="69">
        <f t="shared" si="30"/>
        <v>0</v>
      </c>
      <c r="N1012" s="69">
        <f t="shared" si="31"/>
        <v>0</v>
      </c>
      <c r="Q1012" s="27"/>
      <c r="R1012" s="62"/>
    </row>
    <row r="1013" spans="1:19" s="29" customFormat="1" x14ac:dyDescent="0.3">
      <c r="A1013" s="27">
        <v>45246</v>
      </c>
      <c r="B1013" s="15" t="str">
        <f>TEXT(A1013,"mmmm")</f>
        <v>November</v>
      </c>
      <c r="C1013" s="29" t="s">
        <v>2995</v>
      </c>
      <c r="D1013" s="3" t="s">
        <v>3007</v>
      </c>
      <c r="F1013" s="3" t="s">
        <v>54</v>
      </c>
      <c r="G1013" s="29" t="s">
        <v>26</v>
      </c>
      <c r="H1013" s="29" t="s">
        <v>10</v>
      </c>
      <c r="I1013" s="108">
        <v>134329</v>
      </c>
      <c r="J1013" s="29">
        <v>788</v>
      </c>
      <c r="K1013" s="29">
        <f>J1013</f>
        <v>788</v>
      </c>
      <c r="M1013" s="69">
        <f t="shared" si="30"/>
        <v>1576</v>
      </c>
      <c r="N1013" s="69">
        <f t="shared" si="31"/>
        <v>132753</v>
      </c>
      <c r="O1013" s="29">
        <v>18430</v>
      </c>
      <c r="P1013" s="29">
        <f>350*15+500*3+2000</f>
        <v>8750</v>
      </c>
      <c r="Q1013" s="62" t="s">
        <v>3096</v>
      </c>
      <c r="R1013" s="115" t="s">
        <v>3072</v>
      </c>
      <c r="S1013" s="29" t="s">
        <v>3008</v>
      </c>
    </row>
    <row r="1014" spans="1:19" x14ac:dyDescent="0.3">
      <c r="D1014" s="69" t="s">
        <v>2151</v>
      </c>
      <c r="M1014" s="69">
        <f t="shared" si="30"/>
        <v>0</v>
      </c>
      <c r="N1014" s="69">
        <f t="shared" si="31"/>
        <v>0</v>
      </c>
      <c r="O1014" s="69">
        <v>6889</v>
      </c>
      <c r="S1014" s="69" t="s">
        <v>3012</v>
      </c>
    </row>
    <row r="1015" spans="1:19" x14ac:dyDescent="0.3">
      <c r="D1015" s="69" t="s">
        <v>3013</v>
      </c>
      <c r="M1015" s="69">
        <f t="shared" si="30"/>
        <v>0</v>
      </c>
      <c r="N1015" s="69">
        <f t="shared" si="31"/>
        <v>0</v>
      </c>
      <c r="O1015" s="69">
        <v>4707</v>
      </c>
      <c r="S1015" s="69" t="s">
        <v>3014</v>
      </c>
    </row>
    <row r="1016" spans="1:19" x14ac:dyDescent="0.3">
      <c r="D1016" s="69" t="s">
        <v>3015</v>
      </c>
      <c r="M1016" s="69">
        <f t="shared" si="30"/>
        <v>0</v>
      </c>
      <c r="N1016" s="69">
        <f t="shared" si="31"/>
        <v>0</v>
      </c>
      <c r="O1016" s="69">
        <v>5512</v>
      </c>
      <c r="S1016" s="69" t="s">
        <v>3016</v>
      </c>
    </row>
    <row r="1017" spans="1:19" x14ac:dyDescent="0.3">
      <c r="D1017" s="69" t="s">
        <v>3026</v>
      </c>
      <c r="M1017" s="69">
        <f t="shared" si="30"/>
        <v>0</v>
      </c>
      <c r="N1017" s="69">
        <f t="shared" si="31"/>
        <v>0</v>
      </c>
      <c r="O1017" s="69">
        <v>10036</v>
      </c>
      <c r="S1017" s="69" t="s">
        <v>3027</v>
      </c>
    </row>
    <row r="1018" spans="1:19" x14ac:dyDescent="0.3">
      <c r="D1018" s="69" t="s">
        <v>3029</v>
      </c>
      <c r="M1018" s="69">
        <f t="shared" si="30"/>
        <v>0</v>
      </c>
      <c r="N1018" s="69">
        <f t="shared" si="31"/>
        <v>0</v>
      </c>
      <c r="O1018" s="69">
        <v>9276</v>
      </c>
      <c r="S1018" s="69" t="s">
        <v>3031</v>
      </c>
    </row>
    <row r="1019" spans="1:19" x14ac:dyDescent="0.3">
      <c r="D1019" s="69" t="s">
        <v>3030</v>
      </c>
      <c r="M1019" s="69">
        <f t="shared" si="30"/>
        <v>0</v>
      </c>
      <c r="N1019" s="69">
        <f t="shared" si="31"/>
        <v>0</v>
      </c>
      <c r="O1019" s="69">
        <v>7095</v>
      </c>
      <c r="S1019" s="69" t="s">
        <v>3032</v>
      </c>
    </row>
    <row r="1020" spans="1:19" x14ac:dyDescent="0.3">
      <c r="D1020" s="69" t="s">
        <v>2852</v>
      </c>
      <c r="M1020" s="69">
        <f t="shared" si="30"/>
        <v>0</v>
      </c>
      <c r="N1020" s="69">
        <f t="shared" si="31"/>
        <v>0</v>
      </c>
      <c r="O1020" s="69">
        <v>4633</v>
      </c>
      <c r="S1020" s="69" t="s">
        <v>3033</v>
      </c>
    </row>
    <row r="1021" spans="1:19" x14ac:dyDescent="0.3">
      <c r="D1021" s="69" t="s">
        <v>2855</v>
      </c>
      <c r="M1021" s="69">
        <f t="shared" si="30"/>
        <v>0</v>
      </c>
      <c r="N1021" s="69">
        <f t="shared" si="31"/>
        <v>0</v>
      </c>
      <c r="O1021" s="69">
        <v>4260</v>
      </c>
      <c r="S1021" s="69" t="s">
        <v>3034</v>
      </c>
    </row>
    <row r="1022" spans="1:19" x14ac:dyDescent="0.3">
      <c r="D1022" s="147" t="s">
        <v>3040</v>
      </c>
      <c r="M1022" s="69">
        <f t="shared" si="30"/>
        <v>0</v>
      </c>
      <c r="N1022" s="69">
        <f t="shared" si="31"/>
        <v>0</v>
      </c>
      <c r="O1022" s="69">
        <v>3313</v>
      </c>
      <c r="S1022" s="69" t="s">
        <v>3042</v>
      </c>
    </row>
    <row r="1023" spans="1:19" x14ac:dyDescent="0.3">
      <c r="D1023" s="147" t="s">
        <v>3041</v>
      </c>
      <c r="M1023" s="69">
        <f t="shared" si="30"/>
        <v>0</v>
      </c>
      <c r="N1023" s="69">
        <f t="shared" si="31"/>
        <v>0</v>
      </c>
      <c r="O1023" s="69">
        <v>10074</v>
      </c>
      <c r="S1023" s="69" t="s">
        <v>3043</v>
      </c>
    </row>
    <row r="1024" spans="1:19" x14ac:dyDescent="0.3">
      <c r="D1024" s="69" t="s">
        <v>3045</v>
      </c>
      <c r="M1024" s="69">
        <f t="shared" si="30"/>
        <v>0</v>
      </c>
      <c r="N1024" s="69">
        <f t="shared" si="31"/>
        <v>0</v>
      </c>
      <c r="O1024" s="69">
        <v>8707</v>
      </c>
      <c r="S1024" s="69" t="s">
        <v>3047</v>
      </c>
    </row>
    <row r="1025" spans="1:19" x14ac:dyDescent="0.3">
      <c r="D1025" s="69" t="s">
        <v>3046</v>
      </c>
      <c r="M1025" s="69">
        <f t="shared" si="30"/>
        <v>0</v>
      </c>
      <c r="N1025" s="69">
        <f t="shared" si="31"/>
        <v>0</v>
      </c>
      <c r="O1025" s="69">
        <v>9821</v>
      </c>
      <c r="S1025" s="69" t="s">
        <v>3048</v>
      </c>
    </row>
    <row r="1026" spans="1:19" x14ac:dyDescent="0.3">
      <c r="D1026" s="69" t="s">
        <v>3060</v>
      </c>
      <c r="M1026" s="69">
        <f t="shared" si="30"/>
        <v>0</v>
      </c>
      <c r="N1026" s="69">
        <f t="shared" si="31"/>
        <v>0</v>
      </c>
      <c r="O1026" s="69">
        <v>13743</v>
      </c>
      <c r="S1026" s="69" t="s">
        <v>3061</v>
      </c>
    </row>
    <row r="1027" spans="1:19" x14ac:dyDescent="0.3">
      <c r="D1027" s="69" t="s">
        <v>3068</v>
      </c>
      <c r="M1027" s="69">
        <f t="shared" ref="M1027:M1090" si="32">SUM(J1027:L1027)</f>
        <v>0</v>
      </c>
      <c r="N1027" s="69">
        <f t="shared" ref="N1027:N1090" si="33">I1027-M1027</f>
        <v>0</v>
      </c>
      <c r="O1027" s="69">
        <v>7507</v>
      </c>
      <c r="S1027" s="69" t="s">
        <v>3069</v>
      </c>
    </row>
    <row r="1028" spans="1:19" x14ac:dyDescent="0.3">
      <c r="M1028" s="69">
        <f t="shared" si="32"/>
        <v>0</v>
      </c>
      <c r="N1028" s="69">
        <f t="shared" si="33"/>
        <v>0</v>
      </c>
      <c r="O1028" s="16">
        <f>SUM(O1013:O1027)</f>
        <v>124003</v>
      </c>
    </row>
    <row r="1029" spans="1:19" x14ac:dyDescent="0.3">
      <c r="M1029" s="69">
        <f t="shared" si="32"/>
        <v>0</v>
      </c>
      <c r="N1029" s="69">
        <f t="shared" si="33"/>
        <v>0</v>
      </c>
    </row>
    <row r="1030" spans="1:19" s="29" customFormat="1" ht="26.4" x14ac:dyDescent="0.3">
      <c r="A1030" s="27">
        <v>45246</v>
      </c>
      <c r="B1030" s="15" t="str">
        <f>TEXT(A1030,"mmmm")</f>
        <v>November</v>
      </c>
      <c r="C1030" s="29" t="s">
        <v>3010</v>
      </c>
      <c r="D1030" s="3" t="s">
        <v>2794</v>
      </c>
      <c r="E1030" s="29">
        <v>1</v>
      </c>
      <c r="F1030" s="3" t="s">
        <v>54</v>
      </c>
      <c r="G1030" s="29" t="s">
        <v>24</v>
      </c>
      <c r="H1030" s="29" t="s">
        <v>11</v>
      </c>
      <c r="I1030" s="108">
        <v>55141</v>
      </c>
      <c r="J1030" s="29">
        <f>P1030*9%</f>
        <v>270</v>
      </c>
      <c r="K1030" s="29">
        <f>J1030</f>
        <v>270</v>
      </c>
      <c r="M1030" s="69">
        <f t="shared" si="32"/>
        <v>540</v>
      </c>
      <c r="N1030" s="69">
        <f t="shared" si="33"/>
        <v>54601</v>
      </c>
      <c r="O1030" s="29">
        <v>10858</v>
      </c>
      <c r="P1030" s="29">
        <v>3000</v>
      </c>
      <c r="Q1030" s="47" t="s">
        <v>3133</v>
      </c>
      <c r="R1030" s="27" t="s">
        <v>3011</v>
      </c>
    </row>
    <row r="1031" spans="1:19" x14ac:dyDescent="0.3">
      <c r="H1031" s="69" t="s">
        <v>10</v>
      </c>
      <c r="M1031" s="69">
        <f t="shared" si="32"/>
        <v>0</v>
      </c>
      <c r="N1031" s="69">
        <f t="shared" si="33"/>
        <v>0</v>
      </c>
      <c r="O1031" s="69">
        <v>38737</v>
      </c>
      <c r="Q1031" s="62" t="s">
        <v>3096</v>
      </c>
      <c r="R1031" s="30" t="s">
        <v>3071</v>
      </c>
      <c r="S1031" s="69" t="s">
        <v>3070</v>
      </c>
    </row>
    <row r="1032" spans="1:19" ht="26.4" x14ac:dyDescent="0.3">
      <c r="H1032" s="69" t="s">
        <v>3076</v>
      </c>
      <c r="M1032" s="69">
        <f t="shared" si="32"/>
        <v>0</v>
      </c>
      <c r="N1032" s="69">
        <f t="shared" si="33"/>
        <v>0</v>
      </c>
      <c r="O1032" s="88">
        <v>2006</v>
      </c>
      <c r="R1032" s="30" t="s">
        <v>3077</v>
      </c>
    </row>
    <row r="1033" spans="1:19" x14ac:dyDescent="0.3">
      <c r="M1033" s="69">
        <f t="shared" si="32"/>
        <v>0</v>
      </c>
      <c r="N1033" s="69">
        <f t="shared" si="33"/>
        <v>0</v>
      </c>
      <c r="O1033" s="16">
        <f>SUM(O1030:O1032)</f>
        <v>51601</v>
      </c>
    </row>
    <row r="1034" spans="1:19" x14ac:dyDescent="0.3">
      <c r="M1034" s="69">
        <f t="shared" si="32"/>
        <v>0</v>
      </c>
      <c r="N1034" s="69">
        <f t="shared" si="33"/>
        <v>0</v>
      </c>
    </row>
    <row r="1035" spans="1:19" x14ac:dyDescent="0.3">
      <c r="A1035" s="15">
        <v>45250</v>
      </c>
      <c r="B1035" s="15" t="str">
        <f>TEXT(A1035,"mmmm")</f>
        <v>November</v>
      </c>
      <c r="C1035" s="69" t="s">
        <v>3018</v>
      </c>
      <c r="D1035" s="69" t="s">
        <v>2549</v>
      </c>
      <c r="G1035" s="69" t="s">
        <v>3019</v>
      </c>
      <c r="H1035" s="69" t="s">
        <v>3020</v>
      </c>
      <c r="I1035" s="69">
        <v>28726</v>
      </c>
      <c r="J1035" s="69">
        <f>P1035*9%</f>
        <v>333</v>
      </c>
      <c r="K1035" s="69">
        <f>J1035</f>
        <v>333</v>
      </c>
      <c r="M1035" s="69">
        <f t="shared" si="32"/>
        <v>666</v>
      </c>
      <c r="N1035" s="69">
        <f t="shared" si="33"/>
        <v>28060</v>
      </c>
      <c r="O1035" s="69">
        <v>24360</v>
      </c>
      <c r="P1035" s="69">
        <v>3700</v>
      </c>
      <c r="Q1035" s="97" t="s">
        <v>3125</v>
      </c>
      <c r="R1035" s="47">
        <v>45250</v>
      </c>
      <c r="S1035" s="69" t="s">
        <v>3028</v>
      </c>
    </row>
    <row r="1036" spans="1:19" x14ac:dyDescent="0.3">
      <c r="F1036" s="143" t="s">
        <v>2554</v>
      </c>
      <c r="G1036" s="51">
        <f>I1035*20%</f>
        <v>5745.2000000000007</v>
      </c>
      <c r="H1036" s="69" t="s">
        <v>3021</v>
      </c>
      <c r="M1036" s="69">
        <f t="shared" si="32"/>
        <v>0</v>
      </c>
      <c r="N1036" s="69">
        <f t="shared" si="33"/>
        <v>0</v>
      </c>
    </row>
    <row r="1037" spans="1:19" s="29" customFormat="1" x14ac:dyDescent="0.3">
      <c r="A1037" s="27"/>
      <c r="B1037" s="27"/>
      <c r="C1037" s="98"/>
      <c r="D1037" s="3"/>
      <c r="F1037" s="3"/>
      <c r="G1037" s="108">
        <f>SUM(I1035,G1036)</f>
        <v>34471.199999999997</v>
      </c>
      <c r="I1037" s="108"/>
      <c r="M1037" s="69">
        <f t="shared" si="32"/>
        <v>0</v>
      </c>
      <c r="N1037" s="69">
        <f t="shared" si="33"/>
        <v>0</v>
      </c>
      <c r="Q1037" s="27"/>
      <c r="R1037" s="62"/>
    </row>
    <row r="1038" spans="1:19" s="29" customFormat="1" x14ac:dyDescent="0.3">
      <c r="A1038" s="27"/>
      <c r="B1038" s="27"/>
      <c r="C1038" s="98"/>
      <c r="D1038" s="3"/>
      <c r="F1038" s="3"/>
      <c r="I1038" s="108"/>
      <c r="M1038" s="69">
        <f t="shared" si="32"/>
        <v>0</v>
      </c>
      <c r="N1038" s="69">
        <f t="shared" si="33"/>
        <v>0</v>
      </c>
      <c r="Q1038" s="27"/>
      <c r="R1038" s="62"/>
    </row>
    <row r="1039" spans="1:19" s="29" customFormat="1" x14ac:dyDescent="0.3">
      <c r="A1039" s="27"/>
      <c r="B1039" s="27"/>
      <c r="C1039" s="98"/>
      <c r="D1039" s="3"/>
      <c r="F1039" s="3"/>
      <c r="I1039" s="108"/>
      <c r="M1039" s="69">
        <f t="shared" si="32"/>
        <v>0</v>
      </c>
      <c r="N1039" s="69">
        <f t="shared" si="33"/>
        <v>0</v>
      </c>
      <c r="Q1039" s="27"/>
      <c r="R1039" s="62"/>
    </row>
    <row r="1040" spans="1:19" s="29" customFormat="1" x14ac:dyDescent="0.3">
      <c r="A1040" s="27">
        <v>45250</v>
      </c>
      <c r="B1040" s="15" t="str">
        <f>TEXT(A1040,"mmmm")</f>
        <v>November</v>
      </c>
      <c r="C1040" s="3" t="s">
        <v>3023</v>
      </c>
      <c r="D1040" s="3" t="s">
        <v>42</v>
      </c>
      <c r="F1040" s="3" t="s">
        <v>43</v>
      </c>
      <c r="G1040" s="29" t="s">
        <v>14</v>
      </c>
      <c r="H1040" s="29" t="s">
        <v>10</v>
      </c>
      <c r="I1040" s="108">
        <v>99340</v>
      </c>
      <c r="J1040" s="29">
        <v>2366</v>
      </c>
      <c r="K1040" s="29">
        <v>2366</v>
      </c>
      <c r="M1040" s="69">
        <f t="shared" si="32"/>
        <v>4732</v>
      </c>
      <c r="N1040" s="69">
        <f t="shared" si="33"/>
        <v>94608</v>
      </c>
      <c r="O1040" s="29">
        <v>20347</v>
      </c>
      <c r="P1040" s="29">
        <v>7235</v>
      </c>
      <c r="Q1040" s="27">
        <v>45253</v>
      </c>
      <c r="R1040" s="97" t="s">
        <v>3064</v>
      </c>
      <c r="S1040" s="29" t="s">
        <v>3024</v>
      </c>
    </row>
    <row r="1041" spans="1:19" s="29" customFormat="1" ht="26.4" x14ac:dyDescent="0.3">
      <c r="A1041" s="27"/>
      <c r="B1041" s="27"/>
      <c r="C1041" s="69"/>
      <c r="D1041" s="3"/>
      <c r="F1041" s="3"/>
      <c r="H1041" s="29" t="s">
        <v>10</v>
      </c>
      <c r="I1041" s="108"/>
      <c r="M1041" s="69">
        <f t="shared" si="32"/>
        <v>0</v>
      </c>
      <c r="N1041" s="69">
        <f t="shared" si="33"/>
        <v>0</v>
      </c>
      <c r="O1041" s="29">
        <v>21026</v>
      </c>
      <c r="Q1041" s="27"/>
      <c r="R1041" s="62" t="s">
        <v>3038</v>
      </c>
      <c r="S1041" s="29" t="s">
        <v>3025</v>
      </c>
    </row>
    <row r="1042" spans="1:19" s="29" customFormat="1" ht="26.4" x14ac:dyDescent="0.3">
      <c r="A1042" s="27"/>
      <c r="B1042" s="27"/>
      <c r="C1042" s="69"/>
      <c r="D1042" s="3"/>
      <c r="F1042" s="3"/>
      <c r="H1042" s="29" t="s">
        <v>3039</v>
      </c>
      <c r="I1042" s="108"/>
      <c r="M1042" s="69">
        <f t="shared" si="32"/>
        <v>0</v>
      </c>
      <c r="N1042" s="69">
        <f t="shared" si="33"/>
        <v>0</v>
      </c>
      <c r="O1042" s="29">
        <v>46000</v>
      </c>
      <c r="Q1042" s="27"/>
      <c r="R1042" s="62" t="s">
        <v>3318</v>
      </c>
    </row>
    <row r="1043" spans="1:19" s="29" customFormat="1" x14ac:dyDescent="0.3">
      <c r="A1043" s="27"/>
      <c r="B1043" s="27"/>
      <c r="C1043" s="69"/>
      <c r="D1043" s="3"/>
      <c r="F1043" s="3"/>
      <c r="I1043" s="108"/>
      <c r="M1043" s="69">
        <f t="shared" si="32"/>
        <v>0</v>
      </c>
      <c r="N1043" s="69">
        <f t="shared" si="33"/>
        <v>0</v>
      </c>
      <c r="O1043" s="108">
        <f>SUM(O1040:O1042)</f>
        <v>87373</v>
      </c>
      <c r="Q1043" s="27"/>
      <c r="R1043" s="62"/>
    </row>
    <row r="1044" spans="1:19" s="29" customFormat="1" x14ac:dyDescent="0.3">
      <c r="A1044" s="27"/>
      <c r="B1044" s="27"/>
      <c r="C1044" s="69"/>
      <c r="D1044" s="3"/>
      <c r="F1044" s="3"/>
      <c r="I1044" s="108"/>
      <c r="M1044" s="69">
        <f t="shared" si="32"/>
        <v>0</v>
      </c>
      <c r="N1044" s="69">
        <f t="shared" si="33"/>
        <v>0</v>
      </c>
      <c r="O1044" s="108"/>
      <c r="Q1044" s="27"/>
      <c r="R1044" s="62"/>
    </row>
    <row r="1045" spans="1:19" s="26" customFormat="1" x14ac:dyDescent="0.3">
      <c r="A1045" s="5">
        <v>45250</v>
      </c>
      <c r="B1045" s="15" t="str">
        <f>TEXT(A1045,"mmmm")</f>
        <v>November</v>
      </c>
      <c r="C1045" s="69" t="s">
        <v>3049</v>
      </c>
      <c r="D1045" s="3" t="s">
        <v>3050</v>
      </c>
      <c r="E1045" s="3">
        <v>3</v>
      </c>
      <c r="F1045" s="3" t="s">
        <v>43</v>
      </c>
      <c r="G1045" s="4" t="s">
        <v>1162</v>
      </c>
      <c r="H1045" s="86" t="s">
        <v>10</v>
      </c>
      <c r="I1045" s="4">
        <f>248000*3</f>
        <v>744000</v>
      </c>
      <c r="J1045" s="3">
        <v>17715</v>
      </c>
      <c r="K1045" s="3">
        <v>17715</v>
      </c>
      <c r="L1045" s="4"/>
      <c r="M1045" s="69">
        <f t="shared" si="32"/>
        <v>35430</v>
      </c>
      <c r="N1045" s="69">
        <f t="shared" si="33"/>
        <v>708570</v>
      </c>
      <c r="O1045" s="3">
        <v>16907</v>
      </c>
      <c r="P1045" s="3">
        <v>183871</v>
      </c>
      <c r="Q1045" s="117" t="s">
        <v>2269</v>
      </c>
      <c r="R1045" s="47" t="s">
        <v>2221</v>
      </c>
      <c r="S1045" s="26" t="s">
        <v>2219</v>
      </c>
    </row>
    <row r="1046" spans="1:19" s="3" customFormat="1" ht="26.4" x14ac:dyDescent="0.3">
      <c r="A1046" s="5"/>
      <c r="B1046" s="5"/>
      <c r="C1046" s="4"/>
      <c r="H1046" s="3" t="s">
        <v>10</v>
      </c>
      <c r="I1046" s="4"/>
      <c r="M1046" s="69">
        <f t="shared" si="32"/>
        <v>0</v>
      </c>
      <c r="N1046" s="69">
        <f t="shared" si="33"/>
        <v>0</v>
      </c>
      <c r="O1046" s="3">
        <v>17920</v>
      </c>
      <c r="Q1046" s="38" t="s">
        <v>2686</v>
      </c>
      <c r="R1046" s="38" t="s">
        <v>2268</v>
      </c>
      <c r="S1046" s="3" t="s">
        <v>2220</v>
      </c>
    </row>
    <row r="1047" spans="1:19" s="3" customFormat="1" ht="26.4" x14ac:dyDescent="0.3">
      <c r="A1047" s="5"/>
      <c r="B1047" s="5"/>
      <c r="C1047" s="4"/>
      <c r="H1047" s="3" t="s">
        <v>10</v>
      </c>
      <c r="I1047" s="4"/>
      <c r="M1047" s="69">
        <f t="shared" si="32"/>
        <v>0</v>
      </c>
      <c r="N1047" s="69">
        <f t="shared" si="33"/>
        <v>0</v>
      </c>
      <c r="O1047" s="3">
        <v>900</v>
      </c>
      <c r="Q1047" s="5" t="s">
        <v>2743</v>
      </c>
      <c r="R1047" s="38" t="s">
        <v>2310</v>
      </c>
    </row>
    <row r="1048" spans="1:19" s="3" customFormat="1" ht="39.6" x14ac:dyDescent="0.3">
      <c r="A1048" s="5"/>
      <c r="B1048" s="5"/>
      <c r="C1048" s="4"/>
      <c r="H1048" s="3" t="s">
        <v>10</v>
      </c>
      <c r="I1048" s="4"/>
      <c r="M1048" s="69">
        <f t="shared" si="32"/>
        <v>0</v>
      </c>
      <c r="N1048" s="69">
        <f t="shared" si="33"/>
        <v>0</v>
      </c>
      <c r="O1048" s="3">
        <v>-17801</v>
      </c>
      <c r="Q1048" s="5"/>
      <c r="R1048" s="38" t="s">
        <v>2312</v>
      </c>
      <c r="S1048" s="25" t="s">
        <v>2305</v>
      </c>
    </row>
    <row r="1049" spans="1:19" s="3" customFormat="1" ht="39.6" x14ac:dyDescent="0.3">
      <c r="A1049" s="5"/>
      <c r="B1049" s="5"/>
      <c r="C1049" s="4"/>
      <c r="H1049" s="3" t="s">
        <v>10</v>
      </c>
      <c r="I1049" s="4"/>
      <c r="M1049" s="69">
        <f t="shared" si="32"/>
        <v>0</v>
      </c>
      <c r="N1049" s="69">
        <f t="shared" si="33"/>
        <v>0</v>
      </c>
      <c r="O1049" s="3">
        <f>-(350*3)</f>
        <v>-1050</v>
      </c>
      <c r="Q1049" s="3">
        <f>225000+400000+119000</f>
        <v>744000</v>
      </c>
      <c r="R1049" s="38" t="s">
        <v>2504</v>
      </c>
      <c r="S1049" s="25" t="s">
        <v>2503</v>
      </c>
    </row>
    <row r="1050" spans="1:19" s="3" customFormat="1" ht="26.4" x14ac:dyDescent="0.3">
      <c r="A1050" s="5"/>
      <c r="B1050" s="5"/>
      <c r="C1050" s="4"/>
      <c r="H1050" s="3" t="s">
        <v>10</v>
      </c>
      <c r="I1050" s="4"/>
      <c r="M1050" s="69">
        <f t="shared" si="32"/>
        <v>0</v>
      </c>
      <c r="N1050" s="69">
        <f t="shared" si="33"/>
        <v>0</v>
      </c>
      <c r="O1050" s="3">
        <v>22560</v>
      </c>
      <c r="Q1050" s="5"/>
      <c r="R1050" s="38" t="s">
        <v>2311</v>
      </c>
      <c r="S1050" s="3" t="s">
        <v>2313</v>
      </c>
    </row>
    <row r="1051" spans="1:19" s="3" customFormat="1" x14ac:dyDescent="0.3">
      <c r="A1051" s="5"/>
      <c r="B1051" s="5"/>
      <c r="C1051" s="4"/>
      <c r="H1051" s="3" t="s">
        <v>20</v>
      </c>
      <c r="I1051" s="4"/>
      <c r="M1051" s="69">
        <f t="shared" si="32"/>
        <v>0</v>
      </c>
      <c r="N1051" s="69">
        <f t="shared" si="33"/>
        <v>0</v>
      </c>
      <c r="O1051" s="3">
        <v>475663</v>
      </c>
      <c r="Q1051" s="5"/>
    </row>
    <row r="1052" spans="1:19" s="3" customFormat="1" x14ac:dyDescent="0.3">
      <c r="A1052" s="5"/>
      <c r="B1052" s="5"/>
      <c r="C1052" s="4"/>
      <c r="H1052" s="3" t="s">
        <v>20</v>
      </c>
      <c r="I1052" s="4"/>
      <c r="M1052" s="69">
        <f t="shared" si="32"/>
        <v>0</v>
      </c>
      <c r="N1052" s="69">
        <f t="shared" si="33"/>
        <v>0</v>
      </c>
      <c r="O1052" s="3">
        <v>3600</v>
      </c>
      <c r="Q1052" s="5"/>
      <c r="R1052" s="38" t="s">
        <v>3085</v>
      </c>
      <c r="S1052" s="25"/>
    </row>
    <row r="1053" spans="1:19" s="3" customFormat="1" x14ac:dyDescent="0.3">
      <c r="A1053" s="5"/>
      <c r="B1053" s="5"/>
      <c r="C1053" s="4"/>
      <c r="H1053" s="3" t="s">
        <v>2969</v>
      </c>
      <c r="I1053" s="4"/>
      <c r="M1053" s="69">
        <f t="shared" si="32"/>
        <v>0</v>
      </c>
      <c r="N1053" s="69">
        <f t="shared" si="33"/>
        <v>0</v>
      </c>
      <c r="O1053" s="3">
        <v>6000</v>
      </c>
      <c r="Q1053" s="5"/>
      <c r="R1053" s="38" t="s">
        <v>2970</v>
      </c>
      <c r="S1053" s="25"/>
    </row>
    <row r="1054" spans="1:19" s="3" customFormat="1" ht="26.4" x14ac:dyDescent="0.3">
      <c r="A1054" s="5"/>
      <c r="B1054" s="5"/>
      <c r="C1054" s="4"/>
      <c r="I1054" s="4"/>
      <c r="M1054" s="69">
        <f t="shared" si="32"/>
        <v>0</v>
      </c>
      <c r="N1054" s="69">
        <f t="shared" si="33"/>
        <v>0</v>
      </c>
      <c r="O1054" s="4">
        <f>SUM(O1045:O1053)</f>
        <v>524699</v>
      </c>
      <c r="Q1054" s="5"/>
      <c r="R1054" s="38" t="s">
        <v>2659</v>
      </c>
    </row>
    <row r="1055" spans="1:19" s="3" customFormat="1" x14ac:dyDescent="0.3">
      <c r="A1055" s="5"/>
      <c r="B1055" s="5"/>
      <c r="C1055" s="4"/>
      <c r="I1055" s="4"/>
      <c r="M1055" s="69">
        <f t="shared" si="32"/>
        <v>0</v>
      </c>
      <c r="N1055" s="69">
        <f t="shared" si="33"/>
        <v>0</v>
      </c>
      <c r="O1055" s="4"/>
      <c r="Q1055" s="5"/>
      <c r="R1055" s="5"/>
    </row>
    <row r="1056" spans="1:19" ht="26.4" x14ac:dyDescent="0.3">
      <c r="A1056" s="15">
        <v>45255</v>
      </c>
      <c r="B1056" s="15" t="str">
        <f>TEXT(A1056,"mmmm")</f>
        <v>November</v>
      </c>
      <c r="C1056" s="69" t="s">
        <v>3059</v>
      </c>
      <c r="D1056" s="69" t="s">
        <v>1377</v>
      </c>
      <c r="E1056" s="69">
        <v>2</v>
      </c>
      <c r="F1056" s="69" t="s">
        <v>52</v>
      </c>
      <c r="G1056" s="69" t="s">
        <v>14</v>
      </c>
      <c r="H1056" s="69" t="s">
        <v>10</v>
      </c>
      <c r="I1056" s="16">
        <v>206000</v>
      </c>
      <c r="J1056" s="69">
        <v>4905</v>
      </c>
      <c r="K1056" s="69">
        <v>4905</v>
      </c>
      <c r="M1056" s="69">
        <f t="shared" si="32"/>
        <v>9810</v>
      </c>
      <c r="N1056" s="69">
        <f t="shared" si="33"/>
        <v>196190</v>
      </c>
      <c r="O1056" s="69">
        <v>17375</v>
      </c>
      <c r="P1056" s="69">
        <v>44606</v>
      </c>
      <c r="Q1056" s="47">
        <v>45255</v>
      </c>
      <c r="R1056" s="30" t="s">
        <v>3062</v>
      </c>
      <c r="S1056" s="69" t="s">
        <v>3057</v>
      </c>
    </row>
    <row r="1057" spans="1:19" x14ac:dyDescent="0.3">
      <c r="A1057" s="15"/>
      <c r="B1057" s="15"/>
      <c r="H1057" s="69" t="s">
        <v>10</v>
      </c>
      <c r="M1057" s="69">
        <f t="shared" si="32"/>
        <v>0</v>
      </c>
      <c r="N1057" s="69">
        <f t="shared" si="33"/>
        <v>0</v>
      </c>
      <c r="O1057" s="69">
        <v>19812</v>
      </c>
      <c r="Q1057" s="47"/>
      <c r="R1057" s="47"/>
      <c r="S1057" s="69" t="s">
        <v>3058</v>
      </c>
    </row>
    <row r="1058" spans="1:19" x14ac:dyDescent="0.3">
      <c r="H1058" s="69" t="s">
        <v>2985</v>
      </c>
      <c r="M1058" s="69">
        <f t="shared" si="32"/>
        <v>0</v>
      </c>
      <c r="N1058" s="69">
        <f t="shared" si="33"/>
        <v>0</v>
      </c>
      <c r="O1058" s="69">
        <v>114397</v>
      </c>
      <c r="R1058" s="30" t="s">
        <v>3063</v>
      </c>
    </row>
    <row r="1059" spans="1:19" s="29" customFormat="1" x14ac:dyDescent="0.3">
      <c r="A1059" s="27"/>
      <c r="B1059" s="27"/>
      <c r="C1059" s="69"/>
      <c r="D1059" s="3"/>
      <c r="F1059" s="3"/>
      <c r="I1059" s="108"/>
      <c r="M1059" s="69">
        <f t="shared" si="32"/>
        <v>0</v>
      </c>
      <c r="N1059" s="69">
        <f t="shared" si="33"/>
        <v>0</v>
      </c>
      <c r="O1059" s="108">
        <f>SUM(O1056:O1058)</f>
        <v>151584</v>
      </c>
      <c r="Q1059" s="27"/>
      <c r="R1059" s="62"/>
    </row>
    <row r="1060" spans="1:19" s="29" customFormat="1" x14ac:dyDescent="0.3">
      <c r="A1060" s="27"/>
      <c r="B1060" s="27"/>
      <c r="C1060" s="69"/>
      <c r="D1060" s="3"/>
      <c r="F1060" s="3"/>
      <c r="I1060" s="108"/>
      <c r="M1060" s="69">
        <f t="shared" si="32"/>
        <v>0</v>
      </c>
      <c r="N1060" s="69">
        <f t="shared" si="33"/>
        <v>0</v>
      </c>
      <c r="O1060" s="108"/>
      <c r="Q1060" s="27"/>
      <c r="R1060" s="62"/>
    </row>
    <row r="1061" spans="1:19" s="29" customFormat="1" x14ac:dyDescent="0.3">
      <c r="A1061" s="27">
        <v>45258</v>
      </c>
      <c r="B1061" s="15" t="str">
        <f>TEXT(A1061,"mmmm")</f>
        <v>November</v>
      </c>
      <c r="C1061" s="3" t="s">
        <v>3078</v>
      </c>
      <c r="D1061" s="3" t="s">
        <v>3079</v>
      </c>
      <c r="E1061" s="29">
        <v>1</v>
      </c>
      <c r="F1061" s="3" t="s">
        <v>60</v>
      </c>
      <c r="G1061" s="29" t="s">
        <v>26</v>
      </c>
      <c r="H1061" s="29" t="s">
        <v>10</v>
      </c>
      <c r="I1061" s="108">
        <v>22356</v>
      </c>
      <c r="J1061" s="29">
        <f>P1061*9%</f>
        <v>63</v>
      </c>
      <c r="K1061" s="29">
        <f>J1061</f>
        <v>63</v>
      </c>
      <c r="M1061" s="69">
        <f t="shared" si="32"/>
        <v>126</v>
      </c>
      <c r="N1061" s="69">
        <f t="shared" si="33"/>
        <v>22230</v>
      </c>
      <c r="O1061" s="29">
        <v>8421</v>
      </c>
      <c r="P1061" s="29">
        <v>700</v>
      </c>
      <c r="Q1061" s="97">
        <v>45266</v>
      </c>
      <c r="R1061" s="62" t="s">
        <v>3100</v>
      </c>
      <c r="S1061" s="62" t="s">
        <v>3080</v>
      </c>
    </row>
    <row r="1062" spans="1:19" s="29" customFormat="1" x14ac:dyDescent="0.3">
      <c r="A1062" s="27"/>
      <c r="B1062" s="27"/>
      <c r="C1062" s="69"/>
      <c r="D1062" s="3" t="s">
        <v>3083</v>
      </c>
      <c r="F1062" s="3"/>
      <c r="I1062" s="108"/>
      <c r="M1062" s="69">
        <f t="shared" si="32"/>
        <v>0</v>
      </c>
      <c r="N1062" s="69">
        <f t="shared" si="33"/>
        <v>0</v>
      </c>
      <c r="O1062" s="29">
        <v>12909</v>
      </c>
      <c r="Q1062" s="27"/>
      <c r="R1062" s="62"/>
      <c r="S1062" s="62" t="s">
        <v>3081</v>
      </c>
    </row>
    <row r="1063" spans="1:19" s="29" customFormat="1" x14ac:dyDescent="0.3">
      <c r="A1063" s="27"/>
      <c r="B1063" s="27"/>
      <c r="C1063" s="69"/>
      <c r="D1063" s="3" t="s">
        <v>3084</v>
      </c>
      <c r="F1063" s="3"/>
      <c r="I1063" s="108"/>
      <c r="M1063" s="69">
        <f t="shared" si="32"/>
        <v>0</v>
      </c>
      <c r="N1063" s="69">
        <f t="shared" si="33"/>
        <v>0</v>
      </c>
      <c r="O1063" s="29">
        <v>200</v>
      </c>
      <c r="Q1063" s="27"/>
      <c r="R1063" s="62"/>
      <c r="S1063" s="62" t="s">
        <v>3082</v>
      </c>
    </row>
    <row r="1064" spans="1:19" s="29" customFormat="1" x14ac:dyDescent="0.3">
      <c r="A1064" s="27"/>
      <c r="B1064" s="27"/>
      <c r="C1064" s="69"/>
      <c r="D1064" s="3"/>
      <c r="F1064" s="3"/>
      <c r="I1064" s="108"/>
      <c r="M1064" s="69">
        <f t="shared" si="32"/>
        <v>0</v>
      </c>
      <c r="N1064" s="69">
        <f t="shared" si="33"/>
        <v>0</v>
      </c>
      <c r="O1064" s="108">
        <f>SUM(O1061:O1063)</f>
        <v>21530</v>
      </c>
      <c r="Q1064" s="27"/>
      <c r="R1064" s="62"/>
    </row>
    <row r="1065" spans="1:19" s="29" customFormat="1" x14ac:dyDescent="0.3">
      <c r="A1065" s="27"/>
      <c r="B1065" s="27"/>
      <c r="C1065" s="69"/>
      <c r="D1065" s="3"/>
      <c r="F1065" s="3"/>
      <c r="I1065" s="108"/>
      <c r="M1065" s="69">
        <f t="shared" si="32"/>
        <v>0</v>
      </c>
      <c r="N1065" s="69">
        <f t="shared" si="33"/>
        <v>0</v>
      </c>
      <c r="Q1065" s="27"/>
      <c r="R1065" s="62"/>
    </row>
    <row r="1066" spans="1:19" s="29" customFormat="1" x14ac:dyDescent="0.3">
      <c r="A1066" s="27"/>
      <c r="B1066" s="27"/>
      <c r="C1066" s="69"/>
      <c r="D1066" s="3"/>
      <c r="F1066" s="3"/>
      <c r="I1066" s="108"/>
      <c r="M1066" s="69">
        <f t="shared" si="32"/>
        <v>0</v>
      </c>
      <c r="N1066" s="69">
        <f t="shared" si="33"/>
        <v>0</v>
      </c>
      <c r="O1066" s="108"/>
      <c r="Q1066" s="27"/>
      <c r="R1066" s="62"/>
    </row>
    <row r="1067" spans="1:19" s="29" customFormat="1" ht="26.4" x14ac:dyDescent="0.3">
      <c r="A1067" s="27">
        <v>45261</v>
      </c>
      <c r="B1067" s="15" t="str">
        <f>TEXT(A1067,"mmmm")</f>
        <v>December</v>
      </c>
      <c r="C1067" s="3" t="s">
        <v>3086</v>
      </c>
      <c r="D1067" s="3" t="s">
        <v>3090</v>
      </c>
      <c r="E1067" s="29">
        <v>1</v>
      </c>
      <c r="F1067" s="3" t="s">
        <v>54</v>
      </c>
      <c r="G1067" s="29" t="s">
        <v>26</v>
      </c>
      <c r="H1067" s="29" t="s">
        <v>3087</v>
      </c>
      <c r="I1067" s="108">
        <v>313749</v>
      </c>
      <c r="J1067" s="29">
        <v>1445</v>
      </c>
      <c r="K1067" s="29">
        <f>J1067</f>
        <v>1445</v>
      </c>
      <c r="M1067" s="69">
        <f t="shared" si="32"/>
        <v>2890</v>
      </c>
      <c r="N1067" s="69">
        <f t="shared" si="33"/>
        <v>310859</v>
      </c>
      <c r="O1067" s="88">
        <v>100</v>
      </c>
      <c r="P1067" s="29">
        <f>350*23+1000*5+3000</f>
        <v>16050</v>
      </c>
      <c r="Q1067" s="27" t="s">
        <v>3221</v>
      </c>
      <c r="R1067" s="63" t="s">
        <v>3088</v>
      </c>
      <c r="S1067" s="62"/>
    </row>
    <row r="1068" spans="1:19" s="29" customFormat="1" x14ac:dyDescent="0.3">
      <c r="A1068" s="27"/>
      <c r="B1068" s="27"/>
      <c r="C1068" s="69"/>
      <c r="D1068" s="69" t="s">
        <v>3091</v>
      </c>
      <c r="F1068" s="3"/>
      <c r="H1068" s="29" t="s">
        <v>10</v>
      </c>
      <c r="I1068" s="108"/>
      <c r="M1068" s="69">
        <f t="shared" si="32"/>
        <v>0</v>
      </c>
      <c r="N1068" s="69">
        <f t="shared" si="33"/>
        <v>0</v>
      </c>
      <c r="O1068" s="29">
        <v>28099</v>
      </c>
      <c r="Q1068" s="27"/>
      <c r="R1068" s="62" t="s">
        <v>3103</v>
      </c>
      <c r="S1068" s="62" t="s">
        <v>3089</v>
      </c>
    </row>
    <row r="1069" spans="1:19" s="29" customFormat="1" x14ac:dyDescent="0.3">
      <c r="A1069" s="27"/>
      <c r="B1069" s="27"/>
      <c r="C1069" s="69"/>
      <c r="D1069" s="3" t="s">
        <v>3107</v>
      </c>
      <c r="F1069" s="3"/>
      <c r="I1069" s="108"/>
      <c r="M1069" s="69">
        <f t="shared" si="32"/>
        <v>0</v>
      </c>
      <c r="N1069" s="69">
        <f t="shared" si="33"/>
        <v>0</v>
      </c>
      <c r="O1069" s="29">
        <v>8115</v>
      </c>
      <c r="Q1069" s="27"/>
      <c r="R1069" s="62" t="s">
        <v>3131</v>
      </c>
      <c r="S1069" s="62" t="s">
        <v>3108</v>
      </c>
    </row>
    <row r="1070" spans="1:19" s="29" customFormat="1" x14ac:dyDescent="0.3">
      <c r="A1070" s="27"/>
      <c r="B1070" s="27"/>
      <c r="C1070" s="69"/>
      <c r="D1070" s="3" t="s">
        <v>3109</v>
      </c>
      <c r="F1070" s="3"/>
      <c r="I1070" s="108"/>
      <c r="M1070" s="69">
        <f t="shared" si="32"/>
        <v>0</v>
      </c>
      <c r="N1070" s="69">
        <f t="shared" si="33"/>
        <v>0</v>
      </c>
      <c r="O1070" s="29">
        <v>3522</v>
      </c>
      <c r="Q1070" s="27"/>
      <c r="R1070" s="62" t="s">
        <v>3170</v>
      </c>
      <c r="S1070" s="62" t="s">
        <v>3110</v>
      </c>
    </row>
    <row r="1071" spans="1:19" s="29" customFormat="1" x14ac:dyDescent="0.3">
      <c r="A1071" s="27"/>
      <c r="B1071" s="27"/>
      <c r="C1071" s="69"/>
      <c r="D1071" s="3" t="s">
        <v>3113</v>
      </c>
      <c r="F1071" s="3"/>
      <c r="I1071" s="108"/>
      <c r="M1071" s="69">
        <f t="shared" si="32"/>
        <v>0</v>
      </c>
      <c r="N1071" s="69">
        <f t="shared" si="33"/>
        <v>0</v>
      </c>
      <c r="O1071" s="29">
        <v>5536</v>
      </c>
      <c r="Q1071" s="27"/>
      <c r="R1071" s="63"/>
      <c r="S1071" s="149" t="s">
        <v>3116</v>
      </c>
    </row>
    <row r="1072" spans="1:19" s="29" customFormat="1" x14ac:dyDescent="0.3">
      <c r="A1072" s="27"/>
      <c r="B1072" s="27"/>
      <c r="C1072" s="69"/>
      <c r="D1072" s="3" t="s">
        <v>3114</v>
      </c>
      <c r="F1072" s="3"/>
      <c r="I1072" s="108"/>
      <c r="M1072" s="69">
        <f t="shared" si="32"/>
        <v>0</v>
      </c>
      <c r="N1072" s="69">
        <f t="shared" si="33"/>
        <v>0</v>
      </c>
      <c r="O1072" s="29">
        <v>13054</v>
      </c>
      <c r="Q1072" s="27"/>
      <c r="R1072" s="63"/>
      <c r="S1072" s="62" t="s">
        <v>3115</v>
      </c>
    </row>
    <row r="1073" spans="1:19" s="29" customFormat="1" x14ac:dyDescent="0.3">
      <c r="A1073" s="27"/>
      <c r="B1073" s="27"/>
      <c r="C1073" s="69"/>
      <c r="D1073" s="3" t="s">
        <v>3117</v>
      </c>
      <c r="F1073" s="3"/>
      <c r="I1073" s="108"/>
      <c r="M1073" s="69">
        <f t="shared" si="32"/>
        <v>0</v>
      </c>
      <c r="N1073" s="69">
        <f t="shared" si="33"/>
        <v>0</v>
      </c>
      <c r="O1073" s="29">
        <v>4480</v>
      </c>
      <c r="Q1073" s="27"/>
      <c r="R1073" s="63"/>
      <c r="S1073" s="62" t="s">
        <v>3118</v>
      </c>
    </row>
    <row r="1074" spans="1:19" s="29" customFormat="1" x14ac:dyDescent="0.3">
      <c r="A1074" s="27"/>
      <c r="B1074" s="27"/>
      <c r="C1074" s="69"/>
      <c r="D1074" s="3" t="s">
        <v>3119</v>
      </c>
      <c r="F1074" s="3"/>
      <c r="I1074" s="108"/>
      <c r="M1074" s="69">
        <f t="shared" si="32"/>
        <v>0</v>
      </c>
      <c r="N1074" s="69">
        <f t="shared" si="33"/>
        <v>0</v>
      </c>
      <c r="O1074" s="29">
        <v>14375</v>
      </c>
      <c r="Q1074" s="27"/>
      <c r="R1074" s="63"/>
      <c r="S1074" s="62" t="s">
        <v>3120</v>
      </c>
    </row>
    <row r="1075" spans="1:19" s="29" customFormat="1" x14ac:dyDescent="0.3">
      <c r="A1075" s="27"/>
      <c r="B1075" s="27"/>
      <c r="C1075" s="69"/>
      <c r="D1075" s="3" t="s">
        <v>3121</v>
      </c>
      <c r="F1075" s="3"/>
      <c r="I1075" s="108"/>
      <c r="M1075" s="69">
        <f t="shared" si="32"/>
        <v>0</v>
      </c>
      <c r="N1075" s="69">
        <f t="shared" si="33"/>
        <v>0</v>
      </c>
      <c r="O1075" s="29">
        <v>4792</v>
      </c>
      <c r="Q1075" s="27"/>
      <c r="R1075" s="63"/>
      <c r="S1075" s="62" t="s">
        <v>3122</v>
      </c>
    </row>
    <row r="1076" spans="1:19" s="29" customFormat="1" x14ac:dyDescent="0.3">
      <c r="A1076" s="27"/>
      <c r="B1076" s="27"/>
      <c r="C1076" s="69"/>
      <c r="D1076" s="150" t="s">
        <v>3123</v>
      </c>
      <c r="F1076" s="3"/>
      <c r="I1076" s="108"/>
      <c r="M1076" s="69">
        <f t="shared" si="32"/>
        <v>0</v>
      </c>
      <c r="N1076" s="69">
        <f t="shared" si="33"/>
        <v>0</v>
      </c>
      <c r="O1076" s="29">
        <v>21727</v>
      </c>
      <c r="Q1076" s="27"/>
      <c r="R1076" s="63"/>
      <c r="S1076" s="62" t="s">
        <v>3124</v>
      </c>
    </row>
    <row r="1077" spans="1:19" s="29" customFormat="1" x14ac:dyDescent="0.3">
      <c r="A1077" s="27"/>
      <c r="B1077" s="27"/>
      <c r="C1077" s="69"/>
      <c r="D1077" s="3" t="s">
        <v>3126</v>
      </c>
      <c r="F1077" s="3"/>
      <c r="I1077" s="108"/>
      <c r="M1077" s="69">
        <f t="shared" si="32"/>
        <v>0</v>
      </c>
      <c r="N1077" s="69">
        <f t="shared" si="33"/>
        <v>0</v>
      </c>
      <c r="O1077" s="29">
        <v>5106</v>
      </c>
      <c r="Q1077" s="27"/>
      <c r="R1077" s="63"/>
      <c r="S1077" s="62" t="s">
        <v>3127</v>
      </c>
    </row>
    <row r="1078" spans="1:19" s="29" customFormat="1" x14ac:dyDescent="0.3">
      <c r="A1078" s="27"/>
      <c r="B1078" s="27"/>
      <c r="C1078" s="69"/>
      <c r="D1078" s="3" t="s">
        <v>3141</v>
      </c>
      <c r="F1078" s="3"/>
      <c r="I1078" s="108"/>
      <c r="M1078" s="69">
        <f t="shared" si="32"/>
        <v>0</v>
      </c>
      <c r="N1078" s="69">
        <f t="shared" si="33"/>
        <v>0</v>
      </c>
      <c r="O1078" s="71">
        <v>6769</v>
      </c>
      <c r="Q1078" s="27"/>
      <c r="R1078" s="62"/>
      <c r="S1078" s="29" t="s">
        <v>3142</v>
      </c>
    </row>
    <row r="1079" spans="1:19" s="29" customFormat="1" x14ac:dyDescent="0.3">
      <c r="A1079" s="27"/>
      <c r="B1079" s="27"/>
      <c r="C1079" s="69"/>
      <c r="D1079" s="3" t="s">
        <v>3144</v>
      </c>
      <c r="F1079" s="3"/>
      <c r="I1079" s="108"/>
      <c r="M1079" s="69">
        <f t="shared" si="32"/>
        <v>0</v>
      </c>
      <c r="N1079" s="69">
        <f t="shared" si="33"/>
        <v>0</v>
      </c>
      <c r="O1079" s="71">
        <v>15745</v>
      </c>
      <c r="Q1079" s="27"/>
      <c r="R1079" s="62"/>
      <c r="S1079" s="29" t="s">
        <v>3143</v>
      </c>
    </row>
    <row r="1080" spans="1:19" s="29" customFormat="1" x14ac:dyDescent="0.3">
      <c r="A1080" s="27"/>
      <c r="B1080" s="27"/>
      <c r="C1080" s="69"/>
      <c r="D1080" s="150" t="s">
        <v>3145</v>
      </c>
      <c r="F1080" s="3"/>
      <c r="I1080" s="108"/>
      <c r="M1080" s="69">
        <f t="shared" si="32"/>
        <v>0</v>
      </c>
      <c r="N1080" s="69">
        <f t="shared" si="33"/>
        <v>0</v>
      </c>
      <c r="O1080" s="71">
        <v>21762</v>
      </c>
      <c r="Q1080" s="27"/>
      <c r="R1080" s="62"/>
      <c r="S1080" s="29" t="s">
        <v>3146</v>
      </c>
    </row>
    <row r="1081" spans="1:19" s="29" customFormat="1" x14ac:dyDescent="0.3">
      <c r="A1081" s="27"/>
      <c r="B1081" s="27"/>
      <c r="C1081" s="69"/>
      <c r="D1081" s="150" t="s">
        <v>3149</v>
      </c>
      <c r="F1081" s="3"/>
      <c r="I1081" s="108"/>
      <c r="M1081" s="69">
        <f t="shared" si="32"/>
        <v>0</v>
      </c>
      <c r="N1081" s="69">
        <f t="shared" si="33"/>
        <v>0</v>
      </c>
      <c r="O1081" s="71">
        <v>25125</v>
      </c>
      <c r="Q1081" s="27"/>
      <c r="R1081" s="62"/>
      <c r="S1081" s="29" t="s">
        <v>3151</v>
      </c>
    </row>
    <row r="1082" spans="1:19" s="29" customFormat="1" x14ac:dyDescent="0.3">
      <c r="A1082" s="27"/>
      <c r="B1082" s="27"/>
      <c r="C1082" s="69"/>
      <c r="D1082" s="150" t="s">
        <v>3150</v>
      </c>
      <c r="F1082" s="3"/>
      <c r="I1082" s="108"/>
      <c r="M1082" s="69">
        <f t="shared" si="32"/>
        <v>0</v>
      </c>
      <c r="N1082" s="69">
        <f t="shared" si="33"/>
        <v>0</v>
      </c>
      <c r="O1082" s="71">
        <v>25160</v>
      </c>
      <c r="Q1082" s="27"/>
      <c r="R1082" s="62"/>
      <c r="S1082" s="29" t="s">
        <v>3152</v>
      </c>
    </row>
    <row r="1083" spans="1:19" s="29" customFormat="1" ht="26.4" x14ac:dyDescent="0.3">
      <c r="A1083" s="27"/>
      <c r="B1083" s="27"/>
      <c r="C1083" s="69"/>
      <c r="D1083" s="150" t="s">
        <v>3153</v>
      </c>
      <c r="F1083" s="3"/>
      <c r="I1083" s="108"/>
      <c r="M1083" s="69">
        <f t="shared" si="32"/>
        <v>0</v>
      </c>
      <c r="N1083" s="69">
        <f t="shared" si="33"/>
        <v>0</v>
      </c>
      <c r="O1083" s="71">
        <f>5082+1120</f>
        <v>6202</v>
      </c>
      <c r="Q1083" s="27"/>
      <c r="R1083" s="62"/>
      <c r="S1083" s="110" t="s">
        <v>3154</v>
      </c>
    </row>
    <row r="1084" spans="1:19" s="29" customFormat="1" x14ac:dyDescent="0.3">
      <c r="A1084" s="27"/>
      <c r="B1084" s="27"/>
      <c r="C1084" s="69"/>
      <c r="D1084" s="3" t="s">
        <v>3155</v>
      </c>
      <c r="F1084" s="3"/>
      <c r="I1084" s="108"/>
      <c r="M1084" s="69">
        <f t="shared" si="32"/>
        <v>0</v>
      </c>
      <c r="N1084" s="69">
        <f t="shared" si="33"/>
        <v>0</v>
      </c>
      <c r="O1084" s="71">
        <v>53143</v>
      </c>
      <c r="Q1084" s="27"/>
      <c r="R1084" s="63"/>
      <c r="S1084" s="62" t="s">
        <v>3156</v>
      </c>
    </row>
    <row r="1085" spans="1:19" s="29" customFormat="1" x14ac:dyDescent="0.3">
      <c r="A1085" s="27"/>
      <c r="B1085" s="27"/>
      <c r="C1085" s="69"/>
      <c r="D1085" s="3" t="s">
        <v>3157</v>
      </c>
      <c r="F1085" s="3"/>
      <c r="I1085" s="108"/>
      <c r="M1085" s="69">
        <f t="shared" si="32"/>
        <v>0</v>
      </c>
      <c r="N1085" s="69">
        <f t="shared" si="33"/>
        <v>0</v>
      </c>
      <c r="O1085" s="71">
        <v>13224</v>
      </c>
      <c r="Q1085" s="27"/>
      <c r="R1085" s="63"/>
      <c r="S1085" s="62" t="s">
        <v>3158</v>
      </c>
    </row>
    <row r="1086" spans="1:19" s="29" customFormat="1" x14ac:dyDescent="0.3">
      <c r="A1086" s="27"/>
      <c r="B1086" s="27"/>
      <c r="C1086" s="69"/>
      <c r="D1086" s="3" t="s">
        <v>3162</v>
      </c>
      <c r="F1086" s="3"/>
      <c r="I1086" s="108"/>
      <c r="M1086" s="69">
        <f t="shared" si="32"/>
        <v>0</v>
      </c>
      <c r="N1086" s="69">
        <f t="shared" si="33"/>
        <v>0</v>
      </c>
      <c r="O1086" s="71">
        <v>6238</v>
      </c>
      <c r="Q1086" s="27"/>
      <c r="R1086" s="63"/>
      <c r="S1086" s="62" t="s">
        <v>3163</v>
      </c>
    </row>
    <row r="1087" spans="1:19" s="29" customFormat="1" x14ac:dyDescent="0.3">
      <c r="A1087" s="27"/>
      <c r="B1087" s="27"/>
      <c r="C1087" s="69"/>
      <c r="D1087" s="3" t="s">
        <v>3164</v>
      </c>
      <c r="F1087" s="3"/>
      <c r="I1087" s="108"/>
      <c r="M1087" s="69">
        <f t="shared" si="32"/>
        <v>0</v>
      </c>
      <c r="N1087" s="69">
        <f t="shared" si="33"/>
        <v>0</v>
      </c>
      <c r="O1087" s="71">
        <f>350+6342</f>
        <v>6692</v>
      </c>
      <c r="Q1087" s="27"/>
      <c r="R1087" s="63"/>
      <c r="S1087" s="62" t="s">
        <v>3165</v>
      </c>
    </row>
    <row r="1088" spans="1:19" s="29" customFormat="1" x14ac:dyDescent="0.3">
      <c r="A1088" s="27"/>
      <c r="B1088" s="27"/>
      <c r="C1088" s="69"/>
      <c r="D1088" s="3" t="s">
        <v>3166</v>
      </c>
      <c r="F1088" s="3"/>
      <c r="I1088" s="108"/>
      <c r="M1088" s="69">
        <f t="shared" si="32"/>
        <v>0</v>
      </c>
      <c r="N1088" s="69">
        <f t="shared" si="33"/>
        <v>0</v>
      </c>
      <c r="O1088" s="71">
        <v>5843</v>
      </c>
      <c r="Q1088" s="27"/>
      <c r="R1088" s="63"/>
      <c r="S1088" s="62" t="s">
        <v>3167</v>
      </c>
    </row>
    <row r="1089" spans="1:19" s="29" customFormat="1" x14ac:dyDescent="0.3">
      <c r="A1089" s="27"/>
      <c r="B1089" s="27"/>
      <c r="C1089" s="69"/>
      <c r="D1089" s="3"/>
      <c r="F1089" s="3"/>
      <c r="I1089" s="108"/>
      <c r="M1089" s="69">
        <f t="shared" si="32"/>
        <v>0</v>
      </c>
      <c r="N1089" s="69">
        <f t="shared" si="33"/>
        <v>0</v>
      </c>
      <c r="O1089" s="108">
        <f>SUM(O1067:O1088)</f>
        <v>294809</v>
      </c>
      <c r="Q1089" s="27"/>
      <c r="R1089" s="62"/>
    </row>
    <row r="1090" spans="1:19" s="29" customFormat="1" x14ac:dyDescent="0.3">
      <c r="A1090" s="27"/>
      <c r="B1090" s="27"/>
      <c r="C1090" s="69"/>
      <c r="D1090" s="3"/>
      <c r="F1090" s="3"/>
      <c r="I1090" s="108"/>
      <c r="M1090" s="69">
        <f t="shared" si="32"/>
        <v>0</v>
      </c>
      <c r="N1090" s="69">
        <f t="shared" si="33"/>
        <v>0</v>
      </c>
      <c r="Q1090" s="27"/>
      <c r="R1090" s="62"/>
    </row>
    <row r="1091" spans="1:19" s="29" customFormat="1" x14ac:dyDescent="0.3">
      <c r="A1091" s="27">
        <v>45261</v>
      </c>
      <c r="B1091" s="15" t="str">
        <f>TEXT(A1091,"mmmm")</f>
        <v>December</v>
      </c>
      <c r="C1091" s="69" t="s">
        <v>3092</v>
      </c>
      <c r="D1091" s="3" t="s">
        <v>3111</v>
      </c>
      <c r="E1091" s="29">
        <v>2</v>
      </c>
      <c r="F1091" s="3" t="s">
        <v>52</v>
      </c>
      <c r="G1091" s="29" t="s">
        <v>14</v>
      </c>
      <c r="H1091" s="29" t="s">
        <v>10</v>
      </c>
      <c r="I1091" s="108">
        <v>160000</v>
      </c>
      <c r="J1091" s="29">
        <v>3810</v>
      </c>
      <c r="K1091" s="29">
        <v>3810</v>
      </c>
      <c r="M1091" s="69">
        <f t="shared" ref="M1091:M1154" si="34">SUM(J1091:L1091)</f>
        <v>7620</v>
      </c>
      <c r="N1091" s="69">
        <f t="shared" ref="N1091:N1154" si="35">I1091-M1091</f>
        <v>152380</v>
      </c>
      <c r="O1091" s="29">
        <v>37402</v>
      </c>
      <c r="P1091" s="29">
        <v>48178</v>
      </c>
      <c r="Q1091" s="97">
        <v>45267</v>
      </c>
      <c r="R1091" s="62" t="s">
        <v>3099</v>
      </c>
      <c r="S1091" s="29" t="s">
        <v>3093</v>
      </c>
    </row>
    <row r="1092" spans="1:19" s="29" customFormat="1" x14ac:dyDescent="0.3">
      <c r="A1092" s="27"/>
      <c r="B1092" s="27"/>
      <c r="C1092" s="69"/>
      <c r="D1092" s="3"/>
      <c r="F1092" s="3"/>
      <c r="G1092" s="76">
        <v>32000</v>
      </c>
      <c r="H1092" s="29" t="s">
        <v>3094</v>
      </c>
      <c r="I1092" s="108"/>
      <c r="M1092" s="69">
        <f t="shared" si="34"/>
        <v>0</v>
      </c>
      <c r="N1092" s="69">
        <f t="shared" si="35"/>
        <v>0</v>
      </c>
      <c r="O1092" s="29">
        <v>66800</v>
      </c>
      <c r="Q1092" s="27"/>
      <c r="R1092" s="62" t="s">
        <v>3098</v>
      </c>
    </row>
    <row r="1093" spans="1:19" s="29" customFormat="1" x14ac:dyDescent="0.3">
      <c r="A1093" s="27"/>
      <c r="B1093" s="27"/>
      <c r="C1093" s="69"/>
      <c r="D1093" s="3"/>
      <c r="F1093" s="148" t="s">
        <v>2554</v>
      </c>
      <c r="G1093" s="108">
        <v>192000</v>
      </c>
      <c r="I1093" s="108"/>
      <c r="M1093" s="69">
        <f t="shared" si="34"/>
        <v>0</v>
      </c>
      <c r="N1093" s="69">
        <f t="shared" si="35"/>
        <v>0</v>
      </c>
      <c r="O1093" s="108">
        <f>SUM(O1091:O1092)</f>
        <v>104202</v>
      </c>
      <c r="Q1093" s="27"/>
      <c r="R1093" s="62"/>
    </row>
    <row r="1094" spans="1:19" s="29" customFormat="1" x14ac:dyDescent="0.3">
      <c r="A1094" s="27"/>
      <c r="B1094" s="27"/>
      <c r="C1094" s="69"/>
      <c r="D1094" s="3"/>
      <c r="F1094" s="3"/>
      <c r="I1094" s="108"/>
      <c r="M1094" s="69">
        <f t="shared" si="34"/>
        <v>0</v>
      </c>
      <c r="N1094" s="69">
        <f t="shared" si="35"/>
        <v>0</v>
      </c>
      <c r="Q1094" s="27"/>
      <c r="R1094" s="62"/>
    </row>
    <row r="1095" spans="1:19" s="29" customFormat="1" x14ac:dyDescent="0.3">
      <c r="A1095" s="27">
        <v>45264</v>
      </c>
      <c r="B1095" s="15" t="str">
        <f>TEXT(A1095,"mmmm")</f>
        <v>December</v>
      </c>
      <c r="C1095" s="3" t="s">
        <v>3101</v>
      </c>
      <c r="D1095" s="3" t="s">
        <v>833</v>
      </c>
      <c r="E1095" s="29">
        <v>1</v>
      </c>
      <c r="F1095" s="3"/>
      <c r="G1095" s="29" t="s">
        <v>59</v>
      </c>
      <c r="H1095" s="29" t="s">
        <v>10</v>
      </c>
      <c r="I1095" s="108">
        <v>3000</v>
      </c>
      <c r="J1095" s="29">
        <v>35</v>
      </c>
      <c r="K1095" s="29">
        <v>35</v>
      </c>
      <c r="M1095" s="69">
        <f t="shared" si="34"/>
        <v>70</v>
      </c>
      <c r="N1095" s="69">
        <f t="shared" si="35"/>
        <v>2930</v>
      </c>
      <c r="O1095" s="108">
        <v>2545</v>
      </c>
      <c r="P1095" s="29">
        <v>385</v>
      </c>
      <c r="Q1095" s="27" t="s">
        <v>3428</v>
      </c>
      <c r="R1095" s="62" t="s">
        <v>3102</v>
      </c>
    </row>
    <row r="1096" spans="1:19" s="29" customFormat="1" x14ac:dyDescent="0.3">
      <c r="A1096" s="27"/>
      <c r="B1096" s="27"/>
      <c r="C1096" s="69"/>
      <c r="D1096" s="3"/>
      <c r="F1096" s="3"/>
      <c r="I1096" s="108"/>
      <c r="M1096" s="69">
        <f t="shared" si="34"/>
        <v>0</v>
      </c>
      <c r="N1096" s="69">
        <f t="shared" si="35"/>
        <v>0</v>
      </c>
      <c r="Q1096" s="27"/>
      <c r="R1096" s="62"/>
    </row>
    <row r="1097" spans="1:19" s="29" customFormat="1" ht="26.4" x14ac:dyDescent="0.3">
      <c r="A1097" s="27">
        <v>45266</v>
      </c>
      <c r="B1097" s="15" t="str">
        <f>TEXT(A1097,"mmmm")</f>
        <v>December</v>
      </c>
      <c r="C1097" s="3" t="s">
        <v>3105</v>
      </c>
      <c r="D1097" s="3" t="s">
        <v>847</v>
      </c>
      <c r="E1097" s="29">
        <v>2</v>
      </c>
      <c r="F1097" s="3"/>
      <c r="G1097" s="29" t="s">
        <v>14</v>
      </c>
      <c r="H1097" s="29" t="s">
        <v>162</v>
      </c>
      <c r="I1097" s="108">
        <v>27960</v>
      </c>
      <c r="J1097" s="29">
        <v>666</v>
      </c>
      <c r="K1097" s="29">
        <v>666</v>
      </c>
      <c r="M1097" s="69">
        <f t="shared" si="34"/>
        <v>1332</v>
      </c>
      <c r="N1097" s="69">
        <f t="shared" si="35"/>
        <v>26628</v>
      </c>
      <c r="O1097" s="88">
        <v>1860.4</v>
      </c>
      <c r="P1097" s="69">
        <v>5390</v>
      </c>
      <c r="Q1097" s="27" t="s">
        <v>3104</v>
      </c>
      <c r="R1097" s="30" t="s">
        <v>2983</v>
      </c>
    </row>
    <row r="1098" spans="1:19" s="29" customFormat="1" x14ac:dyDescent="0.3">
      <c r="A1098" s="27"/>
      <c r="B1098" s="27"/>
      <c r="C1098" s="98"/>
      <c r="D1098" s="3" t="s">
        <v>2789</v>
      </c>
      <c r="F1098" s="3"/>
      <c r="H1098" s="29" t="s">
        <v>10</v>
      </c>
      <c r="M1098" s="69">
        <f t="shared" si="34"/>
        <v>0</v>
      </c>
      <c r="N1098" s="69">
        <f t="shared" si="35"/>
        <v>0</v>
      </c>
      <c r="O1098" s="69">
        <v>6256</v>
      </c>
      <c r="P1098" s="69"/>
      <c r="Q1098" s="30"/>
      <c r="R1098" s="27">
        <v>45250</v>
      </c>
      <c r="S1098" s="30" t="s">
        <v>2984</v>
      </c>
    </row>
    <row r="1099" spans="1:19" s="29" customFormat="1" x14ac:dyDescent="0.3">
      <c r="A1099" s="27"/>
      <c r="B1099" s="27"/>
      <c r="C1099" s="98"/>
      <c r="D1099" s="3"/>
      <c r="F1099" s="3"/>
      <c r="H1099" s="29" t="s">
        <v>2985</v>
      </c>
      <c r="M1099" s="69">
        <f t="shared" si="34"/>
        <v>0</v>
      </c>
      <c r="N1099" s="69">
        <f t="shared" si="35"/>
        <v>0</v>
      </c>
      <c r="O1099" s="29">
        <f>13122</f>
        <v>13122</v>
      </c>
      <c r="Q1099" s="27"/>
      <c r="R1099" s="62" t="s">
        <v>3006</v>
      </c>
    </row>
    <row r="1100" spans="1:19" s="29" customFormat="1" x14ac:dyDescent="0.3">
      <c r="A1100" s="27"/>
      <c r="B1100" s="27"/>
      <c r="C1100" s="98"/>
      <c r="D1100" s="3"/>
      <c r="F1100" s="3"/>
      <c r="I1100" s="108"/>
      <c r="M1100" s="69">
        <f t="shared" si="34"/>
        <v>0</v>
      </c>
      <c r="N1100" s="69">
        <f t="shared" si="35"/>
        <v>0</v>
      </c>
      <c r="O1100" s="108">
        <f>SUM(O1097:O1099)</f>
        <v>21238.400000000001</v>
      </c>
      <c r="Q1100" s="27"/>
      <c r="R1100" s="62"/>
    </row>
    <row r="1101" spans="1:19" s="29" customFormat="1" x14ac:dyDescent="0.3">
      <c r="A1101" s="27"/>
      <c r="B1101" s="27"/>
      <c r="C1101" s="98"/>
      <c r="D1101" s="3"/>
      <c r="F1101" s="3"/>
      <c r="I1101" s="108"/>
      <c r="M1101" s="69">
        <f t="shared" si="34"/>
        <v>0</v>
      </c>
      <c r="N1101" s="69">
        <f t="shared" si="35"/>
        <v>0</v>
      </c>
      <c r="O1101" s="108"/>
      <c r="Q1101" s="27"/>
      <c r="R1101" s="62"/>
    </row>
    <row r="1102" spans="1:19" s="29" customFormat="1" x14ac:dyDescent="0.3">
      <c r="A1102" s="27">
        <v>45271</v>
      </c>
      <c r="B1102" s="15" t="str">
        <f>TEXT(A1102,"mmmm")</f>
        <v>December</v>
      </c>
      <c r="C1102" s="29" t="s">
        <v>3134</v>
      </c>
      <c r="D1102" s="3" t="s">
        <v>3135</v>
      </c>
      <c r="E1102" s="29">
        <v>1</v>
      </c>
      <c r="F1102" s="3" t="s">
        <v>54</v>
      </c>
      <c r="G1102" s="29" t="s">
        <v>24</v>
      </c>
      <c r="H1102" s="29" t="s">
        <v>10</v>
      </c>
      <c r="I1102" s="108">
        <v>153040</v>
      </c>
      <c r="J1102" s="29">
        <f>P1102*9%</f>
        <v>990</v>
      </c>
      <c r="K1102" s="29">
        <f>J1102</f>
        <v>990</v>
      </c>
      <c r="M1102" s="69">
        <f t="shared" si="34"/>
        <v>1980</v>
      </c>
      <c r="N1102" s="69">
        <f t="shared" si="35"/>
        <v>151060</v>
      </c>
      <c r="O1102" s="29">
        <v>5126</v>
      </c>
      <c r="P1102" s="29">
        <v>11000</v>
      </c>
      <c r="Q1102" s="27" t="s">
        <v>3221</v>
      </c>
      <c r="R1102" s="27" t="s">
        <v>3171</v>
      </c>
      <c r="S1102" s="29" t="s">
        <v>3137</v>
      </c>
    </row>
    <row r="1103" spans="1:19" s="29" customFormat="1" ht="26.4" x14ac:dyDescent="0.3">
      <c r="A1103" s="27"/>
      <c r="B1103" s="27"/>
      <c r="D1103" s="25" t="s">
        <v>3136</v>
      </c>
      <c r="F1103" s="3"/>
      <c r="H1103" s="29" t="s">
        <v>10</v>
      </c>
      <c r="I1103" s="108"/>
      <c r="M1103" s="69">
        <f t="shared" si="34"/>
        <v>0</v>
      </c>
      <c r="N1103" s="69">
        <f t="shared" si="35"/>
        <v>0</v>
      </c>
      <c r="O1103" s="29">
        <v>57268</v>
      </c>
      <c r="Q1103" s="47"/>
      <c r="R1103" s="27"/>
      <c r="S1103" s="29" t="s">
        <v>3138</v>
      </c>
    </row>
    <row r="1104" spans="1:19" s="29" customFormat="1" x14ac:dyDescent="0.3">
      <c r="A1104" s="27"/>
      <c r="B1104" s="27"/>
      <c r="D1104" s="25" t="s">
        <v>3147</v>
      </c>
      <c r="F1104" s="3"/>
      <c r="H1104" s="29" t="s">
        <v>10</v>
      </c>
      <c r="I1104" s="108"/>
      <c r="M1104" s="69">
        <f t="shared" si="34"/>
        <v>0</v>
      </c>
      <c r="N1104" s="69">
        <f t="shared" si="35"/>
        <v>0</v>
      </c>
      <c r="O1104" s="29">
        <v>37794</v>
      </c>
      <c r="Q1104" s="47"/>
      <c r="R1104" s="27"/>
      <c r="S1104" s="29" t="s">
        <v>3148</v>
      </c>
    </row>
    <row r="1105" spans="1:19" s="29" customFormat="1" x14ac:dyDescent="0.3">
      <c r="A1105" s="27"/>
      <c r="B1105" s="27"/>
      <c r="D1105" s="25" t="s">
        <v>3159</v>
      </c>
      <c r="F1105" s="3"/>
      <c r="H1105" s="29" t="s">
        <v>611</v>
      </c>
      <c r="I1105" s="108"/>
      <c r="M1105" s="69">
        <f t="shared" si="34"/>
        <v>0</v>
      </c>
      <c r="N1105" s="69">
        <f t="shared" si="35"/>
        <v>0</v>
      </c>
      <c r="O1105" s="29">
        <v>21710</v>
      </c>
      <c r="Q1105" s="47"/>
      <c r="R1105" s="27" t="s">
        <v>3161</v>
      </c>
    </row>
    <row r="1106" spans="1:19" s="29" customFormat="1" x14ac:dyDescent="0.3">
      <c r="A1106" s="27"/>
      <c r="B1106" s="27"/>
      <c r="D1106" s="25" t="s">
        <v>3160</v>
      </c>
      <c r="F1106" s="3"/>
      <c r="H1106" s="29" t="s">
        <v>611</v>
      </c>
      <c r="I1106" s="108"/>
      <c r="M1106" s="69">
        <f t="shared" si="34"/>
        <v>0</v>
      </c>
      <c r="N1106" s="69">
        <f t="shared" si="35"/>
        <v>0</v>
      </c>
      <c r="O1106" s="29">
        <v>18172</v>
      </c>
      <c r="Q1106" s="47"/>
      <c r="R1106" s="27" t="s">
        <v>3161</v>
      </c>
    </row>
    <row r="1107" spans="1:19" s="29" customFormat="1" x14ac:dyDescent="0.3">
      <c r="A1107" s="27"/>
      <c r="B1107" s="27"/>
      <c r="D1107" s="3"/>
      <c r="F1107" s="3"/>
      <c r="I1107" s="108"/>
      <c r="M1107" s="69">
        <f t="shared" si="34"/>
        <v>0</v>
      </c>
      <c r="N1107" s="69">
        <f t="shared" si="35"/>
        <v>0</v>
      </c>
      <c r="O1107" s="108">
        <f>SUM(O1102:O1106)</f>
        <v>140070</v>
      </c>
      <c r="Q1107" s="47"/>
      <c r="R1107" s="27"/>
    </row>
    <row r="1108" spans="1:19" s="29" customFormat="1" x14ac:dyDescent="0.3">
      <c r="A1108" s="27"/>
      <c r="B1108" s="27"/>
      <c r="D1108" s="3"/>
      <c r="F1108" s="3"/>
      <c r="I1108" s="108"/>
      <c r="M1108" s="69">
        <f t="shared" si="34"/>
        <v>0</v>
      </c>
      <c r="N1108" s="69">
        <f t="shared" si="35"/>
        <v>0</v>
      </c>
      <c r="Q1108" s="47"/>
      <c r="R1108" s="27"/>
    </row>
    <row r="1109" spans="1:19" s="29" customFormat="1" x14ac:dyDescent="0.3">
      <c r="A1109" s="27">
        <v>45278</v>
      </c>
      <c r="B1109" s="15" t="str">
        <f>TEXT(A1109,"mmmm")</f>
        <v>December</v>
      </c>
      <c r="C1109" s="98" t="s">
        <v>3174</v>
      </c>
      <c r="D1109" s="3" t="s">
        <v>2292</v>
      </c>
      <c r="F1109" s="3" t="s">
        <v>54</v>
      </c>
      <c r="G1109" s="29" t="s">
        <v>2933</v>
      </c>
      <c r="H1109" s="29" t="s">
        <v>1134</v>
      </c>
      <c r="I1109" s="108">
        <f>SUM(J1109,K1109,O1123,P1109)</f>
        <v>95252</v>
      </c>
      <c r="J1109" s="29">
        <v>2268</v>
      </c>
      <c r="K1109" s="29">
        <v>2268</v>
      </c>
      <c r="M1109" s="69">
        <f t="shared" si="34"/>
        <v>4536</v>
      </c>
      <c r="N1109" s="69">
        <f t="shared" si="35"/>
        <v>90716</v>
      </c>
      <c r="O1109" s="108"/>
      <c r="P1109" s="29">
        <f>1250*13</f>
        <v>16250</v>
      </c>
      <c r="Q1109" s="27" t="s">
        <v>3221</v>
      </c>
      <c r="R1109" s="62" t="s">
        <v>3203</v>
      </c>
    </row>
    <row r="1110" spans="1:19" s="29" customFormat="1" x14ac:dyDescent="0.3">
      <c r="A1110" s="27"/>
      <c r="B1110" s="27"/>
      <c r="C1110" s="98"/>
      <c r="D1110" s="25" t="s">
        <v>3187</v>
      </c>
      <c r="F1110" s="3"/>
      <c r="I1110" s="108"/>
      <c r="M1110" s="69">
        <f t="shared" si="34"/>
        <v>0</v>
      </c>
      <c r="N1110" s="69">
        <f t="shared" si="35"/>
        <v>0</v>
      </c>
      <c r="O1110" s="151">
        <v>6334</v>
      </c>
      <c r="Q1110" s="63"/>
      <c r="R1110" s="62"/>
      <c r="S1110" s="152" t="s">
        <v>3188</v>
      </c>
    </row>
    <row r="1111" spans="1:19" s="29" customFormat="1" x14ac:dyDescent="0.3">
      <c r="A1111" s="27"/>
      <c r="B1111" s="27"/>
      <c r="C1111" s="98"/>
      <c r="D1111" s="25" t="s">
        <v>3186</v>
      </c>
      <c r="F1111" s="3"/>
      <c r="I1111" s="108"/>
      <c r="M1111" s="69">
        <f t="shared" si="34"/>
        <v>0</v>
      </c>
      <c r="N1111" s="69">
        <f t="shared" si="35"/>
        <v>0</v>
      </c>
      <c r="O1111" s="151">
        <v>6643</v>
      </c>
      <c r="Q1111" s="63"/>
      <c r="R1111" s="62"/>
      <c r="S1111" s="152" t="s">
        <v>3189</v>
      </c>
    </row>
    <row r="1112" spans="1:19" s="29" customFormat="1" x14ac:dyDescent="0.3">
      <c r="A1112" s="27"/>
      <c r="B1112" s="27"/>
      <c r="C1112" s="98"/>
      <c r="D1112" s="25" t="s">
        <v>3185</v>
      </c>
      <c r="F1112" s="3"/>
      <c r="I1112" s="108"/>
      <c r="M1112" s="69">
        <f t="shared" si="34"/>
        <v>0</v>
      </c>
      <c r="N1112" s="69">
        <f t="shared" si="35"/>
        <v>0</v>
      </c>
      <c r="O1112" s="151">
        <v>8992</v>
      </c>
      <c r="Q1112" s="63"/>
      <c r="R1112" s="62"/>
      <c r="S1112" s="152" t="s">
        <v>3190</v>
      </c>
    </row>
    <row r="1113" spans="1:19" s="29" customFormat="1" x14ac:dyDescent="0.3">
      <c r="A1113" s="27"/>
      <c r="B1113" s="27"/>
      <c r="C1113" s="98"/>
      <c r="D1113" s="25" t="s">
        <v>3184</v>
      </c>
      <c r="F1113" s="3"/>
      <c r="I1113" s="108"/>
      <c r="M1113" s="69">
        <f t="shared" si="34"/>
        <v>0</v>
      </c>
      <c r="N1113" s="69">
        <f t="shared" si="35"/>
        <v>0</v>
      </c>
      <c r="O1113" s="151">
        <v>7830</v>
      </c>
      <c r="Q1113" s="63"/>
      <c r="R1113" s="62"/>
      <c r="S1113" s="152" t="s">
        <v>3191</v>
      </c>
    </row>
    <row r="1114" spans="1:19" s="29" customFormat="1" x14ac:dyDescent="0.3">
      <c r="A1114" s="27"/>
      <c r="B1114" s="27"/>
      <c r="C1114" s="98"/>
      <c r="D1114" s="25" t="s">
        <v>3183</v>
      </c>
      <c r="F1114" s="3"/>
      <c r="I1114" s="108"/>
      <c r="M1114" s="69">
        <f t="shared" si="34"/>
        <v>0</v>
      </c>
      <c r="N1114" s="69">
        <f t="shared" si="35"/>
        <v>0</v>
      </c>
      <c r="O1114" s="151">
        <v>5145</v>
      </c>
      <c r="Q1114" s="63"/>
      <c r="R1114" s="62"/>
      <c r="S1114" s="152" t="s">
        <v>3192</v>
      </c>
    </row>
    <row r="1115" spans="1:19" s="29" customFormat="1" x14ac:dyDescent="0.3">
      <c r="A1115" s="27"/>
      <c r="B1115" s="27"/>
      <c r="C1115" s="98"/>
      <c r="D1115" s="25" t="s">
        <v>3182</v>
      </c>
      <c r="F1115" s="3"/>
      <c r="I1115" s="108"/>
      <c r="M1115" s="69">
        <f t="shared" si="34"/>
        <v>0</v>
      </c>
      <c r="N1115" s="69">
        <f t="shared" si="35"/>
        <v>0</v>
      </c>
      <c r="O1115" s="151">
        <v>2730</v>
      </c>
      <c r="Q1115" s="63"/>
      <c r="R1115" s="62"/>
      <c r="S1115" s="152" t="s">
        <v>3193</v>
      </c>
    </row>
    <row r="1116" spans="1:19" s="29" customFormat="1" x14ac:dyDescent="0.3">
      <c r="A1116" s="27"/>
      <c r="B1116" s="27"/>
      <c r="C1116" s="98"/>
      <c r="D1116" s="25" t="s">
        <v>3181</v>
      </c>
      <c r="F1116" s="3"/>
      <c r="I1116" s="108"/>
      <c r="M1116" s="69">
        <f t="shared" si="34"/>
        <v>0</v>
      </c>
      <c r="N1116" s="69">
        <f t="shared" si="35"/>
        <v>0</v>
      </c>
      <c r="O1116" s="151">
        <v>6274</v>
      </c>
      <c r="Q1116" s="63"/>
      <c r="R1116" s="62"/>
      <c r="S1116" s="152" t="s">
        <v>3194</v>
      </c>
    </row>
    <row r="1117" spans="1:19" s="29" customFormat="1" x14ac:dyDescent="0.3">
      <c r="A1117" s="27"/>
      <c r="B1117" s="27"/>
      <c r="C1117" s="98"/>
      <c r="D1117" s="25" t="s">
        <v>3180</v>
      </c>
      <c r="F1117" s="3"/>
      <c r="I1117" s="108"/>
      <c r="M1117" s="69">
        <f t="shared" si="34"/>
        <v>0</v>
      </c>
      <c r="N1117" s="69">
        <f t="shared" si="35"/>
        <v>0</v>
      </c>
      <c r="O1117" s="151">
        <v>5539</v>
      </c>
      <c r="Q1117" s="63"/>
      <c r="R1117" s="62"/>
      <c r="S1117" s="152" t="s">
        <v>3195</v>
      </c>
    </row>
    <row r="1118" spans="1:19" s="29" customFormat="1" x14ac:dyDescent="0.3">
      <c r="A1118" s="27"/>
      <c r="B1118" s="27"/>
      <c r="C1118" s="98"/>
      <c r="D1118" s="25" t="s">
        <v>3179</v>
      </c>
      <c r="F1118" s="3"/>
      <c r="I1118" s="108"/>
      <c r="M1118" s="69">
        <f t="shared" si="34"/>
        <v>0</v>
      </c>
      <c r="N1118" s="69">
        <f t="shared" si="35"/>
        <v>0</v>
      </c>
      <c r="O1118" s="151">
        <v>8376</v>
      </c>
      <c r="Q1118" s="63"/>
      <c r="R1118" s="62"/>
      <c r="S1118" s="152" t="s">
        <v>3196</v>
      </c>
    </row>
    <row r="1119" spans="1:19" s="29" customFormat="1" x14ac:dyDescent="0.3">
      <c r="A1119" s="27"/>
      <c r="B1119" s="27"/>
      <c r="C1119" s="98"/>
      <c r="D1119" s="25" t="s">
        <v>3178</v>
      </c>
      <c r="F1119" s="3"/>
      <c r="I1119" s="108"/>
      <c r="M1119" s="69">
        <f t="shared" si="34"/>
        <v>0</v>
      </c>
      <c r="N1119" s="69">
        <f t="shared" si="35"/>
        <v>0</v>
      </c>
      <c r="O1119" s="151">
        <v>5355</v>
      </c>
      <c r="Q1119" s="63"/>
      <c r="R1119" s="62"/>
      <c r="S1119" s="152" t="s">
        <v>3197</v>
      </c>
    </row>
    <row r="1120" spans="1:19" s="29" customFormat="1" x14ac:dyDescent="0.3">
      <c r="A1120" s="27"/>
      <c r="B1120" s="27"/>
      <c r="C1120" s="98"/>
      <c r="D1120" s="25" t="s">
        <v>3176</v>
      </c>
      <c r="F1120" s="3"/>
      <c r="I1120" s="108"/>
      <c r="M1120" s="69">
        <f t="shared" si="34"/>
        <v>0</v>
      </c>
      <c r="N1120" s="69">
        <f t="shared" si="35"/>
        <v>0</v>
      </c>
      <c r="O1120" s="151">
        <v>2830</v>
      </c>
      <c r="Q1120" s="63"/>
      <c r="R1120" s="62"/>
      <c r="S1120" s="152" t="s">
        <v>3198</v>
      </c>
    </row>
    <row r="1121" spans="1:19" s="29" customFormat="1" x14ac:dyDescent="0.3">
      <c r="A1121" s="27"/>
      <c r="B1121" s="27"/>
      <c r="C1121" s="98"/>
      <c r="D1121" s="3" t="s">
        <v>3177</v>
      </c>
      <c r="F1121" s="3"/>
      <c r="I1121" s="108"/>
      <c r="M1121" s="69">
        <f t="shared" si="34"/>
        <v>0</v>
      </c>
      <c r="N1121" s="69">
        <f t="shared" si="35"/>
        <v>0</v>
      </c>
      <c r="O1121" s="151">
        <v>4375</v>
      </c>
      <c r="Q1121" s="63"/>
      <c r="R1121" s="62"/>
      <c r="S1121" s="152" t="s">
        <v>3199</v>
      </c>
    </row>
    <row r="1122" spans="1:19" s="29" customFormat="1" x14ac:dyDescent="0.3">
      <c r="A1122" s="27"/>
      <c r="B1122" s="27"/>
      <c r="C1122" s="98"/>
      <c r="D1122" s="3" t="s">
        <v>3175</v>
      </c>
      <c r="F1122" s="3"/>
      <c r="I1122" s="108"/>
      <c r="M1122" s="69">
        <f t="shared" si="34"/>
        <v>0</v>
      </c>
      <c r="N1122" s="69">
        <f t="shared" si="35"/>
        <v>0</v>
      </c>
      <c r="O1122" s="151">
        <v>4043</v>
      </c>
      <c r="Q1122" s="63"/>
      <c r="R1122" s="62"/>
      <c r="S1122" s="152" t="s">
        <v>3200</v>
      </c>
    </row>
    <row r="1123" spans="1:19" s="29" customFormat="1" x14ac:dyDescent="0.3">
      <c r="A1123" s="27"/>
      <c r="B1123" s="27"/>
      <c r="C1123" s="98"/>
      <c r="D1123" s="3"/>
      <c r="F1123" s="3"/>
      <c r="I1123" s="108"/>
      <c r="M1123" s="69">
        <f t="shared" si="34"/>
        <v>0</v>
      </c>
      <c r="N1123" s="69">
        <f t="shared" si="35"/>
        <v>0</v>
      </c>
      <c r="O1123" s="108">
        <f>SUM(O1110:O1122)</f>
        <v>74466</v>
      </c>
      <c r="Q1123" s="63"/>
      <c r="R1123" s="62"/>
    </row>
    <row r="1124" spans="1:19" s="29" customFormat="1" x14ac:dyDescent="0.3">
      <c r="A1124" s="27"/>
      <c r="B1124" s="27"/>
      <c r="C1124" s="3"/>
      <c r="D1124" s="3"/>
      <c r="F1124" s="3"/>
      <c r="I1124" s="108"/>
      <c r="M1124" s="69">
        <f t="shared" si="34"/>
        <v>0</v>
      </c>
      <c r="N1124" s="69">
        <f t="shared" si="35"/>
        <v>0</v>
      </c>
      <c r="Q1124" s="27"/>
      <c r="R1124" s="63"/>
      <c r="S1124" s="62"/>
    </row>
    <row r="1125" spans="1:19" s="3" customFormat="1" ht="26.4" x14ac:dyDescent="0.3">
      <c r="A1125" s="5">
        <v>45278</v>
      </c>
      <c r="B1125" s="15" t="str">
        <f>TEXT(A1125,"mmmm")</f>
        <v>December</v>
      </c>
      <c r="C1125" s="69" t="s">
        <v>3202</v>
      </c>
      <c r="D1125" s="3" t="s">
        <v>2660</v>
      </c>
      <c r="E1125" s="3">
        <v>2</v>
      </c>
      <c r="G1125" s="3" t="s">
        <v>14</v>
      </c>
      <c r="H1125" s="3" t="s">
        <v>20</v>
      </c>
      <c r="I1125" s="4">
        <f>193510+193510+35917</f>
        <v>422937</v>
      </c>
      <c r="L1125" s="3">
        <v>20140</v>
      </c>
      <c r="M1125" s="69">
        <f t="shared" si="34"/>
        <v>20140</v>
      </c>
      <c r="N1125" s="69">
        <f t="shared" si="35"/>
        <v>402797</v>
      </c>
      <c r="O1125" s="3">
        <f>179600+750</f>
        <v>180350</v>
      </c>
      <c r="P1125" s="3">
        <v>85538</v>
      </c>
      <c r="Q1125" s="38" t="s">
        <v>2676</v>
      </c>
      <c r="R1125" s="38" t="s">
        <v>2795</v>
      </c>
    </row>
    <row r="1126" spans="1:19" s="3" customFormat="1" ht="26.4" x14ac:dyDescent="0.3">
      <c r="A1126" s="5"/>
      <c r="B1126" s="5"/>
      <c r="C1126" s="69"/>
      <c r="H1126" s="3" t="s">
        <v>2685</v>
      </c>
      <c r="M1126" s="69">
        <f t="shared" si="34"/>
        <v>0</v>
      </c>
      <c r="N1126" s="69">
        <f t="shared" si="35"/>
        <v>0</v>
      </c>
      <c r="O1126" s="3">
        <v>13924</v>
      </c>
      <c r="Q1126" s="38" t="s">
        <v>2872</v>
      </c>
      <c r="R1126" s="38" t="s">
        <v>2796</v>
      </c>
    </row>
    <row r="1127" spans="1:19" s="3" customFormat="1" ht="26.4" x14ac:dyDescent="0.3">
      <c r="A1127" s="5"/>
      <c r="B1127" s="5"/>
      <c r="C1127" s="69"/>
      <c r="H1127" s="3" t="s">
        <v>3002</v>
      </c>
      <c r="M1127" s="69">
        <f t="shared" si="34"/>
        <v>0</v>
      </c>
      <c r="N1127" s="69">
        <f t="shared" si="35"/>
        <v>0</v>
      </c>
      <c r="O1127" s="3">
        <v>40782</v>
      </c>
      <c r="Q1127" s="47" t="s">
        <v>3173</v>
      </c>
      <c r="R1127" s="38" t="s">
        <v>3073</v>
      </c>
      <c r="S1127" s="3" t="s">
        <v>3001</v>
      </c>
    </row>
    <row r="1128" spans="1:19" s="3" customFormat="1" ht="26.4" x14ac:dyDescent="0.3">
      <c r="A1128" s="5"/>
      <c r="B1128" s="5"/>
      <c r="C1128" s="69"/>
      <c r="H1128" s="3" t="s">
        <v>3004</v>
      </c>
      <c r="M1128" s="69">
        <f t="shared" si="34"/>
        <v>0</v>
      </c>
      <c r="N1128" s="69">
        <f t="shared" si="35"/>
        <v>0</v>
      </c>
      <c r="O1128" s="3">
        <v>44112</v>
      </c>
      <c r="Q1128" s="38"/>
      <c r="R1128" s="38" t="s">
        <v>3075</v>
      </c>
      <c r="S1128" s="3" t="s">
        <v>3003</v>
      </c>
    </row>
    <row r="1129" spans="1:19" s="3" customFormat="1" x14ac:dyDescent="0.3">
      <c r="A1129" s="5"/>
      <c r="B1129" s="5"/>
      <c r="C1129" s="69"/>
      <c r="H1129" s="3" t="s">
        <v>2999</v>
      </c>
      <c r="M1129" s="69">
        <f t="shared" si="34"/>
        <v>0</v>
      </c>
      <c r="N1129" s="69">
        <f t="shared" si="35"/>
        <v>0</v>
      </c>
      <c r="O1129" s="3">
        <v>17319</v>
      </c>
      <c r="Q1129" s="38"/>
      <c r="R1129" s="38"/>
      <c r="S1129" s="3" t="s">
        <v>3000</v>
      </c>
    </row>
    <row r="1130" spans="1:19" s="3" customFormat="1" ht="26.4" x14ac:dyDescent="0.3">
      <c r="A1130" s="5"/>
      <c r="B1130" s="5"/>
      <c r="C1130" s="69"/>
      <c r="H1130" s="3" t="s">
        <v>2997</v>
      </c>
      <c r="M1130" s="69">
        <f t="shared" si="34"/>
        <v>0</v>
      </c>
      <c r="N1130" s="69">
        <f t="shared" si="35"/>
        <v>0</v>
      </c>
      <c r="O1130" s="3">
        <v>13406</v>
      </c>
      <c r="Q1130" s="5"/>
      <c r="R1130" s="38" t="s">
        <v>3074</v>
      </c>
      <c r="S1130" s="3" t="s">
        <v>2998</v>
      </c>
    </row>
    <row r="1131" spans="1:19" s="3" customFormat="1" ht="26.4" x14ac:dyDescent="0.3">
      <c r="A1131" s="5"/>
      <c r="B1131" s="5"/>
      <c r="C1131" s="69"/>
      <c r="H1131" s="3" t="s">
        <v>1334</v>
      </c>
      <c r="M1131" s="69">
        <f t="shared" si="34"/>
        <v>0</v>
      </c>
      <c r="N1131" s="69">
        <f t="shared" si="35"/>
        <v>0</v>
      </c>
      <c r="O1131" s="3">
        <f>3872+3494</f>
        <v>7366</v>
      </c>
      <c r="Q1131" s="5"/>
      <c r="R1131" s="38" t="s">
        <v>3216</v>
      </c>
      <c r="S1131" s="25" t="s">
        <v>3214</v>
      </c>
    </row>
    <row r="1132" spans="1:19" s="3" customFormat="1" x14ac:dyDescent="0.3">
      <c r="A1132" s="5"/>
      <c r="B1132" s="5"/>
      <c r="C1132" s="69"/>
      <c r="M1132" s="69">
        <f t="shared" si="34"/>
        <v>0</v>
      </c>
      <c r="N1132" s="69">
        <f t="shared" si="35"/>
        <v>0</v>
      </c>
      <c r="O1132" s="4">
        <f>SUM(O1125:O1131)</f>
        <v>317259</v>
      </c>
      <c r="Q1132" s="38"/>
      <c r="R1132" s="38"/>
    </row>
    <row r="1133" spans="1:19" s="29" customFormat="1" x14ac:dyDescent="0.3">
      <c r="A1133" s="27"/>
      <c r="B1133" s="27"/>
      <c r="C1133" s="98"/>
      <c r="D1133" s="3"/>
      <c r="F1133" s="3"/>
      <c r="I1133" s="108"/>
      <c r="M1133" s="69">
        <f t="shared" si="34"/>
        <v>0</v>
      </c>
      <c r="N1133" s="69">
        <f t="shared" si="35"/>
        <v>0</v>
      </c>
      <c r="O1133" s="108"/>
      <c r="Q1133" s="63"/>
      <c r="R1133" s="62"/>
    </row>
    <row r="1134" spans="1:19" s="29" customFormat="1" ht="26.4" x14ac:dyDescent="0.3">
      <c r="A1134" s="27">
        <v>45280</v>
      </c>
      <c r="B1134" s="15" t="str">
        <f>TEXT(A1134,"mmmm")</f>
        <v>December</v>
      </c>
      <c r="C1134" s="69" t="s">
        <v>3206</v>
      </c>
      <c r="D1134" s="3" t="s">
        <v>3209</v>
      </c>
      <c r="E1134" s="29">
        <v>1</v>
      </c>
      <c r="F1134" s="3" t="s">
        <v>60</v>
      </c>
      <c r="G1134" s="29" t="s">
        <v>26</v>
      </c>
      <c r="H1134" s="29" t="s">
        <v>10</v>
      </c>
      <c r="I1134" s="108">
        <v>7432</v>
      </c>
      <c r="J1134" s="29">
        <f>P1134*9%</f>
        <v>153</v>
      </c>
      <c r="K1134" s="29">
        <f>J1134</f>
        <v>153</v>
      </c>
      <c r="M1134" s="69">
        <f t="shared" si="34"/>
        <v>306</v>
      </c>
      <c r="N1134" s="69">
        <f t="shared" si="35"/>
        <v>7126</v>
      </c>
      <c r="O1134" s="29">
        <v>2072</v>
      </c>
      <c r="P1134" s="29">
        <v>1700</v>
      </c>
      <c r="Q1134" s="97" t="s">
        <v>3261</v>
      </c>
      <c r="R1134" s="63" t="s">
        <v>3254</v>
      </c>
      <c r="S1134" s="62" t="s">
        <v>3204</v>
      </c>
    </row>
    <row r="1135" spans="1:19" s="29" customFormat="1" x14ac:dyDescent="0.3">
      <c r="A1135" s="27"/>
      <c r="B1135" s="27"/>
      <c r="C1135" s="69"/>
      <c r="D1135" s="3" t="s">
        <v>3210</v>
      </c>
      <c r="F1135" s="3"/>
      <c r="I1135" s="108"/>
      <c r="M1135" s="69">
        <f t="shared" si="34"/>
        <v>0</v>
      </c>
      <c r="N1135" s="69">
        <f t="shared" si="35"/>
        <v>0</v>
      </c>
      <c r="O1135" s="29">
        <v>367</v>
      </c>
      <c r="Q1135" s="27"/>
      <c r="R1135" s="62"/>
      <c r="S1135" s="62" t="s">
        <v>3205</v>
      </c>
    </row>
    <row r="1136" spans="1:19" s="29" customFormat="1" x14ac:dyDescent="0.3">
      <c r="A1136" s="27"/>
      <c r="B1136" s="27"/>
      <c r="C1136" s="69"/>
      <c r="D1136" s="3" t="s">
        <v>3213</v>
      </c>
      <c r="F1136" s="3"/>
      <c r="I1136" s="108"/>
      <c r="M1136" s="69">
        <f t="shared" si="34"/>
        <v>0</v>
      </c>
      <c r="N1136" s="69">
        <f t="shared" si="35"/>
        <v>0</v>
      </c>
      <c r="O1136" s="29">
        <v>2987</v>
      </c>
      <c r="Q1136" s="27"/>
      <c r="R1136" s="62"/>
      <c r="S1136" s="62" t="s">
        <v>3222</v>
      </c>
    </row>
    <row r="1137" spans="1:19" s="29" customFormat="1" x14ac:dyDescent="0.3">
      <c r="A1137" s="27"/>
      <c r="B1137" s="27"/>
      <c r="C1137" s="69"/>
      <c r="D1137" s="3"/>
      <c r="F1137" s="3"/>
      <c r="I1137" s="108"/>
      <c r="M1137" s="69">
        <f t="shared" si="34"/>
        <v>0</v>
      </c>
      <c r="N1137" s="69">
        <f t="shared" si="35"/>
        <v>0</v>
      </c>
      <c r="O1137" s="108">
        <f>SUM(O1134:O1136)</f>
        <v>5426</v>
      </c>
      <c r="Q1137" s="27"/>
      <c r="R1137" s="62"/>
    </row>
    <row r="1138" spans="1:19" s="29" customFormat="1" x14ac:dyDescent="0.3">
      <c r="A1138" s="27"/>
      <c r="B1138" s="27"/>
      <c r="C1138" s="69"/>
      <c r="D1138" s="3"/>
      <c r="F1138" s="3"/>
      <c r="I1138" s="108"/>
      <c r="M1138" s="69">
        <f t="shared" si="34"/>
        <v>0</v>
      </c>
      <c r="N1138" s="69">
        <f t="shared" si="35"/>
        <v>0</v>
      </c>
      <c r="O1138" s="108"/>
      <c r="Q1138" s="27"/>
      <c r="R1138" s="62"/>
    </row>
    <row r="1139" spans="1:19" s="29" customFormat="1" x14ac:dyDescent="0.3">
      <c r="A1139" s="27">
        <v>45283</v>
      </c>
      <c r="B1139" s="15" t="str">
        <f>TEXT(A1139,"mmmm")</f>
        <v>December</v>
      </c>
      <c r="C1139" s="69" t="s">
        <v>3215</v>
      </c>
      <c r="D1139" s="3" t="s">
        <v>3208</v>
      </c>
      <c r="E1139" s="29">
        <v>1</v>
      </c>
      <c r="F1139" s="3" t="s">
        <v>54</v>
      </c>
      <c r="G1139" s="29" t="s">
        <v>26</v>
      </c>
      <c r="H1139" s="29" t="s">
        <v>10</v>
      </c>
      <c r="I1139" s="108">
        <v>38028</v>
      </c>
      <c r="J1139" s="29">
        <v>221</v>
      </c>
      <c r="K1139" s="29">
        <f>J1139</f>
        <v>221</v>
      </c>
      <c r="M1139" s="69">
        <f t="shared" si="34"/>
        <v>442</v>
      </c>
      <c r="N1139" s="69">
        <f t="shared" si="35"/>
        <v>37586</v>
      </c>
      <c r="O1139" s="29">
        <v>6344</v>
      </c>
      <c r="P1139" s="29">
        <f>350*7</f>
        <v>2450</v>
      </c>
      <c r="Q1139" s="97" t="s">
        <v>3312</v>
      </c>
      <c r="R1139" s="51">
        <f>35136-2616-12181</f>
        <v>20339</v>
      </c>
      <c r="S1139" s="62" t="s">
        <v>3207</v>
      </c>
    </row>
    <row r="1140" spans="1:19" s="29" customFormat="1" x14ac:dyDescent="0.3">
      <c r="A1140" s="27"/>
      <c r="B1140" s="27"/>
      <c r="C1140" s="3"/>
      <c r="D1140" s="3" t="s">
        <v>3211</v>
      </c>
      <c r="F1140" s="3"/>
      <c r="I1140" s="108"/>
      <c r="M1140" s="69">
        <f t="shared" si="34"/>
        <v>0</v>
      </c>
      <c r="N1140" s="69">
        <f t="shared" si="35"/>
        <v>0</v>
      </c>
      <c r="O1140" s="29">
        <v>7879</v>
      </c>
      <c r="Q1140" s="27"/>
      <c r="R1140" s="51" t="s">
        <v>3260</v>
      </c>
      <c r="S1140" s="62" t="s">
        <v>3212</v>
      </c>
    </row>
    <row r="1141" spans="1:19" s="29" customFormat="1" x14ac:dyDescent="0.3">
      <c r="A1141" s="27"/>
      <c r="B1141" s="27"/>
      <c r="C1141" s="3"/>
      <c r="D1141" s="3" t="s">
        <v>3217</v>
      </c>
      <c r="F1141" s="3"/>
      <c r="I1141" s="108"/>
      <c r="M1141" s="69">
        <f t="shared" si="34"/>
        <v>0</v>
      </c>
      <c r="N1141" s="69">
        <f t="shared" si="35"/>
        <v>0</v>
      </c>
      <c r="O1141" s="29">
        <v>5500</v>
      </c>
      <c r="Q1141" s="27"/>
      <c r="R1141" s="63" t="s">
        <v>3258</v>
      </c>
      <c r="S1141" s="62" t="s">
        <v>3218</v>
      </c>
    </row>
    <row r="1142" spans="1:19" s="29" customFormat="1" x14ac:dyDescent="0.3">
      <c r="A1142" s="27"/>
      <c r="B1142" s="27"/>
      <c r="C1142" s="3"/>
      <c r="D1142" s="3" t="s">
        <v>3219</v>
      </c>
      <c r="F1142" s="3"/>
      <c r="I1142" s="108"/>
      <c r="M1142" s="69">
        <f t="shared" si="34"/>
        <v>0</v>
      </c>
      <c r="N1142" s="69">
        <f t="shared" si="35"/>
        <v>0</v>
      </c>
      <c r="O1142" s="29">
        <v>8318</v>
      </c>
      <c r="Q1142" s="27"/>
      <c r="R1142" s="63"/>
      <c r="S1142" s="62" t="s">
        <v>3220</v>
      </c>
    </row>
    <row r="1143" spans="1:19" s="29" customFormat="1" x14ac:dyDescent="0.3">
      <c r="A1143" s="27"/>
      <c r="B1143" s="27"/>
      <c r="C1143" s="3"/>
      <c r="D1143" s="3" t="s">
        <v>3245</v>
      </c>
      <c r="F1143" s="3"/>
      <c r="I1143" s="108"/>
      <c r="M1143" s="69">
        <f t="shared" si="34"/>
        <v>0</v>
      </c>
      <c r="N1143" s="69">
        <f t="shared" si="35"/>
        <v>0</v>
      </c>
      <c r="O1143" s="29">
        <v>7095</v>
      </c>
      <c r="Q1143" s="27"/>
      <c r="R1143" s="63"/>
      <c r="S1143" s="62" t="s">
        <v>3246</v>
      </c>
    </row>
    <row r="1144" spans="1:19" s="29" customFormat="1" x14ac:dyDescent="0.3">
      <c r="A1144" s="27"/>
      <c r="B1144" s="27"/>
      <c r="C1144" s="98"/>
      <c r="D1144" s="3"/>
      <c r="F1144" s="3"/>
      <c r="I1144" s="108"/>
      <c r="M1144" s="69">
        <f t="shared" si="34"/>
        <v>0</v>
      </c>
      <c r="N1144" s="69">
        <f t="shared" si="35"/>
        <v>0</v>
      </c>
      <c r="O1144" s="108">
        <f>SUM(O1139:O1143)</f>
        <v>35136</v>
      </c>
      <c r="Q1144" s="27"/>
      <c r="R1144" s="62"/>
    </row>
    <row r="1145" spans="1:19" s="29" customFormat="1" x14ac:dyDescent="0.3">
      <c r="A1145" s="27"/>
      <c r="B1145" s="27"/>
      <c r="C1145" s="69"/>
      <c r="D1145" s="3"/>
      <c r="F1145" s="3"/>
      <c r="I1145" s="108"/>
      <c r="M1145" s="69">
        <f t="shared" si="34"/>
        <v>0</v>
      </c>
      <c r="N1145" s="69">
        <f t="shared" si="35"/>
        <v>0</v>
      </c>
      <c r="O1145" s="108"/>
      <c r="Q1145" s="27"/>
      <c r="R1145" s="62"/>
    </row>
    <row r="1146" spans="1:19" s="17" customFormat="1" ht="39.6" x14ac:dyDescent="0.3">
      <c r="A1146" s="142">
        <v>45650</v>
      </c>
      <c r="B1146" s="15" t="str">
        <f>TEXT(A1146,"mmmm")</f>
        <v>December</v>
      </c>
      <c r="C1146" s="51" t="s">
        <v>3248</v>
      </c>
      <c r="D1146" s="17" t="s">
        <v>3253</v>
      </c>
      <c r="F1146" s="10" t="s">
        <v>54</v>
      </c>
      <c r="G1146" s="10" t="s">
        <v>26</v>
      </c>
      <c r="H1146" s="10" t="s">
        <v>10</v>
      </c>
      <c r="I1146" s="10">
        <v>8042</v>
      </c>
      <c r="J1146" s="10">
        <v>31.5</v>
      </c>
      <c r="K1146" s="10">
        <v>31.5</v>
      </c>
      <c r="L1146" s="10"/>
      <c r="M1146" s="69">
        <f t="shared" si="34"/>
        <v>63</v>
      </c>
      <c r="N1146" s="69">
        <f t="shared" si="35"/>
        <v>7979</v>
      </c>
      <c r="O1146" s="10">
        <v>1672</v>
      </c>
      <c r="P1146" s="10">
        <v>350</v>
      </c>
      <c r="Q1146" s="51" t="s">
        <v>3256</v>
      </c>
      <c r="R1146" s="63" t="s">
        <v>3313</v>
      </c>
      <c r="S1146" s="112" t="s">
        <v>3250</v>
      </c>
    </row>
    <row r="1147" spans="1:19" s="17" customFormat="1" ht="39.6" x14ac:dyDescent="0.3">
      <c r="A1147" s="142"/>
      <c r="B1147" s="142"/>
      <c r="C1147" s="51"/>
      <c r="D1147" s="17" t="s">
        <v>3252</v>
      </c>
      <c r="F1147" s="10"/>
      <c r="G1147" s="10"/>
      <c r="H1147" s="10"/>
      <c r="I1147" s="10"/>
      <c r="J1147" s="10">
        <v>31.5</v>
      </c>
      <c r="K1147" s="10">
        <v>31.5</v>
      </c>
      <c r="L1147" s="10"/>
      <c r="M1147" s="69">
        <f t="shared" si="34"/>
        <v>63</v>
      </c>
      <c r="N1147" s="69">
        <f t="shared" si="35"/>
        <v>-63</v>
      </c>
      <c r="O1147" s="10">
        <v>5544</v>
      </c>
      <c r="P1147" s="10">
        <v>350</v>
      </c>
      <c r="Q1147" s="63" t="s">
        <v>3259</v>
      </c>
      <c r="S1147" s="112" t="s">
        <v>3251</v>
      </c>
    </row>
    <row r="1148" spans="1:19" s="17" customFormat="1" x14ac:dyDescent="0.3">
      <c r="A1148" s="142"/>
      <c r="B1148" s="142"/>
      <c r="C1148" s="51"/>
      <c r="F1148" s="10"/>
      <c r="G1148" s="10"/>
      <c r="H1148" s="10"/>
      <c r="J1148" s="17">
        <f>SUM(J1146:J1147)</f>
        <v>63</v>
      </c>
      <c r="K1148" s="17">
        <f>SUM(K1146:K1147)</f>
        <v>63</v>
      </c>
      <c r="M1148" s="69">
        <f t="shared" si="34"/>
        <v>126</v>
      </c>
      <c r="N1148" s="69">
        <f t="shared" si="35"/>
        <v>-126</v>
      </c>
      <c r="O1148" s="17">
        <f>SUM(O1146:O1147)</f>
        <v>7216</v>
      </c>
      <c r="Q1148" s="142"/>
      <c r="R1148" s="144"/>
      <c r="S1148" s="112"/>
    </row>
    <row r="1149" spans="1:19" s="29" customFormat="1" x14ac:dyDescent="0.3">
      <c r="A1149" s="27"/>
      <c r="B1149" s="27"/>
      <c r="C1149" s="69"/>
      <c r="D1149" s="3"/>
      <c r="F1149" s="3"/>
      <c r="I1149" s="108"/>
      <c r="M1149" s="69">
        <f t="shared" si="34"/>
        <v>0</v>
      </c>
      <c r="N1149" s="69">
        <f t="shared" si="35"/>
        <v>0</v>
      </c>
      <c r="O1149" s="108"/>
      <c r="Q1149" s="27"/>
      <c r="R1149" s="62"/>
    </row>
    <row r="1150" spans="1:19" s="17" customFormat="1" ht="39.6" x14ac:dyDescent="0.3">
      <c r="A1150" s="142">
        <v>45652</v>
      </c>
      <c r="B1150" s="15" t="str">
        <f>TEXT(A1150,"mmmm")</f>
        <v>December</v>
      </c>
      <c r="C1150" s="51" t="s">
        <v>3255</v>
      </c>
      <c r="D1150" s="17" t="s">
        <v>3249</v>
      </c>
      <c r="F1150" s="10" t="s">
        <v>60</v>
      </c>
      <c r="G1150" s="10" t="s">
        <v>26</v>
      </c>
      <c r="H1150" s="10" t="s">
        <v>10</v>
      </c>
      <c r="I1150" s="17">
        <v>12181</v>
      </c>
      <c r="J1150" s="17">
        <f>P1150*9%</f>
        <v>31.5</v>
      </c>
      <c r="K1150" s="17">
        <f>J1150</f>
        <v>31.5</v>
      </c>
      <c r="M1150" s="69">
        <f t="shared" si="34"/>
        <v>63</v>
      </c>
      <c r="N1150" s="69">
        <f t="shared" si="35"/>
        <v>12118</v>
      </c>
      <c r="O1150" s="17">
        <f>I1150-J1150-K1150-P1150</f>
        <v>11768</v>
      </c>
      <c r="P1150" s="17">
        <v>350</v>
      </c>
      <c r="Q1150" s="97" t="s">
        <v>3257</v>
      </c>
      <c r="R1150" s="63" t="s">
        <v>3262</v>
      </c>
      <c r="S1150" s="112" t="s">
        <v>3247</v>
      </c>
    </row>
    <row r="1151" spans="1:19" s="29" customFormat="1" x14ac:dyDescent="0.3">
      <c r="A1151" s="27"/>
      <c r="B1151" s="27"/>
      <c r="C1151" s="69"/>
      <c r="D1151" s="3"/>
      <c r="F1151" s="3"/>
      <c r="I1151" s="108"/>
      <c r="M1151" s="69">
        <f t="shared" si="34"/>
        <v>0</v>
      </c>
      <c r="N1151" s="69">
        <f t="shared" si="35"/>
        <v>0</v>
      </c>
      <c r="Q1151" s="27"/>
      <c r="R1151" s="62"/>
    </row>
    <row r="1152" spans="1:19" s="29" customFormat="1" x14ac:dyDescent="0.3">
      <c r="A1152" s="27"/>
      <c r="B1152" s="27"/>
      <c r="C1152" s="98"/>
      <c r="D1152" s="3"/>
      <c r="F1152" s="3"/>
      <c r="I1152" s="108"/>
      <c r="M1152" s="69">
        <f t="shared" si="34"/>
        <v>0</v>
      </c>
      <c r="N1152" s="69">
        <f t="shared" si="35"/>
        <v>0</v>
      </c>
      <c r="O1152" s="108"/>
      <c r="Q1152" s="27"/>
      <c r="R1152" s="62"/>
    </row>
    <row r="1153" spans="1:19" s="29" customFormat="1" x14ac:dyDescent="0.3">
      <c r="A1153" s="27">
        <v>45293</v>
      </c>
      <c r="B1153" s="15" t="str">
        <f>TEXT(A1153,"mmmm")</f>
        <v>January</v>
      </c>
      <c r="C1153" s="69" t="s">
        <v>3223</v>
      </c>
      <c r="D1153" s="3" t="s">
        <v>55</v>
      </c>
      <c r="F1153" s="3" t="s">
        <v>54</v>
      </c>
      <c r="G1153" s="29" t="s">
        <v>2933</v>
      </c>
      <c r="H1153" s="29" t="s">
        <v>1134</v>
      </c>
      <c r="I1153" s="108">
        <f>SUM(J1153,K1153,O1162,P1153)</f>
        <v>47111</v>
      </c>
      <c r="J1153" s="29">
        <v>1122</v>
      </c>
      <c r="K1153" s="29">
        <f>J1153</f>
        <v>1122</v>
      </c>
      <c r="M1153" s="69">
        <f t="shared" si="34"/>
        <v>2244</v>
      </c>
      <c r="N1153" s="69">
        <f t="shared" si="35"/>
        <v>44867</v>
      </c>
      <c r="O1153" s="108"/>
      <c r="P1153" s="29">
        <f>1250*8</f>
        <v>10000</v>
      </c>
      <c r="Q1153" s="97" t="s">
        <v>3312</v>
      </c>
      <c r="R1153" s="62" t="s">
        <v>3234</v>
      </c>
    </row>
    <row r="1154" spans="1:19" s="29" customFormat="1" x14ac:dyDescent="0.3">
      <c r="A1154" s="27"/>
      <c r="B1154" s="27"/>
      <c r="C1154" s="98"/>
      <c r="D1154" s="3" t="s">
        <v>3226</v>
      </c>
      <c r="F1154" s="3"/>
      <c r="I1154" s="108"/>
      <c r="M1154" s="69">
        <f t="shared" si="34"/>
        <v>0</v>
      </c>
      <c r="N1154" s="69">
        <f t="shared" si="35"/>
        <v>0</v>
      </c>
      <c r="O1154" s="29">
        <v>2415</v>
      </c>
      <c r="Q1154" s="27"/>
      <c r="R1154" s="62"/>
      <c r="S1154" s="62" t="s">
        <v>3235</v>
      </c>
    </row>
    <row r="1155" spans="1:19" s="29" customFormat="1" x14ac:dyDescent="0.3">
      <c r="A1155" s="27"/>
      <c r="B1155" s="27"/>
      <c r="C1155" s="98"/>
      <c r="D1155" s="3" t="s">
        <v>3227</v>
      </c>
      <c r="F1155" s="3"/>
      <c r="I1155" s="108"/>
      <c r="M1155" s="69">
        <f t="shared" ref="M1155:M1218" si="36">SUM(J1155:L1155)</f>
        <v>0</v>
      </c>
      <c r="N1155" s="69">
        <f t="shared" ref="N1155:N1218" si="37">I1155-M1155</f>
        <v>0</v>
      </c>
      <c r="O1155" s="29">
        <v>3308</v>
      </c>
      <c r="Q1155" s="27"/>
      <c r="R1155" s="62"/>
      <c r="S1155" s="62" t="s">
        <v>3236</v>
      </c>
    </row>
    <row r="1156" spans="1:19" s="29" customFormat="1" x14ac:dyDescent="0.3">
      <c r="A1156" s="27"/>
      <c r="B1156" s="27"/>
      <c r="C1156" s="98"/>
      <c r="D1156" s="3" t="s">
        <v>3228</v>
      </c>
      <c r="F1156" s="3"/>
      <c r="I1156" s="108"/>
      <c r="M1156" s="69">
        <f t="shared" si="36"/>
        <v>0</v>
      </c>
      <c r="N1156" s="69">
        <f t="shared" si="37"/>
        <v>0</v>
      </c>
      <c r="O1156" s="29">
        <v>6169</v>
      </c>
      <c r="Q1156" s="27"/>
      <c r="R1156" s="62"/>
      <c r="S1156" s="62" t="s">
        <v>3237</v>
      </c>
    </row>
    <row r="1157" spans="1:19" s="29" customFormat="1" x14ac:dyDescent="0.3">
      <c r="A1157" s="27"/>
      <c r="B1157" s="27"/>
      <c r="C1157" s="98"/>
      <c r="D1157" s="3" t="s">
        <v>3229</v>
      </c>
      <c r="F1157" s="3"/>
      <c r="I1157" s="108"/>
      <c r="M1157" s="69">
        <f t="shared" si="36"/>
        <v>0</v>
      </c>
      <c r="N1157" s="69">
        <f t="shared" si="37"/>
        <v>0</v>
      </c>
      <c r="O1157" s="29">
        <v>6038</v>
      </c>
      <c r="Q1157" s="27"/>
      <c r="R1157" s="62"/>
      <c r="S1157" s="62" t="s">
        <v>3238</v>
      </c>
    </row>
    <row r="1158" spans="1:19" s="29" customFormat="1" x14ac:dyDescent="0.3">
      <c r="A1158" s="27"/>
      <c r="B1158" s="27"/>
      <c r="C1158" s="98"/>
      <c r="D1158" s="3" t="s">
        <v>3230</v>
      </c>
      <c r="F1158" s="3"/>
      <c r="I1158" s="108"/>
      <c r="M1158" s="69">
        <f t="shared" si="36"/>
        <v>0</v>
      </c>
      <c r="N1158" s="69">
        <f t="shared" si="37"/>
        <v>0</v>
      </c>
      <c r="O1158" s="29">
        <v>3045</v>
      </c>
      <c r="Q1158" s="27"/>
      <c r="R1158" s="62"/>
      <c r="S1158" s="62" t="s">
        <v>3239</v>
      </c>
    </row>
    <row r="1159" spans="1:19" s="29" customFormat="1" x14ac:dyDescent="0.3">
      <c r="A1159" s="27"/>
      <c r="B1159" s="27"/>
      <c r="C1159" s="98"/>
      <c r="D1159" s="3" t="s">
        <v>3231</v>
      </c>
      <c r="F1159" s="3"/>
      <c r="I1159" s="108"/>
      <c r="M1159" s="69">
        <f t="shared" si="36"/>
        <v>0</v>
      </c>
      <c r="N1159" s="69">
        <f t="shared" si="37"/>
        <v>0</v>
      </c>
      <c r="O1159" s="29">
        <v>4024</v>
      </c>
      <c r="Q1159" s="27"/>
      <c r="R1159" s="62"/>
      <c r="S1159" s="62" t="s">
        <v>3240</v>
      </c>
    </row>
    <row r="1160" spans="1:19" s="29" customFormat="1" x14ac:dyDescent="0.3">
      <c r="A1160" s="27"/>
      <c r="B1160" s="27"/>
      <c r="C1160" s="98"/>
      <c r="D1160" s="3" t="s">
        <v>3232</v>
      </c>
      <c r="F1160" s="3"/>
      <c r="I1160" s="108"/>
      <c r="M1160" s="69">
        <f t="shared" si="36"/>
        <v>0</v>
      </c>
      <c r="N1160" s="69">
        <f t="shared" si="37"/>
        <v>0</v>
      </c>
      <c r="O1160" s="29">
        <v>3043</v>
      </c>
      <c r="Q1160" s="27"/>
      <c r="R1160" s="62"/>
      <c r="S1160" s="62" t="s">
        <v>3241</v>
      </c>
    </row>
    <row r="1161" spans="1:19" s="29" customFormat="1" x14ac:dyDescent="0.3">
      <c r="A1161" s="27"/>
      <c r="B1161" s="27"/>
      <c r="C1161" s="98"/>
      <c r="D1161" s="3" t="s">
        <v>3233</v>
      </c>
      <c r="F1161" s="3"/>
      <c r="I1161" s="108"/>
      <c r="M1161" s="69">
        <f t="shared" si="36"/>
        <v>0</v>
      </c>
      <c r="N1161" s="69">
        <f t="shared" si="37"/>
        <v>0</v>
      </c>
      <c r="O1161" s="29">
        <v>6825</v>
      </c>
      <c r="Q1161" s="27"/>
      <c r="R1161" s="62"/>
      <c r="S1161" s="62" t="s">
        <v>3242</v>
      </c>
    </row>
    <row r="1162" spans="1:19" s="29" customFormat="1" x14ac:dyDescent="0.3">
      <c r="A1162" s="27"/>
      <c r="B1162" s="27"/>
      <c r="C1162" s="98"/>
      <c r="D1162" s="3"/>
      <c r="F1162" s="3"/>
      <c r="I1162" s="108"/>
      <c r="M1162" s="69">
        <f t="shared" si="36"/>
        <v>0</v>
      </c>
      <c r="N1162" s="69">
        <f t="shared" si="37"/>
        <v>0</v>
      </c>
      <c r="O1162" s="108">
        <f>SUM(O1154:O1161)</f>
        <v>34867</v>
      </c>
      <c r="Q1162" s="27"/>
      <c r="R1162" s="62"/>
    </row>
    <row r="1163" spans="1:19" s="29" customFormat="1" x14ac:dyDescent="0.3">
      <c r="A1163" s="27"/>
      <c r="B1163" s="27"/>
      <c r="C1163" s="98"/>
      <c r="D1163" s="3"/>
      <c r="F1163" s="3"/>
      <c r="I1163" s="108"/>
      <c r="M1163" s="69">
        <f t="shared" si="36"/>
        <v>0</v>
      </c>
      <c r="N1163" s="69">
        <f t="shared" si="37"/>
        <v>0</v>
      </c>
      <c r="O1163" s="108"/>
      <c r="Q1163" s="27"/>
      <c r="R1163" s="62"/>
    </row>
    <row r="1164" spans="1:19" s="29" customFormat="1" x14ac:dyDescent="0.3">
      <c r="A1164" s="27">
        <v>45296</v>
      </c>
      <c r="B1164" s="15" t="str">
        <f>TEXT(A1164,"mmmm")</f>
        <v>January</v>
      </c>
      <c r="C1164" s="69" t="s">
        <v>3225</v>
      </c>
      <c r="D1164" s="3" t="s">
        <v>3269</v>
      </c>
      <c r="E1164" s="29">
        <v>1</v>
      </c>
      <c r="F1164" s="3" t="s">
        <v>54</v>
      </c>
      <c r="G1164" s="29" t="s">
        <v>26</v>
      </c>
      <c r="H1164" s="29" t="s">
        <v>10</v>
      </c>
      <c r="I1164" s="108">
        <v>152527</v>
      </c>
      <c r="J1164" s="29">
        <f>P1164*9%</f>
        <v>756</v>
      </c>
      <c r="K1164" s="29">
        <f>J1164</f>
        <v>756</v>
      </c>
      <c r="M1164" s="69">
        <f t="shared" si="36"/>
        <v>1512</v>
      </c>
      <c r="N1164" s="69">
        <f t="shared" si="37"/>
        <v>151015</v>
      </c>
      <c r="O1164" s="154">
        <f>10577+118</f>
        <v>10695</v>
      </c>
      <c r="P1164" s="29">
        <v>8400</v>
      </c>
      <c r="Q1164" s="27" t="s">
        <v>3349</v>
      </c>
      <c r="R1164" s="27" t="s">
        <v>3275</v>
      </c>
      <c r="S1164" s="62" t="s">
        <v>3266</v>
      </c>
    </row>
    <row r="1165" spans="1:19" s="140" customFormat="1" ht="26.4" x14ac:dyDescent="0.3">
      <c r="A1165" s="139"/>
      <c r="B1165" s="139"/>
      <c r="D1165" s="3" t="s">
        <v>3264</v>
      </c>
      <c r="M1165" s="69">
        <f t="shared" si="36"/>
        <v>0</v>
      </c>
      <c r="N1165" s="69">
        <f t="shared" si="37"/>
        <v>0</v>
      </c>
      <c r="O1165" s="88">
        <v>250</v>
      </c>
      <c r="P1165" s="69"/>
      <c r="Q1165" s="30"/>
      <c r="R1165" s="30" t="s">
        <v>3265</v>
      </c>
      <c r="S1165" s="30"/>
    </row>
    <row r="1166" spans="1:19" s="98" customFormat="1" x14ac:dyDescent="0.3">
      <c r="A1166" s="97"/>
      <c r="B1166" s="97"/>
      <c r="D1166" s="98" t="s">
        <v>3267</v>
      </c>
      <c r="M1166" s="69">
        <f t="shared" si="36"/>
        <v>0</v>
      </c>
      <c r="N1166" s="69">
        <f t="shared" si="37"/>
        <v>0</v>
      </c>
      <c r="O1166" s="155">
        <v>9058</v>
      </c>
      <c r="Q1166" s="153"/>
      <c r="R1166" s="153" t="s">
        <v>3323</v>
      </c>
      <c r="S1166" s="98" t="s">
        <v>3268</v>
      </c>
    </row>
    <row r="1167" spans="1:19" s="98" customFormat="1" x14ac:dyDescent="0.3">
      <c r="A1167" s="97"/>
      <c r="B1167" s="97"/>
      <c r="D1167" s="98" t="s">
        <v>3270</v>
      </c>
      <c r="M1167" s="69">
        <f t="shared" si="36"/>
        <v>0</v>
      </c>
      <c r="N1167" s="69">
        <f t="shared" si="37"/>
        <v>0</v>
      </c>
      <c r="O1167" s="155">
        <v>7864</v>
      </c>
      <c r="Q1167" s="153"/>
      <c r="R1167" s="156">
        <f>111449-82</f>
        <v>111367</v>
      </c>
      <c r="S1167" s="98" t="s">
        <v>3271</v>
      </c>
    </row>
    <row r="1168" spans="1:19" s="140" customFormat="1" ht="26.4" x14ac:dyDescent="0.3">
      <c r="A1168" s="139"/>
      <c r="B1168" s="139"/>
      <c r="D1168" s="98" t="s">
        <v>3273</v>
      </c>
      <c r="E1168" s="98"/>
      <c r="F1168" s="98"/>
      <c r="G1168" s="98"/>
      <c r="H1168" s="98"/>
      <c r="I1168" s="98"/>
      <c r="J1168" s="98"/>
      <c r="K1168" s="98"/>
      <c r="L1168" s="98"/>
      <c r="M1168" s="69">
        <f t="shared" si="36"/>
        <v>0</v>
      </c>
      <c r="N1168" s="69">
        <f t="shared" si="37"/>
        <v>0</v>
      </c>
      <c r="O1168" s="155">
        <v>2949</v>
      </c>
      <c r="P1168" s="98"/>
      <c r="Q1168" s="153"/>
      <c r="R1168" s="153" t="s">
        <v>3320</v>
      </c>
      <c r="S1168" s="98" t="s">
        <v>3274</v>
      </c>
    </row>
    <row r="1169" spans="1:19" s="140" customFormat="1" x14ac:dyDescent="0.3">
      <c r="A1169" s="139"/>
      <c r="B1169" s="139"/>
      <c r="D1169" s="98" t="s">
        <v>3278</v>
      </c>
      <c r="M1169" s="69">
        <f t="shared" si="36"/>
        <v>0</v>
      </c>
      <c r="N1169" s="69">
        <f t="shared" si="37"/>
        <v>0</v>
      </c>
      <c r="O1169" s="98">
        <v>4021</v>
      </c>
      <c r="Q1169" s="141"/>
      <c r="R1169" s="141"/>
      <c r="S1169" s="62" t="s">
        <v>3282</v>
      </c>
    </row>
    <row r="1170" spans="1:19" s="140" customFormat="1" x14ac:dyDescent="0.3">
      <c r="A1170" s="139"/>
      <c r="B1170" s="139"/>
      <c r="D1170" s="98" t="s">
        <v>3279</v>
      </c>
      <c r="M1170" s="69">
        <f t="shared" si="36"/>
        <v>0</v>
      </c>
      <c r="N1170" s="69">
        <f t="shared" si="37"/>
        <v>0</v>
      </c>
      <c r="O1170" s="98">
        <v>3288</v>
      </c>
      <c r="Q1170" s="141"/>
      <c r="R1170" s="141"/>
      <c r="S1170" s="30" t="s">
        <v>3283</v>
      </c>
    </row>
    <row r="1171" spans="1:19" s="140" customFormat="1" x14ac:dyDescent="0.3">
      <c r="A1171" s="139"/>
      <c r="B1171" s="139"/>
      <c r="D1171" s="98" t="s">
        <v>3280</v>
      </c>
      <c r="M1171" s="69">
        <f t="shared" si="36"/>
        <v>0</v>
      </c>
      <c r="N1171" s="69">
        <f t="shared" si="37"/>
        <v>0</v>
      </c>
      <c r="O1171" s="98">
        <v>3336</v>
      </c>
      <c r="Q1171" s="141"/>
      <c r="R1171" s="141"/>
      <c r="S1171" s="98" t="s">
        <v>3284</v>
      </c>
    </row>
    <row r="1172" spans="1:19" s="140" customFormat="1" x14ac:dyDescent="0.3">
      <c r="A1172" s="139"/>
      <c r="B1172" s="139"/>
      <c r="D1172" s="98" t="s">
        <v>3281</v>
      </c>
      <c r="M1172" s="69">
        <f t="shared" si="36"/>
        <v>0</v>
      </c>
      <c r="N1172" s="69">
        <f t="shared" si="37"/>
        <v>0</v>
      </c>
      <c r="O1172" s="98">
        <v>3591</v>
      </c>
      <c r="Q1172" s="141"/>
      <c r="R1172" s="141"/>
      <c r="S1172" s="98" t="s">
        <v>3285</v>
      </c>
    </row>
    <row r="1173" spans="1:19" s="140" customFormat="1" x14ac:dyDescent="0.3">
      <c r="A1173" s="139"/>
      <c r="B1173" s="139"/>
      <c r="D1173" s="98" t="s">
        <v>3287</v>
      </c>
      <c r="M1173" s="69">
        <f t="shared" si="36"/>
        <v>0</v>
      </c>
      <c r="N1173" s="69">
        <f t="shared" si="37"/>
        <v>0</v>
      </c>
      <c r="O1173" s="98">
        <v>4139</v>
      </c>
      <c r="Q1173" s="141"/>
      <c r="R1173" s="141"/>
      <c r="S1173" s="98" t="s">
        <v>3290</v>
      </c>
    </row>
    <row r="1174" spans="1:19" s="140" customFormat="1" x14ac:dyDescent="0.3">
      <c r="A1174" s="139"/>
      <c r="B1174" s="139"/>
      <c r="D1174" s="98" t="s">
        <v>3288</v>
      </c>
      <c r="M1174" s="69">
        <f t="shared" si="36"/>
        <v>0</v>
      </c>
      <c r="N1174" s="69">
        <f t="shared" si="37"/>
        <v>0</v>
      </c>
      <c r="O1174" s="98">
        <v>3752</v>
      </c>
      <c r="Q1174" s="141"/>
      <c r="R1174" s="141"/>
      <c r="S1174" s="98" t="s">
        <v>3289</v>
      </c>
    </row>
    <row r="1175" spans="1:19" s="140" customFormat="1" x14ac:dyDescent="0.3">
      <c r="A1175" s="139"/>
      <c r="B1175" s="139"/>
      <c r="D1175" s="98" t="s">
        <v>3294</v>
      </c>
      <c r="M1175" s="69">
        <f t="shared" si="36"/>
        <v>0</v>
      </c>
      <c r="N1175" s="69">
        <f t="shared" si="37"/>
        <v>0</v>
      </c>
      <c r="O1175" s="98">
        <v>23494</v>
      </c>
      <c r="Q1175" s="141"/>
      <c r="R1175" s="141"/>
      <c r="S1175" s="98" t="s">
        <v>3297</v>
      </c>
    </row>
    <row r="1176" spans="1:19" s="140" customFormat="1" x14ac:dyDescent="0.3">
      <c r="A1176" s="139"/>
      <c r="B1176" s="139"/>
      <c r="D1176" s="98" t="s">
        <v>3295</v>
      </c>
      <c r="M1176" s="69">
        <f t="shared" si="36"/>
        <v>0</v>
      </c>
      <c r="N1176" s="69">
        <f t="shared" si="37"/>
        <v>0</v>
      </c>
      <c r="O1176" s="98">
        <v>8616</v>
      </c>
      <c r="Q1176" s="141"/>
      <c r="R1176" s="141"/>
      <c r="S1176" s="98" t="s">
        <v>3298</v>
      </c>
    </row>
    <row r="1177" spans="1:19" s="140" customFormat="1" x14ac:dyDescent="0.3">
      <c r="A1177" s="139"/>
      <c r="B1177" s="139"/>
      <c r="D1177" s="98" t="s">
        <v>3296</v>
      </c>
      <c r="M1177" s="69">
        <f t="shared" si="36"/>
        <v>0</v>
      </c>
      <c r="N1177" s="69">
        <f t="shared" si="37"/>
        <v>0</v>
      </c>
      <c r="O1177" s="98">
        <v>12202</v>
      </c>
      <c r="Q1177" s="141"/>
      <c r="R1177" s="141"/>
      <c r="S1177" s="98" t="s">
        <v>3299</v>
      </c>
    </row>
    <row r="1178" spans="1:19" s="140" customFormat="1" x14ac:dyDescent="0.3">
      <c r="A1178" s="139"/>
      <c r="B1178" s="139"/>
      <c r="D1178" s="98" t="s">
        <v>3300</v>
      </c>
      <c r="M1178" s="69">
        <f t="shared" si="36"/>
        <v>0</v>
      </c>
      <c r="N1178" s="69">
        <f t="shared" si="37"/>
        <v>0</v>
      </c>
      <c r="O1178" s="98">
        <v>10913</v>
      </c>
      <c r="Q1178" s="141"/>
      <c r="R1178" s="141"/>
      <c r="S1178" s="98" t="s">
        <v>3301</v>
      </c>
    </row>
    <row r="1179" spans="1:19" s="140" customFormat="1" x14ac:dyDescent="0.3">
      <c r="A1179" s="139"/>
      <c r="B1179" s="139"/>
      <c r="D1179" s="98" t="s">
        <v>3308</v>
      </c>
      <c r="M1179" s="69">
        <f t="shared" si="36"/>
        <v>0</v>
      </c>
      <c r="N1179" s="69">
        <f t="shared" si="37"/>
        <v>0</v>
      </c>
      <c r="O1179" s="98">
        <f>5853</f>
        <v>5853</v>
      </c>
      <c r="Q1179" s="141"/>
      <c r="R1179" s="141"/>
      <c r="S1179" s="98" t="s">
        <v>3309</v>
      </c>
    </row>
    <row r="1180" spans="1:19" s="140" customFormat="1" x14ac:dyDescent="0.3">
      <c r="A1180" s="139"/>
      <c r="B1180" s="139"/>
      <c r="D1180" s="98" t="s">
        <v>3310</v>
      </c>
      <c r="M1180" s="69">
        <f t="shared" si="36"/>
        <v>0</v>
      </c>
      <c r="N1180" s="69">
        <f t="shared" si="37"/>
        <v>0</v>
      </c>
      <c r="O1180" s="98">
        <v>15177</v>
      </c>
      <c r="Q1180" s="158"/>
      <c r="R1180" s="141"/>
      <c r="S1180" s="98" t="s">
        <v>3311</v>
      </c>
    </row>
    <row r="1181" spans="1:19" s="140" customFormat="1" x14ac:dyDescent="0.3">
      <c r="A1181" s="139"/>
      <c r="B1181" s="139"/>
      <c r="C1181" s="99"/>
      <c r="D1181" s="98" t="s">
        <v>3316</v>
      </c>
      <c r="M1181" s="69">
        <f t="shared" si="36"/>
        <v>0</v>
      </c>
      <c r="N1181" s="69">
        <f t="shared" si="37"/>
        <v>0</v>
      </c>
      <c r="O1181" s="98">
        <v>13067</v>
      </c>
      <c r="Q1181" s="141"/>
      <c r="R1181" s="141"/>
      <c r="S1181" s="98" t="s">
        <v>3317</v>
      </c>
    </row>
    <row r="1182" spans="1:19" s="140" customFormat="1" x14ac:dyDescent="0.3">
      <c r="A1182" s="139"/>
      <c r="B1182" s="139"/>
      <c r="M1182" s="69">
        <f t="shared" si="36"/>
        <v>0</v>
      </c>
      <c r="N1182" s="69">
        <f t="shared" si="37"/>
        <v>0</v>
      </c>
      <c r="O1182" s="108">
        <f>SUM(O1164:O1181)</f>
        <v>142265</v>
      </c>
      <c r="Q1182" s="141"/>
      <c r="R1182" s="141"/>
    </row>
    <row r="1183" spans="1:19" s="140" customFormat="1" x14ac:dyDescent="0.3">
      <c r="A1183" s="139"/>
      <c r="B1183" s="139"/>
      <c r="M1183" s="69">
        <f t="shared" si="36"/>
        <v>0</v>
      </c>
      <c r="N1183" s="69">
        <f t="shared" si="37"/>
        <v>0</v>
      </c>
      <c r="O1183" s="108"/>
      <c r="Q1183" s="141"/>
      <c r="R1183" s="141"/>
    </row>
    <row r="1184" spans="1:19" s="98" customFormat="1" x14ac:dyDescent="0.3">
      <c r="A1184" s="97">
        <v>45302</v>
      </c>
      <c r="B1184" s="15" t="str">
        <f>TEXT(A1184,"mmmm")</f>
        <v>January</v>
      </c>
      <c r="C1184" s="29" t="s">
        <v>3263</v>
      </c>
      <c r="D1184" s="98" t="s">
        <v>3286</v>
      </c>
      <c r="E1184" s="98">
        <v>1</v>
      </c>
      <c r="G1184" s="98" t="s">
        <v>8</v>
      </c>
      <c r="H1184" s="29" t="s">
        <v>57</v>
      </c>
      <c r="I1184" s="108">
        <v>462</v>
      </c>
      <c r="J1184" s="29">
        <v>36</v>
      </c>
      <c r="K1184" s="29">
        <v>36</v>
      </c>
      <c r="L1184" s="29"/>
      <c r="M1184" s="69">
        <f t="shared" si="36"/>
        <v>72</v>
      </c>
      <c r="N1184" s="69">
        <f t="shared" si="37"/>
        <v>390</v>
      </c>
      <c r="O1184" s="108">
        <v>390</v>
      </c>
      <c r="P1184" s="29"/>
      <c r="Q1184" s="27">
        <v>45302</v>
      </c>
      <c r="R1184" s="153"/>
    </row>
    <row r="1185" spans="1:19" s="140" customFormat="1" x14ac:dyDescent="0.3">
      <c r="A1185" s="139"/>
      <c r="B1185" s="139"/>
      <c r="M1185" s="69">
        <f t="shared" si="36"/>
        <v>0</v>
      </c>
      <c r="N1185" s="69">
        <f t="shared" si="37"/>
        <v>0</v>
      </c>
      <c r="O1185" s="108"/>
      <c r="Q1185" s="141"/>
      <c r="R1185" s="141"/>
    </row>
    <row r="1186" spans="1:19" s="98" customFormat="1" ht="26.4" x14ac:dyDescent="0.3">
      <c r="A1186" s="97">
        <v>45302</v>
      </c>
      <c r="B1186" s="15" t="str">
        <f>TEXT(A1186,"mmmm")</f>
        <v>January</v>
      </c>
      <c r="C1186" s="98" t="s">
        <v>3291</v>
      </c>
      <c r="D1186" s="98" t="s">
        <v>3292</v>
      </c>
      <c r="F1186" s="29" t="s">
        <v>54</v>
      </c>
      <c r="G1186" s="98" t="s">
        <v>24</v>
      </c>
      <c r="H1186" s="100" t="s">
        <v>3293</v>
      </c>
      <c r="I1186" s="98">
        <v>14680</v>
      </c>
      <c r="J1186" s="98">
        <f>P1186*9%</f>
        <v>90</v>
      </c>
      <c r="K1186" s="98">
        <f>J1186</f>
        <v>90</v>
      </c>
      <c r="M1186" s="69">
        <f t="shared" si="36"/>
        <v>180</v>
      </c>
      <c r="N1186" s="69">
        <f t="shared" si="37"/>
        <v>14500</v>
      </c>
      <c r="O1186" s="29">
        <v>13500</v>
      </c>
      <c r="P1186" s="98">
        <v>1000</v>
      </c>
      <c r="Q1186" s="27" t="s">
        <v>3349</v>
      </c>
      <c r="R1186" s="97">
        <v>45304</v>
      </c>
      <c r="S1186" s="98">
        <v>2424</v>
      </c>
    </row>
    <row r="1187" spans="1:19" s="140" customFormat="1" x14ac:dyDescent="0.3">
      <c r="A1187" s="139"/>
      <c r="B1187" s="139"/>
      <c r="M1187" s="69">
        <f t="shared" si="36"/>
        <v>0</v>
      </c>
      <c r="N1187" s="69">
        <f t="shared" si="37"/>
        <v>0</v>
      </c>
      <c r="Q1187" s="141"/>
      <c r="R1187" s="141"/>
    </row>
    <row r="1188" spans="1:19" s="29" customFormat="1" ht="26.4" x14ac:dyDescent="0.3">
      <c r="A1188" s="27">
        <v>45304</v>
      </c>
      <c r="B1188" s="15" t="str">
        <f>TEXT(A1188,"mmmm")</f>
        <v>January</v>
      </c>
      <c r="C1188" s="98" t="s">
        <v>3302</v>
      </c>
      <c r="D1188" s="3" t="s">
        <v>3303</v>
      </c>
      <c r="E1188" s="29">
        <v>1</v>
      </c>
      <c r="F1188" s="3" t="s">
        <v>60</v>
      </c>
      <c r="G1188" s="29" t="s">
        <v>26</v>
      </c>
      <c r="H1188" s="29" t="s">
        <v>10</v>
      </c>
      <c r="I1188" s="108">
        <v>8647</v>
      </c>
      <c r="J1188" s="29">
        <f>P1188*9%</f>
        <v>45</v>
      </c>
      <c r="K1188" s="29">
        <f>J1188</f>
        <v>45</v>
      </c>
      <c r="M1188" s="69">
        <f t="shared" si="36"/>
        <v>90</v>
      </c>
      <c r="N1188" s="69">
        <f t="shared" si="37"/>
        <v>8557</v>
      </c>
      <c r="O1188" s="29">
        <v>8057</v>
      </c>
      <c r="P1188" s="29">
        <v>500</v>
      </c>
      <c r="Q1188" s="97" t="s">
        <v>3261</v>
      </c>
      <c r="R1188" s="63" t="s">
        <v>3322</v>
      </c>
      <c r="S1188" s="62" t="s">
        <v>3304</v>
      </c>
    </row>
    <row r="1189" spans="1:19" s="29" customFormat="1" ht="26.4" x14ac:dyDescent="0.3">
      <c r="A1189" s="27"/>
      <c r="B1189" s="27"/>
      <c r="C1189" s="69"/>
      <c r="D1189" s="3"/>
      <c r="F1189" s="3"/>
      <c r="M1189" s="69">
        <f t="shared" si="36"/>
        <v>0</v>
      </c>
      <c r="N1189" s="69">
        <f t="shared" si="37"/>
        <v>0</v>
      </c>
      <c r="Q1189" s="63" t="s">
        <v>3372</v>
      </c>
      <c r="R1189" s="156">
        <f>8129-8057</f>
        <v>72</v>
      </c>
      <c r="S1189" s="62"/>
    </row>
    <row r="1190" spans="1:19" s="29" customFormat="1" x14ac:dyDescent="0.3">
      <c r="A1190" s="27"/>
      <c r="B1190" s="27"/>
      <c r="C1190" s="69"/>
      <c r="D1190" s="3"/>
      <c r="F1190" s="3"/>
      <c r="I1190" s="108"/>
      <c r="M1190" s="69">
        <f t="shared" si="36"/>
        <v>0</v>
      </c>
      <c r="N1190" s="69">
        <f t="shared" si="37"/>
        <v>0</v>
      </c>
      <c r="Q1190" s="97"/>
      <c r="R1190" s="63"/>
      <c r="S1190" s="62"/>
    </row>
    <row r="1191" spans="1:19" s="29" customFormat="1" x14ac:dyDescent="0.3">
      <c r="A1191" s="27"/>
      <c r="B1191" s="27"/>
      <c r="C1191" s="69"/>
      <c r="D1191" s="3"/>
      <c r="F1191" s="3"/>
      <c r="I1191" s="108"/>
      <c r="M1191" s="69">
        <f t="shared" si="36"/>
        <v>0</v>
      </c>
      <c r="N1191" s="69">
        <f t="shared" si="37"/>
        <v>0</v>
      </c>
      <c r="Q1191" s="97"/>
      <c r="R1191" s="63"/>
      <c r="S1191" s="62"/>
    </row>
    <row r="1192" spans="1:19" s="17" customFormat="1" ht="52.8" x14ac:dyDescent="0.3">
      <c r="A1192" s="142">
        <v>45305</v>
      </c>
      <c r="B1192" s="15" t="str">
        <f>TEXT(A1192,"mmmm")</f>
        <v>January</v>
      </c>
      <c r="C1192" s="51" t="s">
        <v>3305</v>
      </c>
      <c r="D1192" s="17" t="s">
        <v>3306</v>
      </c>
      <c r="F1192" s="10" t="s">
        <v>54</v>
      </c>
      <c r="G1192" s="10" t="s">
        <v>26</v>
      </c>
      <c r="H1192" s="10" t="s">
        <v>10</v>
      </c>
      <c r="I1192" s="10">
        <v>11881</v>
      </c>
      <c r="J1192" s="10">
        <v>63</v>
      </c>
      <c r="K1192" s="10">
        <v>63</v>
      </c>
      <c r="L1192" s="10"/>
      <c r="M1192" s="69">
        <f t="shared" si="36"/>
        <v>126</v>
      </c>
      <c r="N1192" s="69">
        <f t="shared" si="37"/>
        <v>11755</v>
      </c>
      <c r="O1192" s="17">
        <v>11055</v>
      </c>
      <c r="P1192" s="10">
        <v>700</v>
      </c>
      <c r="Q1192" s="70" t="s">
        <v>3403</v>
      </c>
      <c r="R1192" s="62" t="s">
        <v>3319</v>
      </c>
      <c r="S1192" s="112" t="s">
        <v>3250</v>
      </c>
    </row>
    <row r="1193" spans="1:19" s="17" customFormat="1" ht="39.6" x14ac:dyDescent="0.3">
      <c r="A1193" s="142"/>
      <c r="B1193" s="142"/>
      <c r="C1193" s="51"/>
      <c r="D1193" s="17" t="s">
        <v>3355</v>
      </c>
      <c r="F1193" s="10"/>
      <c r="G1193" s="10"/>
      <c r="H1193" s="10"/>
      <c r="I1193" s="10"/>
      <c r="J1193" s="10"/>
      <c r="K1193" s="10"/>
      <c r="L1193" s="10"/>
      <c r="M1193" s="69">
        <f t="shared" si="36"/>
        <v>0</v>
      </c>
      <c r="N1193" s="69">
        <f t="shared" si="37"/>
        <v>0</v>
      </c>
      <c r="O1193" s="10"/>
      <c r="P1193" s="10"/>
      <c r="R1193" s="62" t="s">
        <v>3359</v>
      </c>
      <c r="S1193" s="112" t="s">
        <v>3356</v>
      </c>
    </row>
    <row r="1194" spans="1:19" s="29" customFormat="1" x14ac:dyDescent="0.3">
      <c r="A1194" s="27"/>
      <c r="B1194" s="27"/>
      <c r="C1194" s="69"/>
      <c r="D1194" s="3" t="s">
        <v>3402</v>
      </c>
      <c r="F1194" s="3"/>
      <c r="I1194" s="17"/>
      <c r="M1194" s="69">
        <f t="shared" si="36"/>
        <v>0</v>
      </c>
      <c r="N1194" s="69">
        <f t="shared" si="37"/>
        <v>0</v>
      </c>
      <c r="Q1194" s="97"/>
      <c r="R1194" s="63"/>
      <c r="S1194" s="62"/>
    </row>
    <row r="1195" spans="1:19" s="29" customFormat="1" x14ac:dyDescent="0.3">
      <c r="A1195" s="27"/>
      <c r="B1195" s="27"/>
      <c r="C1195" s="69"/>
      <c r="D1195" s="3"/>
      <c r="F1195" s="3"/>
      <c r="I1195" s="108"/>
      <c r="M1195" s="69">
        <f t="shared" si="36"/>
        <v>0</v>
      </c>
      <c r="N1195" s="69">
        <f t="shared" si="37"/>
        <v>0</v>
      </c>
      <c r="Q1195" s="97"/>
      <c r="R1195" s="63"/>
      <c r="S1195" s="62"/>
    </row>
    <row r="1196" spans="1:19" s="29" customFormat="1" x14ac:dyDescent="0.3">
      <c r="A1196" s="27">
        <v>45307</v>
      </c>
      <c r="B1196" s="15" t="str">
        <f>TEXT(A1196,"mmmm")</f>
        <v>January</v>
      </c>
      <c r="C1196" s="29" t="s">
        <v>3314</v>
      </c>
      <c r="D1196" s="3" t="s">
        <v>17</v>
      </c>
      <c r="E1196" s="29">
        <v>1</v>
      </c>
      <c r="F1196" s="3"/>
      <c r="G1196" s="29" t="s">
        <v>26</v>
      </c>
      <c r="H1196" s="29" t="s">
        <v>10</v>
      </c>
      <c r="I1196" s="29">
        <v>371109</v>
      </c>
      <c r="J1196" s="29">
        <v>1603</v>
      </c>
      <c r="K1196" s="29">
        <v>1603</v>
      </c>
      <c r="M1196" s="69">
        <f t="shared" si="36"/>
        <v>3206</v>
      </c>
      <c r="N1196" s="69">
        <f t="shared" si="37"/>
        <v>367903</v>
      </c>
      <c r="O1196" s="29">
        <v>177796</v>
      </c>
      <c r="P1196" s="29">
        <v>17801</v>
      </c>
      <c r="Q1196" s="97">
        <v>45324</v>
      </c>
      <c r="R1196" s="27" t="s">
        <v>3354</v>
      </c>
      <c r="S1196" s="62" t="s">
        <v>3315</v>
      </c>
    </row>
    <row r="1197" spans="1:19" s="29" customFormat="1" x14ac:dyDescent="0.3">
      <c r="A1197" s="27"/>
      <c r="B1197" s="27"/>
      <c r="C1197" s="69"/>
      <c r="D1197" s="3"/>
      <c r="F1197" s="3"/>
      <c r="M1197" s="69">
        <f t="shared" si="36"/>
        <v>0</v>
      </c>
      <c r="N1197" s="69">
        <f t="shared" si="37"/>
        <v>0</v>
      </c>
      <c r="O1197" s="29">
        <v>172306</v>
      </c>
      <c r="Q1197" s="97"/>
      <c r="R1197" s="63"/>
      <c r="S1197" s="62"/>
    </row>
    <row r="1198" spans="1:19" s="29" customFormat="1" x14ac:dyDescent="0.3">
      <c r="A1198" s="27"/>
      <c r="B1198" s="27"/>
      <c r="C1198" s="69"/>
      <c r="D1198" s="3"/>
      <c r="F1198" s="3"/>
      <c r="I1198" s="108"/>
      <c r="M1198" s="69">
        <f t="shared" si="36"/>
        <v>0</v>
      </c>
      <c r="N1198" s="69">
        <f t="shared" si="37"/>
        <v>0</v>
      </c>
      <c r="O1198" s="108">
        <f>SUM(O1196:O1197)</f>
        <v>350102</v>
      </c>
      <c r="Q1198" s="157"/>
      <c r="R1198" s="63"/>
      <c r="S1198" s="62"/>
    </row>
    <row r="1199" spans="1:19" s="29" customFormat="1" x14ac:dyDescent="0.3">
      <c r="A1199" s="27"/>
      <c r="B1199" s="27"/>
      <c r="C1199" s="69"/>
      <c r="D1199" s="3"/>
      <c r="F1199" s="3"/>
      <c r="I1199" s="108"/>
      <c r="M1199" s="69">
        <f t="shared" si="36"/>
        <v>0</v>
      </c>
      <c r="N1199" s="69">
        <f t="shared" si="37"/>
        <v>0</v>
      </c>
      <c r="O1199" s="108"/>
      <c r="Q1199" s="157"/>
      <c r="R1199" s="63"/>
      <c r="S1199" s="62"/>
    </row>
    <row r="1200" spans="1:19" s="29" customFormat="1" ht="26.4" x14ac:dyDescent="0.3">
      <c r="A1200" s="27">
        <v>45310</v>
      </c>
      <c r="B1200" s="15" t="str">
        <f>TEXT(A1200,"mmmm")</f>
        <v>January</v>
      </c>
      <c r="C1200" s="98" t="s">
        <v>3321</v>
      </c>
      <c r="D1200" s="3" t="s">
        <v>3324</v>
      </c>
      <c r="F1200" s="29" t="s">
        <v>54</v>
      </c>
      <c r="G1200" s="98" t="s">
        <v>26</v>
      </c>
      <c r="H1200" s="29" t="s">
        <v>10</v>
      </c>
      <c r="I1200" s="108">
        <v>93192</v>
      </c>
      <c r="J1200" s="29">
        <f>P1200*9%</f>
        <v>504</v>
      </c>
      <c r="K1200" s="29">
        <f>J1200</f>
        <v>504</v>
      </c>
      <c r="M1200" s="69">
        <f t="shared" si="36"/>
        <v>1008</v>
      </c>
      <c r="N1200" s="69">
        <f t="shared" si="37"/>
        <v>92184</v>
      </c>
      <c r="O1200" s="159">
        <v>5493</v>
      </c>
      <c r="P1200" s="29">
        <f>350*6+1000*3+500</f>
        <v>5600</v>
      </c>
      <c r="Q1200" s="29" t="s">
        <v>3442</v>
      </c>
      <c r="R1200" s="62" t="s">
        <v>3358</v>
      </c>
      <c r="S1200" s="62" t="s">
        <v>3326</v>
      </c>
    </row>
    <row r="1201" spans="1:19" s="29" customFormat="1" x14ac:dyDescent="0.3">
      <c r="A1201" s="27"/>
      <c r="B1201" s="27"/>
      <c r="C1201" s="69"/>
      <c r="D1201" s="3" t="s">
        <v>3325</v>
      </c>
      <c r="F1201" s="3"/>
      <c r="I1201" s="108"/>
      <c r="M1201" s="69">
        <f t="shared" si="36"/>
        <v>0</v>
      </c>
      <c r="N1201" s="69">
        <f t="shared" si="37"/>
        <v>0</v>
      </c>
      <c r="O1201" s="159">
        <v>7841</v>
      </c>
      <c r="Q1201" s="157">
        <f>93192-11055+17626</f>
        <v>99763</v>
      </c>
      <c r="R1201" s="156">
        <f>22819-3752</f>
        <v>19067</v>
      </c>
      <c r="S1201" s="62" t="s">
        <v>3327</v>
      </c>
    </row>
    <row r="1202" spans="1:19" s="29" customFormat="1" x14ac:dyDescent="0.3">
      <c r="A1202" s="27"/>
      <c r="B1202" s="27"/>
      <c r="C1202" s="69"/>
      <c r="D1202" s="3" t="s">
        <v>3351</v>
      </c>
      <c r="F1202" s="3"/>
      <c r="I1202" s="108"/>
      <c r="M1202" s="69">
        <f t="shared" si="36"/>
        <v>0</v>
      </c>
      <c r="N1202" s="69">
        <f t="shared" si="37"/>
        <v>0</v>
      </c>
      <c r="O1202" s="159">
        <v>9485</v>
      </c>
      <c r="Q1202" s="157"/>
      <c r="R1202" s="97" t="s">
        <v>3411</v>
      </c>
      <c r="S1202" s="62" t="s">
        <v>3352</v>
      </c>
    </row>
    <row r="1203" spans="1:19" s="29" customFormat="1" x14ac:dyDescent="0.3">
      <c r="A1203" s="27"/>
      <c r="B1203" s="27"/>
      <c r="C1203" s="69"/>
      <c r="D1203" s="3" t="s">
        <v>3365</v>
      </c>
      <c r="F1203" s="3"/>
      <c r="I1203" s="108"/>
      <c r="M1203" s="69">
        <f t="shared" si="36"/>
        <v>0</v>
      </c>
      <c r="N1203" s="69">
        <f t="shared" si="37"/>
        <v>0</v>
      </c>
      <c r="O1203" s="29">
        <v>21675</v>
      </c>
      <c r="Q1203" s="157"/>
      <c r="R1203" s="63"/>
      <c r="S1203" s="62" t="s">
        <v>3366</v>
      </c>
    </row>
    <row r="1204" spans="1:19" s="29" customFormat="1" x14ac:dyDescent="0.3">
      <c r="A1204" s="27"/>
      <c r="B1204" s="27"/>
      <c r="C1204" s="69"/>
      <c r="D1204" s="3" t="s">
        <v>3368</v>
      </c>
      <c r="F1204" s="3"/>
      <c r="I1204" s="108"/>
      <c r="M1204" s="69">
        <f t="shared" si="36"/>
        <v>0</v>
      </c>
      <c r="N1204" s="69">
        <f t="shared" si="37"/>
        <v>0</v>
      </c>
      <c r="O1204" s="29">
        <v>21710</v>
      </c>
      <c r="Q1204" s="157"/>
      <c r="R1204" s="63"/>
      <c r="S1204" s="62" t="s">
        <v>3369</v>
      </c>
    </row>
    <row r="1205" spans="1:19" s="29" customFormat="1" ht="26.4" x14ac:dyDescent="0.3">
      <c r="A1205" s="27"/>
      <c r="B1205" s="27"/>
      <c r="C1205" s="69"/>
      <c r="D1205" s="3" t="s">
        <v>3371</v>
      </c>
      <c r="F1205" s="3"/>
      <c r="I1205" s="108"/>
      <c r="M1205" s="69">
        <f t="shared" si="36"/>
        <v>0</v>
      </c>
      <c r="N1205" s="69">
        <f t="shared" si="37"/>
        <v>0</v>
      </c>
      <c r="O1205" s="88">
        <v>4500</v>
      </c>
      <c r="Q1205" s="157"/>
      <c r="R1205" s="63" t="s">
        <v>3370</v>
      </c>
      <c r="S1205" s="62"/>
    </row>
    <row r="1206" spans="1:19" s="29" customFormat="1" x14ac:dyDescent="0.3">
      <c r="A1206" s="27"/>
      <c r="B1206" s="27"/>
      <c r="C1206" s="69"/>
      <c r="D1206" s="3" t="s">
        <v>3379</v>
      </c>
      <c r="F1206" s="3"/>
      <c r="I1206" s="108"/>
      <c r="M1206" s="69">
        <f t="shared" si="36"/>
        <v>0</v>
      </c>
      <c r="N1206" s="69">
        <f t="shared" si="37"/>
        <v>0</v>
      </c>
      <c r="O1206" s="29">
        <v>6210</v>
      </c>
      <c r="Q1206" s="157"/>
      <c r="R1206" s="63"/>
      <c r="S1206" s="62" t="s">
        <v>3380</v>
      </c>
    </row>
    <row r="1207" spans="1:19" s="29" customFormat="1" x14ac:dyDescent="0.3">
      <c r="A1207" s="27"/>
      <c r="B1207" s="27"/>
      <c r="C1207" s="69"/>
      <c r="D1207" s="3" t="s">
        <v>3381</v>
      </c>
      <c r="F1207" s="3"/>
      <c r="I1207" s="108"/>
      <c r="M1207" s="69">
        <f t="shared" si="36"/>
        <v>0</v>
      </c>
      <c r="N1207" s="69">
        <f t="shared" si="37"/>
        <v>0</v>
      </c>
      <c r="O1207" s="29">
        <v>6114</v>
      </c>
      <c r="Q1207" s="157"/>
      <c r="R1207" s="63"/>
      <c r="S1207" s="62" t="s">
        <v>3382</v>
      </c>
    </row>
    <row r="1208" spans="1:19" s="29" customFormat="1" x14ac:dyDescent="0.3">
      <c r="A1208" s="27"/>
      <c r="B1208" s="27"/>
      <c r="C1208" s="69"/>
      <c r="D1208" s="3" t="s">
        <v>3395</v>
      </c>
      <c r="F1208" s="3"/>
      <c r="I1208" s="108"/>
      <c r="M1208" s="69">
        <f t="shared" si="36"/>
        <v>0</v>
      </c>
      <c r="N1208" s="69">
        <f t="shared" si="37"/>
        <v>0</v>
      </c>
      <c r="O1208" s="29">
        <v>3556</v>
      </c>
      <c r="Q1208" s="157"/>
      <c r="R1208" s="63"/>
      <c r="S1208" s="62" t="s">
        <v>3394</v>
      </c>
    </row>
    <row r="1209" spans="1:19" s="29" customFormat="1" x14ac:dyDescent="0.3">
      <c r="A1209" s="27"/>
      <c r="B1209" s="27"/>
      <c r="C1209" s="69"/>
      <c r="D1209" s="3"/>
      <c r="F1209" s="3"/>
      <c r="I1209" s="108"/>
      <c r="M1209" s="69">
        <f t="shared" si="36"/>
        <v>0</v>
      </c>
      <c r="N1209" s="69">
        <f t="shared" si="37"/>
        <v>0</v>
      </c>
      <c r="O1209" s="108">
        <f>SUM(O1200:O1208)</f>
        <v>86584</v>
      </c>
      <c r="Q1209" s="157"/>
      <c r="R1209" s="63"/>
      <c r="S1209" s="62"/>
    </row>
    <row r="1210" spans="1:19" s="29" customFormat="1" x14ac:dyDescent="0.3">
      <c r="A1210" s="27"/>
      <c r="B1210" s="27"/>
      <c r="C1210" s="69"/>
      <c r="D1210" s="3"/>
      <c r="F1210" s="3"/>
      <c r="I1210" s="108"/>
      <c r="M1210" s="69">
        <f t="shared" si="36"/>
        <v>0</v>
      </c>
      <c r="N1210" s="69">
        <f t="shared" si="37"/>
        <v>0</v>
      </c>
      <c r="O1210" s="108"/>
      <c r="Q1210" s="157"/>
      <c r="R1210" s="63"/>
      <c r="S1210" s="62"/>
    </row>
    <row r="1211" spans="1:19" s="29" customFormat="1" ht="26.4" x14ac:dyDescent="0.3">
      <c r="A1211" s="27">
        <v>45310</v>
      </c>
      <c r="B1211" s="15" t="str">
        <f>TEXT(A1211,"mmmm")</f>
        <v>January</v>
      </c>
      <c r="C1211" s="29" t="s">
        <v>3328</v>
      </c>
      <c r="D1211" s="3" t="s">
        <v>3329</v>
      </c>
      <c r="E1211" s="29">
        <v>1</v>
      </c>
      <c r="F1211" s="3" t="s">
        <v>60</v>
      </c>
      <c r="G1211" s="29" t="s">
        <v>1091</v>
      </c>
      <c r="H1211" s="29" t="s">
        <v>3330</v>
      </c>
      <c r="I1211" s="108">
        <v>62760</v>
      </c>
      <c r="J1211" s="29">
        <f>P1211*9%</f>
        <v>270</v>
      </c>
      <c r="K1211" s="29">
        <f>J1211</f>
        <v>270</v>
      </c>
      <c r="M1211" s="69">
        <f t="shared" si="36"/>
        <v>540</v>
      </c>
      <c r="N1211" s="69">
        <f t="shared" si="37"/>
        <v>62220</v>
      </c>
      <c r="O1211" s="88">
        <v>12750</v>
      </c>
      <c r="P1211" s="29">
        <v>3000</v>
      </c>
      <c r="Q1211" s="97">
        <v>45324</v>
      </c>
      <c r="R1211" s="63" t="s">
        <v>3331</v>
      </c>
      <c r="S1211" s="62"/>
    </row>
    <row r="1212" spans="1:19" s="29" customFormat="1" ht="26.4" x14ac:dyDescent="0.3">
      <c r="A1212" s="27"/>
      <c r="B1212" s="27"/>
      <c r="C1212" s="69"/>
      <c r="D1212" s="3"/>
      <c r="F1212" s="3"/>
      <c r="I1212" s="108"/>
      <c r="M1212" s="69">
        <f t="shared" si="36"/>
        <v>0</v>
      </c>
      <c r="N1212" s="69">
        <f t="shared" si="37"/>
        <v>0</v>
      </c>
      <c r="O1212" s="88">
        <v>12750</v>
      </c>
      <c r="Q1212" s="157"/>
      <c r="R1212" s="63" t="s">
        <v>3331</v>
      </c>
      <c r="S1212" s="62"/>
    </row>
    <row r="1213" spans="1:19" s="29" customFormat="1" x14ac:dyDescent="0.3">
      <c r="A1213" s="27"/>
      <c r="B1213" s="27"/>
      <c r="C1213" s="69"/>
      <c r="D1213" s="3" t="s">
        <v>3332</v>
      </c>
      <c r="F1213" s="3"/>
      <c r="H1213" s="29" t="s">
        <v>10</v>
      </c>
      <c r="I1213" s="108"/>
      <c r="M1213" s="69">
        <f t="shared" si="36"/>
        <v>0</v>
      </c>
      <c r="N1213" s="69">
        <f t="shared" si="37"/>
        <v>0</v>
      </c>
      <c r="O1213" s="29">
        <v>33720</v>
      </c>
      <c r="Q1213" s="157"/>
      <c r="R1213" s="97" t="s">
        <v>3354</v>
      </c>
      <c r="S1213" s="63" t="s">
        <v>3333</v>
      </c>
    </row>
    <row r="1214" spans="1:19" s="29" customFormat="1" x14ac:dyDescent="0.3">
      <c r="A1214" s="27"/>
      <c r="B1214" s="27"/>
      <c r="C1214" s="69"/>
      <c r="D1214" s="3"/>
      <c r="F1214" s="3"/>
      <c r="I1214" s="108"/>
      <c r="M1214" s="69">
        <f t="shared" si="36"/>
        <v>0</v>
      </c>
      <c r="N1214" s="69">
        <f t="shared" si="37"/>
        <v>0</v>
      </c>
      <c r="O1214" s="108">
        <f>SUM(O1211:O1213)</f>
        <v>59220</v>
      </c>
      <c r="Q1214" s="97"/>
      <c r="R1214" s="63"/>
      <c r="S1214" s="62"/>
    </row>
    <row r="1215" spans="1:19" s="29" customFormat="1" x14ac:dyDescent="0.3">
      <c r="A1215" s="27"/>
      <c r="B1215" s="27"/>
      <c r="C1215" s="69"/>
      <c r="D1215" s="3"/>
      <c r="F1215" s="3"/>
      <c r="I1215" s="108"/>
      <c r="M1215" s="69">
        <f t="shared" si="36"/>
        <v>0</v>
      </c>
      <c r="N1215" s="69">
        <f t="shared" si="37"/>
        <v>0</v>
      </c>
      <c r="Q1215" s="97"/>
      <c r="R1215" s="63"/>
      <c r="S1215" s="62"/>
    </row>
    <row r="1216" spans="1:19" s="29" customFormat="1" x14ac:dyDescent="0.3">
      <c r="A1216" s="27">
        <v>45311</v>
      </c>
      <c r="B1216" s="15" t="str">
        <f>TEXT(A1216,"mmmm")</f>
        <v>January</v>
      </c>
      <c r="C1216" s="29" t="s">
        <v>3334</v>
      </c>
      <c r="D1216" s="3" t="s">
        <v>1206</v>
      </c>
      <c r="E1216" s="29">
        <v>2</v>
      </c>
      <c r="F1216" s="3"/>
      <c r="G1216" s="29" t="s">
        <v>26</v>
      </c>
      <c r="H1216" s="29" t="s">
        <v>10</v>
      </c>
      <c r="I1216" s="108">
        <v>22541</v>
      </c>
      <c r="J1216" s="29">
        <f>P1216*9%</f>
        <v>180</v>
      </c>
      <c r="K1216" s="29">
        <f>J1216</f>
        <v>180</v>
      </c>
      <c r="M1216" s="69">
        <f t="shared" si="36"/>
        <v>360</v>
      </c>
      <c r="N1216" s="69">
        <f t="shared" si="37"/>
        <v>22181</v>
      </c>
      <c r="O1216" s="29">
        <v>10261</v>
      </c>
      <c r="P1216" s="29">
        <v>2000</v>
      </c>
      <c r="Q1216" s="27">
        <v>45321</v>
      </c>
      <c r="R1216" s="27" t="s">
        <v>3357</v>
      </c>
      <c r="S1216" s="62" t="s">
        <v>3336</v>
      </c>
    </row>
    <row r="1217" spans="1:19" s="29" customFormat="1" x14ac:dyDescent="0.3">
      <c r="A1217" s="27"/>
      <c r="B1217" s="27"/>
      <c r="C1217" s="69"/>
      <c r="D1217" s="3" t="s">
        <v>3335</v>
      </c>
      <c r="F1217" s="3"/>
      <c r="I1217" s="108"/>
      <c r="M1217" s="69">
        <f t="shared" si="36"/>
        <v>0</v>
      </c>
      <c r="N1217" s="69">
        <f t="shared" si="37"/>
        <v>0</v>
      </c>
      <c r="O1217" s="29">
        <v>9920</v>
      </c>
      <c r="Q1217" s="97"/>
      <c r="R1217" s="63"/>
      <c r="S1217" s="62" t="s">
        <v>3337</v>
      </c>
    </row>
    <row r="1218" spans="1:19" s="29" customFormat="1" x14ac:dyDescent="0.3">
      <c r="A1218" s="27"/>
      <c r="B1218" s="27"/>
      <c r="C1218" s="69"/>
      <c r="D1218" s="3"/>
      <c r="F1218" s="3"/>
      <c r="I1218" s="108"/>
      <c r="M1218" s="69">
        <f t="shared" si="36"/>
        <v>0</v>
      </c>
      <c r="N1218" s="69">
        <f t="shared" si="37"/>
        <v>0</v>
      </c>
      <c r="O1218" s="108">
        <f>SUM(O1216:O1217)</f>
        <v>20181</v>
      </c>
      <c r="Q1218" s="97"/>
      <c r="R1218" s="63"/>
      <c r="S1218" s="62"/>
    </row>
    <row r="1219" spans="1:19" s="29" customFormat="1" x14ac:dyDescent="0.3">
      <c r="A1219" s="27"/>
      <c r="B1219" s="27"/>
      <c r="C1219" s="69"/>
      <c r="D1219" s="3"/>
      <c r="F1219" s="3"/>
      <c r="I1219" s="108"/>
      <c r="M1219" s="69">
        <f t="shared" ref="M1219:M1282" si="38">SUM(J1219:L1219)</f>
        <v>0</v>
      </c>
      <c r="N1219" s="69">
        <f t="shared" ref="N1219:N1282" si="39">I1219-M1219</f>
        <v>0</v>
      </c>
      <c r="Q1219" s="97"/>
      <c r="R1219" s="63"/>
      <c r="S1219" s="62"/>
    </row>
    <row r="1220" spans="1:19" s="29" customFormat="1" ht="26.4" x14ac:dyDescent="0.3">
      <c r="A1220" s="27">
        <v>45313</v>
      </c>
      <c r="B1220" s="15" t="str">
        <f>TEXT(A1220,"mmmm")</f>
        <v>January</v>
      </c>
      <c r="C1220" s="69" t="s">
        <v>3338</v>
      </c>
      <c r="D1220" s="3" t="s">
        <v>3339</v>
      </c>
      <c r="F1220" s="3" t="s">
        <v>43</v>
      </c>
      <c r="G1220" s="29" t="s">
        <v>14</v>
      </c>
      <c r="H1220" s="29" t="s">
        <v>10</v>
      </c>
      <c r="I1220" s="108">
        <v>133386</v>
      </c>
      <c r="J1220" s="29">
        <v>3176</v>
      </c>
      <c r="K1220" s="29">
        <v>3176</v>
      </c>
      <c r="M1220" s="69">
        <f t="shared" si="38"/>
        <v>6352</v>
      </c>
      <c r="N1220" s="69">
        <f t="shared" si="39"/>
        <v>127034</v>
      </c>
      <c r="O1220" s="29">
        <v>4151</v>
      </c>
      <c r="P1220" s="29">
        <v>16234</v>
      </c>
      <c r="Q1220" s="97">
        <v>45323</v>
      </c>
      <c r="R1220" s="62" t="s">
        <v>3360</v>
      </c>
      <c r="S1220" s="62" t="s">
        <v>3342</v>
      </c>
    </row>
    <row r="1221" spans="1:19" s="29" customFormat="1" ht="26.4" x14ac:dyDescent="0.3">
      <c r="A1221" s="27"/>
      <c r="B1221" s="27"/>
      <c r="C1221" s="3"/>
      <c r="D1221" s="3"/>
      <c r="F1221" s="3"/>
      <c r="H1221" s="29" t="s">
        <v>3340</v>
      </c>
      <c r="I1221" s="108"/>
      <c r="M1221" s="69">
        <f t="shared" si="38"/>
        <v>0</v>
      </c>
      <c r="N1221" s="69">
        <f t="shared" si="39"/>
        <v>0</v>
      </c>
      <c r="O1221" s="88">
        <v>6000</v>
      </c>
      <c r="Q1221" s="157"/>
      <c r="R1221" s="63" t="s">
        <v>3341</v>
      </c>
    </row>
    <row r="1222" spans="1:19" s="29" customFormat="1" ht="26.4" x14ac:dyDescent="0.3">
      <c r="A1222" s="27"/>
      <c r="B1222" s="27"/>
      <c r="C1222" s="3"/>
      <c r="D1222" s="3"/>
      <c r="F1222" s="3"/>
      <c r="H1222" s="29" t="s">
        <v>11</v>
      </c>
      <c r="I1222" s="108"/>
      <c r="M1222" s="69">
        <f t="shared" si="38"/>
        <v>0</v>
      </c>
      <c r="N1222" s="69">
        <f t="shared" si="39"/>
        <v>0</v>
      </c>
      <c r="O1222" s="29">
        <v>4730</v>
      </c>
      <c r="Q1222" s="157"/>
      <c r="R1222" s="63" t="s">
        <v>3353</v>
      </c>
      <c r="S1222" s="29" t="s">
        <v>3350</v>
      </c>
    </row>
    <row r="1223" spans="1:19" s="29" customFormat="1" x14ac:dyDescent="0.3">
      <c r="A1223" s="27"/>
      <c r="B1223" s="27"/>
      <c r="C1223" s="3"/>
      <c r="D1223" s="3"/>
      <c r="F1223" s="3"/>
      <c r="H1223" s="29" t="s">
        <v>11</v>
      </c>
      <c r="I1223" s="108"/>
      <c r="M1223" s="69">
        <f t="shared" si="38"/>
        <v>0</v>
      </c>
      <c r="N1223" s="69">
        <f t="shared" si="39"/>
        <v>0</v>
      </c>
      <c r="O1223" s="29">
        <v>13735</v>
      </c>
      <c r="Q1223" s="157"/>
      <c r="R1223" s="63" t="s">
        <v>3377</v>
      </c>
    </row>
    <row r="1224" spans="1:19" s="29" customFormat="1" x14ac:dyDescent="0.3">
      <c r="A1224" s="27"/>
      <c r="B1224" s="27"/>
      <c r="C1224" s="3"/>
      <c r="D1224" s="3"/>
      <c r="F1224" s="3"/>
      <c r="H1224" s="29" t="s">
        <v>10</v>
      </c>
      <c r="I1224" s="108"/>
      <c r="M1224" s="69">
        <f t="shared" si="38"/>
        <v>0</v>
      </c>
      <c r="N1224" s="69">
        <f t="shared" si="39"/>
        <v>0</v>
      </c>
      <c r="O1224" s="29">
        <v>9656</v>
      </c>
      <c r="Q1224" s="157"/>
      <c r="R1224" s="63"/>
      <c r="S1224" s="29" t="s">
        <v>3346</v>
      </c>
    </row>
    <row r="1225" spans="1:19" s="29" customFormat="1" x14ac:dyDescent="0.3">
      <c r="A1225" s="27"/>
      <c r="B1225" s="27"/>
      <c r="C1225" s="3"/>
      <c r="D1225" s="3"/>
      <c r="F1225" s="3"/>
      <c r="H1225" s="29" t="s">
        <v>11</v>
      </c>
      <c r="I1225" s="108"/>
      <c r="M1225" s="69">
        <f t="shared" si="38"/>
        <v>0</v>
      </c>
      <c r="N1225" s="69">
        <f t="shared" si="39"/>
        <v>0</v>
      </c>
      <c r="O1225" s="29">
        <v>5499</v>
      </c>
      <c r="Q1225" s="157"/>
      <c r="R1225" s="63"/>
      <c r="S1225" s="29" t="s">
        <v>3376</v>
      </c>
    </row>
    <row r="1226" spans="1:19" s="29" customFormat="1" x14ac:dyDescent="0.3">
      <c r="A1226" s="27"/>
      <c r="B1226" s="27"/>
      <c r="C1226" s="3"/>
      <c r="D1226" s="3"/>
      <c r="F1226" s="3"/>
      <c r="H1226" s="29" t="s">
        <v>11</v>
      </c>
      <c r="I1226" s="108"/>
      <c r="M1226" s="69">
        <f t="shared" si="38"/>
        <v>0</v>
      </c>
      <c r="N1226" s="69">
        <f t="shared" si="39"/>
        <v>0</v>
      </c>
      <c r="O1226" s="29">
        <v>5498</v>
      </c>
      <c r="Q1226" s="157"/>
      <c r="R1226" s="63"/>
      <c r="S1226" s="29" t="s">
        <v>3378</v>
      </c>
    </row>
    <row r="1227" spans="1:19" s="29" customFormat="1" x14ac:dyDescent="0.3">
      <c r="A1227" s="27"/>
      <c r="B1227" s="27"/>
      <c r="C1227" s="3"/>
      <c r="D1227" s="3"/>
      <c r="F1227" s="3"/>
      <c r="H1227" s="29" t="s">
        <v>10</v>
      </c>
      <c r="I1227" s="108"/>
      <c r="M1227" s="69">
        <f t="shared" si="38"/>
        <v>0</v>
      </c>
      <c r="N1227" s="69">
        <f t="shared" si="39"/>
        <v>0</v>
      </c>
      <c r="O1227" s="29">
        <v>48781</v>
      </c>
      <c r="Q1227" s="157"/>
      <c r="R1227" s="27">
        <v>45327</v>
      </c>
      <c r="S1227" s="29" t="s">
        <v>3383</v>
      </c>
    </row>
    <row r="1228" spans="1:19" s="29" customFormat="1" ht="26.4" x14ac:dyDescent="0.3">
      <c r="A1228" s="27"/>
      <c r="B1228" s="27"/>
      <c r="C1228" s="3"/>
      <c r="D1228" s="3"/>
      <c r="F1228" s="3"/>
      <c r="H1228" s="29" t="s">
        <v>3340</v>
      </c>
      <c r="I1228" s="108"/>
      <c r="M1228" s="69">
        <f t="shared" si="38"/>
        <v>0</v>
      </c>
      <c r="N1228" s="69">
        <f t="shared" si="39"/>
        <v>0</v>
      </c>
      <c r="O1228" s="88">
        <v>12750</v>
      </c>
      <c r="Q1228" s="157"/>
      <c r="R1228" s="63" t="s">
        <v>3392</v>
      </c>
    </row>
    <row r="1229" spans="1:19" s="29" customFormat="1" x14ac:dyDescent="0.3">
      <c r="A1229" s="27"/>
      <c r="B1229" s="27"/>
      <c r="C1229" s="3"/>
      <c r="D1229" s="3"/>
      <c r="F1229" s="3"/>
      <c r="I1229" s="108"/>
      <c r="M1229" s="69">
        <f t="shared" si="38"/>
        <v>0</v>
      </c>
      <c r="N1229" s="69">
        <f t="shared" si="39"/>
        <v>0</v>
      </c>
      <c r="O1229" s="108">
        <f>SUM(O1220:O1228)</f>
        <v>110800</v>
      </c>
      <c r="Q1229" s="27"/>
      <c r="R1229" s="97"/>
    </row>
    <row r="1230" spans="1:19" s="29" customFormat="1" x14ac:dyDescent="0.3">
      <c r="A1230" s="27"/>
      <c r="B1230" s="27"/>
      <c r="C1230" s="69"/>
      <c r="D1230" s="3"/>
      <c r="F1230" s="3"/>
      <c r="I1230" s="108"/>
      <c r="M1230" s="69">
        <f t="shared" si="38"/>
        <v>0</v>
      </c>
      <c r="N1230" s="69">
        <f t="shared" si="39"/>
        <v>0</v>
      </c>
      <c r="Q1230" s="97"/>
      <c r="R1230" s="63"/>
      <c r="S1230" s="62"/>
    </row>
    <row r="1231" spans="1:19" s="29" customFormat="1" x14ac:dyDescent="0.3">
      <c r="A1231" s="27">
        <v>45314</v>
      </c>
      <c r="B1231" s="15" t="str">
        <f>TEXT(A1231,"mmmm")</f>
        <v>January</v>
      </c>
      <c r="C1231" s="29" t="s">
        <v>3343</v>
      </c>
      <c r="D1231" s="3" t="s">
        <v>100</v>
      </c>
      <c r="E1231" s="29">
        <v>1</v>
      </c>
      <c r="F1231" s="3"/>
      <c r="G1231" s="29" t="s">
        <v>26</v>
      </c>
      <c r="H1231" s="29" t="s">
        <v>3344</v>
      </c>
      <c r="I1231" s="108">
        <v>150212</v>
      </c>
      <c r="J1231" s="29">
        <v>332</v>
      </c>
      <c r="K1231" s="29">
        <f>J1231</f>
        <v>332</v>
      </c>
      <c r="M1231" s="69">
        <f t="shared" si="38"/>
        <v>664</v>
      </c>
      <c r="N1231" s="69">
        <f t="shared" si="39"/>
        <v>149548</v>
      </c>
      <c r="O1231" s="108">
        <v>145862</v>
      </c>
      <c r="P1231" s="29">
        <v>3686</v>
      </c>
      <c r="Q1231" s="97">
        <v>45317</v>
      </c>
      <c r="R1231" s="97" t="s">
        <v>3361</v>
      </c>
      <c r="S1231" s="62" t="s">
        <v>3345</v>
      </c>
    </row>
    <row r="1232" spans="1:19" s="29" customFormat="1" x14ac:dyDescent="0.3">
      <c r="A1232" s="27"/>
      <c r="B1232" s="27"/>
      <c r="D1232" s="3"/>
      <c r="F1232" s="3"/>
      <c r="I1232" s="108"/>
      <c r="M1232" s="69">
        <f t="shared" si="38"/>
        <v>0</v>
      </c>
      <c r="N1232" s="69">
        <f t="shared" si="39"/>
        <v>0</v>
      </c>
      <c r="Q1232" s="27"/>
      <c r="R1232" s="27"/>
      <c r="S1232" s="62"/>
    </row>
    <row r="1233" spans="1:19" s="29" customFormat="1" x14ac:dyDescent="0.3">
      <c r="A1233" s="27">
        <v>45314</v>
      </c>
      <c r="B1233" s="15" t="str">
        <f>TEXT(A1233,"mmmm")</f>
        <v>January</v>
      </c>
      <c r="C1233" s="3" t="s">
        <v>3347</v>
      </c>
      <c r="D1233" s="3" t="s">
        <v>42</v>
      </c>
      <c r="F1233" s="3" t="s">
        <v>43</v>
      </c>
      <c r="G1233" s="29" t="s">
        <v>3348</v>
      </c>
      <c r="H1233" s="29" t="s">
        <v>3367</v>
      </c>
      <c r="I1233" s="108">
        <v>25102</v>
      </c>
      <c r="J1233" s="29">
        <v>598</v>
      </c>
      <c r="K1233" s="29">
        <v>598</v>
      </c>
      <c r="M1233" s="69">
        <f t="shared" si="38"/>
        <v>1196</v>
      </c>
      <c r="N1233" s="69">
        <f t="shared" si="39"/>
        <v>23906</v>
      </c>
      <c r="O1233" s="29">
        <v>1785</v>
      </c>
      <c r="P1233" s="29">
        <v>4838</v>
      </c>
      <c r="Q1233" s="27">
        <v>45327</v>
      </c>
      <c r="R1233" s="97" t="s">
        <v>3373</v>
      </c>
    </row>
    <row r="1234" spans="1:19" s="29" customFormat="1" x14ac:dyDescent="0.3">
      <c r="A1234" s="27"/>
      <c r="B1234" s="27"/>
      <c r="C1234" s="3"/>
      <c r="D1234" s="3"/>
      <c r="F1234" s="3"/>
      <c r="I1234" s="108"/>
      <c r="M1234" s="69">
        <f t="shared" si="38"/>
        <v>0</v>
      </c>
      <c r="N1234" s="69">
        <f t="shared" si="39"/>
        <v>0</v>
      </c>
      <c r="O1234" s="29">
        <v>17283</v>
      </c>
      <c r="Q1234" s="27"/>
      <c r="R1234" s="27" t="s">
        <v>3396</v>
      </c>
    </row>
    <row r="1235" spans="1:19" s="29" customFormat="1" x14ac:dyDescent="0.3">
      <c r="A1235" s="27"/>
      <c r="B1235" s="27"/>
      <c r="C1235" s="3"/>
      <c r="D1235" s="3"/>
      <c r="F1235" s="3"/>
      <c r="I1235" s="108"/>
      <c r="M1235" s="69">
        <f t="shared" si="38"/>
        <v>0</v>
      </c>
      <c r="N1235" s="69">
        <f t="shared" si="39"/>
        <v>0</v>
      </c>
      <c r="O1235" s="108">
        <f>SUM(O1233:O1234)</f>
        <v>19068</v>
      </c>
      <c r="Q1235" s="27"/>
      <c r="R1235" s="97"/>
    </row>
    <row r="1236" spans="1:19" s="29" customFormat="1" x14ac:dyDescent="0.3">
      <c r="A1236" s="27"/>
      <c r="B1236" s="27"/>
      <c r="C1236" s="3"/>
      <c r="D1236" s="3"/>
      <c r="F1236" s="3"/>
      <c r="I1236" s="108"/>
      <c r="M1236" s="69">
        <f t="shared" si="38"/>
        <v>0</v>
      </c>
      <c r="N1236" s="69">
        <f t="shared" si="39"/>
        <v>0</v>
      </c>
      <c r="Q1236" s="27"/>
      <c r="R1236" s="97"/>
    </row>
    <row r="1237" spans="1:19" s="29" customFormat="1" x14ac:dyDescent="0.3">
      <c r="A1237" s="27"/>
      <c r="B1237" s="27"/>
      <c r="C1237" s="3"/>
      <c r="D1237" s="3"/>
      <c r="F1237" s="3"/>
      <c r="I1237" s="108"/>
      <c r="M1237" s="69">
        <f t="shared" si="38"/>
        <v>0</v>
      </c>
      <c r="N1237" s="69">
        <f t="shared" si="39"/>
        <v>0</v>
      </c>
      <c r="Q1237" s="27"/>
      <c r="R1237" s="97"/>
    </row>
    <row r="1238" spans="1:19" s="29" customFormat="1" x14ac:dyDescent="0.3">
      <c r="A1238" s="27">
        <v>45317</v>
      </c>
      <c r="B1238" s="15" t="str">
        <f>TEXT(A1238,"mmmm")</f>
        <v>January</v>
      </c>
      <c r="C1238" s="69" t="s">
        <v>3362</v>
      </c>
      <c r="D1238" s="3" t="s">
        <v>17</v>
      </c>
      <c r="E1238" s="29">
        <v>1</v>
      </c>
      <c r="F1238" s="3"/>
      <c r="G1238" s="29" t="s">
        <v>26</v>
      </c>
      <c r="H1238" s="29" t="s">
        <v>10</v>
      </c>
      <c r="I1238" s="29">
        <v>9105</v>
      </c>
      <c r="J1238" s="29">
        <v>126</v>
      </c>
      <c r="K1238" s="29">
        <v>126</v>
      </c>
      <c r="M1238" s="69">
        <f t="shared" si="38"/>
        <v>252</v>
      </c>
      <c r="N1238" s="69">
        <f t="shared" si="39"/>
        <v>8853</v>
      </c>
      <c r="O1238" s="29">
        <v>2960</v>
      </c>
      <c r="P1238" s="29">
        <v>1400</v>
      </c>
      <c r="Q1238" s="27" t="s">
        <v>3420</v>
      </c>
      <c r="R1238" s="27">
        <v>45327</v>
      </c>
      <c r="S1238" s="29" t="s">
        <v>3363</v>
      </c>
    </row>
    <row r="1239" spans="1:19" s="29" customFormat="1" x14ac:dyDescent="0.3">
      <c r="A1239" s="27"/>
      <c r="B1239" s="27"/>
      <c r="C1239" s="3"/>
      <c r="D1239" s="3"/>
      <c r="F1239" s="3"/>
      <c r="M1239" s="69">
        <f t="shared" si="38"/>
        <v>0</v>
      </c>
      <c r="N1239" s="69">
        <f t="shared" si="39"/>
        <v>0</v>
      </c>
      <c r="O1239" s="29">
        <v>4493</v>
      </c>
      <c r="Q1239" s="27"/>
      <c r="R1239" s="97"/>
      <c r="S1239" s="29" t="s">
        <v>3364</v>
      </c>
    </row>
    <row r="1240" spans="1:19" s="29" customFormat="1" x14ac:dyDescent="0.3">
      <c r="A1240" s="27"/>
      <c r="B1240" s="27"/>
      <c r="C1240" s="3"/>
      <c r="D1240" s="3"/>
      <c r="F1240" s="3"/>
      <c r="I1240" s="108"/>
      <c r="M1240" s="69">
        <f t="shared" si="38"/>
        <v>0</v>
      </c>
      <c r="N1240" s="69">
        <f t="shared" si="39"/>
        <v>0</v>
      </c>
      <c r="O1240" s="108">
        <f>SUM(O1238:O1239)</f>
        <v>7453</v>
      </c>
      <c r="Q1240" s="27"/>
      <c r="R1240" s="97"/>
    </row>
    <row r="1241" spans="1:19" s="29" customFormat="1" x14ac:dyDescent="0.3">
      <c r="A1241" s="27"/>
      <c r="B1241" s="27"/>
      <c r="C1241" s="3"/>
      <c r="D1241" s="3"/>
      <c r="F1241" s="3"/>
      <c r="I1241" s="108"/>
      <c r="M1241" s="69">
        <f t="shared" si="38"/>
        <v>0</v>
      </c>
      <c r="N1241" s="69">
        <f t="shared" si="39"/>
        <v>0</v>
      </c>
      <c r="Q1241" s="160"/>
      <c r="R1241" s="97"/>
    </row>
    <row r="1242" spans="1:19" s="29" customFormat="1" ht="26.4" x14ac:dyDescent="0.3">
      <c r="A1242" s="27">
        <v>45320</v>
      </c>
      <c r="B1242" s="15" t="str">
        <f>TEXT(A1242,"mmmm")</f>
        <v>January</v>
      </c>
      <c r="C1242" s="3" t="s">
        <v>3374</v>
      </c>
      <c r="D1242" s="25" t="s">
        <v>3385</v>
      </c>
      <c r="F1242" s="3" t="s">
        <v>43</v>
      </c>
      <c r="G1242" s="29" t="s">
        <v>14</v>
      </c>
      <c r="H1242" s="29" t="s">
        <v>3375</v>
      </c>
      <c r="I1242" s="108">
        <v>53558</v>
      </c>
      <c r="J1242" s="29">
        <v>1276</v>
      </c>
      <c r="K1242" s="29">
        <v>1276</v>
      </c>
      <c r="M1242" s="69">
        <f t="shared" si="38"/>
        <v>2552</v>
      </c>
      <c r="N1242" s="69">
        <f t="shared" si="39"/>
        <v>51006</v>
      </c>
      <c r="O1242" s="29">
        <v>32256</v>
      </c>
      <c r="P1242" s="29">
        <v>6000</v>
      </c>
      <c r="Q1242" s="97">
        <v>45323</v>
      </c>
      <c r="R1242" s="27" t="s">
        <v>3384</v>
      </c>
      <c r="S1242" s="62"/>
    </row>
    <row r="1243" spans="1:19" s="29" customFormat="1" ht="26.4" x14ac:dyDescent="0.3">
      <c r="A1243" s="27"/>
      <c r="B1243" s="27"/>
      <c r="C1243" s="3"/>
      <c r="D1243" s="3"/>
      <c r="F1243" s="3"/>
      <c r="H1243" s="29" t="s">
        <v>3340</v>
      </c>
      <c r="I1243" s="108"/>
      <c r="M1243" s="69">
        <f t="shared" si="38"/>
        <v>0</v>
      </c>
      <c r="N1243" s="69">
        <f t="shared" si="39"/>
        <v>0</v>
      </c>
      <c r="O1243" s="88">
        <v>12750</v>
      </c>
      <c r="Q1243" s="157"/>
      <c r="R1243" s="63" t="s">
        <v>3392</v>
      </c>
      <c r="S1243" s="62"/>
    </row>
    <row r="1244" spans="1:19" s="29" customFormat="1" x14ac:dyDescent="0.3">
      <c r="A1244" s="27"/>
      <c r="B1244" s="27"/>
      <c r="C1244" s="3"/>
      <c r="D1244" s="3"/>
      <c r="F1244" s="3"/>
      <c r="I1244" s="108"/>
      <c r="M1244" s="69">
        <f t="shared" si="38"/>
        <v>0</v>
      </c>
      <c r="N1244" s="69">
        <f t="shared" si="39"/>
        <v>0</v>
      </c>
      <c r="O1244" s="108">
        <f>SUM(O1242:O1243)</f>
        <v>45006</v>
      </c>
      <c r="Q1244" s="27"/>
      <c r="R1244" s="97"/>
    </row>
    <row r="1245" spans="1:19" s="29" customFormat="1" x14ac:dyDescent="0.3">
      <c r="A1245" s="27"/>
      <c r="B1245" s="27"/>
      <c r="C1245" s="3"/>
      <c r="D1245" s="3"/>
      <c r="F1245" s="3"/>
      <c r="I1245" s="108"/>
      <c r="M1245" s="69">
        <f t="shared" si="38"/>
        <v>0</v>
      </c>
      <c r="N1245" s="69">
        <f t="shared" si="39"/>
        <v>0</v>
      </c>
      <c r="Q1245" s="27"/>
      <c r="R1245" s="97"/>
    </row>
    <row r="1246" spans="1:19" s="29" customFormat="1" x14ac:dyDescent="0.3">
      <c r="A1246" s="27">
        <v>45322</v>
      </c>
      <c r="B1246" s="15" t="str">
        <f>TEXT(A1246,"mmmm")</f>
        <v>January</v>
      </c>
      <c r="C1246" s="3" t="s">
        <v>3386</v>
      </c>
      <c r="D1246" s="3" t="s">
        <v>3387</v>
      </c>
      <c r="E1246" s="29">
        <v>1</v>
      </c>
      <c r="F1246" s="3"/>
      <c r="G1246" s="29" t="s">
        <v>24</v>
      </c>
      <c r="H1246" s="29" t="s">
        <v>11</v>
      </c>
      <c r="I1246" s="108">
        <v>13835</v>
      </c>
      <c r="L1246" s="29">
        <v>428</v>
      </c>
      <c r="M1246" s="69">
        <f t="shared" si="38"/>
        <v>428</v>
      </c>
      <c r="N1246" s="69">
        <f t="shared" si="39"/>
        <v>13407</v>
      </c>
      <c r="O1246" s="108">
        <v>11038</v>
      </c>
      <c r="P1246" s="29">
        <v>2372</v>
      </c>
      <c r="Q1246" s="97" t="s">
        <v>3390</v>
      </c>
      <c r="R1246" s="27" t="s">
        <v>3389</v>
      </c>
      <c r="S1246" s="62" t="s">
        <v>3388</v>
      </c>
    </row>
    <row r="1247" spans="1:19" s="29" customFormat="1" x14ac:dyDescent="0.3">
      <c r="A1247" s="27"/>
      <c r="B1247" s="27"/>
      <c r="C1247" s="3"/>
      <c r="D1247" s="3"/>
      <c r="F1247" s="3"/>
      <c r="I1247" s="108"/>
      <c r="M1247" s="69">
        <f t="shared" si="38"/>
        <v>0</v>
      </c>
      <c r="N1247" s="69">
        <f t="shared" si="39"/>
        <v>0</v>
      </c>
      <c r="Q1247" s="27"/>
      <c r="R1247" s="97"/>
    </row>
    <row r="1248" spans="1:19" ht="26.4" x14ac:dyDescent="0.3">
      <c r="A1248" s="5">
        <v>45326</v>
      </c>
      <c r="B1248" s="15" t="str">
        <f>TEXT(A1248,"mmmm")</f>
        <v>February</v>
      </c>
      <c r="C1248" s="3" t="s">
        <v>3391</v>
      </c>
      <c r="D1248" s="3" t="s">
        <v>847</v>
      </c>
      <c r="E1248" s="3">
        <v>5</v>
      </c>
      <c r="G1248" s="69" t="s">
        <v>14</v>
      </c>
      <c r="H1248" s="69" t="s">
        <v>20</v>
      </c>
      <c r="I1248" s="69">
        <v>81340</v>
      </c>
      <c r="J1248" s="69">
        <v>1937</v>
      </c>
      <c r="K1248" s="69">
        <v>1937</v>
      </c>
      <c r="M1248" s="69">
        <f t="shared" si="38"/>
        <v>3874</v>
      </c>
      <c r="N1248" s="69">
        <f t="shared" si="39"/>
        <v>77466</v>
      </c>
      <c r="O1248" s="16">
        <v>55464</v>
      </c>
      <c r="P1248" s="69">
        <v>22002</v>
      </c>
      <c r="Q1248" s="30" t="s">
        <v>2996</v>
      </c>
      <c r="R1248" s="30" t="s">
        <v>3005</v>
      </c>
    </row>
    <row r="1249" spans="1:18" ht="26.4" x14ac:dyDescent="0.3">
      <c r="A1249" s="5"/>
      <c r="B1249" s="5"/>
      <c r="D1249" s="3"/>
      <c r="E1249" s="3"/>
      <c r="M1249" s="69">
        <f t="shared" si="38"/>
        <v>0</v>
      </c>
      <c r="N1249" s="69">
        <f t="shared" si="39"/>
        <v>0</v>
      </c>
      <c r="Q1249" s="30" t="s">
        <v>3307</v>
      </c>
      <c r="R1249" s="30" t="s">
        <v>3276</v>
      </c>
    </row>
    <row r="1250" spans="1:18" x14ac:dyDescent="0.3">
      <c r="A1250" s="5"/>
      <c r="B1250" s="5"/>
      <c r="D1250" s="3"/>
      <c r="E1250" s="3"/>
      <c r="I1250" s="16"/>
      <c r="M1250" s="69">
        <f t="shared" si="38"/>
        <v>0</v>
      </c>
      <c r="N1250" s="69">
        <f t="shared" si="39"/>
        <v>0</v>
      </c>
      <c r="Q1250" s="69"/>
      <c r="R1250" s="47"/>
    </row>
    <row r="1251" spans="1:18" x14ac:dyDescent="0.3">
      <c r="A1251" s="5"/>
      <c r="B1251" s="5"/>
      <c r="D1251" s="3"/>
      <c r="E1251" s="3"/>
      <c r="M1251" s="69">
        <f t="shared" si="38"/>
        <v>0</v>
      </c>
      <c r="N1251" s="69">
        <f t="shared" si="39"/>
        <v>0</v>
      </c>
      <c r="Q1251" s="69"/>
      <c r="R1251" s="47"/>
    </row>
    <row r="1252" spans="1:18" ht="26.4" x14ac:dyDescent="0.3">
      <c r="A1252" s="5">
        <v>45326</v>
      </c>
      <c r="B1252" s="15" t="str">
        <f>TEXT(A1252,"mmmm")</f>
        <v>February</v>
      </c>
      <c r="C1252" s="3" t="s">
        <v>3397</v>
      </c>
      <c r="D1252" s="3" t="s">
        <v>2785</v>
      </c>
      <c r="E1252" s="3">
        <v>5</v>
      </c>
      <c r="G1252" s="69" t="s">
        <v>14</v>
      </c>
      <c r="H1252" s="69" t="s">
        <v>20</v>
      </c>
      <c r="I1252" s="69">
        <v>81340</v>
      </c>
      <c r="J1252" s="69">
        <v>1937</v>
      </c>
      <c r="K1252" s="69">
        <v>1937</v>
      </c>
      <c r="M1252" s="69">
        <f t="shared" si="38"/>
        <v>3874</v>
      </c>
      <c r="N1252" s="69">
        <f t="shared" si="39"/>
        <v>77466</v>
      </c>
      <c r="O1252" s="16">
        <v>55464</v>
      </c>
      <c r="P1252" s="69">
        <v>22002</v>
      </c>
      <c r="Q1252" s="30" t="s">
        <v>2996</v>
      </c>
      <c r="R1252" s="30" t="s">
        <v>3005</v>
      </c>
    </row>
    <row r="1253" spans="1:18" ht="26.4" x14ac:dyDescent="0.3">
      <c r="A1253" s="5"/>
      <c r="B1253" s="5"/>
      <c r="D1253" s="3"/>
      <c r="E1253" s="3"/>
      <c r="M1253" s="69">
        <f t="shared" si="38"/>
        <v>0</v>
      </c>
      <c r="N1253" s="69">
        <f t="shared" si="39"/>
        <v>0</v>
      </c>
      <c r="Q1253" s="30" t="s">
        <v>3307</v>
      </c>
      <c r="R1253" s="30" t="s">
        <v>3276</v>
      </c>
    </row>
    <row r="1254" spans="1:18" x14ac:dyDescent="0.3">
      <c r="A1254" s="5"/>
      <c r="B1254" s="5"/>
      <c r="D1254" s="3"/>
      <c r="E1254" s="3"/>
      <c r="I1254" s="16"/>
      <c r="M1254" s="69">
        <f t="shared" si="38"/>
        <v>0</v>
      </c>
      <c r="N1254" s="69">
        <f t="shared" si="39"/>
        <v>0</v>
      </c>
      <c r="Q1254" s="69"/>
      <c r="R1254" s="47"/>
    </row>
    <row r="1255" spans="1:18" x14ac:dyDescent="0.3">
      <c r="A1255" s="5"/>
      <c r="B1255" s="5"/>
      <c r="D1255" s="3"/>
      <c r="E1255" s="3"/>
      <c r="M1255" s="69">
        <f t="shared" si="38"/>
        <v>0</v>
      </c>
      <c r="N1255" s="69">
        <f t="shared" si="39"/>
        <v>0</v>
      </c>
      <c r="Q1255" s="69"/>
      <c r="R1255" s="47"/>
    </row>
    <row r="1256" spans="1:18" ht="26.4" x14ac:dyDescent="0.3">
      <c r="A1256" s="5">
        <v>45326</v>
      </c>
      <c r="B1256" s="15" t="str">
        <f>TEXT(A1256,"mmmm")</f>
        <v>February</v>
      </c>
      <c r="C1256" s="3" t="s">
        <v>3398</v>
      </c>
      <c r="D1256" s="3" t="s">
        <v>2787</v>
      </c>
      <c r="E1256" s="3">
        <v>5</v>
      </c>
      <c r="G1256" s="69" t="s">
        <v>14</v>
      </c>
      <c r="H1256" s="69" t="s">
        <v>20</v>
      </c>
      <c r="I1256" s="69">
        <v>81340</v>
      </c>
      <c r="J1256" s="69">
        <v>1937</v>
      </c>
      <c r="K1256" s="69">
        <v>1937</v>
      </c>
      <c r="M1256" s="69">
        <f t="shared" si="38"/>
        <v>3874</v>
      </c>
      <c r="N1256" s="69">
        <f t="shared" si="39"/>
        <v>77466</v>
      </c>
      <c r="O1256" s="16">
        <f>277320/5</f>
        <v>55464</v>
      </c>
      <c r="P1256" s="69">
        <v>22002</v>
      </c>
      <c r="Q1256" s="30" t="s">
        <v>2996</v>
      </c>
      <c r="R1256" s="30" t="s">
        <v>3005</v>
      </c>
    </row>
    <row r="1257" spans="1:18" ht="26.4" x14ac:dyDescent="0.3">
      <c r="A1257" s="5"/>
      <c r="B1257" s="5"/>
      <c r="D1257" s="3"/>
      <c r="E1257" s="3"/>
      <c r="M1257" s="69">
        <f t="shared" si="38"/>
        <v>0</v>
      </c>
      <c r="N1257" s="69">
        <f t="shared" si="39"/>
        <v>0</v>
      </c>
      <c r="Q1257" s="79">
        <v>45308</v>
      </c>
      <c r="R1257" s="30" t="s">
        <v>3276</v>
      </c>
    </row>
    <row r="1258" spans="1:18" x14ac:dyDescent="0.3">
      <c r="A1258" s="5"/>
      <c r="B1258" s="5"/>
      <c r="D1258" s="3"/>
      <c r="E1258" s="3"/>
      <c r="I1258" s="16"/>
      <c r="M1258" s="69">
        <f t="shared" si="38"/>
        <v>0</v>
      </c>
      <c r="N1258" s="69">
        <f t="shared" si="39"/>
        <v>0</v>
      </c>
      <c r="Q1258" s="69"/>
      <c r="R1258" s="47"/>
    </row>
    <row r="1259" spans="1:18" x14ac:dyDescent="0.3">
      <c r="A1259" s="5"/>
      <c r="B1259" s="5"/>
      <c r="D1259" s="3"/>
      <c r="E1259" s="3"/>
      <c r="M1259" s="69">
        <f t="shared" si="38"/>
        <v>0</v>
      </c>
      <c r="N1259" s="69">
        <f t="shared" si="39"/>
        <v>0</v>
      </c>
      <c r="Q1259" s="15"/>
      <c r="R1259" s="47"/>
    </row>
    <row r="1260" spans="1:18" ht="26.4" x14ac:dyDescent="0.3">
      <c r="A1260" s="5">
        <v>45326</v>
      </c>
      <c r="B1260" s="15" t="str">
        <f>TEXT(A1260,"mmmm")</f>
        <v>February</v>
      </c>
      <c r="C1260" s="3" t="s">
        <v>3399</v>
      </c>
      <c r="D1260" s="3" t="s">
        <v>2789</v>
      </c>
      <c r="E1260" s="3">
        <v>5</v>
      </c>
      <c r="G1260" s="69" t="s">
        <v>14</v>
      </c>
      <c r="H1260" s="69" t="s">
        <v>20</v>
      </c>
      <c r="I1260" s="69">
        <v>81340</v>
      </c>
      <c r="J1260" s="69">
        <v>1937</v>
      </c>
      <c r="K1260" s="69">
        <v>1937</v>
      </c>
      <c r="M1260" s="69">
        <f t="shared" si="38"/>
        <v>3874</v>
      </c>
      <c r="N1260" s="69">
        <f t="shared" si="39"/>
        <v>77466</v>
      </c>
      <c r="O1260" s="16">
        <f>277320/5</f>
        <v>55464</v>
      </c>
      <c r="P1260" s="69">
        <v>22002</v>
      </c>
      <c r="Q1260" s="30" t="s">
        <v>2996</v>
      </c>
      <c r="R1260" s="30" t="s">
        <v>3005</v>
      </c>
    </row>
    <row r="1261" spans="1:18" ht="26.4" x14ac:dyDescent="0.3">
      <c r="A1261" s="5"/>
      <c r="B1261" s="5"/>
      <c r="D1261" s="3"/>
      <c r="E1261" s="3"/>
      <c r="M1261" s="69">
        <f t="shared" si="38"/>
        <v>0</v>
      </c>
      <c r="N1261" s="69">
        <f t="shared" si="39"/>
        <v>0</v>
      </c>
      <c r="Q1261" s="30" t="s">
        <v>3307</v>
      </c>
      <c r="R1261" s="30" t="s">
        <v>3276</v>
      </c>
    </row>
    <row r="1262" spans="1:18" x14ac:dyDescent="0.3">
      <c r="A1262" s="5"/>
      <c r="B1262" s="5"/>
      <c r="D1262" s="3"/>
      <c r="E1262" s="3"/>
      <c r="I1262" s="16"/>
      <c r="M1262" s="69">
        <f t="shared" si="38"/>
        <v>0</v>
      </c>
      <c r="N1262" s="69">
        <f t="shared" si="39"/>
        <v>0</v>
      </c>
      <c r="Q1262" s="69"/>
      <c r="R1262" s="47"/>
    </row>
    <row r="1263" spans="1:18" x14ac:dyDescent="0.3">
      <c r="A1263" s="5"/>
      <c r="B1263" s="5"/>
      <c r="D1263" s="3"/>
      <c r="E1263" s="3"/>
      <c r="M1263" s="69">
        <f t="shared" si="38"/>
        <v>0</v>
      </c>
      <c r="N1263" s="69">
        <f t="shared" si="39"/>
        <v>0</v>
      </c>
      <c r="Q1263" s="69"/>
    </row>
    <row r="1264" spans="1:18" ht="26.4" x14ac:dyDescent="0.3">
      <c r="A1264" s="5">
        <v>45326</v>
      </c>
      <c r="B1264" s="15" t="str">
        <f>TEXT(A1264,"mmmm")</f>
        <v>February</v>
      </c>
      <c r="C1264" s="3" t="s">
        <v>3400</v>
      </c>
      <c r="D1264" s="3" t="s">
        <v>2791</v>
      </c>
      <c r="E1264" s="3">
        <v>5</v>
      </c>
      <c r="G1264" s="69" t="s">
        <v>14</v>
      </c>
      <c r="H1264" s="69" t="s">
        <v>20</v>
      </c>
      <c r="I1264" s="69">
        <v>81340</v>
      </c>
      <c r="J1264" s="69">
        <v>1937</v>
      </c>
      <c r="K1264" s="69">
        <v>1937</v>
      </c>
      <c r="M1264" s="69">
        <f t="shared" si="38"/>
        <v>3874</v>
      </c>
      <c r="N1264" s="69">
        <f t="shared" si="39"/>
        <v>77466</v>
      </c>
      <c r="O1264" s="16">
        <f>277320/5</f>
        <v>55464</v>
      </c>
      <c r="P1264" s="69">
        <v>22002</v>
      </c>
      <c r="Q1264" s="30" t="s">
        <v>2996</v>
      </c>
      <c r="R1264" s="30" t="s">
        <v>3005</v>
      </c>
    </row>
    <row r="1265" spans="1:19" ht="26.4" x14ac:dyDescent="0.3">
      <c r="A1265" s="15"/>
      <c r="B1265" s="15"/>
      <c r="M1265" s="69">
        <f t="shared" si="38"/>
        <v>0</v>
      </c>
      <c r="N1265" s="69">
        <f t="shared" si="39"/>
        <v>0</v>
      </c>
      <c r="Q1265" s="30" t="s">
        <v>3277</v>
      </c>
      <c r="R1265" s="30" t="s">
        <v>3276</v>
      </c>
    </row>
    <row r="1266" spans="1:19" x14ac:dyDescent="0.3">
      <c r="A1266" s="15"/>
      <c r="B1266" s="15"/>
      <c r="I1266" s="16"/>
      <c r="M1266" s="69">
        <f t="shared" si="38"/>
        <v>0</v>
      </c>
      <c r="N1266" s="69">
        <f t="shared" si="39"/>
        <v>0</v>
      </c>
    </row>
    <row r="1267" spans="1:19" x14ac:dyDescent="0.3">
      <c r="A1267" s="15"/>
      <c r="B1267" s="15"/>
      <c r="M1267" s="69">
        <f t="shared" si="38"/>
        <v>0</v>
      </c>
      <c r="N1267" s="69">
        <f t="shared" si="39"/>
        <v>0</v>
      </c>
    </row>
    <row r="1268" spans="1:19" s="29" customFormat="1" x14ac:dyDescent="0.3">
      <c r="A1268" s="27">
        <v>45327</v>
      </c>
      <c r="B1268" s="15" t="str">
        <f>TEXT(A1268,"mmmm")</f>
        <v>February</v>
      </c>
      <c r="C1268" s="98" t="s">
        <v>3401</v>
      </c>
      <c r="D1268" s="3" t="s">
        <v>3405</v>
      </c>
      <c r="F1268" s="29" t="s">
        <v>54</v>
      </c>
      <c r="G1268" s="98" t="s">
        <v>26</v>
      </c>
      <c r="H1268" s="29" t="s">
        <v>10</v>
      </c>
      <c r="I1268" s="108">
        <v>48730</v>
      </c>
      <c r="J1268" s="29">
        <f>P1268*9%</f>
        <v>189</v>
      </c>
      <c r="K1268" s="29">
        <f>J1268</f>
        <v>189</v>
      </c>
      <c r="M1268" s="69">
        <f t="shared" si="38"/>
        <v>378</v>
      </c>
      <c r="N1268" s="69">
        <f t="shared" si="39"/>
        <v>48352</v>
      </c>
      <c r="O1268" s="159">
        <v>5793</v>
      </c>
      <c r="P1268" s="29">
        <f>350*6</f>
        <v>2100</v>
      </c>
      <c r="Q1268" s="27" t="s">
        <v>3490</v>
      </c>
      <c r="R1268" s="27" t="s">
        <v>3434</v>
      </c>
      <c r="S1268" s="62" t="s">
        <v>3406</v>
      </c>
    </row>
    <row r="1269" spans="1:19" s="29" customFormat="1" x14ac:dyDescent="0.3">
      <c r="A1269" s="27"/>
      <c r="B1269" s="27"/>
      <c r="C1269" s="69"/>
      <c r="D1269" s="3" t="s">
        <v>3407</v>
      </c>
      <c r="G1269" s="98"/>
      <c r="I1269" s="108"/>
      <c r="M1269" s="69">
        <f t="shared" si="38"/>
        <v>0</v>
      </c>
      <c r="N1269" s="69">
        <f t="shared" si="39"/>
        <v>0</v>
      </c>
      <c r="O1269" s="159">
        <v>13808</v>
      </c>
      <c r="Q1269" s="69"/>
      <c r="R1269" s="97" t="s">
        <v>3458</v>
      </c>
      <c r="S1269" s="62" t="s">
        <v>3408</v>
      </c>
    </row>
    <row r="1270" spans="1:19" s="29" customFormat="1" x14ac:dyDescent="0.3">
      <c r="A1270" s="27"/>
      <c r="B1270" s="27"/>
      <c r="C1270" s="69"/>
      <c r="D1270" s="3" t="s">
        <v>3409</v>
      </c>
      <c r="G1270" s="98"/>
      <c r="I1270" s="108"/>
      <c r="M1270" s="69">
        <f t="shared" si="38"/>
        <v>0</v>
      </c>
      <c r="N1270" s="69">
        <f t="shared" si="39"/>
        <v>0</v>
      </c>
      <c r="O1270" s="159">
        <v>9578</v>
      </c>
      <c r="Q1270" s="69"/>
      <c r="R1270" s="62"/>
      <c r="S1270" s="62" t="s">
        <v>3410</v>
      </c>
    </row>
    <row r="1271" spans="1:19" s="29" customFormat="1" x14ac:dyDescent="0.3">
      <c r="A1271" s="27"/>
      <c r="B1271" s="27"/>
      <c r="C1271" s="69"/>
      <c r="D1271" s="3" t="s">
        <v>3430</v>
      </c>
      <c r="G1271" s="98"/>
      <c r="I1271" s="108"/>
      <c r="M1271" s="69">
        <f t="shared" si="38"/>
        <v>0</v>
      </c>
      <c r="N1271" s="69">
        <f t="shared" si="39"/>
        <v>0</v>
      </c>
      <c r="O1271" s="159">
        <v>7274</v>
      </c>
      <c r="Q1271" s="69"/>
      <c r="R1271" s="62"/>
      <c r="S1271" s="62" t="s">
        <v>3431</v>
      </c>
    </row>
    <row r="1272" spans="1:19" s="29" customFormat="1" x14ac:dyDescent="0.3">
      <c r="A1272" s="27"/>
      <c r="B1272" s="27"/>
      <c r="C1272" s="69"/>
      <c r="D1272" s="3" t="s">
        <v>3444</v>
      </c>
      <c r="G1272" s="98"/>
      <c r="I1272" s="108"/>
      <c r="M1272" s="69">
        <f t="shared" si="38"/>
        <v>0</v>
      </c>
      <c r="N1272" s="69">
        <f t="shared" si="39"/>
        <v>0</v>
      </c>
      <c r="O1272" s="3">
        <v>3240</v>
      </c>
      <c r="Q1272" s="69"/>
      <c r="R1272" s="62"/>
      <c r="S1272" s="62" t="s">
        <v>3446</v>
      </c>
    </row>
    <row r="1273" spans="1:19" s="29" customFormat="1" x14ac:dyDescent="0.3">
      <c r="A1273" s="27"/>
      <c r="B1273" s="27"/>
      <c r="C1273" s="69"/>
      <c r="D1273" s="3" t="s">
        <v>3445</v>
      </c>
      <c r="G1273" s="98"/>
      <c r="I1273" s="108"/>
      <c r="M1273" s="69">
        <f t="shared" si="38"/>
        <v>0</v>
      </c>
      <c r="N1273" s="69">
        <f t="shared" si="39"/>
        <v>0</v>
      </c>
      <c r="O1273" s="3">
        <v>6559</v>
      </c>
      <c r="Q1273" s="69"/>
      <c r="R1273" s="62"/>
      <c r="S1273" s="62" t="s">
        <v>3447</v>
      </c>
    </row>
    <row r="1274" spans="1:19" s="29" customFormat="1" x14ac:dyDescent="0.3">
      <c r="A1274" s="27"/>
      <c r="B1274" s="27"/>
      <c r="C1274" s="69"/>
      <c r="D1274" s="3"/>
      <c r="G1274" s="98"/>
      <c r="I1274" s="108"/>
      <c r="M1274" s="69">
        <f t="shared" si="38"/>
        <v>0</v>
      </c>
      <c r="N1274" s="69">
        <f t="shared" si="39"/>
        <v>0</v>
      </c>
      <c r="O1274" s="4">
        <f>SUM(O1268:O1273)</f>
        <v>46252</v>
      </c>
      <c r="Q1274" s="69"/>
      <c r="R1274" s="62"/>
      <c r="S1274" s="62"/>
    </row>
    <row r="1275" spans="1:19" s="3" customFormat="1" x14ac:dyDescent="0.3">
      <c r="A1275" s="5"/>
      <c r="B1275" s="5"/>
      <c r="M1275" s="69">
        <f t="shared" si="38"/>
        <v>0</v>
      </c>
      <c r="N1275" s="69">
        <f t="shared" si="39"/>
        <v>0</v>
      </c>
      <c r="Q1275" s="5"/>
      <c r="R1275" s="15"/>
    </row>
    <row r="1276" spans="1:19" s="98" customFormat="1" ht="26.4" x14ac:dyDescent="0.3">
      <c r="A1276" s="27">
        <v>45328</v>
      </c>
      <c r="B1276" s="15" t="str">
        <f>TEXT(A1276,"mmmm")</f>
        <v>February</v>
      </c>
      <c r="C1276" s="29" t="s">
        <v>3404</v>
      </c>
      <c r="D1276" s="98" t="s">
        <v>3128</v>
      </c>
      <c r="E1276" s="98">
        <v>2</v>
      </c>
      <c r="F1276" s="98" t="s">
        <v>65</v>
      </c>
      <c r="G1276" s="98" t="s">
        <v>1162</v>
      </c>
      <c r="H1276" s="98" t="s">
        <v>10</v>
      </c>
      <c r="I1276" s="98">
        <v>1122678</v>
      </c>
      <c r="L1276" s="98">
        <v>53461</v>
      </c>
      <c r="M1276" s="69">
        <f t="shared" si="38"/>
        <v>53461</v>
      </c>
      <c r="N1276" s="69">
        <f t="shared" si="39"/>
        <v>1069217</v>
      </c>
      <c r="O1276" s="98">
        <v>21354</v>
      </c>
      <c r="P1276" s="98">
        <v>343714</v>
      </c>
      <c r="Q1276" s="110" t="s">
        <v>3172</v>
      </c>
      <c r="R1276" s="100" t="s">
        <v>3132</v>
      </c>
      <c r="S1276" s="98" t="s">
        <v>3130</v>
      </c>
    </row>
    <row r="1277" spans="1:19" s="98" customFormat="1" ht="26.4" x14ac:dyDescent="0.3">
      <c r="M1277" s="69">
        <f t="shared" si="38"/>
        <v>0</v>
      </c>
      <c r="N1277" s="69">
        <f t="shared" si="39"/>
        <v>0</v>
      </c>
      <c r="Q1277" s="110" t="s">
        <v>3201</v>
      </c>
      <c r="R1277" s="100" t="s">
        <v>3224</v>
      </c>
    </row>
    <row r="1278" spans="1:19" s="98" customFormat="1" ht="39.6" x14ac:dyDescent="0.3">
      <c r="D1278" s="98" t="s">
        <v>3129</v>
      </c>
      <c r="F1278" s="98">
        <f>564574+3540</f>
        <v>568114</v>
      </c>
      <c r="H1278" s="98" t="s">
        <v>20</v>
      </c>
      <c r="M1278" s="69">
        <f t="shared" si="38"/>
        <v>0</v>
      </c>
      <c r="N1278" s="69">
        <f t="shared" si="39"/>
        <v>0</v>
      </c>
      <c r="O1278" s="98">
        <v>700000</v>
      </c>
      <c r="Q1278" s="110" t="s">
        <v>3140</v>
      </c>
      <c r="R1278" s="100" t="s">
        <v>3139</v>
      </c>
    </row>
    <row r="1279" spans="1:19" s="29" customFormat="1" ht="26.4" x14ac:dyDescent="0.3">
      <c r="A1279" s="27"/>
      <c r="B1279" s="27"/>
      <c r="C1279" s="98"/>
      <c r="H1279" s="29" t="s">
        <v>3168</v>
      </c>
      <c r="M1279" s="69">
        <f t="shared" si="38"/>
        <v>0</v>
      </c>
      <c r="N1279" s="69">
        <f t="shared" si="39"/>
        <v>0</v>
      </c>
      <c r="O1279" s="29">
        <v>4149</v>
      </c>
      <c r="Q1279" s="62" t="s">
        <v>3243</v>
      </c>
      <c r="R1279" s="62" t="s">
        <v>3244</v>
      </c>
      <c r="S1279" s="29" t="s">
        <v>3169</v>
      </c>
    </row>
    <row r="1280" spans="1:19" s="29" customFormat="1" ht="26.4" x14ac:dyDescent="0.3">
      <c r="A1280" s="27"/>
      <c r="B1280" s="27"/>
      <c r="C1280" s="98"/>
      <c r="M1280" s="69">
        <f t="shared" si="38"/>
        <v>0</v>
      </c>
      <c r="N1280" s="69">
        <f t="shared" si="39"/>
        <v>0</v>
      </c>
      <c r="Q1280" s="62" t="s">
        <v>3272</v>
      </c>
      <c r="R1280" s="62"/>
    </row>
    <row r="1281" spans="1:19" s="29" customFormat="1" x14ac:dyDescent="0.3">
      <c r="A1281" s="27"/>
      <c r="B1281" s="27"/>
      <c r="C1281" s="98"/>
      <c r="D1281" s="29" t="s">
        <v>3393</v>
      </c>
      <c r="I1281" s="108"/>
      <c r="M1281" s="69">
        <f t="shared" si="38"/>
        <v>0</v>
      </c>
      <c r="N1281" s="69">
        <f t="shared" si="39"/>
        <v>0</v>
      </c>
      <c r="O1281" s="108">
        <f>SUM(O1276:O1280)</f>
        <v>725503</v>
      </c>
      <c r="Q1281" s="27"/>
      <c r="R1281" s="62"/>
    </row>
    <row r="1282" spans="1:19" s="29" customFormat="1" x14ac:dyDescent="0.3">
      <c r="A1282" s="27"/>
      <c r="B1282" s="27"/>
      <c r="C1282" s="98"/>
      <c r="D1282" s="3"/>
      <c r="F1282" s="3"/>
      <c r="I1282" s="108"/>
      <c r="M1282" s="69">
        <f t="shared" si="38"/>
        <v>0</v>
      </c>
      <c r="N1282" s="69">
        <f t="shared" si="39"/>
        <v>0</v>
      </c>
      <c r="O1282" s="108"/>
      <c r="Q1282" s="27"/>
      <c r="R1282" s="62"/>
    </row>
    <row r="1283" spans="1:19" s="98" customFormat="1" x14ac:dyDescent="0.3">
      <c r="A1283" s="5">
        <v>45328</v>
      </c>
      <c r="B1283" s="15" t="str">
        <f>TEXT(A1283,"mmmm")</f>
        <v>February</v>
      </c>
      <c r="C1283" s="3" t="s">
        <v>3412</v>
      </c>
      <c r="D1283" s="98" t="s">
        <v>62</v>
      </c>
      <c r="E1283" s="98">
        <v>2</v>
      </c>
      <c r="F1283" s="98" t="s">
        <v>65</v>
      </c>
      <c r="G1283" s="98" t="s">
        <v>26</v>
      </c>
      <c r="H1283" s="98" t="s">
        <v>10</v>
      </c>
      <c r="I1283" s="99">
        <v>102716</v>
      </c>
      <c r="J1283" s="98">
        <f>P1283*9%</f>
        <v>225</v>
      </c>
      <c r="K1283" s="98">
        <f>J1283</f>
        <v>225</v>
      </c>
      <c r="M1283" s="69">
        <f t="shared" ref="M1283:M1338" si="40">SUM(J1283:L1283)</f>
        <v>450</v>
      </c>
      <c r="N1283" s="69">
        <f t="shared" ref="N1283:N1338" si="41">I1283-M1283</f>
        <v>102266</v>
      </c>
      <c r="O1283" s="98">
        <v>41590</v>
      </c>
      <c r="P1283" s="98">
        <v>2500</v>
      </c>
      <c r="Q1283" s="27" t="s">
        <v>3421</v>
      </c>
      <c r="R1283" s="27" t="s">
        <v>3435</v>
      </c>
      <c r="S1283" s="98" t="s">
        <v>3413</v>
      </c>
    </row>
    <row r="1284" spans="1:19" s="29" customFormat="1" x14ac:dyDescent="0.3">
      <c r="A1284" s="27"/>
      <c r="B1284" s="27"/>
      <c r="C1284" s="3"/>
      <c r="D1284" s="3"/>
      <c r="F1284" s="3"/>
      <c r="I1284" s="108"/>
      <c r="M1284" s="69">
        <f t="shared" si="40"/>
        <v>0</v>
      </c>
      <c r="N1284" s="69">
        <f t="shared" si="41"/>
        <v>0</v>
      </c>
      <c r="O1284" s="29">
        <v>44984</v>
      </c>
      <c r="Q1284" s="27" t="s">
        <v>3429</v>
      </c>
      <c r="R1284" s="97"/>
      <c r="S1284" s="29" t="s">
        <v>3414</v>
      </c>
    </row>
    <row r="1285" spans="1:19" s="29" customFormat="1" x14ac:dyDescent="0.3">
      <c r="A1285" s="27"/>
      <c r="B1285" s="27"/>
      <c r="C1285" s="3"/>
      <c r="D1285" s="3"/>
      <c r="F1285" s="3"/>
      <c r="I1285" s="108"/>
      <c r="M1285" s="69">
        <f t="shared" si="40"/>
        <v>0</v>
      </c>
      <c r="N1285" s="69">
        <f t="shared" si="41"/>
        <v>0</v>
      </c>
      <c r="O1285" s="29">
        <v>13192</v>
      </c>
      <c r="Q1285" s="27"/>
      <c r="R1285" s="97"/>
      <c r="S1285" s="29" t="s">
        <v>3419</v>
      </c>
    </row>
    <row r="1286" spans="1:19" s="29" customFormat="1" x14ac:dyDescent="0.3">
      <c r="A1286" s="27"/>
      <c r="B1286" s="27"/>
      <c r="C1286" s="3"/>
      <c r="D1286" s="3"/>
      <c r="F1286" s="3"/>
      <c r="I1286" s="108"/>
      <c r="M1286" s="69">
        <f t="shared" si="40"/>
        <v>0</v>
      </c>
      <c r="N1286" s="69">
        <f t="shared" si="41"/>
        <v>0</v>
      </c>
      <c r="O1286" s="108">
        <f>SUM(O1283:O1285)</f>
        <v>99766</v>
      </c>
      <c r="Q1286" s="27"/>
      <c r="R1286" s="97"/>
    </row>
    <row r="1287" spans="1:19" s="29" customFormat="1" x14ac:dyDescent="0.3">
      <c r="A1287" s="27"/>
      <c r="B1287" s="27"/>
      <c r="C1287" s="3"/>
      <c r="D1287" s="3"/>
      <c r="F1287" s="3"/>
      <c r="I1287" s="108"/>
      <c r="M1287" s="69">
        <f t="shared" si="40"/>
        <v>0</v>
      </c>
      <c r="N1287" s="69">
        <f t="shared" si="41"/>
        <v>0</v>
      </c>
      <c r="Q1287" s="27"/>
      <c r="R1287" s="97"/>
    </row>
    <row r="1288" spans="1:19" s="29" customFormat="1" ht="26.4" x14ac:dyDescent="0.3">
      <c r="A1288" s="27">
        <v>45328</v>
      </c>
      <c r="B1288" s="15" t="str">
        <f>TEXT(A1288,"mmmm")</f>
        <v>February</v>
      </c>
      <c r="C1288" s="3" t="s">
        <v>3415</v>
      </c>
      <c r="D1288" s="25" t="s">
        <v>3416</v>
      </c>
      <c r="E1288" s="29">
        <v>1</v>
      </c>
      <c r="F1288" s="3" t="s">
        <v>43</v>
      </c>
      <c r="G1288" s="29" t="s">
        <v>26</v>
      </c>
      <c r="H1288" s="29" t="s">
        <v>10</v>
      </c>
      <c r="I1288" s="108">
        <v>16399</v>
      </c>
      <c r="J1288" s="29">
        <f>P1288*9%</f>
        <v>45</v>
      </c>
      <c r="K1288" s="29">
        <f>J1288</f>
        <v>45</v>
      </c>
      <c r="M1288" s="69">
        <f t="shared" si="40"/>
        <v>90</v>
      </c>
      <c r="N1288" s="69">
        <f t="shared" si="41"/>
        <v>16309</v>
      </c>
      <c r="O1288" s="108">
        <v>6209</v>
      </c>
      <c r="P1288" s="29">
        <v>500</v>
      </c>
      <c r="Q1288" s="27">
        <v>45329</v>
      </c>
      <c r="R1288" s="27" t="s">
        <v>3436</v>
      </c>
      <c r="S1288" s="29" t="s">
        <v>3417</v>
      </c>
    </row>
    <row r="1289" spans="1:19" s="29" customFormat="1" x14ac:dyDescent="0.3">
      <c r="A1289" s="27"/>
      <c r="B1289" s="27"/>
      <c r="C1289" s="3"/>
      <c r="D1289" s="3"/>
      <c r="F1289" s="3"/>
      <c r="I1289" s="108"/>
      <c r="M1289" s="69">
        <f t="shared" si="40"/>
        <v>0</v>
      </c>
      <c r="N1289" s="69">
        <f t="shared" si="41"/>
        <v>0</v>
      </c>
      <c r="O1289" s="88">
        <v>9600</v>
      </c>
      <c r="Q1289" s="157"/>
      <c r="R1289" s="63" t="s">
        <v>3418</v>
      </c>
    </row>
    <row r="1290" spans="1:19" s="29" customFormat="1" x14ac:dyDescent="0.3">
      <c r="A1290" s="27"/>
      <c r="B1290" s="27"/>
      <c r="C1290" s="3"/>
      <c r="D1290" s="3"/>
      <c r="F1290" s="3"/>
      <c r="I1290" s="108"/>
      <c r="M1290" s="69">
        <f t="shared" si="40"/>
        <v>0</v>
      </c>
      <c r="N1290" s="69">
        <f t="shared" si="41"/>
        <v>0</v>
      </c>
      <c r="O1290" s="108">
        <f>SUM(O1288:O1289)</f>
        <v>15809</v>
      </c>
      <c r="Q1290" s="157"/>
      <c r="R1290" s="63"/>
    </row>
    <row r="1291" spans="1:19" s="29" customFormat="1" x14ac:dyDescent="0.3">
      <c r="A1291" s="27"/>
      <c r="B1291" s="27"/>
      <c r="C1291" s="3"/>
      <c r="D1291" s="3"/>
      <c r="F1291" s="3"/>
      <c r="I1291" s="108"/>
      <c r="M1291" s="69">
        <f t="shared" si="40"/>
        <v>0</v>
      </c>
      <c r="N1291" s="69">
        <f t="shared" si="41"/>
        <v>0</v>
      </c>
      <c r="O1291" s="108"/>
      <c r="Q1291" s="157"/>
      <c r="R1291" s="63"/>
    </row>
    <row r="1292" spans="1:19" s="29" customFormat="1" x14ac:dyDescent="0.3">
      <c r="A1292" s="27">
        <v>45329</v>
      </c>
      <c r="B1292" s="15" t="str">
        <f>TEXT(A1292,"mmmm")</f>
        <v>February</v>
      </c>
      <c r="C1292" s="3" t="s">
        <v>3422</v>
      </c>
      <c r="D1292" s="3" t="s">
        <v>3424</v>
      </c>
      <c r="F1292" s="29" t="s">
        <v>54</v>
      </c>
      <c r="G1292" s="29" t="s">
        <v>2933</v>
      </c>
      <c r="H1292" s="29" t="s">
        <v>3423</v>
      </c>
      <c r="I1292" s="108">
        <v>17626</v>
      </c>
      <c r="J1292" s="29">
        <v>420</v>
      </c>
      <c r="K1292" s="29">
        <v>420</v>
      </c>
      <c r="M1292" s="69">
        <f t="shared" si="40"/>
        <v>840</v>
      </c>
      <c r="N1292" s="69">
        <f t="shared" si="41"/>
        <v>16786</v>
      </c>
      <c r="O1292" s="29">
        <v>6956</v>
      </c>
      <c r="P1292" s="29">
        <f>1250*3</f>
        <v>3750</v>
      </c>
      <c r="Q1292" s="29" t="s">
        <v>3442</v>
      </c>
      <c r="R1292" s="27" t="s">
        <v>3437</v>
      </c>
      <c r="S1292" s="29" t="s">
        <v>3427</v>
      </c>
    </row>
    <row r="1293" spans="1:19" s="29" customFormat="1" x14ac:dyDescent="0.3">
      <c r="A1293" s="27"/>
      <c r="B1293" s="27"/>
      <c r="C1293" s="3"/>
      <c r="D1293" s="3" t="s">
        <v>3425</v>
      </c>
      <c r="F1293" s="3"/>
      <c r="I1293" s="108"/>
      <c r="M1293" s="69">
        <f t="shared" si="40"/>
        <v>0</v>
      </c>
      <c r="N1293" s="69">
        <f t="shared" si="41"/>
        <v>0</v>
      </c>
      <c r="O1293" s="29">
        <v>6080</v>
      </c>
      <c r="Q1293" s="157"/>
      <c r="R1293" s="63"/>
      <c r="S1293" s="29" t="s">
        <v>3426</v>
      </c>
    </row>
    <row r="1294" spans="1:19" s="29" customFormat="1" x14ac:dyDescent="0.3">
      <c r="A1294" s="27"/>
      <c r="B1294" s="27"/>
      <c r="C1294" s="3"/>
      <c r="D1294" s="3"/>
      <c r="F1294" s="3"/>
      <c r="I1294" s="108"/>
      <c r="M1294" s="69">
        <f t="shared" si="40"/>
        <v>0</v>
      </c>
      <c r="N1294" s="69">
        <f t="shared" si="41"/>
        <v>0</v>
      </c>
      <c r="O1294" s="108">
        <f>SUM(O1292:O1293)</f>
        <v>13036</v>
      </c>
      <c r="Q1294" s="157"/>
      <c r="R1294" s="63"/>
    </row>
    <row r="1295" spans="1:19" s="29" customFormat="1" x14ac:dyDescent="0.3">
      <c r="A1295" s="27"/>
      <c r="B1295" s="27"/>
      <c r="C1295" s="3"/>
      <c r="D1295" s="3"/>
      <c r="F1295" s="3"/>
      <c r="I1295" s="108"/>
      <c r="M1295" s="69">
        <f t="shared" si="40"/>
        <v>0</v>
      </c>
      <c r="N1295" s="69">
        <f t="shared" si="41"/>
        <v>0</v>
      </c>
      <c r="O1295" s="108"/>
      <c r="Q1295" s="157"/>
      <c r="R1295" s="63"/>
    </row>
    <row r="1296" spans="1:19" s="29" customFormat="1" x14ac:dyDescent="0.3">
      <c r="A1296" s="27">
        <v>45331</v>
      </c>
      <c r="B1296" s="15" t="str">
        <f>TEXT(A1296,"mmmm")</f>
        <v>February</v>
      </c>
      <c r="C1296" s="29" t="s">
        <v>3432</v>
      </c>
      <c r="D1296" s="3" t="s">
        <v>100</v>
      </c>
      <c r="E1296" s="29">
        <v>1</v>
      </c>
      <c r="F1296" s="3"/>
      <c r="G1296" s="29" t="s">
        <v>26</v>
      </c>
      <c r="H1296" s="29" t="s">
        <v>10</v>
      </c>
      <c r="I1296" s="108">
        <v>72463</v>
      </c>
      <c r="J1296" s="29">
        <f>P1296*9%</f>
        <v>450</v>
      </c>
      <c r="K1296" s="29">
        <f>J1296</f>
        <v>450</v>
      </c>
      <c r="M1296" s="69">
        <f t="shared" si="40"/>
        <v>900</v>
      </c>
      <c r="N1296" s="69">
        <f t="shared" si="41"/>
        <v>71563</v>
      </c>
      <c r="O1296" s="108">
        <v>66563</v>
      </c>
      <c r="P1296" s="29">
        <v>5000</v>
      </c>
      <c r="Q1296" s="27" t="s">
        <v>3439</v>
      </c>
      <c r="R1296" s="27" t="s">
        <v>3438</v>
      </c>
      <c r="S1296" s="62" t="s">
        <v>3433</v>
      </c>
    </row>
    <row r="1297" spans="1:19" s="29" customFormat="1" x14ac:dyDescent="0.3">
      <c r="A1297" s="27"/>
      <c r="B1297" s="27"/>
      <c r="C1297" s="3"/>
      <c r="D1297" s="3"/>
      <c r="F1297" s="3"/>
      <c r="I1297" s="108"/>
      <c r="M1297" s="69">
        <f t="shared" si="40"/>
        <v>0</v>
      </c>
      <c r="N1297" s="69">
        <f t="shared" si="41"/>
        <v>0</v>
      </c>
      <c r="O1297" s="108"/>
      <c r="Q1297" s="157"/>
      <c r="R1297" s="63"/>
    </row>
    <row r="1298" spans="1:19" s="29" customFormat="1" x14ac:dyDescent="0.3">
      <c r="A1298" s="27">
        <v>45334</v>
      </c>
      <c r="B1298" s="15" t="str">
        <f>TEXT(A1298,"mmmm")</f>
        <v>February</v>
      </c>
      <c r="C1298" s="29" t="s">
        <v>3443</v>
      </c>
      <c r="D1298" s="3" t="s">
        <v>17</v>
      </c>
      <c r="E1298" s="29">
        <v>1</v>
      </c>
      <c r="F1298" s="3"/>
      <c r="G1298" s="29" t="s">
        <v>22</v>
      </c>
      <c r="H1298" s="29" t="s">
        <v>50</v>
      </c>
      <c r="I1298" s="108">
        <v>21076</v>
      </c>
      <c r="J1298" s="29">
        <v>450</v>
      </c>
      <c r="K1298" s="29">
        <v>450</v>
      </c>
      <c r="M1298" s="69">
        <f t="shared" si="40"/>
        <v>900</v>
      </c>
      <c r="N1298" s="69">
        <f t="shared" si="41"/>
        <v>20176</v>
      </c>
      <c r="O1298" s="108">
        <f>15176</f>
        <v>15176</v>
      </c>
      <c r="P1298" s="29">
        <v>5000</v>
      </c>
      <c r="Q1298" s="27">
        <v>45374</v>
      </c>
      <c r="R1298" s="97" t="s">
        <v>3440</v>
      </c>
      <c r="S1298" s="29" t="s">
        <v>3441</v>
      </c>
    </row>
    <row r="1299" spans="1:19" s="29" customFormat="1" x14ac:dyDescent="0.3">
      <c r="A1299" s="27"/>
      <c r="B1299" s="27"/>
      <c r="C1299" s="3"/>
      <c r="D1299" s="3"/>
      <c r="F1299" s="3"/>
      <c r="I1299" s="108"/>
      <c r="M1299" s="69">
        <f t="shared" si="40"/>
        <v>0</v>
      </c>
      <c r="N1299" s="69">
        <f t="shared" si="41"/>
        <v>0</v>
      </c>
      <c r="Q1299" s="27"/>
      <c r="R1299" s="97"/>
    </row>
    <row r="1300" spans="1:19" s="29" customFormat="1" x14ac:dyDescent="0.3">
      <c r="A1300" s="27">
        <v>45349</v>
      </c>
      <c r="B1300" s="15" t="str">
        <f>TEXT(A1300,"mmmm")</f>
        <v>February</v>
      </c>
      <c r="C1300" s="98" t="s">
        <v>3448</v>
      </c>
      <c r="D1300" s="3" t="s">
        <v>3449</v>
      </c>
      <c r="F1300" s="29" t="s">
        <v>54</v>
      </c>
      <c r="G1300" s="29" t="s">
        <v>2933</v>
      </c>
      <c r="H1300" s="29" t="s">
        <v>3423</v>
      </c>
      <c r="I1300" s="108">
        <v>5944</v>
      </c>
      <c r="J1300" s="29">
        <v>142</v>
      </c>
      <c r="K1300" s="29">
        <v>142</v>
      </c>
      <c r="M1300" s="69">
        <f t="shared" si="40"/>
        <v>284</v>
      </c>
      <c r="N1300" s="69">
        <f t="shared" si="41"/>
        <v>5660</v>
      </c>
      <c r="O1300" s="108">
        <v>4410</v>
      </c>
      <c r="P1300" s="29">
        <v>1250</v>
      </c>
      <c r="Q1300" s="27" t="s">
        <v>3490</v>
      </c>
      <c r="R1300" s="27" t="s">
        <v>3491</v>
      </c>
      <c r="S1300" s="29" t="s">
        <v>3450</v>
      </c>
    </row>
    <row r="1301" spans="1:19" s="29" customFormat="1" x14ac:dyDescent="0.3">
      <c r="A1301" s="27"/>
      <c r="B1301" s="27"/>
      <c r="C1301" s="3"/>
      <c r="D1301" s="3"/>
      <c r="F1301" s="3"/>
      <c r="I1301" s="108"/>
      <c r="M1301" s="69">
        <f t="shared" si="40"/>
        <v>0</v>
      </c>
      <c r="N1301" s="69">
        <f t="shared" si="41"/>
        <v>0</v>
      </c>
      <c r="O1301" s="108"/>
      <c r="Q1301" s="157"/>
      <c r="R1301" s="63"/>
    </row>
    <row r="1302" spans="1:19" s="29" customFormat="1" x14ac:dyDescent="0.3">
      <c r="A1302" s="27">
        <v>45351</v>
      </c>
      <c r="B1302" s="15" t="str">
        <f>TEXT(A1302,"mmmm")</f>
        <v>February</v>
      </c>
      <c r="C1302" s="98" t="s">
        <v>3451</v>
      </c>
      <c r="D1302" s="3" t="s">
        <v>3452</v>
      </c>
      <c r="E1302" s="29">
        <v>7</v>
      </c>
      <c r="F1302" s="3" t="s">
        <v>3453</v>
      </c>
      <c r="G1302" s="29" t="s">
        <v>26</v>
      </c>
      <c r="H1302" s="29" t="s">
        <v>10</v>
      </c>
      <c r="I1302" s="108">
        <v>420105</v>
      </c>
      <c r="J1302" s="29">
        <f>P1302*9%</f>
        <v>315</v>
      </c>
      <c r="K1302" s="29">
        <f>J1302</f>
        <v>315</v>
      </c>
      <c r="M1302" s="69">
        <f t="shared" si="40"/>
        <v>630</v>
      </c>
      <c r="N1302" s="69">
        <f t="shared" si="41"/>
        <v>419475</v>
      </c>
      <c r="O1302" s="108">
        <v>415975</v>
      </c>
      <c r="P1302" s="29">
        <v>3500</v>
      </c>
      <c r="Q1302" s="27" t="s">
        <v>3472</v>
      </c>
      <c r="R1302" s="97" t="s">
        <v>3460</v>
      </c>
      <c r="S1302" s="29" t="s">
        <v>3454</v>
      </c>
    </row>
    <row r="1303" spans="1:19" s="29" customFormat="1" x14ac:dyDescent="0.3">
      <c r="A1303" s="27"/>
      <c r="B1303" s="27"/>
      <c r="C1303" s="98"/>
      <c r="D1303" s="3"/>
      <c r="F1303" s="3"/>
      <c r="I1303" s="108"/>
      <c r="M1303" s="69">
        <f t="shared" si="40"/>
        <v>0</v>
      </c>
      <c r="N1303" s="69">
        <f t="shared" si="41"/>
        <v>0</v>
      </c>
      <c r="O1303" s="108"/>
      <c r="Q1303" s="157"/>
      <c r="R1303" s="63"/>
    </row>
    <row r="1304" spans="1:19" s="29" customFormat="1" x14ac:dyDescent="0.3">
      <c r="A1304" s="27">
        <v>45351</v>
      </c>
      <c r="B1304" s="15" t="str">
        <f>TEXT(A1304,"mmmm")</f>
        <v>February</v>
      </c>
      <c r="C1304" s="98" t="s">
        <v>3456</v>
      </c>
      <c r="D1304" s="3" t="s">
        <v>3455</v>
      </c>
      <c r="E1304" s="29">
        <v>1</v>
      </c>
      <c r="F1304" s="3"/>
      <c r="G1304" s="29" t="s">
        <v>8</v>
      </c>
      <c r="H1304" s="29" t="s">
        <v>57</v>
      </c>
      <c r="I1304" s="108">
        <v>582</v>
      </c>
      <c r="J1304" s="29">
        <v>45</v>
      </c>
      <c r="K1304" s="29">
        <v>45</v>
      </c>
      <c r="M1304" s="69">
        <f t="shared" si="40"/>
        <v>90</v>
      </c>
      <c r="N1304" s="69">
        <f t="shared" si="41"/>
        <v>492</v>
      </c>
      <c r="O1304" s="108">
        <v>492</v>
      </c>
      <c r="Q1304" s="157" t="s">
        <v>3457</v>
      </c>
      <c r="R1304" s="63"/>
    </row>
    <row r="1305" spans="1:19" s="29" customFormat="1" x14ac:dyDescent="0.3">
      <c r="A1305" s="27"/>
      <c r="B1305" s="27"/>
      <c r="C1305" s="98"/>
      <c r="D1305" s="3"/>
      <c r="F1305" s="3"/>
      <c r="I1305" s="108"/>
      <c r="M1305" s="69">
        <f t="shared" si="40"/>
        <v>0</v>
      </c>
      <c r="N1305" s="69">
        <f t="shared" si="41"/>
        <v>0</v>
      </c>
      <c r="O1305" s="108"/>
      <c r="Q1305" s="157"/>
      <c r="R1305" s="63"/>
    </row>
    <row r="1306" spans="1:19" s="29" customFormat="1" x14ac:dyDescent="0.3">
      <c r="A1306" s="27">
        <v>45352</v>
      </c>
      <c r="B1306" s="15" t="str">
        <f>TEXT(A1306,"mmmm")</f>
        <v>March</v>
      </c>
      <c r="C1306" s="98" t="s">
        <v>3459</v>
      </c>
      <c r="D1306" s="3" t="s">
        <v>3452</v>
      </c>
      <c r="E1306" s="29">
        <v>7</v>
      </c>
      <c r="F1306" s="3" t="s">
        <v>3453</v>
      </c>
      <c r="G1306" s="29" t="s">
        <v>14</v>
      </c>
      <c r="H1306" s="29" t="s">
        <v>10</v>
      </c>
      <c r="I1306" s="108">
        <v>339885</v>
      </c>
      <c r="J1306" s="29">
        <f>8093</f>
        <v>8093</v>
      </c>
      <c r="K1306" s="29">
        <f>J1306</f>
        <v>8093</v>
      </c>
      <c r="M1306" s="69">
        <f t="shared" si="40"/>
        <v>16186</v>
      </c>
      <c r="N1306" s="69">
        <f t="shared" si="41"/>
        <v>323699</v>
      </c>
      <c r="O1306" s="29">
        <v>47250</v>
      </c>
      <c r="P1306" s="29">
        <v>76400</v>
      </c>
      <c r="Q1306" s="27" t="s">
        <v>3473</v>
      </c>
      <c r="R1306" s="97" t="s">
        <v>3482</v>
      </c>
      <c r="S1306" s="2" t="s">
        <v>3461</v>
      </c>
    </row>
    <row r="1307" spans="1:19" s="29" customFormat="1" ht="26.4" x14ac:dyDescent="0.3">
      <c r="A1307" s="27"/>
      <c r="B1307" s="27"/>
      <c r="C1307" s="98"/>
      <c r="D1307" s="119" t="s">
        <v>3463</v>
      </c>
      <c r="F1307" s="3"/>
      <c r="H1307" s="29" t="s">
        <v>3462</v>
      </c>
      <c r="I1307" s="108"/>
      <c r="M1307" s="69">
        <f t="shared" si="40"/>
        <v>0</v>
      </c>
      <c r="N1307" s="69">
        <f t="shared" si="41"/>
        <v>0</v>
      </c>
      <c r="O1307" s="29">
        <v>200049</v>
      </c>
      <c r="Q1307" s="156" t="s">
        <v>3474</v>
      </c>
      <c r="R1307" s="97" t="s">
        <v>3481</v>
      </c>
    </row>
    <row r="1308" spans="1:19" s="29" customFormat="1" x14ac:dyDescent="0.3">
      <c r="A1308" s="27"/>
      <c r="B1308" s="27"/>
      <c r="C1308" s="98"/>
      <c r="D1308" s="3"/>
      <c r="F1308" s="3"/>
      <c r="I1308" s="108"/>
      <c r="M1308" s="69">
        <f t="shared" si="40"/>
        <v>0</v>
      </c>
      <c r="N1308" s="69">
        <f t="shared" si="41"/>
        <v>0</v>
      </c>
      <c r="O1308" s="108">
        <f>SUM(O1306:O1307)</f>
        <v>247299</v>
      </c>
      <c r="Q1308" s="142" t="s">
        <v>3465</v>
      </c>
      <c r="R1308" s="156"/>
    </row>
    <row r="1309" spans="1:19" s="29" customFormat="1" x14ac:dyDescent="0.3">
      <c r="A1309" s="27"/>
      <c r="B1309" s="27"/>
      <c r="C1309" s="98"/>
      <c r="D1309" s="3"/>
      <c r="F1309" s="3"/>
      <c r="I1309" s="108"/>
      <c r="M1309" s="69">
        <f t="shared" si="40"/>
        <v>0</v>
      </c>
      <c r="N1309" s="69">
        <f t="shared" si="41"/>
        <v>0</v>
      </c>
      <c r="O1309" s="108"/>
      <c r="Q1309" s="97"/>
      <c r="R1309" s="97"/>
    </row>
    <row r="1310" spans="1:19" s="29" customFormat="1" x14ac:dyDescent="0.3">
      <c r="A1310" s="27">
        <v>45355</v>
      </c>
      <c r="B1310" s="15" t="str">
        <f>TEXT(A1310,"mmmm")</f>
        <v>March</v>
      </c>
      <c r="C1310" s="3" t="s">
        <v>3466</v>
      </c>
      <c r="D1310" s="3" t="s">
        <v>3467</v>
      </c>
      <c r="E1310" s="29">
        <v>1</v>
      </c>
      <c r="F1310" s="3"/>
      <c r="G1310" s="29" t="s">
        <v>24</v>
      </c>
      <c r="H1310" s="29" t="s">
        <v>11</v>
      </c>
      <c r="I1310" s="108">
        <v>13401</v>
      </c>
      <c r="J1310" s="29">
        <f>P1310*9%</f>
        <v>180</v>
      </c>
      <c r="K1310" s="29">
        <f>J1310</f>
        <v>180</v>
      </c>
      <c r="M1310" s="69">
        <f t="shared" si="40"/>
        <v>360</v>
      </c>
      <c r="N1310" s="69">
        <f t="shared" si="41"/>
        <v>13041</v>
      </c>
      <c r="O1310" s="108">
        <v>11041</v>
      </c>
      <c r="P1310" s="29">
        <v>2000</v>
      </c>
      <c r="Q1310" s="27" t="s">
        <v>3476</v>
      </c>
      <c r="R1310" s="97" t="s">
        <v>3464</v>
      </c>
      <c r="S1310" s="29" t="s">
        <v>3471</v>
      </c>
    </row>
    <row r="1311" spans="1:19" s="29" customFormat="1" x14ac:dyDescent="0.3">
      <c r="A1311" s="27"/>
      <c r="B1311" s="27"/>
      <c r="C1311" s="98"/>
      <c r="D1311" s="3"/>
      <c r="F1311" s="3"/>
      <c r="I1311" s="108"/>
      <c r="M1311" s="69">
        <f t="shared" si="40"/>
        <v>0</v>
      </c>
      <c r="N1311" s="69">
        <f t="shared" si="41"/>
        <v>0</v>
      </c>
      <c r="O1311" s="108"/>
      <c r="Q1311" s="84" t="s">
        <v>3489</v>
      </c>
      <c r="R1311" s="156"/>
    </row>
    <row r="1312" spans="1:19" s="29" customFormat="1" x14ac:dyDescent="0.3">
      <c r="A1312" s="27"/>
      <c r="B1312" s="27"/>
      <c r="C1312" s="98"/>
      <c r="D1312" s="3"/>
      <c r="F1312" s="3"/>
      <c r="I1312" s="108"/>
      <c r="M1312" s="69">
        <f t="shared" si="40"/>
        <v>0</v>
      </c>
      <c r="N1312" s="69">
        <f t="shared" si="41"/>
        <v>0</v>
      </c>
      <c r="O1312" s="108"/>
      <c r="Q1312" s="156"/>
      <c r="R1312" s="156"/>
    </row>
    <row r="1313" spans="1:19" s="29" customFormat="1" ht="26.4" x14ac:dyDescent="0.3">
      <c r="A1313" s="27">
        <v>45355</v>
      </c>
      <c r="B1313" s="15" t="str">
        <f>TEXT(A1313,"mmmm")</f>
        <v>March</v>
      </c>
      <c r="C1313" s="3" t="s">
        <v>3468</v>
      </c>
      <c r="D1313" s="25" t="s">
        <v>3469</v>
      </c>
      <c r="E1313" s="29">
        <v>1</v>
      </c>
      <c r="F1313" s="3" t="s">
        <v>43</v>
      </c>
      <c r="G1313" s="29" t="s">
        <v>26</v>
      </c>
      <c r="H1313" s="29" t="s">
        <v>10</v>
      </c>
      <c r="I1313" s="108">
        <v>61759</v>
      </c>
      <c r="J1313" s="29">
        <f>P1313*9%</f>
        <v>90</v>
      </c>
      <c r="K1313" s="29">
        <f>J1313</f>
        <v>90</v>
      </c>
      <c r="M1313" s="69">
        <f t="shared" si="40"/>
        <v>180</v>
      </c>
      <c r="N1313" s="69">
        <f t="shared" si="41"/>
        <v>61579</v>
      </c>
      <c r="O1313" s="108">
        <v>60579</v>
      </c>
      <c r="P1313" s="29">
        <v>1000</v>
      </c>
      <c r="Q1313" s="27" t="s">
        <v>3475</v>
      </c>
      <c r="R1313" s="27" t="s">
        <v>3492</v>
      </c>
      <c r="S1313" s="29" t="s">
        <v>3470</v>
      </c>
    </row>
    <row r="1314" spans="1:19" s="29" customFormat="1" x14ac:dyDescent="0.3">
      <c r="A1314" s="27"/>
      <c r="B1314" s="27"/>
      <c r="C1314" s="98"/>
      <c r="D1314" s="3"/>
      <c r="F1314" s="3"/>
      <c r="I1314" s="108"/>
      <c r="M1314" s="69">
        <f t="shared" si="40"/>
        <v>0</v>
      </c>
      <c r="N1314" s="69">
        <f t="shared" si="41"/>
        <v>0</v>
      </c>
      <c r="O1314" s="108"/>
      <c r="Q1314" s="156"/>
      <c r="R1314" s="156"/>
    </row>
    <row r="1315" spans="1:19" s="29" customFormat="1" x14ac:dyDescent="0.3">
      <c r="A1315" s="27">
        <v>45357</v>
      </c>
      <c r="B1315" s="15" t="str">
        <f>TEXT(A1315,"mmmm")</f>
        <v>March</v>
      </c>
      <c r="C1315" s="3" t="s">
        <v>3477</v>
      </c>
      <c r="D1315" s="3" t="s">
        <v>62</v>
      </c>
      <c r="E1315" s="29">
        <v>2</v>
      </c>
      <c r="F1315" s="3"/>
      <c r="G1315" s="29" t="s">
        <v>26</v>
      </c>
      <c r="H1315" s="29" t="s">
        <v>3478</v>
      </c>
      <c r="I1315" s="108">
        <v>2614</v>
      </c>
      <c r="J1315" s="29">
        <f>P1315*9%</f>
        <v>27</v>
      </c>
      <c r="K1315" s="29">
        <f>J1315</f>
        <v>27</v>
      </c>
      <c r="M1315" s="69">
        <f t="shared" si="40"/>
        <v>54</v>
      </c>
      <c r="N1315" s="69">
        <f t="shared" si="41"/>
        <v>2560</v>
      </c>
      <c r="O1315" s="108">
        <v>2260</v>
      </c>
      <c r="P1315" s="29">
        <v>300</v>
      </c>
      <c r="Q1315" s="27" t="s">
        <v>3497</v>
      </c>
      <c r="R1315" s="156" t="s">
        <v>3479</v>
      </c>
    </row>
    <row r="1316" spans="1:19" s="29" customFormat="1" x14ac:dyDescent="0.3">
      <c r="A1316" s="27"/>
      <c r="B1316" s="27"/>
      <c r="C1316" s="98"/>
      <c r="D1316" s="3"/>
      <c r="F1316" s="3"/>
      <c r="I1316" s="108"/>
      <c r="M1316" s="69">
        <f t="shared" si="40"/>
        <v>0</v>
      </c>
      <c r="N1316" s="69">
        <f t="shared" si="41"/>
        <v>0</v>
      </c>
      <c r="O1316" s="108"/>
      <c r="Q1316" s="156" t="s">
        <v>191</v>
      </c>
      <c r="R1316" s="156"/>
    </row>
    <row r="1317" spans="1:19" s="29" customFormat="1" x14ac:dyDescent="0.3">
      <c r="A1317" s="27"/>
      <c r="B1317" s="27"/>
      <c r="C1317" s="98"/>
      <c r="D1317" s="3"/>
      <c r="F1317" s="3"/>
      <c r="I1317" s="108"/>
      <c r="M1317" s="69">
        <f t="shared" si="40"/>
        <v>0</v>
      </c>
      <c r="N1317" s="69">
        <f t="shared" si="41"/>
        <v>0</v>
      </c>
      <c r="O1317" s="108"/>
      <c r="Q1317" s="156"/>
      <c r="R1317" s="156"/>
      <c r="S1317" s="161"/>
    </row>
    <row r="1318" spans="1:19" s="29" customFormat="1" ht="26.4" x14ac:dyDescent="0.3">
      <c r="A1318" s="27">
        <v>45358</v>
      </c>
      <c r="B1318" s="15" t="str">
        <f>TEXT(A1318,"mmmm")</f>
        <v>March</v>
      </c>
      <c r="C1318" s="98" t="s">
        <v>3484</v>
      </c>
      <c r="D1318" s="3" t="s">
        <v>3452</v>
      </c>
      <c r="E1318" s="29">
        <v>1</v>
      </c>
      <c r="F1318" s="3" t="s">
        <v>3453</v>
      </c>
      <c r="G1318" s="29" t="s">
        <v>14</v>
      </c>
      <c r="H1318" s="29" t="s">
        <v>10</v>
      </c>
      <c r="I1318" s="108">
        <v>115980</v>
      </c>
      <c r="J1318" s="29">
        <v>2762</v>
      </c>
      <c r="K1318" s="29">
        <f>J1318</f>
        <v>2762</v>
      </c>
      <c r="M1318" s="69">
        <f t="shared" si="40"/>
        <v>5524</v>
      </c>
      <c r="N1318" s="69">
        <f t="shared" si="41"/>
        <v>110456</v>
      </c>
      <c r="O1318" s="29">
        <v>59427</v>
      </c>
      <c r="P1318" s="29">
        <v>19203</v>
      </c>
      <c r="Q1318" s="27" t="s">
        <v>3496</v>
      </c>
      <c r="R1318" s="62" t="s">
        <v>3493</v>
      </c>
      <c r="S1318" s="2" t="s">
        <v>3480</v>
      </c>
    </row>
    <row r="1319" spans="1:19" s="29" customFormat="1" x14ac:dyDescent="0.3">
      <c r="A1319" s="27"/>
      <c r="B1319" s="27"/>
      <c r="C1319" s="98"/>
      <c r="D1319" s="119" t="s">
        <v>3463</v>
      </c>
      <c r="F1319" s="3"/>
      <c r="H1319" s="29" t="s">
        <v>10</v>
      </c>
      <c r="I1319" s="29">
        <v>1105</v>
      </c>
      <c r="M1319" s="69">
        <f t="shared" si="40"/>
        <v>0</v>
      </c>
      <c r="N1319" s="69">
        <f t="shared" si="41"/>
        <v>1105</v>
      </c>
      <c r="O1319" s="29">
        <v>6750</v>
      </c>
      <c r="Q1319" s="142" t="s">
        <v>3495</v>
      </c>
      <c r="R1319" s="27"/>
      <c r="S1319" s="2" t="s">
        <v>3483</v>
      </c>
    </row>
    <row r="1320" spans="1:19" s="29" customFormat="1" x14ac:dyDescent="0.3">
      <c r="A1320" s="27"/>
      <c r="B1320" s="27"/>
      <c r="C1320" s="98"/>
      <c r="D1320" s="3"/>
      <c r="F1320" s="3"/>
      <c r="H1320" s="29" t="s">
        <v>3462</v>
      </c>
      <c r="I1320" s="29">
        <v>114875</v>
      </c>
      <c r="M1320" s="69">
        <f t="shared" si="40"/>
        <v>0</v>
      </c>
      <c r="N1320" s="69">
        <f t="shared" si="41"/>
        <v>114875</v>
      </c>
      <c r="O1320" s="29">
        <v>25076</v>
      </c>
      <c r="Q1320" s="27"/>
      <c r="R1320" s="29" t="s">
        <v>3488</v>
      </c>
      <c r="S1320" s="2"/>
    </row>
    <row r="1321" spans="1:19" s="29" customFormat="1" x14ac:dyDescent="0.3">
      <c r="A1321" s="27"/>
      <c r="B1321" s="27"/>
      <c r="C1321" s="98"/>
      <c r="D1321" s="3"/>
      <c r="F1321" s="3"/>
      <c r="I1321" s="108"/>
      <c r="M1321" s="69">
        <f t="shared" si="40"/>
        <v>0</v>
      </c>
      <c r="N1321" s="69">
        <f t="shared" si="41"/>
        <v>0</v>
      </c>
      <c r="O1321" s="108">
        <f>SUM(O1318:O1320)</f>
        <v>91253</v>
      </c>
      <c r="R1321" s="156"/>
    </row>
    <row r="1322" spans="1:19" s="29" customFormat="1" x14ac:dyDescent="0.3">
      <c r="A1322" s="27"/>
      <c r="B1322" s="27"/>
      <c r="C1322" s="98"/>
      <c r="D1322" s="3"/>
      <c r="F1322" s="3"/>
      <c r="I1322" s="108"/>
      <c r="M1322" s="69">
        <f t="shared" si="40"/>
        <v>0</v>
      </c>
      <c r="N1322" s="69">
        <f t="shared" si="41"/>
        <v>0</v>
      </c>
      <c r="O1322" s="108"/>
      <c r="Q1322" s="97"/>
      <c r="R1322" s="97"/>
    </row>
    <row r="1323" spans="1:19" s="29" customFormat="1" x14ac:dyDescent="0.3">
      <c r="A1323" s="27">
        <v>45358</v>
      </c>
      <c r="B1323" s="15" t="str">
        <f>TEXT(A1323,"mmmm")</f>
        <v>March</v>
      </c>
      <c r="C1323" s="29" t="s">
        <v>3485</v>
      </c>
      <c r="D1323" s="3" t="s">
        <v>18</v>
      </c>
      <c r="E1323" s="29">
        <v>3</v>
      </c>
      <c r="F1323" s="3"/>
      <c r="G1323" s="29" t="s">
        <v>26</v>
      </c>
      <c r="H1323" s="29" t="s">
        <v>10</v>
      </c>
      <c r="I1323" s="108">
        <v>67366</v>
      </c>
      <c r="J1323" s="29">
        <f>P1323*9%</f>
        <v>180</v>
      </c>
      <c r="K1323" s="29">
        <f>J1323</f>
        <v>180</v>
      </c>
      <c r="M1323" s="69">
        <f t="shared" si="40"/>
        <v>360</v>
      </c>
      <c r="N1323" s="69">
        <f t="shared" si="41"/>
        <v>67006</v>
      </c>
      <c r="O1323" s="108">
        <v>65006</v>
      </c>
      <c r="P1323" s="29">
        <v>2000</v>
      </c>
      <c r="Q1323" s="97" t="s">
        <v>3487</v>
      </c>
      <c r="R1323" s="27" t="s">
        <v>3492</v>
      </c>
      <c r="S1323" s="29" t="s">
        <v>3486</v>
      </c>
    </row>
    <row r="1324" spans="1:19" s="29" customFormat="1" x14ac:dyDescent="0.3">
      <c r="A1324" s="27"/>
      <c r="B1324" s="27"/>
      <c r="C1324" s="98"/>
      <c r="D1324" s="3"/>
      <c r="F1324" s="3"/>
      <c r="I1324" s="108"/>
      <c r="M1324" s="69">
        <f t="shared" si="40"/>
        <v>0</v>
      </c>
      <c r="N1324" s="69">
        <f t="shared" si="41"/>
        <v>0</v>
      </c>
      <c r="O1324" s="108"/>
      <c r="Q1324" s="27" t="s">
        <v>3494</v>
      </c>
      <c r="R1324" s="97"/>
    </row>
    <row r="1325" spans="1:19" s="98" customFormat="1" x14ac:dyDescent="0.3">
      <c r="A1325" s="97"/>
      <c r="B1325" s="97"/>
      <c r="D1325" s="69"/>
      <c r="F1325" s="69"/>
      <c r="I1325" s="99"/>
      <c r="M1325" s="69">
        <f t="shared" si="40"/>
        <v>0</v>
      </c>
      <c r="N1325" s="69">
        <f t="shared" si="41"/>
        <v>0</v>
      </c>
      <c r="O1325" s="99"/>
      <c r="Q1325" s="97"/>
      <c r="R1325" s="97"/>
    </row>
    <row r="1326" spans="1:19" s="29" customFormat="1" ht="26.4" x14ac:dyDescent="0.3">
      <c r="A1326" s="27">
        <v>45364</v>
      </c>
      <c r="B1326" s="15" t="str">
        <f>TEXT(A1326,"mmmm")</f>
        <v>March</v>
      </c>
      <c r="C1326" s="3" t="s">
        <v>3498</v>
      </c>
      <c r="D1326" s="25" t="s">
        <v>3499</v>
      </c>
      <c r="E1326" s="29">
        <v>1</v>
      </c>
      <c r="F1326" s="3" t="s">
        <v>43</v>
      </c>
      <c r="G1326" s="29" t="s">
        <v>14</v>
      </c>
      <c r="H1326" s="29" t="s">
        <v>10</v>
      </c>
      <c r="I1326" s="108">
        <v>84638</v>
      </c>
      <c r="J1326" s="29">
        <f>2016</f>
        <v>2016</v>
      </c>
      <c r="K1326" s="29">
        <f>J1326</f>
        <v>2016</v>
      </c>
      <c r="M1326" s="69">
        <f t="shared" si="40"/>
        <v>4032</v>
      </c>
      <c r="N1326" s="69">
        <f t="shared" si="41"/>
        <v>80606</v>
      </c>
      <c r="O1326" s="108">
        <v>4957</v>
      </c>
      <c r="P1326" s="29">
        <v>3940</v>
      </c>
      <c r="Q1326" s="27" t="s">
        <v>3512</v>
      </c>
      <c r="R1326" s="63" t="s">
        <v>3505</v>
      </c>
      <c r="S1326" s="29" t="s">
        <v>3500</v>
      </c>
    </row>
    <row r="1327" spans="1:19" s="98" customFormat="1" x14ac:dyDescent="0.3">
      <c r="A1327" s="97"/>
      <c r="B1327" s="97"/>
      <c r="D1327" s="69"/>
      <c r="F1327" s="69"/>
      <c r="H1327" s="98" t="s">
        <v>10</v>
      </c>
      <c r="I1327" s="99"/>
      <c r="M1327" s="69">
        <f t="shared" si="40"/>
        <v>0</v>
      </c>
      <c r="N1327" s="69">
        <f t="shared" si="41"/>
        <v>0</v>
      </c>
      <c r="O1327" s="99">
        <v>60649</v>
      </c>
      <c r="Q1327" s="97"/>
      <c r="R1327" s="97"/>
      <c r="S1327" s="98" t="s">
        <v>3501</v>
      </c>
    </row>
    <row r="1328" spans="1:19" s="98" customFormat="1" ht="26.4" x14ac:dyDescent="0.3">
      <c r="A1328" s="97"/>
      <c r="B1328" s="97"/>
      <c r="D1328" s="69"/>
      <c r="F1328" s="69"/>
      <c r="H1328" s="98" t="s">
        <v>1223</v>
      </c>
      <c r="I1328" s="99"/>
      <c r="M1328" s="69">
        <f t="shared" si="40"/>
        <v>0</v>
      </c>
      <c r="N1328" s="69">
        <f t="shared" si="41"/>
        <v>0</v>
      </c>
      <c r="O1328" s="88">
        <v>3160</v>
      </c>
      <c r="P1328" s="29"/>
      <c r="Q1328" s="27"/>
      <c r="R1328" s="62" t="s">
        <v>3502</v>
      </c>
    </row>
    <row r="1329" spans="1:19" s="29" customFormat="1" ht="26.4" x14ac:dyDescent="0.3">
      <c r="A1329" s="27"/>
      <c r="B1329" s="27"/>
      <c r="C1329" s="98"/>
      <c r="D1329" s="3"/>
      <c r="F1329" s="3"/>
      <c r="I1329" s="108"/>
      <c r="M1329" s="69">
        <f t="shared" si="40"/>
        <v>0</v>
      </c>
      <c r="N1329" s="69">
        <f t="shared" si="41"/>
        <v>0</v>
      </c>
      <c r="O1329" s="88">
        <v>7900</v>
      </c>
      <c r="Q1329" s="27"/>
      <c r="R1329" s="62" t="s">
        <v>3502</v>
      </c>
    </row>
    <row r="1330" spans="1:19" s="29" customFormat="1" x14ac:dyDescent="0.3">
      <c r="A1330" s="27"/>
      <c r="B1330" s="27"/>
      <c r="C1330" s="98"/>
      <c r="D1330" s="3"/>
      <c r="F1330" s="3"/>
      <c r="I1330" s="108"/>
      <c r="M1330" s="69">
        <f t="shared" si="40"/>
        <v>0</v>
      </c>
      <c r="N1330" s="69">
        <f t="shared" si="41"/>
        <v>0</v>
      </c>
      <c r="O1330" s="108">
        <f>SUM(O1326:O1329)</f>
        <v>76666</v>
      </c>
      <c r="Q1330" s="97"/>
      <c r="R1330" s="97"/>
    </row>
    <row r="1331" spans="1:19" s="29" customFormat="1" x14ac:dyDescent="0.3">
      <c r="A1331" s="27"/>
      <c r="B1331" s="27"/>
      <c r="C1331" s="98"/>
      <c r="D1331" s="3"/>
      <c r="F1331" s="3"/>
      <c r="I1331" s="108"/>
      <c r="M1331" s="69">
        <f t="shared" si="40"/>
        <v>0</v>
      </c>
      <c r="N1331" s="69">
        <f t="shared" si="41"/>
        <v>0</v>
      </c>
      <c r="O1331" s="108"/>
      <c r="Q1331" s="97"/>
      <c r="R1331" s="97"/>
    </row>
    <row r="1332" spans="1:19" s="29" customFormat="1" x14ac:dyDescent="0.3">
      <c r="A1332" s="27">
        <v>45365</v>
      </c>
      <c r="B1332" s="15" t="str">
        <f>TEXT(A1332,"mmmm")</f>
        <v>March</v>
      </c>
      <c r="C1332" s="3" t="s">
        <v>3503</v>
      </c>
      <c r="D1332" s="3" t="s">
        <v>3506</v>
      </c>
      <c r="E1332" s="29">
        <v>4</v>
      </c>
      <c r="F1332" s="3"/>
      <c r="G1332" s="29" t="s">
        <v>22</v>
      </c>
      <c r="H1332" s="29" t="s">
        <v>50</v>
      </c>
      <c r="I1332" s="108">
        <f>5390*4</f>
        <v>21560</v>
      </c>
      <c r="J1332" s="29">
        <f>P1332*9%</f>
        <v>720</v>
      </c>
      <c r="K1332" s="29">
        <f>J1332</f>
        <v>720</v>
      </c>
      <c r="M1332" s="69">
        <f t="shared" si="40"/>
        <v>1440</v>
      </c>
      <c r="N1332" s="69">
        <f t="shared" si="41"/>
        <v>20120</v>
      </c>
      <c r="O1332" s="108">
        <f>3030*4</f>
        <v>12120</v>
      </c>
      <c r="P1332" s="29">
        <v>8000</v>
      </c>
      <c r="Q1332" s="27" t="s">
        <v>3510</v>
      </c>
      <c r="R1332" s="97" t="s">
        <v>3504</v>
      </c>
    </row>
    <row r="1333" spans="1:19" s="29" customFormat="1" x14ac:dyDescent="0.3">
      <c r="A1333" s="27"/>
      <c r="B1333" s="27"/>
      <c r="C1333" s="98"/>
      <c r="D1333" s="3"/>
      <c r="F1333" s="3"/>
      <c r="I1333" s="108"/>
      <c r="M1333" s="69">
        <f t="shared" si="40"/>
        <v>0</v>
      </c>
      <c r="N1333" s="69">
        <f t="shared" si="41"/>
        <v>0</v>
      </c>
      <c r="O1333" s="108"/>
      <c r="Q1333" s="27"/>
      <c r="R1333" s="97"/>
    </row>
    <row r="1334" spans="1:19" s="29" customFormat="1" x14ac:dyDescent="0.3">
      <c r="A1334" s="27">
        <v>45367</v>
      </c>
      <c r="B1334" s="15" t="str">
        <f>TEXT(A1334,"mmmm")</f>
        <v>March</v>
      </c>
      <c r="C1334" s="3" t="s">
        <v>3507</v>
      </c>
      <c r="D1334" s="3" t="s">
        <v>1231</v>
      </c>
      <c r="E1334" s="29">
        <v>4</v>
      </c>
      <c r="F1334" s="3"/>
      <c r="G1334" s="29" t="s">
        <v>26</v>
      </c>
      <c r="H1334" s="29" t="s">
        <v>10</v>
      </c>
      <c r="I1334" s="108">
        <v>241108</v>
      </c>
      <c r="J1334" s="29">
        <v>540</v>
      </c>
      <c r="K1334" s="29">
        <v>540</v>
      </c>
      <c r="M1334" s="69">
        <f t="shared" si="40"/>
        <v>1080</v>
      </c>
      <c r="N1334" s="69">
        <f t="shared" si="41"/>
        <v>240028</v>
      </c>
      <c r="O1334" s="108">
        <v>234028</v>
      </c>
      <c r="P1334" s="29">
        <v>6000</v>
      </c>
      <c r="Q1334" s="27" t="s">
        <v>3509</v>
      </c>
      <c r="R1334" s="27" t="s">
        <v>3511</v>
      </c>
      <c r="S1334" s="29" t="s">
        <v>3508</v>
      </c>
    </row>
    <row r="1335" spans="1:19" s="29" customFormat="1" x14ac:dyDescent="0.3">
      <c r="A1335" s="27"/>
      <c r="B1335" s="27"/>
      <c r="C1335" s="98"/>
      <c r="D1335" s="3"/>
      <c r="F1335" s="3"/>
      <c r="I1335" s="108"/>
      <c r="M1335" s="69">
        <f t="shared" si="40"/>
        <v>0</v>
      </c>
      <c r="N1335" s="69">
        <f t="shared" si="41"/>
        <v>0</v>
      </c>
      <c r="O1335" s="108"/>
      <c r="Q1335" s="97"/>
      <c r="R1335" s="97"/>
    </row>
    <row r="1336" spans="1:19" s="29" customFormat="1" x14ac:dyDescent="0.3">
      <c r="A1336" s="27">
        <v>45371</v>
      </c>
      <c r="B1336" s="15" t="str">
        <f>TEXT(A1336,"mmmm")</f>
        <v>March</v>
      </c>
      <c r="C1336" s="69" t="s">
        <v>3513</v>
      </c>
      <c r="D1336" s="3" t="s">
        <v>62</v>
      </c>
      <c r="F1336" s="3"/>
      <c r="G1336" s="29" t="s">
        <v>26</v>
      </c>
      <c r="H1336" s="29" t="s">
        <v>3514</v>
      </c>
      <c r="I1336" s="29">
        <v>9058</v>
      </c>
      <c r="J1336" s="29">
        <f>P1336*9%</f>
        <v>9</v>
      </c>
      <c r="K1336" s="29">
        <f>J1336</f>
        <v>9</v>
      </c>
      <c r="M1336" s="69">
        <f t="shared" si="40"/>
        <v>18</v>
      </c>
      <c r="N1336" s="69">
        <f t="shared" si="41"/>
        <v>9040</v>
      </c>
      <c r="O1336" s="29">
        <v>1040</v>
      </c>
      <c r="P1336" s="29">
        <v>100</v>
      </c>
      <c r="Q1336" s="27" t="s">
        <v>3517</v>
      </c>
      <c r="R1336" s="27" t="s">
        <v>3515</v>
      </c>
    </row>
    <row r="1337" spans="1:19" s="29" customFormat="1" x14ac:dyDescent="0.3">
      <c r="A1337" s="27"/>
      <c r="B1337" s="27"/>
      <c r="C1337" s="98"/>
      <c r="D1337" s="3"/>
      <c r="F1337" s="3"/>
      <c r="H1337" s="29" t="s">
        <v>1223</v>
      </c>
      <c r="M1337" s="69">
        <f t="shared" si="40"/>
        <v>0</v>
      </c>
      <c r="N1337" s="69">
        <f t="shared" si="41"/>
        <v>0</v>
      </c>
      <c r="O1337" s="88">
        <v>7900</v>
      </c>
      <c r="Q1337" s="27" t="s">
        <v>3518</v>
      </c>
      <c r="R1337" s="97" t="s">
        <v>3516</v>
      </c>
    </row>
    <row r="1338" spans="1:19" s="29" customFormat="1" x14ac:dyDescent="0.3">
      <c r="A1338" s="27"/>
      <c r="B1338" s="27"/>
      <c r="C1338" s="98"/>
      <c r="D1338" s="3"/>
      <c r="F1338" s="3"/>
      <c r="I1338" s="108"/>
      <c r="M1338" s="69">
        <f t="shared" si="40"/>
        <v>0</v>
      </c>
      <c r="N1338" s="69">
        <f t="shared" si="41"/>
        <v>0</v>
      </c>
      <c r="O1338" s="108">
        <f>SUM(O1336:O1337)</f>
        <v>8940</v>
      </c>
      <c r="R1338" s="97"/>
    </row>
  </sheetData>
  <autoFilter ref="A1:T1338" xr:uid="{00000000-0009-0000-0000-000003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95"/>
  <sheetViews>
    <sheetView tabSelected="1" topLeftCell="B1" zoomScaleNormal="100" workbookViewId="0">
      <selection activeCell="I2" sqref="I2"/>
    </sheetView>
  </sheetViews>
  <sheetFormatPr defaultRowHeight="14.4" x14ac:dyDescent="0.3"/>
  <cols>
    <col min="1" max="1" width="10.109375" style="162" bestFit="1" customWidth="1"/>
    <col min="2" max="2" width="9.88671875" bestFit="1" customWidth="1"/>
    <col min="3" max="3" width="17.77734375" bestFit="1" customWidth="1"/>
    <col min="4" max="4" width="23.21875" hidden="1" customWidth="1"/>
    <col min="5" max="5" width="6.77734375" customWidth="1"/>
    <col min="6" max="6" width="16.77734375" bestFit="1" customWidth="1"/>
    <col min="7" max="7" width="14.109375" bestFit="1" customWidth="1"/>
    <col min="8" max="8" width="33.77734375" hidden="1" customWidth="1"/>
    <col min="9" max="9" width="8.77734375" bestFit="1" customWidth="1"/>
    <col min="10" max="11" width="6.77734375" bestFit="1" customWidth="1"/>
    <col min="12" max="12" width="5.77734375" bestFit="1" customWidth="1"/>
    <col min="13" max="13" width="8.77734375" bestFit="1" customWidth="1"/>
    <col min="14" max="14" width="12.21875" bestFit="1" customWidth="1"/>
    <col min="15" max="15" width="8.77734375" bestFit="1" customWidth="1"/>
    <col min="16" max="16" width="6.77734375" bestFit="1" customWidth="1"/>
    <col min="17" max="17" width="16.88671875" customWidth="1"/>
    <col min="18" max="18" width="27.109375" customWidth="1"/>
    <col min="19" max="19" width="26.33203125" customWidth="1"/>
    <col min="20" max="20" width="14.33203125" bestFit="1" customWidth="1"/>
  </cols>
  <sheetData>
    <row r="1" spans="1:20" s="167" customFormat="1" x14ac:dyDescent="0.3">
      <c r="A1" s="168" t="s">
        <v>32</v>
      </c>
      <c r="B1" s="169" t="s">
        <v>3525</v>
      </c>
      <c r="C1" s="169" t="s">
        <v>33</v>
      </c>
      <c r="D1" s="169" t="s">
        <v>34</v>
      </c>
      <c r="E1" s="169" t="s">
        <v>0</v>
      </c>
      <c r="F1" s="169" t="s">
        <v>35</v>
      </c>
      <c r="G1" s="169" t="s">
        <v>1</v>
      </c>
      <c r="H1" s="169" t="s">
        <v>36</v>
      </c>
      <c r="I1" s="169" t="s">
        <v>44</v>
      </c>
      <c r="J1" s="169" t="s">
        <v>2</v>
      </c>
      <c r="K1" s="169" t="s">
        <v>3</v>
      </c>
      <c r="L1" s="169" t="s">
        <v>4</v>
      </c>
      <c r="M1" s="169" t="s">
        <v>3539</v>
      </c>
      <c r="N1" s="169" t="s">
        <v>3526</v>
      </c>
      <c r="O1" s="169" t="s">
        <v>45</v>
      </c>
      <c r="P1" s="169" t="s">
        <v>5</v>
      </c>
      <c r="Q1" s="169" t="s">
        <v>38</v>
      </c>
      <c r="R1" s="169" t="s">
        <v>37</v>
      </c>
      <c r="S1" s="169" t="s">
        <v>39</v>
      </c>
      <c r="T1" s="169" t="s">
        <v>6</v>
      </c>
    </row>
    <row r="2" spans="1:20" x14ac:dyDescent="0.3">
      <c r="A2" s="164">
        <v>45017</v>
      </c>
      <c r="B2" s="165" t="s">
        <v>3527</v>
      </c>
      <c r="C2" s="165" t="s">
        <v>1304</v>
      </c>
      <c r="D2" s="165" t="s">
        <v>457</v>
      </c>
      <c r="E2" s="165">
        <v>1</v>
      </c>
      <c r="F2" s="165" t="s">
        <v>54</v>
      </c>
      <c r="G2" s="165" t="s">
        <v>26</v>
      </c>
      <c r="H2" s="165" t="s">
        <v>10</v>
      </c>
      <c r="I2" s="165">
        <v>72274</v>
      </c>
      <c r="J2" s="165">
        <v>347</v>
      </c>
      <c r="K2" s="165">
        <v>347</v>
      </c>
      <c r="L2" s="165"/>
      <c r="M2" s="165">
        <v>694</v>
      </c>
      <c r="N2" s="166">
        <v>71580</v>
      </c>
      <c r="O2" s="165">
        <v>3779</v>
      </c>
      <c r="P2" s="165">
        <v>3850</v>
      </c>
      <c r="Q2" s="165" t="s">
        <v>1407</v>
      </c>
      <c r="R2" s="165" t="s">
        <v>1307</v>
      </c>
      <c r="S2" s="165" t="s">
        <v>1308</v>
      </c>
      <c r="T2" s="165"/>
    </row>
    <row r="3" spans="1:20" x14ac:dyDescent="0.3">
      <c r="A3" s="164">
        <v>45019</v>
      </c>
      <c r="B3" s="165" t="s">
        <v>3527</v>
      </c>
      <c r="C3" s="165" t="s">
        <v>1310</v>
      </c>
      <c r="D3" s="165" t="s">
        <v>1311</v>
      </c>
      <c r="E3" s="165">
        <v>2</v>
      </c>
      <c r="F3" s="165" t="s">
        <v>1464</v>
      </c>
      <c r="G3" s="165" t="s">
        <v>26</v>
      </c>
      <c r="H3" s="165" t="s">
        <v>1312</v>
      </c>
      <c r="I3" s="165">
        <v>105700</v>
      </c>
      <c r="J3" s="165"/>
      <c r="K3" s="165"/>
      <c r="L3" s="165">
        <v>900</v>
      </c>
      <c r="M3" s="165">
        <v>900</v>
      </c>
      <c r="N3" s="166">
        <v>104800</v>
      </c>
      <c r="O3" s="165">
        <v>99800</v>
      </c>
      <c r="P3" s="165">
        <v>5000</v>
      </c>
      <c r="Q3" s="165" t="s">
        <v>1314</v>
      </c>
      <c r="R3" s="165" t="s">
        <v>1313</v>
      </c>
      <c r="S3" s="165"/>
      <c r="T3" s="165"/>
    </row>
    <row r="4" spans="1:20" x14ac:dyDescent="0.3">
      <c r="A4" s="164">
        <v>45021</v>
      </c>
      <c r="B4" s="165" t="s">
        <v>3527</v>
      </c>
      <c r="C4" s="165" t="s">
        <v>1315</v>
      </c>
      <c r="D4" s="165" t="s">
        <v>1231</v>
      </c>
      <c r="E4" s="165">
        <v>4</v>
      </c>
      <c r="F4" s="165"/>
      <c r="G4" s="165" t="s">
        <v>14</v>
      </c>
      <c r="H4" s="165" t="s">
        <v>1316</v>
      </c>
      <c r="I4" s="165">
        <v>469030</v>
      </c>
      <c r="J4" s="165">
        <v>11168</v>
      </c>
      <c r="K4" s="165">
        <v>11168</v>
      </c>
      <c r="L4" s="165"/>
      <c r="M4" s="165">
        <v>22336</v>
      </c>
      <c r="N4" s="166">
        <v>446694</v>
      </c>
      <c r="O4" s="165">
        <v>223581</v>
      </c>
      <c r="P4" s="165">
        <v>63574</v>
      </c>
      <c r="Q4" s="165" t="s">
        <v>1322</v>
      </c>
      <c r="R4" s="165" t="s">
        <v>1327</v>
      </c>
      <c r="S4" s="165"/>
      <c r="T4" s="165"/>
    </row>
    <row r="5" spans="1:20" x14ac:dyDescent="0.3">
      <c r="A5" s="164">
        <v>45021</v>
      </c>
      <c r="B5" s="165" t="s">
        <v>3527</v>
      </c>
      <c r="C5" s="165" t="s">
        <v>1318</v>
      </c>
      <c r="D5" s="165" t="s">
        <v>1319</v>
      </c>
      <c r="E5" s="165">
        <v>2</v>
      </c>
      <c r="F5" s="165"/>
      <c r="G5" s="165" t="s">
        <v>14</v>
      </c>
      <c r="H5" s="165" t="s">
        <v>1320</v>
      </c>
      <c r="I5" s="165">
        <v>312240</v>
      </c>
      <c r="J5" s="165">
        <v>7435</v>
      </c>
      <c r="K5" s="165">
        <v>7435</v>
      </c>
      <c r="L5" s="165"/>
      <c r="M5" s="165">
        <v>14870</v>
      </c>
      <c r="N5" s="166">
        <v>297370</v>
      </c>
      <c r="O5" s="165">
        <v>246750</v>
      </c>
      <c r="P5" s="165">
        <v>50620</v>
      </c>
      <c r="Q5" s="165" t="s">
        <v>1321</v>
      </c>
      <c r="R5" s="165" t="s">
        <v>1330</v>
      </c>
      <c r="S5" s="165"/>
      <c r="T5" s="165"/>
    </row>
    <row r="6" spans="1:20" x14ac:dyDescent="0.3">
      <c r="A6" s="164">
        <v>45022</v>
      </c>
      <c r="B6" s="165" t="s">
        <v>3527</v>
      </c>
      <c r="C6" s="165" t="s">
        <v>1331</v>
      </c>
      <c r="D6" s="165" t="s">
        <v>1409</v>
      </c>
      <c r="E6" s="165">
        <v>3</v>
      </c>
      <c r="F6" s="165"/>
      <c r="G6" s="165" t="s">
        <v>26</v>
      </c>
      <c r="H6" s="165" t="s">
        <v>10</v>
      </c>
      <c r="I6" s="165">
        <v>224160</v>
      </c>
      <c r="J6" s="165">
        <v>1080</v>
      </c>
      <c r="K6" s="165">
        <v>1080</v>
      </c>
      <c r="L6" s="165"/>
      <c r="M6" s="165">
        <v>2160</v>
      </c>
      <c r="N6" s="166">
        <v>222000</v>
      </c>
      <c r="O6" s="165">
        <v>75210</v>
      </c>
      <c r="P6" s="165">
        <v>12000</v>
      </c>
      <c r="Q6" s="165" t="s">
        <v>1342</v>
      </c>
      <c r="R6" s="165" t="s">
        <v>1338</v>
      </c>
      <c r="S6" s="165" t="s">
        <v>1332</v>
      </c>
      <c r="T6" s="165"/>
    </row>
    <row r="7" spans="1:20" x14ac:dyDescent="0.3">
      <c r="A7" s="164">
        <v>45026</v>
      </c>
      <c r="B7" s="165" t="s">
        <v>3527</v>
      </c>
      <c r="C7" s="165" t="s">
        <v>1343</v>
      </c>
      <c r="D7" s="165" t="s">
        <v>3519</v>
      </c>
      <c r="E7" s="165">
        <v>4</v>
      </c>
      <c r="F7" s="165"/>
      <c r="G7" s="165" t="s">
        <v>24</v>
      </c>
      <c r="H7" s="165" t="s">
        <v>11</v>
      </c>
      <c r="I7" s="165">
        <v>47755</v>
      </c>
      <c r="J7" s="165">
        <v>171</v>
      </c>
      <c r="K7" s="165">
        <v>171</v>
      </c>
      <c r="L7" s="165"/>
      <c r="M7" s="165">
        <v>342</v>
      </c>
      <c r="N7" s="166">
        <v>47413</v>
      </c>
      <c r="O7" s="165">
        <v>45513</v>
      </c>
      <c r="P7" s="165">
        <v>1900</v>
      </c>
      <c r="Q7" s="165">
        <v>45026</v>
      </c>
      <c r="R7" s="165">
        <v>45027</v>
      </c>
      <c r="S7" s="165" t="s">
        <v>1344</v>
      </c>
      <c r="T7" s="165"/>
    </row>
    <row r="8" spans="1:20" x14ac:dyDescent="0.3">
      <c r="A8" s="164">
        <v>45027</v>
      </c>
      <c r="B8" s="165" t="s">
        <v>3527</v>
      </c>
      <c r="C8" s="165" t="s">
        <v>1352</v>
      </c>
      <c r="D8" s="165" t="s">
        <v>17</v>
      </c>
      <c r="E8" s="165">
        <v>1</v>
      </c>
      <c r="F8" s="165"/>
      <c r="G8" s="165" t="s">
        <v>26</v>
      </c>
      <c r="H8" s="165" t="s">
        <v>10</v>
      </c>
      <c r="I8" s="165">
        <v>462350</v>
      </c>
      <c r="J8" s="165">
        <v>270</v>
      </c>
      <c r="K8" s="165">
        <v>270</v>
      </c>
      <c r="L8" s="165"/>
      <c r="M8" s="165">
        <v>540</v>
      </c>
      <c r="N8" s="166">
        <v>461810</v>
      </c>
      <c r="O8" s="165">
        <v>458810</v>
      </c>
      <c r="P8" s="165">
        <v>3000</v>
      </c>
      <c r="Q8" s="165">
        <v>45029</v>
      </c>
      <c r="R8" s="165">
        <v>45030</v>
      </c>
      <c r="S8" s="165" t="s">
        <v>1353</v>
      </c>
      <c r="T8" s="165"/>
    </row>
    <row r="9" spans="1:20" x14ac:dyDescent="0.3">
      <c r="A9" s="164">
        <v>45027</v>
      </c>
      <c r="B9" s="165" t="s">
        <v>3527</v>
      </c>
      <c r="C9" s="165" t="s">
        <v>1354</v>
      </c>
      <c r="D9" s="165" t="s">
        <v>1355</v>
      </c>
      <c r="E9" s="165">
        <v>5</v>
      </c>
      <c r="F9" s="165"/>
      <c r="G9" s="165" t="s">
        <v>14</v>
      </c>
      <c r="H9" s="165" t="s">
        <v>1356</v>
      </c>
      <c r="I9" s="165">
        <v>397051</v>
      </c>
      <c r="J9" s="165">
        <v>9454</v>
      </c>
      <c r="K9" s="165">
        <v>9454</v>
      </c>
      <c r="L9" s="165"/>
      <c r="M9" s="165">
        <v>18908</v>
      </c>
      <c r="N9" s="166">
        <v>378143</v>
      </c>
      <c r="O9" s="165">
        <v>342302</v>
      </c>
      <c r="P9" s="165">
        <v>35841</v>
      </c>
      <c r="Q9" s="165" t="s">
        <v>1357</v>
      </c>
      <c r="R9" s="165" t="s">
        <v>1361</v>
      </c>
      <c r="S9" s="165"/>
      <c r="T9" s="165"/>
    </row>
    <row r="10" spans="1:20" x14ac:dyDescent="0.3">
      <c r="A10" s="164">
        <v>45027</v>
      </c>
      <c r="B10" s="165" t="s">
        <v>3527</v>
      </c>
      <c r="C10" s="165" t="s">
        <v>1362</v>
      </c>
      <c r="D10" s="165" t="s">
        <v>1363</v>
      </c>
      <c r="E10" s="165">
        <v>1</v>
      </c>
      <c r="F10" s="165" t="s">
        <v>54</v>
      </c>
      <c r="G10" s="165" t="s">
        <v>24</v>
      </c>
      <c r="H10" s="165" t="s">
        <v>1364</v>
      </c>
      <c r="I10" s="165">
        <v>9280</v>
      </c>
      <c r="J10" s="165">
        <v>90</v>
      </c>
      <c r="K10" s="165">
        <v>90</v>
      </c>
      <c r="L10" s="165"/>
      <c r="M10" s="165">
        <v>180</v>
      </c>
      <c r="N10" s="166">
        <v>9100</v>
      </c>
      <c r="O10" s="165">
        <v>8120</v>
      </c>
      <c r="P10" s="165">
        <v>980</v>
      </c>
      <c r="Q10" s="165" t="s">
        <v>1407</v>
      </c>
      <c r="R10" s="165">
        <v>45027</v>
      </c>
      <c r="S10" s="165"/>
      <c r="T10" s="165"/>
    </row>
    <row r="11" spans="1:20" x14ac:dyDescent="0.3">
      <c r="A11" s="164">
        <v>45027</v>
      </c>
      <c r="B11" s="165" t="s">
        <v>3527</v>
      </c>
      <c r="C11" s="165" t="s">
        <v>1370</v>
      </c>
      <c r="D11" s="165" t="s">
        <v>1290</v>
      </c>
      <c r="E11" s="165">
        <v>1</v>
      </c>
      <c r="F11" s="165" t="s">
        <v>54</v>
      </c>
      <c r="G11" s="165" t="s">
        <v>9</v>
      </c>
      <c r="H11" s="165" t="s">
        <v>1375</v>
      </c>
      <c r="I11" s="165">
        <v>26973</v>
      </c>
      <c r="J11" s="165">
        <v>643</v>
      </c>
      <c r="K11" s="165">
        <v>643</v>
      </c>
      <c r="L11" s="165"/>
      <c r="M11" s="165">
        <v>1286</v>
      </c>
      <c r="N11" s="166">
        <v>25687</v>
      </c>
      <c r="O11" s="165">
        <v>6514</v>
      </c>
      <c r="P11" s="165">
        <v>6250</v>
      </c>
      <c r="Q11" s="165" t="s">
        <v>1446</v>
      </c>
      <c r="R11" s="165" t="s">
        <v>1394</v>
      </c>
      <c r="S11" s="165" t="s">
        <v>1374</v>
      </c>
      <c r="T11" s="165"/>
    </row>
    <row r="12" spans="1:20" x14ac:dyDescent="0.3">
      <c r="A12" s="164">
        <v>45028</v>
      </c>
      <c r="B12" s="165" t="s">
        <v>3527</v>
      </c>
      <c r="C12" s="165" t="s">
        <v>1371</v>
      </c>
      <c r="D12" s="165" t="s">
        <v>48</v>
      </c>
      <c r="E12" s="165">
        <v>1</v>
      </c>
      <c r="F12" s="165"/>
      <c r="G12" s="165" t="s">
        <v>22</v>
      </c>
      <c r="H12" s="165" t="s">
        <v>1372</v>
      </c>
      <c r="I12" s="165">
        <v>7700</v>
      </c>
      <c r="J12" s="165">
        <v>119</v>
      </c>
      <c r="K12" s="165">
        <v>119</v>
      </c>
      <c r="L12" s="165"/>
      <c r="M12" s="165">
        <v>238</v>
      </c>
      <c r="N12" s="166">
        <v>7462</v>
      </c>
      <c r="O12" s="165">
        <v>6150</v>
      </c>
      <c r="P12" s="165">
        <v>1312</v>
      </c>
      <c r="Q12" s="165">
        <v>45028</v>
      </c>
      <c r="R12" s="165" t="s">
        <v>1384</v>
      </c>
      <c r="S12" s="165" t="s">
        <v>1373</v>
      </c>
      <c r="T12" s="165"/>
    </row>
    <row r="13" spans="1:20" x14ac:dyDescent="0.3">
      <c r="A13" s="164">
        <v>45029</v>
      </c>
      <c r="B13" s="165" t="s">
        <v>3527</v>
      </c>
      <c r="C13" s="165" t="s">
        <v>1376</v>
      </c>
      <c r="D13" s="165" t="s">
        <v>1380</v>
      </c>
      <c r="E13" s="165">
        <v>1</v>
      </c>
      <c r="F13" s="165" t="s">
        <v>54</v>
      </c>
      <c r="G13" s="165" t="s">
        <v>26</v>
      </c>
      <c r="H13" s="165" t="s">
        <v>10</v>
      </c>
      <c r="I13" s="165">
        <v>56187</v>
      </c>
      <c r="J13" s="165">
        <v>252</v>
      </c>
      <c r="K13" s="165">
        <v>252</v>
      </c>
      <c r="L13" s="165"/>
      <c r="M13" s="165">
        <v>504</v>
      </c>
      <c r="N13" s="166">
        <v>55683</v>
      </c>
      <c r="O13" s="165">
        <v>2880</v>
      </c>
      <c r="P13" s="165">
        <v>2800</v>
      </c>
      <c r="Q13" s="165">
        <v>45036</v>
      </c>
      <c r="R13" s="165" t="s">
        <v>1403</v>
      </c>
      <c r="S13" s="165" t="s">
        <v>1381</v>
      </c>
      <c r="T13" s="165"/>
    </row>
    <row r="14" spans="1:20" x14ac:dyDescent="0.3">
      <c r="A14" s="164">
        <v>45033</v>
      </c>
      <c r="B14" s="165" t="s">
        <v>3527</v>
      </c>
      <c r="C14" s="165" t="s">
        <v>1392</v>
      </c>
      <c r="D14" s="165" t="s">
        <v>1377</v>
      </c>
      <c r="E14" s="165">
        <v>2</v>
      </c>
      <c r="F14" s="165" t="s">
        <v>52</v>
      </c>
      <c r="G14" s="165" t="s">
        <v>14</v>
      </c>
      <c r="H14" s="165" t="s">
        <v>1378</v>
      </c>
      <c r="I14" s="165">
        <v>250809</v>
      </c>
      <c r="J14" s="165">
        <v>5972</v>
      </c>
      <c r="K14" s="165">
        <v>5972</v>
      </c>
      <c r="L14" s="165"/>
      <c r="M14" s="165">
        <v>11944</v>
      </c>
      <c r="N14" s="166">
        <v>238865</v>
      </c>
      <c r="O14" s="165">
        <v>205041</v>
      </c>
      <c r="P14" s="165">
        <v>33824</v>
      </c>
      <c r="Q14" s="165" t="s">
        <v>1379</v>
      </c>
      <c r="R14" s="165" t="s">
        <v>1733</v>
      </c>
      <c r="S14" s="165"/>
      <c r="T14" s="165"/>
    </row>
    <row r="15" spans="1:20" x14ac:dyDescent="0.3">
      <c r="A15" s="164">
        <v>45033</v>
      </c>
      <c r="B15" s="165" t="s">
        <v>3527</v>
      </c>
      <c r="C15" s="165" t="s">
        <v>1404</v>
      </c>
      <c r="D15" s="165" t="s">
        <v>1400</v>
      </c>
      <c r="E15" s="165">
        <v>2</v>
      </c>
      <c r="F15" s="165"/>
      <c r="G15" s="165" t="s">
        <v>22</v>
      </c>
      <c r="H15" s="165" t="s">
        <v>359</v>
      </c>
      <c r="I15" s="165">
        <v>11800</v>
      </c>
      <c r="J15" s="165">
        <v>855</v>
      </c>
      <c r="K15" s="165">
        <v>855</v>
      </c>
      <c r="L15" s="165"/>
      <c r="M15" s="165">
        <v>1710</v>
      </c>
      <c r="N15" s="166">
        <v>10090</v>
      </c>
      <c r="O15" s="165">
        <v>590</v>
      </c>
      <c r="P15" s="165">
        <v>9500</v>
      </c>
      <c r="Q15" s="165" t="s">
        <v>1401</v>
      </c>
      <c r="R15" s="165" t="s">
        <v>1406</v>
      </c>
      <c r="S15" s="165" t="s">
        <v>1405</v>
      </c>
      <c r="T15" s="165"/>
    </row>
    <row r="16" spans="1:20" x14ac:dyDescent="0.3">
      <c r="A16" s="164">
        <v>45036</v>
      </c>
      <c r="B16" s="165" t="s">
        <v>3527</v>
      </c>
      <c r="C16" s="165" t="s">
        <v>1411</v>
      </c>
      <c r="D16" s="165" t="s">
        <v>1412</v>
      </c>
      <c r="E16" s="165">
        <v>4</v>
      </c>
      <c r="F16" s="165" t="s">
        <v>1414</v>
      </c>
      <c r="G16" s="165" t="s">
        <v>14</v>
      </c>
      <c r="H16" s="165" t="s">
        <v>10</v>
      </c>
      <c r="I16" s="165">
        <v>326646</v>
      </c>
      <c r="J16" s="165">
        <v>7778</v>
      </c>
      <c r="K16" s="165">
        <v>7778</v>
      </c>
      <c r="L16" s="165"/>
      <c r="M16" s="165">
        <v>15556</v>
      </c>
      <c r="N16" s="166">
        <v>311090</v>
      </c>
      <c r="O16" s="165">
        <v>113583</v>
      </c>
      <c r="P16" s="165">
        <v>62507</v>
      </c>
      <c r="Q16" s="165">
        <v>45044</v>
      </c>
      <c r="R16" s="165" t="s">
        <v>1439</v>
      </c>
      <c r="S16" s="165" t="s">
        <v>1410</v>
      </c>
      <c r="T16" s="165"/>
    </row>
    <row r="17" spans="1:20" x14ac:dyDescent="0.3">
      <c r="A17" s="164">
        <v>45037</v>
      </c>
      <c r="B17" s="165" t="s">
        <v>3527</v>
      </c>
      <c r="C17" s="165" t="s">
        <v>1415</v>
      </c>
      <c r="D17" s="165" t="s">
        <v>201</v>
      </c>
      <c r="E17" s="165">
        <v>2</v>
      </c>
      <c r="F17" s="165" t="s">
        <v>60</v>
      </c>
      <c r="G17" s="165" t="s">
        <v>26</v>
      </c>
      <c r="H17" s="165" t="s">
        <v>10</v>
      </c>
      <c r="I17" s="165">
        <v>38928</v>
      </c>
      <c r="J17" s="165">
        <v>189</v>
      </c>
      <c r="K17" s="165">
        <v>189</v>
      </c>
      <c r="L17" s="165"/>
      <c r="M17" s="165">
        <v>378</v>
      </c>
      <c r="N17" s="166">
        <v>38550</v>
      </c>
      <c r="O17" s="165">
        <v>18128</v>
      </c>
      <c r="P17" s="165">
        <v>2100</v>
      </c>
      <c r="Q17" s="165">
        <v>45041</v>
      </c>
      <c r="R17" s="165" t="s">
        <v>1442</v>
      </c>
      <c r="S17" s="165" t="s">
        <v>1417</v>
      </c>
      <c r="T17" s="165"/>
    </row>
    <row r="18" spans="1:20" x14ac:dyDescent="0.3">
      <c r="A18" s="164">
        <v>45037</v>
      </c>
      <c r="B18" s="165" t="s">
        <v>3527</v>
      </c>
      <c r="C18" s="165" t="s">
        <v>1420</v>
      </c>
      <c r="D18" s="165" t="s">
        <v>1421</v>
      </c>
      <c r="E18" s="165">
        <v>1</v>
      </c>
      <c r="F18" s="165" t="s">
        <v>54</v>
      </c>
      <c r="G18" s="165" t="s">
        <v>26</v>
      </c>
      <c r="H18" s="165" t="s">
        <v>10</v>
      </c>
      <c r="I18" s="165">
        <v>34878</v>
      </c>
      <c r="J18" s="165">
        <v>189</v>
      </c>
      <c r="K18" s="165">
        <v>189</v>
      </c>
      <c r="L18" s="165"/>
      <c r="M18" s="165">
        <v>378</v>
      </c>
      <c r="N18" s="166">
        <v>34500</v>
      </c>
      <c r="O18" s="165">
        <v>5892</v>
      </c>
      <c r="P18" s="165">
        <v>2100</v>
      </c>
      <c r="Q18" s="165" t="s">
        <v>1446</v>
      </c>
      <c r="R18" s="165" t="s">
        <v>1443</v>
      </c>
      <c r="S18" s="165" t="s">
        <v>1422</v>
      </c>
      <c r="T18" s="165"/>
    </row>
    <row r="19" spans="1:20" x14ac:dyDescent="0.3">
      <c r="A19" s="164">
        <v>45037</v>
      </c>
      <c r="B19" s="165" t="s">
        <v>3527</v>
      </c>
      <c r="C19" s="165" t="s">
        <v>1424</v>
      </c>
      <c r="D19" s="165" t="s">
        <v>1421</v>
      </c>
      <c r="E19" s="165">
        <v>1</v>
      </c>
      <c r="F19" s="165" t="s">
        <v>54</v>
      </c>
      <c r="G19" s="165" t="s">
        <v>24</v>
      </c>
      <c r="H19" s="165" t="s">
        <v>611</v>
      </c>
      <c r="I19" s="165">
        <v>18287</v>
      </c>
      <c r="J19" s="165">
        <v>216</v>
      </c>
      <c r="K19" s="165">
        <v>216</v>
      </c>
      <c r="L19" s="165"/>
      <c r="M19" s="165">
        <v>432</v>
      </c>
      <c r="N19" s="166">
        <v>17855</v>
      </c>
      <c r="O19" s="165">
        <v>8064</v>
      </c>
      <c r="P19" s="165">
        <v>2400</v>
      </c>
      <c r="Q19" s="165" t="s">
        <v>1446</v>
      </c>
      <c r="R19" s="165" t="s">
        <v>1432</v>
      </c>
      <c r="S19" s="165"/>
      <c r="T19" s="165"/>
    </row>
    <row r="20" spans="1:20" x14ac:dyDescent="0.3">
      <c r="A20" s="164">
        <v>45041</v>
      </c>
      <c r="B20" s="165" t="s">
        <v>3527</v>
      </c>
      <c r="C20" s="165" t="s">
        <v>1444</v>
      </c>
      <c r="D20" s="165" t="s">
        <v>12</v>
      </c>
      <c r="E20" s="165">
        <v>2</v>
      </c>
      <c r="F20" s="165"/>
      <c r="G20" s="165" t="s">
        <v>26</v>
      </c>
      <c r="H20" s="165" t="s">
        <v>10</v>
      </c>
      <c r="I20" s="165">
        <v>224745</v>
      </c>
      <c r="J20" s="165">
        <v>720</v>
      </c>
      <c r="K20" s="165">
        <v>720</v>
      </c>
      <c r="L20" s="165"/>
      <c r="M20" s="165">
        <v>1440</v>
      </c>
      <c r="N20" s="166">
        <v>71580</v>
      </c>
      <c r="O20" s="165">
        <v>213865</v>
      </c>
      <c r="P20" s="165">
        <v>8000</v>
      </c>
      <c r="Q20" s="165" t="s">
        <v>1461</v>
      </c>
      <c r="R20" s="165" t="s">
        <v>1460</v>
      </c>
      <c r="S20" s="165" t="s">
        <v>1445</v>
      </c>
      <c r="T20" s="165"/>
    </row>
    <row r="21" spans="1:20" x14ac:dyDescent="0.3">
      <c r="A21" s="164">
        <v>45042</v>
      </c>
      <c r="B21" s="165" t="s">
        <v>3527</v>
      </c>
      <c r="C21" s="165" t="s">
        <v>1447</v>
      </c>
      <c r="D21" s="165" t="s">
        <v>1448</v>
      </c>
      <c r="E21" s="165">
        <v>4</v>
      </c>
      <c r="F21" s="165" t="s">
        <v>54</v>
      </c>
      <c r="G21" s="165" t="s">
        <v>26</v>
      </c>
      <c r="H21" s="165" t="s">
        <v>10</v>
      </c>
      <c r="I21" s="165">
        <v>61464</v>
      </c>
      <c r="J21" s="165">
        <v>315</v>
      </c>
      <c r="K21" s="165">
        <v>315</v>
      </c>
      <c r="L21" s="165"/>
      <c r="M21" s="165">
        <v>630</v>
      </c>
      <c r="N21" s="166">
        <v>60834</v>
      </c>
      <c r="O21" s="165">
        <v>2886</v>
      </c>
      <c r="P21" s="165">
        <v>3500</v>
      </c>
      <c r="Q21" s="165">
        <v>45052</v>
      </c>
      <c r="R21" s="165" t="s">
        <v>1460</v>
      </c>
      <c r="S21" s="165" t="s">
        <v>1449</v>
      </c>
      <c r="T21" s="165"/>
    </row>
    <row r="22" spans="1:20" x14ac:dyDescent="0.3">
      <c r="A22" s="164">
        <v>45043</v>
      </c>
      <c r="B22" s="165" t="s">
        <v>3527</v>
      </c>
      <c r="C22" s="165" t="s">
        <v>1452</v>
      </c>
      <c r="D22" s="165" t="s">
        <v>1453</v>
      </c>
      <c r="E22" s="165">
        <v>1</v>
      </c>
      <c r="F22" s="165"/>
      <c r="G22" s="165" t="s">
        <v>26</v>
      </c>
      <c r="H22" s="165" t="s">
        <v>10</v>
      </c>
      <c r="I22" s="165">
        <v>11736</v>
      </c>
      <c r="J22" s="165">
        <v>450</v>
      </c>
      <c r="K22" s="165">
        <v>450</v>
      </c>
      <c r="L22" s="165"/>
      <c r="M22" s="165">
        <v>900</v>
      </c>
      <c r="N22" s="166">
        <v>10836</v>
      </c>
      <c r="O22" s="165">
        <v>5836</v>
      </c>
      <c r="P22" s="165">
        <v>5000</v>
      </c>
      <c r="Q22" s="165">
        <v>45045</v>
      </c>
      <c r="R22" s="165" t="s">
        <v>1460</v>
      </c>
      <c r="S22" s="165"/>
      <c r="T22" s="165"/>
    </row>
    <row r="23" spans="1:20" x14ac:dyDescent="0.3">
      <c r="A23" s="164">
        <v>45051</v>
      </c>
      <c r="B23" s="165" t="s">
        <v>3528</v>
      </c>
      <c r="C23" s="165" t="s">
        <v>1465</v>
      </c>
      <c r="D23" s="165" t="s">
        <v>1466</v>
      </c>
      <c r="E23" s="165">
        <v>2</v>
      </c>
      <c r="F23" s="165" t="s">
        <v>54</v>
      </c>
      <c r="G23" s="165" t="s">
        <v>26</v>
      </c>
      <c r="H23" s="165" t="s">
        <v>10</v>
      </c>
      <c r="I23" s="165">
        <v>318186</v>
      </c>
      <c r="J23" s="165">
        <v>567</v>
      </c>
      <c r="K23" s="165">
        <v>567</v>
      </c>
      <c r="L23" s="165"/>
      <c r="M23" s="165">
        <v>1134</v>
      </c>
      <c r="N23" s="166">
        <v>317052</v>
      </c>
      <c r="O23" s="165">
        <v>19447</v>
      </c>
      <c r="P23" s="165">
        <v>6300</v>
      </c>
      <c r="Q23" s="165">
        <v>45062</v>
      </c>
      <c r="R23" s="165">
        <v>45064</v>
      </c>
      <c r="S23" s="165" t="s">
        <v>1468</v>
      </c>
      <c r="T23" s="165"/>
    </row>
    <row r="24" spans="1:20" x14ac:dyDescent="0.3">
      <c r="A24" s="164">
        <v>45052</v>
      </c>
      <c r="B24" s="165" t="s">
        <v>3528</v>
      </c>
      <c r="C24" s="165" t="s">
        <v>1469</v>
      </c>
      <c r="D24" s="165" t="s">
        <v>47</v>
      </c>
      <c r="E24" s="165">
        <v>4</v>
      </c>
      <c r="F24" s="165"/>
      <c r="G24" s="165" t="s">
        <v>26</v>
      </c>
      <c r="H24" s="165" t="s">
        <v>10</v>
      </c>
      <c r="I24" s="165">
        <v>22541</v>
      </c>
      <c r="J24" s="165">
        <v>90</v>
      </c>
      <c r="K24" s="165">
        <v>90</v>
      </c>
      <c r="L24" s="165"/>
      <c r="M24" s="165">
        <v>180</v>
      </c>
      <c r="N24" s="166">
        <v>22361</v>
      </c>
      <c r="O24" s="165">
        <v>21361</v>
      </c>
      <c r="P24" s="165">
        <v>1000</v>
      </c>
      <c r="Q24" s="165">
        <v>45052</v>
      </c>
      <c r="R24" s="165">
        <v>45054</v>
      </c>
      <c r="S24" s="165" t="s">
        <v>1470</v>
      </c>
      <c r="T24" s="165"/>
    </row>
    <row r="25" spans="1:20" x14ac:dyDescent="0.3">
      <c r="A25" s="164">
        <v>45052</v>
      </c>
      <c r="B25" s="165" t="s">
        <v>3528</v>
      </c>
      <c r="C25" s="165" t="s">
        <v>1471</v>
      </c>
      <c r="D25" s="165" t="s">
        <v>1472</v>
      </c>
      <c r="E25" s="165">
        <v>1</v>
      </c>
      <c r="F25" s="165"/>
      <c r="G25" s="165" t="s">
        <v>26</v>
      </c>
      <c r="H25" s="165" t="s">
        <v>10</v>
      </c>
      <c r="I25" s="165">
        <v>157643</v>
      </c>
      <c r="J25" s="165">
        <v>90</v>
      </c>
      <c r="K25" s="165">
        <v>90</v>
      </c>
      <c r="L25" s="165"/>
      <c r="M25" s="165">
        <v>180</v>
      </c>
      <c r="N25" s="166">
        <v>157463</v>
      </c>
      <c r="O25" s="165">
        <v>156463</v>
      </c>
      <c r="P25" s="165">
        <v>1000</v>
      </c>
      <c r="Q25" s="165">
        <v>45057</v>
      </c>
      <c r="R25" s="165" t="s">
        <v>1473</v>
      </c>
      <c r="S25" s="165" t="s">
        <v>1474</v>
      </c>
      <c r="T25" s="165"/>
    </row>
    <row r="26" spans="1:20" x14ac:dyDescent="0.3">
      <c r="A26" s="164">
        <v>45054</v>
      </c>
      <c r="B26" s="165" t="s">
        <v>3528</v>
      </c>
      <c r="C26" s="165" t="s">
        <v>1475</v>
      </c>
      <c r="D26" s="165" t="s">
        <v>201</v>
      </c>
      <c r="E26" s="165">
        <v>3</v>
      </c>
      <c r="F26" s="165" t="s">
        <v>60</v>
      </c>
      <c r="G26" s="165" t="s">
        <v>26</v>
      </c>
      <c r="H26" s="165" t="s">
        <v>10</v>
      </c>
      <c r="I26" s="165">
        <v>683907</v>
      </c>
      <c r="J26" s="165">
        <v>675</v>
      </c>
      <c r="K26" s="165">
        <v>675</v>
      </c>
      <c r="L26" s="165"/>
      <c r="M26" s="165">
        <v>1350</v>
      </c>
      <c r="N26" s="166">
        <v>682557</v>
      </c>
      <c r="O26" s="165">
        <v>430018</v>
      </c>
      <c r="P26" s="165">
        <v>7500</v>
      </c>
      <c r="Q26" s="165">
        <v>45055</v>
      </c>
      <c r="R26" s="165" t="s">
        <v>1486</v>
      </c>
      <c r="S26" s="165" t="s">
        <v>1476</v>
      </c>
      <c r="T26" s="165"/>
    </row>
    <row r="27" spans="1:20" x14ac:dyDescent="0.3">
      <c r="A27" s="164">
        <v>45055</v>
      </c>
      <c r="B27" s="165" t="s">
        <v>3528</v>
      </c>
      <c r="C27" s="165" t="s">
        <v>1482</v>
      </c>
      <c r="D27" s="165" t="s">
        <v>47</v>
      </c>
      <c r="E27" s="165">
        <v>2</v>
      </c>
      <c r="F27" s="165"/>
      <c r="G27" s="165" t="s">
        <v>8</v>
      </c>
      <c r="H27" s="165" t="s">
        <v>1483</v>
      </c>
      <c r="I27" s="165">
        <v>18880</v>
      </c>
      <c r="J27" s="165">
        <v>441</v>
      </c>
      <c r="K27" s="165">
        <v>441</v>
      </c>
      <c r="L27" s="165"/>
      <c r="M27" s="165">
        <v>882</v>
      </c>
      <c r="N27" s="166">
        <v>17998</v>
      </c>
      <c r="O27" s="165">
        <v>13104</v>
      </c>
      <c r="P27" s="165">
        <v>4894</v>
      </c>
      <c r="Q27" s="165">
        <v>45062</v>
      </c>
      <c r="R27" s="165">
        <v>45055</v>
      </c>
      <c r="S27" s="165">
        <v>9946814</v>
      </c>
      <c r="T27" s="165"/>
    </row>
    <row r="28" spans="1:20" x14ac:dyDescent="0.3">
      <c r="A28" s="164">
        <v>45056</v>
      </c>
      <c r="B28" s="165" t="s">
        <v>3528</v>
      </c>
      <c r="C28" s="165" t="s">
        <v>1499</v>
      </c>
      <c r="D28" s="165" t="s">
        <v>1500</v>
      </c>
      <c r="E28" s="165">
        <v>2</v>
      </c>
      <c r="F28" s="165"/>
      <c r="G28" s="165" t="s">
        <v>22</v>
      </c>
      <c r="H28" s="165" t="s">
        <v>359</v>
      </c>
      <c r="I28" s="165">
        <v>29820</v>
      </c>
      <c r="J28" s="165">
        <v>9</v>
      </c>
      <c r="K28" s="165">
        <v>9</v>
      </c>
      <c r="L28" s="165"/>
      <c r="M28" s="165">
        <v>18</v>
      </c>
      <c r="N28" s="166">
        <v>29802</v>
      </c>
      <c r="O28" s="165">
        <v>29702</v>
      </c>
      <c r="P28" s="165">
        <v>100</v>
      </c>
      <c r="Q28" s="165" t="s">
        <v>1732</v>
      </c>
      <c r="R28" s="165" t="s">
        <v>1511</v>
      </c>
      <c r="S28" s="165"/>
      <c r="T28" s="165"/>
    </row>
    <row r="29" spans="1:20" x14ac:dyDescent="0.3">
      <c r="A29" s="164">
        <v>45057</v>
      </c>
      <c r="B29" s="165" t="s">
        <v>3528</v>
      </c>
      <c r="C29" s="165" t="s">
        <v>1501</v>
      </c>
      <c r="D29" s="165" t="s">
        <v>1502</v>
      </c>
      <c r="E29" s="165">
        <v>1</v>
      </c>
      <c r="F29" s="165" t="s">
        <v>60</v>
      </c>
      <c r="G29" s="165" t="s">
        <v>26</v>
      </c>
      <c r="H29" s="165" t="s">
        <v>10</v>
      </c>
      <c r="I29" s="165">
        <v>53457</v>
      </c>
      <c r="J29" s="165">
        <v>108</v>
      </c>
      <c r="K29" s="165">
        <v>108</v>
      </c>
      <c r="L29" s="165"/>
      <c r="M29" s="165">
        <v>216</v>
      </c>
      <c r="N29" s="166">
        <v>53241</v>
      </c>
      <c r="O29" s="165">
        <v>52041</v>
      </c>
      <c r="P29" s="165">
        <v>1200</v>
      </c>
      <c r="Q29" s="165">
        <v>45065</v>
      </c>
      <c r="R29" s="165">
        <v>45062</v>
      </c>
      <c r="S29" s="165" t="s">
        <v>1503</v>
      </c>
      <c r="T29" s="165"/>
    </row>
    <row r="30" spans="1:20" x14ac:dyDescent="0.3">
      <c r="A30" s="164">
        <v>45057</v>
      </c>
      <c r="B30" s="165" t="s">
        <v>3528</v>
      </c>
      <c r="C30" s="165" t="s">
        <v>1506</v>
      </c>
      <c r="D30" s="165" t="s">
        <v>12</v>
      </c>
      <c r="E30" s="165">
        <v>2</v>
      </c>
      <c r="F30" s="165"/>
      <c r="G30" s="165" t="s">
        <v>26</v>
      </c>
      <c r="H30" s="165" t="s">
        <v>10</v>
      </c>
      <c r="I30" s="165">
        <v>190984</v>
      </c>
      <c r="J30" s="165">
        <v>720</v>
      </c>
      <c r="K30" s="165">
        <v>720</v>
      </c>
      <c r="L30" s="165"/>
      <c r="M30" s="165">
        <v>1440</v>
      </c>
      <c r="N30" s="166">
        <v>189544</v>
      </c>
      <c r="O30" s="165">
        <v>181544</v>
      </c>
      <c r="P30" s="165">
        <v>8000</v>
      </c>
      <c r="Q30" s="165" t="s">
        <v>1507</v>
      </c>
      <c r="R30" s="165" t="s">
        <v>1510</v>
      </c>
      <c r="S30" s="165" t="s">
        <v>1508</v>
      </c>
      <c r="T30" s="165"/>
    </row>
    <row r="31" spans="1:20" x14ac:dyDescent="0.3">
      <c r="A31" s="164">
        <v>45057</v>
      </c>
      <c r="B31" s="165" t="s">
        <v>3528</v>
      </c>
      <c r="C31" s="165" t="s">
        <v>1509</v>
      </c>
      <c r="D31" s="165" t="s">
        <v>1355</v>
      </c>
      <c r="E31" s="165">
        <v>5</v>
      </c>
      <c r="F31" s="165"/>
      <c r="G31" s="165" t="s">
        <v>22</v>
      </c>
      <c r="H31" s="165" t="s">
        <v>50</v>
      </c>
      <c r="I31" s="165">
        <v>21020</v>
      </c>
      <c r="J31" s="165">
        <v>476</v>
      </c>
      <c r="K31" s="165">
        <v>476</v>
      </c>
      <c r="L31" s="165"/>
      <c r="M31" s="165">
        <v>952</v>
      </c>
      <c r="N31" s="166">
        <v>20068</v>
      </c>
      <c r="O31" s="165">
        <v>14790</v>
      </c>
      <c r="P31" s="165">
        <v>5278</v>
      </c>
      <c r="Q31" s="165">
        <v>45057</v>
      </c>
      <c r="R31" s="165">
        <v>45063</v>
      </c>
      <c r="S31" s="165" t="s">
        <v>1518</v>
      </c>
      <c r="T31" s="165"/>
    </row>
    <row r="32" spans="1:20" x14ac:dyDescent="0.3">
      <c r="A32" s="164">
        <v>45061</v>
      </c>
      <c r="B32" s="165" t="s">
        <v>3528</v>
      </c>
      <c r="C32" s="165" t="s">
        <v>1513</v>
      </c>
      <c r="D32" s="165" t="s">
        <v>1514</v>
      </c>
      <c r="E32" s="165"/>
      <c r="F32" s="165" t="s">
        <v>54</v>
      </c>
      <c r="G32" s="165" t="s">
        <v>26</v>
      </c>
      <c r="H32" s="165" t="s">
        <v>10</v>
      </c>
      <c r="I32" s="165">
        <v>335712</v>
      </c>
      <c r="J32" s="165">
        <v>351</v>
      </c>
      <c r="K32" s="165">
        <v>351</v>
      </c>
      <c r="L32" s="165"/>
      <c r="M32" s="165">
        <v>702</v>
      </c>
      <c r="N32" s="166">
        <v>335010</v>
      </c>
      <c r="O32" s="165">
        <v>10710</v>
      </c>
      <c r="P32" s="165">
        <v>3900</v>
      </c>
      <c r="Q32" s="165">
        <v>45069</v>
      </c>
      <c r="R32" s="165">
        <v>45064</v>
      </c>
      <c r="S32" s="165" t="s">
        <v>1515</v>
      </c>
      <c r="T32" s="165"/>
    </row>
    <row r="33" spans="1:20" x14ac:dyDescent="0.3">
      <c r="A33" s="164">
        <v>45070</v>
      </c>
      <c r="B33" s="165" t="s">
        <v>3528</v>
      </c>
      <c r="C33" s="165" t="s">
        <v>1519</v>
      </c>
      <c r="D33" s="165" t="s">
        <v>452</v>
      </c>
      <c r="E33" s="165">
        <v>2</v>
      </c>
      <c r="F33" s="165" t="s">
        <v>54</v>
      </c>
      <c r="G33" s="165" t="s">
        <v>26</v>
      </c>
      <c r="H33" s="165" t="s">
        <v>10</v>
      </c>
      <c r="I33" s="165">
        <v>220247</v>
      </c>
      <c r="J33" s="165">
        <v>1053</v>
      </c>
      <c r="K33" s="165">
        <v>1053</v>
      </c>
      <c r="L33" s="165"/>
      <c r="M33" s="165">
        <v>2106</v>
      </c>
      <c r="N33" s="166">
        <v>218141</v>
      </c>
      <c r="O33" s="165">
        <v>20729</v>
      </c>
      <c r="P33" s="165">
        <v>11700</v>
      </c>
      <c r="Q33" s="165" t="s">
        <v>1601</v>
      </c>
      <c r="R33" s="165" t="s">
        <v>1579</v>
      </c>
      <c r="S33" s="165" t="s">
        <v>1520</v>
      </c>
      <c r="T33" s="165"/>
    </row>
    <row r="34" spans="1:20" x14ac:dyDescent="0.3">
      <c r="A34" s="164">
        <v>45071</v>
      </c>
      <c r="B34" s="165" t="s">
        <v>3528</v>
      </c>
      <c r="C34" s="165" t="s">
        <v>1543</v>
      </c>
      <c r="D34" s="165" t="s">
        <v>305</v>
      </c>
      <c r="E34" s="165">
        <v>1</v>
      </c>
      <c r="F34" s="165"/>
      <c r="G34" s="165" t="s">
        <v>26</v>
      </c>
      <c r="H34" s="165" t="s">
        <v>10</v>
      </c>
      <c r="I34" s="165">
        <v>282657</v>
      </c>
      <c r="J34" s="165">
        <v>90</v>
      </c>
      <c r="K34" s="165">
        <v>90</v>
      </c>
      <c r="L34" s="165"/>
      <c r="M34" s="165">
        <v>180</v>
      </c>
      <c r="N34" s="166">
        <v>282477</v>
      </c>
      <c r="O34" s="165">
        <v>281477</v>
      </c>
      <c r="P34" s="165">
        <v>1000</v>
      </c>
      <c r="Q34" s="165">
        <v>45071</v>
      </c>
      <c r="R34" s="165" t="s">
        <v>1585</v>
      </c>
      <c r="S34" s="165" t="s">
        <v>1542</v>
      </c>
      <c r="T34" s="165"/>
    </row>
    <row r="35" spans="1:20" x14ac:dyDescent="0.3">
      <c r="A35" s="164">
        <v>45073</v>
      </c>
      <c r="B35" s="165" t="s">
        <v>3528</v>
      </c>
      <c r="C35" s="165" t="s">
        <v>1556</v>
      </c>
      <c r="D35" s="165" t="s">
        <v>1559</v>
      </c>
      <c r="E35" s="165">
        <v>1</v>
      </c>
      <c r="F35" s="165" t="s">
        <v>60</v>
      </c>
      <c r="G35" s="165" t="s">
        <v>26</v>
      </c>
      <c r="H35" s="165" t="s">
        <v>10</v>
      </c>
      <c r="I35" s="165">
        <v>44649</v>
      </c>
      <c r="J35" s="165">
        <v>108</v>
      </c>
      <c r="K35" s="165">
        <v>108</v>
      </c>
      <c r="L35" s="165"/>
      <c r="M35" s="165">
        <v>216</v>
      </c>
      <c r="N35" s="166">
        <v>44433</v>
      </c>
      <c r="O35" s="165">
        <v>43233</v>
      </c>
      <c r="P35" s="165">
        <v>1200</v>
      </c>
      <c r="Q35" s="165">
        <v>45079</v>
      </c>
      <c r="R35" s="165" t="s">
        <v>1581</v>
      </c>
      <c r="S35" s="165" t="s">
        <v>1560</v>
      </c>
      <c r="T35" s="165"/>
    </row>
    <row r="36" spans="1:20" x14ac:dyDescent="0.3">
      <c r="A36" s="164">
        <v>45074</v>
      </c>
      <c r="B36" s="165" t="s">
        <v>3528</v>
      </c>
      <c r="C36" s="165" t="s">
        <v>1558</v>
      </c>
      <c r="D36" s="165" t="s">
        <v>47</v>
      </c>
      <c r="E36" s="165">
        <v>4</v>
      </c>
      <c r="F36" s="165"/>
      <c r="G36" s="165" t="s">
        <v>26</v>
      </c>
      <c r="H36" s="165" t="s">
        <v>10</v>
      </c>
      <c r="I36" s="165">
        <v>22883</v>
      </c>
      <c r="J36" s="165">
        <v>135</v>
      </c>
      <c r="K36" s="165">
        <v>135</v>
      </c>
      <c r="L36" s="165"/>
      <c r="M36" s="165">
        <v>270</v>
      </c>
      <c r="N36" s="166">
        <v>71580</v>
      </c>
      <c r="O36" s="165">
        <v>20843</v>
      </c>
      <c r="P36" s="165">
        <v>1500</v>
      </c>
      <c r="Q36" s="165">
        <v>45074</v>
      </c>
      <c r="R36" s="165" t="s">
        <v>1583</v>
      </c>
      <c r="S36" s="165" t="s">
        <v>1557</v>
      </c>
      <c r="T36" s="165"/>
    </row>
    <row r="37" spans="1:20" x14ac:dyDescent="0.3">
      <c r="A37" s="164">
        <v>45077</v>
      </c>
      <c r="B37" s="165" t="s">
        <v>3528</v>
      </c>
      <c r="C37" s="165" t="s">
        <v>1567</v>
      </c>
      <c r="D37" s="165" t="s">
        <v>1043</v>
      </c>
      <c r="E37" s="165"/>
      <c r="F37" s="165" t="s">
        <v>54</v>
      </c>
      <c r="G37" s="165" t="s">
        <v>26</v>
      </c>
      <c r="H37" s="165" t="s">
        <v>10</v>
      </c>
      <c r="I37" s="165">
        <v>24593</v>
      </c>
      <c r="J37" s="165">
        <v>126</v>
      </c>
      <c r="K37" s="165">
        <v>126</v>
      </c>
      <c r="L37" s="165"/>
      <c r="M37" s="165">
        <v>252</v>
      </c>
      <c r="N37" s="166">
        <v>24341</v>
      </c>
      <c r="O37" s="165">
        <v>22941</v>
      </c>
      <c r="P37" s="165">
        <v>1400</v>
      </c>
      <c r="Q37" s="165"/>
      <c r="R37" s="165"/>
      <c r="S37" s="165" t="s">
        <v>1528</v>
      </c>
      <c r="T37" s="165" t="s">
        <v>1566</v>
      </c>
    </row>
    <row r="38" spans="1:20" x14ac:dyDescent="0.3">
      <c r="A38" s="164">
        <v>45077</v>
      </c>
      <c r="B38" s="165" t="s">
        <v>3528</v>
      </c>
      <c r="C38" s="165" t="s">
        <v>1563</v>
      </c>
      <c r="D38" s="165" t="s">
        <v>1043</v>
      </c>
      <c r="E38" s="165"/>
      <c r="F38" s="165" t="s">
        <v>54</v>
      </c>
      <c r="G38" s="165" t="s">
        <v>26</v>
      </c>
      <c r="H38" s="165" t="s">
        <v>10</v>
      </c>
      <c r="I38" s="165">
        <v>239920</v>
      </c>
      <c r="J38" s="165">
        <v>315</v>
      </c>
      <c r="K38" s="165">
        <v>315</v>
      </c>
      <c r="L38" s="165"/>
      <c r="M38" s="165">
        <v>630</v>
      </c>
      <c r="N38" s="166">
        <v>239290</v>
      </c>
      <c r="O38" s="165">
        <v>235790</v>
      </c>
      <c r="P38" s="165">
        <v>3500</v>
      </c>
      <c r="Q38" s="165"/>
      <c r="R38" s="165"/>
      <c r="S38" s="165" t="s">
        <v>1570</v>
      </c>
      <c r="T38" s="165"/>
    </row>
    <row r="39" spans="1:20" x14ac:dyDescent="0.3">
      <c r="A39" s="164">
        <v>45078</v>
      </c>
      <c r="B39" s="165" t="s">
        <v>3529</v>
      </c>
      <c r="C39" s="165" t="s">
        <v>1588</v>
      </c>
      <c r="D39" s="165" t="s">
        <v>1412</v>
      </c>
      <c r="E39" s="165">
        <v>4</v>
      </c>
      <c r="F39" s="165" t="s">
        <v>1414</v>
      </c>
      <c r="G39" s="165" t="s">
        <v>14</v>
      </c>
      <c r="H39" s="165" t="s">
        <v>10</v>
      </c>
      <c r="I39" s="165">
        <v>218293.9</v>
      </c>
      <c r="J39" s="165"/>
      <c r="K39" s="165"/>
      <c r="L39" s="165"/>
      <c r="M39" s="165">
        <v>0</v>
      </c>
      <c r="N39" s="166">
        <v>218293.9</v>
      </c>
      <c r="O39" s="165">
        <v>218294</v>
      </c>
      <c r="P39" s="165"/>
      <c r="Q39" s="165">
        <v>45078</v>
      </c>
      <c r="R39" s="165">
        <v>45078</v>
      </c>
      <c r="S39" s="165"/>
      <c r="T39" s="165"/>
    </row>
    <row r="40" spans="1:20" x14ac:dyDescent="0.3">
      <c r="A40" s="164">
        <v>45079</v>
      </c>
      <c r="B40" s="165" t="s">
        <v>3529</v>
      </c>
      <c r="C40" s="165" t="s">
        <v>1590</v>
      </c>
      <c r="D40" s="165" t="s">
        <v>1591</v>
      </c>
      <c r="E40" s="165">
        <v>3</v>
      </c>
      <c r="F40" s="165" t="s">
        <v>1593</v>
      </c>
      <c r="G40" s="165" t="s">
        <v>26</v>
      </c>
      <c r="H40" s="165" t="s">
        <v>10</v>
      </c>
      <c r="I40" s="165">
        <v>51425</v>
      </c>
      <c r="J40" s="165"/>
      <c r="K40" s="165"/>
      <c r="L40" s="165">
        <v>540</v>
      </c>
      <c r="M40" s="165">
        <v>540</v>
      </c>
      <c r="N40" s="166">
        <v>71580</v>
      </c>
      <c r="O40" s="165">
        <v>47345</v>
      </c>
      <c r="P40" s="165">
        <v>3000</v>
      </c>
      <c r="Q40" s="165">
        <v>45082</v>
      </c>
      <c r="R40" s="165">
        <v>45080</v>
      </c>
      <c r="S40" s="165" t="s">
        <v>1594</v>
      </c>
      <c r="T40" s="165"/>
    </row>
    <row r="41" spans="1:20" x14ac:dyDescent="0.3">
      <c r="A41" s="164">
        <v>45083</v>
      </c>
      <c r="B41" s="165" t="s">
        <v>3529</v>
      </c>
      <c r="C41" s="165" t="s">
        <v>1595</v>
      </c>
      <c r="D41" s="165" t="s">
        <v>1596</v>
      </c>
      <c r="E41" s="165">
        <v>2</v>
      </c>
      <c r="F41" s="165" t="s">
        <v>54</v>
      </c>
      <c r="G41" s="165" t="s">
        <v>9</v>
      </c>
      <c r="H41" s="165" t="s">
        <v>1134</v>
      </c>
      <c r="I41" s="165">
        <v>13360</v>
      </c>
      <c r="J41" s="165">
        <v>319</v>
      </c>
      <c r="K41" s="165">
        <v>319</v>
      </c>
      <c r="L41" s="165"/>
      <c r="M41" s="165">
        <v>638</v>
      </c>
      <c r="N41" s="166">
        <v>12722</v>
      </c>
      <c r="O41" s="165">
        <v>6284</v>
      </c>
      <c r="P41" s="165">
        <v>2500</v>
      </c>
      <c r="Q41" s="165" t="s">
        <v>1599</v>
      </c>
      <c r="R41" s="165">
        <v>45083</v>
      </c>
      <c r="S41" s="165" t="s">
        <v>1597</v>
      </c>
      <c r="T41" s="165"/>
    </row>
    <row r="42" spans="1:20" x14ac:dyDescent="0.3">
      <c r="A42" s="164">
        <v>45083</v>
      </c>
      <c r="B42" s="165" t="s">
        <v>3529</v>
      </c>
      <c r="C42" s="165" t="s">
        <v>1605</v>
      </c>
      <c r="D42" s="165" t="s">
        <v>1604</v>
      </c>
      <c r="E42" s="165">
        <v>1</v>
      </c>
      <c r="F42" s="165" t="s">
        <v>54</v>
      </c>
      <c r="G42" s="165" t="s">
        <v>22</v>
      </c>
      <c r="H42" s="165" t="s">
        <v>10</v>
      </c>
      <c r="I42" s="165">
        <v>9360</v>
      </c>
      <c r="J42" s="165">
        <v>180</v>
      </c>
      <c r="K42" s="165">
        <v>180</v>
      </c>
      <c r="L42" s="165"/>
      <c r="M42" s="165">
        <v>360</v>
      </c>
      <c r="N42" s="166">
        <v>9000</v>
      </c>
      <c r="O42" s="165">
        <v>7000</v>
      </c>
      <c r="P42" s="165">
        <v>2000</v>
      </c>
      <c r="Q42" s="165" t="s">
        <v>1599</v>
      </c>
      <c r="R42" s="165">
        <v>45089</v>
      </c>
      <c r="S42" s="165" t="s">
        <v>1603</v>
      </c>
      <c r="T42" s="165"/>
    </row>
    <row r="43" spans="1:20" x14ac:dyDescent="0.3">
      <c r="A43" s="164">
        <v>45083</v>
      </c>
      <c r="B43" s="165" t="s">
        <v>3529</v>
      </c>
      <c r="C43" s="165" t="s">
        <v>1608</v>
      </c>
      <c r="D43" s="165" t="s">
        <v>1609</v>
      </c>
      <c r="E43" s="165">
        <v>1</v>
      </c>
      <c r="F43" s="165" t="s">
        <v>54</v>
      </c>
      <c r="G43" s="165" t="s">
        <v>24</v>
      </c>
      <c r="H43" s="165" t="s">
        <v>10</v>
      </c>
      <c r="I43" s="165">
        <v>84268</v>
      </c>
      <c r="J43" s="165">
        <v>675</v>
      </c>
      <c r="K43" s="165">
        <v>675</v>
      </c>
      <c r="L43" s="165"/>
      <c r="M43" s="165">
        <v>1350</v>
      </c>
      <c r="N43" s="166">
        <v>71580</v>
      </c>
      <c r="O43" s="165">
        <v>38554</v>
      </c>
      <c r="P43" s="165">
        <v>7500</v>
      </c>
      <c r="Q43" s="165" t="s">
        <v>1599</v>
      </c>
      <c r="R43" s="165">
        <v>45089</v>
      </c>
      <c r="S43" s="165" t="s">
        <v>1610</v>
      </c>
      <c r="T43" s="165"/>
    </row>
    <row r="44" spans="1:20" x14ac:dyDescent="0.3">
      <c r="A44" s="164">
        <v>45084</v>
      </c>
      <c r="B44" s="165" t="s">
        <v>3529</v>
      </c>
      <c r="C44" s="165" t="s">
        <v>1612</v>
      </c>
      <c r="D44" s="165" t="s">
        <v>1043</v>
      </c>
      <c r="E44" s="165">
        <v>1</v>
      </c>
      <c r="F44" s="165" t="s">
        <v>54</v>
      </c>
      <c r="G44" s="165" t="s">
        <v>26</v>
      </c>
      <c r="H44" s="165" t="s">
        <v>10</v>
      </c>
      <c r="I44" s="165">
        <v>373681</v>
      </c>
      <c r="J44" s="165">
        <v>1251</v>
      </c>
      <c r="K44" s="165">
        <v>1251</v>
      </c>
      <c r="L44" s="165"/>
      <c r="M44" s="165">
        <v>2502</v>
      </c>
      <c r="N44" s="166">
        <v>371179</v>
      </c>
      <c r="O44" s="165">
        <v>14220</v>
      </c>
      <c r="P44" s="165">
        <v>13900</v>
      </c>
      <c r="Q44" s="165"/>
      <c r="R44" s="165"/>
      <c r="S44" s="165"/>
      <c r="T44" s="165"/>
    </row>
    <row r="45" spans="1:20" x14ac:dyDescent="0.3">
      <c r="A45" s="164">
        <v>45085</v>
      </c>
      <c r="B45" s="165" t="s">
        <v>3529</v>
      </c>
      <c r="C45" s="165" t="s">
        <v>1607</v>
      </c>
      <c r="D45" s="165" t="s">
        <v>1412</v>
      </c>
      <c r="E45" s="165">
        <v>4</v>
      </c>
      <c r="F45" s="165" t="s">
        <v>1414</v>
      </c>
      <c r="G45" s="165" t="s">
        <v>14</v>
      </c>
      <c r="H45" s="165"/>
      <c r="I45" s="165"/>
      <c r="J45" s="165"/>
      <c r="K45" s="165"/>
      <c r="L45" s="165"/>
      <c r="M45" s="165">
        <v>0</v>
      </c>
      <c r="N45" s="166">
        <v>0</v>
      </c>
      <c r="O45" s="165"/>
      <c r="P45" s="165"/>
      <c r="Q45" s="165"/>
      <c r="R45" s="165" t="s">
        <v>1676</v>
      </c>
      <c r="S45" s="165"/>
      <c r="T45" s="165"/>
    </row>
    <row r="46" spans="1:20" x14ac:dyDescent="0.3">
      <c r="A46" s="164">
        <v>45090</v>
      </c>
      <c r="B46" s="165" t="s">
        <v>3529</v>
      </c>
      <c r="C46" s="165" t="s">
        <v>1659</v>
      </c>
      <c r="D46" s="165" t="s">
        <v>1660</v>
      </c>
      <c r="E46" s="165">
        <v>1</v>
      </c>
      <c r="F46" s="165" t="s">
        <v>54</v>
      </c>
      <c r="G46" s="165" t="s">
        <v>26</v>
      </c>
      <c r="H46" s="165" t="s">
        <v>10</v>
      </c>
      <c r="I46" s="165">
        <v>92301</v>
      </c>
      <c r="J46" s="165">
        <v>347</v>
      </c>
      <c r="K46" s="165">
        <v>347</v>
      </c>
      <c r="L46" s="165"/>
      <c r="M46" s="165">
        <v>694</v>
      </c>
      <c r="N46" s="166">
        <v>91607</v>
      </c>
      <c r="O46" s="165">
        <v>7110</v>
      </c>
      <c r="P46" s="165">
        <v>3850</v>
      </c>
      <c r="Q46" s="165">
        <v>45100</v>
      </c>
      <c r="R46" s="165" t="s">
        <v>1675</v>
      </c>
      <c r="S46" s="165" t="s">
        <v>1663</v>
      </c>
      <c r="T46" s="165"/>
    </row>
    <row r="47" spans="1:20" x14ac:dyDescent="0.3">
      <c r="A47" s="164">
        <v>45096</v>
      </c>
      <c r="B47" s="165" t="s">
        <v>3529</v>
      </c>
      <c r="C47" s="165" t="s">
        <v>1704</v>
      </c>
      <c r="D47" s="165" t="s">
        <v>1677</v>
      </c>
      <c r="E47" s="165">
        <v>1</v>
      </c>
      <c r="F47" s="165" t="s">
        <v>54</v>
      </c>
      <c r="G47" s="165" t="s">
        <v>26</v>
      </c>
      <c r="H47" s="165" t="s">
        <v>10</v>
      </c>
      <c r="I47" s="165">
        <v>55199</v>
      </c>
      <c r="J47" s="165">
        <v>279</v>
      </c>
      <c r="K47" s="165">
        <v>279</v>
      </c>
      <c r="L47" s="165"/>
      <c r="M47" s="165">
        <v>558</v>
      </c>
      <c r="N47" s="166">
        <v>54641</v>
      </c>
      <c r="O47" s="165">
        <v>7738</v>
      </c>
      <c r="P47" s="165">
        <v>3100</v>
      </c>
      <c r="Q47" s="165" t="s">
        <v>1736</v>
      </c>
      <c r="R47" s="165" t="s">
        <v>1702</v>
      </c>
      <c r="S47" s="165" t="s">
        <v>1678</v>
      </c>
      <c r="T47" s="165"/>
    </row>
    <row r="48" spans="1:20" x14ac:dyDescent="0.3">
      <c r="A48" s="164">
        <v>45099</v>
      </c>
      <c r="B48" s="165" t="s">
        <v>3529</v>
      </c>
      <c r="C48" s="165" t="s">
        <v>1708</v>
      </c>
      <c r="D48" s="165" t="s">
        <v>1710</v>
      </c>
      <c r="E48" s="165">
        <v>1</v>
      </c>
      <c r="F48" s="165" t="s">
        <v>54</v>
      </c>
      <c r="G48" s="165" t="s">
        <v>9</v>
      </c>
      <c r="H48" s="165" t="s">
        <v>1134</v>
      </c>
      <c r="I48" s="165">
        <v>6186</v>
      </c>
      <c r="J48" s="165">
        <v>148</v>
      </c>
      <c r="K48" s="165">
        <v>148</v>
      </c>
      <c r="L48" s="165"/>
      <c r="M48" s="165">
        <v>296</v>
      </c>
      <c r="N48" s="166">
        <v>5890</v>
      </c>
      <c r="O48" s="165">
        <v>4640</v>
      </c>
      <c r="P48" s="165">
        <v>1250</v>
      </c>
      <c r="Q48" s="165" t="s">
        <v>1736</v>
      </c>
      <c r="R48" s="165" t="s">
        <v>1713</v>
      </c>
      <c r="S48" s="165" t="s">
        <v>1711</v>
      </c>
      <c r="T48" s="165"/>
    </row>
    <row r="49" spans="1:20" x14ac:dyDescent="0.3">
      <c r="A49" s="164">
        <v>45104</v>
      </c>
      <c r="B49" s="165" t="s">
        <v>3529</v>
      </c>
      <c r="C49" s="165" t="s">
        <v>1699</v>
      </c>
      <c r="D49" s="165" t="s">
        <v>1295</v>
      </c>
      <c r="E49" s="165">
        <v>2</v>
      </c>
      <c r="F49" s="165"/>
      <c r="G49" s="165" t="s">
        <v>26</v>
      </c>
      <c r="H49" s="165" t="s">
        <v>10</v>
      </c>
      <c r="I49" s="165">
        <v>8340</v>
      </c>
      <c r="J49" s="165">
        <v>270</v>
      </c>
      <c r="K49" s="165">
        <v>270</v>
      </c>
      <c r="L49" s="165"/>
      <c r="M49" s="165">
        <v>540</v>
      </c>
      <c r="N49" s="166">
        <v>7800</v>
      </c>
      <c r="O49" s="165">
        <v>4800</v>
      </c>
      <c r="P49" s="165">
        <v>3000</v>
      </c>
      <c r="Q49" s="165" t="s">
        <v>1700</v>
      </c>
      <c r="R49" s="165" t="s">
        <v>1703</v>
      </c>
      <c r="S49" s="165" t="s">
        <v>1701</v>
      </c>
      <c r="T49" s="165" t="s">
        <v>1727</v>
      </c>
    </row>
    <row r="50" spans="1:20" x14ac:dyDescent="0.3">
      <c r="A50" s="164">
        <v>45105</v>
      </c>
      <c r="B50" s="165" t="s">
        <v>3529</v>
      </c>
      <c r="C50" s="165" t="s">
        <v>1709</v>
      </c>
      <c r="D50" s="165" t="s">
        <v>1707</v>
      </c>
      <c r="E50" s="165">
        <v>1</v>
      </c>
      <c r="F50" s="165" t="s">
        <v>60</v>
      </c>
      <c r="G50" s="165" t="s">
        <v>24</v>
      </c>
      <c r="H50" s="165" t="s">
        <v>1705</v>
      </c>
      <c r="I50" s="165">
        <v>19128</v>
      </c>
      <c r="J50" s="165">
        <v>180</v>
      </c>
      <c r="K50" s="165">
        <v>180</v>
      </c>
      <c r="L50" s="165"/>
      <c r="M50" s="165">
        <v>360</v>
      </c>
      <c r="N50" s="166">
        <v>18768</v>
      </c>
      <c r="O50" s="165">
        <v>16768</v>
      </c>
      <c r="P50" s="165">
        <v>2000</v>
      </c>
      <c r="Q50" s="165">
        <v>45124</v>
      </c>
      <c r="R50" s="165" t="s">
        <v>1706</v>
      </c>
      <c r="S50" s="165" t="s">
        <v>1712</v>
      </c>
      <c r="T50" s="165"/>
    </row>
    <row r="51" spans="1:20" x14ac:dyDescent="0.3">
      <c r="A51" s="164">
        <v>45108</v>
      </c>
      <c r="B51" s="165" t="s">
        <v>3530</v>
      </c>
      <c r="C51" s="165" t="s">
        <v>1714</v>
      </c>
      <c r="D51" s="165" t="s">
        <v>1715</v>
      </c>
      <c r="E51" s="165">
        <v>1</v>
      </c>
      <c r="F51" s="165" t="s">
        <v>54</v>
      </c>
      <c r="G51" s="165" t="s">
        <v>26</v>
      </c>
      <c r="H51" s="165" t="s">
        <v>10</v>
      </c>
      <c r="I51" s="165">
        <v>243821</v>
      </c>
      <c r="J51" s="165">
        <v>1854</v>
      </c>
      <c r="K51" s="165">
        <v>1854</v>
      </c>
      <c r="L51" s="165"/>
      <c r="M51" s="165">
        <v>3708</v>
      </c>
      <c r="N51" s="166">
        <v>240113</v>
      </c>
      <c r="O51" s="165">
        <v>28281</v>
      </c>
      <c r="P51" s="165">
        <v>20600</v>
      </c>
      <c r="Q51" s="165" t="s">
        <v>1861</v>
      </c>
      <c r="R51" s="165" t="s">
        <v>1735</v>
      </c>
      <c r="S51" s="165" t="s">
        <v>1718</v>
      </c>
      <c r="T51" s="165"/>
    </row>
    <row r="52" spans="1:20" x14ac:dyDescent="0.3">
      <c r="A52" s="164">
        <v>45117</v>
      </c>
      <c r="B52" s="165" t="s">
        <v>3530</v>
      </c>
      <c r="C52" s="165" t="s">
        <v>1725</v>
      </c>
      <c r="D52" s="165" t="s">
        <v>1741</v>
      </c>
      <c r="E52" s="165">
        <v>1</v>
      </c>
      <c r="F52" s="165"/>
      <c r="G52" s="165" t="s">
        <v>26</v>
      </c>
      <c r="H52" s="165" t="s">
        <v>10</v>
      </c>
      <c r="I52" s="165">
        <v>73670</v>
      </c>
      <c r="J52" s="165"/>
      <c r="K52" s="165"/>
      <c r="L52" s="165">
        <v>226</v>
      </c>
      <c r="M52" s="165">
        <v>226</v>
      </c>
      <c r="N52" s="166">
        <v>73444</v>
      </c>
      <c r="O52" s="165">
        <v>72193</v>
      </c>
      <c r="P52" s="165">
        <v>1251</v>
      </c>
      <c r="Q52" s="165">
        <v>45117</v>
      </c>
      <c r="R52" s="165">
        <v>45121</v>
      </c>
      <c r="S52" s="165" t="s">
        <v>1743</v>
      </c>
      <c r="T52" s="165"/>
    </row>
    <row r="53" spans="1:20" x14ac:dyDescent="0.3">
      <c r="A53" s="164">
        <v>45118</v>
      </c>
      <c r="B53" s="165" t="s">
        <v>3530</v>
      </c>
      <c r="C53" s="165" t="s">
        <v>1740</v>
      </c>
      <c r="D53" s="165" t="s">
        <v>1752</v>
      </c>
      <c r="E53" s="165">
        <v>3</v>
      </c>
      <c r="F53" s="165"/>
      <c r="G53" s="165" t="s">
        <v>26</v>
      </c>
      <c r="H53" s="165" t="s">
        <v>10</v>
      </c>
      <c r="I53" s="165">
        <v>51524</v>
      </c>
      <c r="J53" s="165">
        <v>294</v>
      </c>
      <c r="K53" s="165">
        <v>294</v>
      </c>
      <c r="L53" s="165"/>
      <c r="M53" s="165">
        <v>588</v>
      </c>
      <c r="N53" s="166">
        <v>50936</v>
      </c>
      <c r="O53" s="165">
        <v>21712</v>
      </c>
      <c r="P53" s="165">
        <v>3260</v>
      </c>
      <c r="Q53" s="165">
        <v>45118</v>
      </c>
      <c r="R53" s="165">
        <v>45121</v>
      </c>
      <c r="S53" s="165" t="s">
        <v>1753</v>
      </c>
      <c r="T53" s="165"/>
    </row>
    <row r="54" spans="1:20" x14ac:dyDescent="0.3">
      <c r="A54" s="164">
        <v>45120</v>
      </c>
      <c r="B54" s="165" t="s">
        <v>3530</v>
      </c>
      <c r="C54" s="165" t="s">
        <v>1751</v>
      </c>
      <c r="D54" s="165" t="s">
        <v>1726</v>
      </c>
      <c r="E54" s="165">
        <v>1</v>
      </c>
      <c r="F54" s="165" t="s">
        <v>54</v>
      </c>
      <c r="G54" s="165" t="s">
        <v>9</v>
      </c>
      <c r="H54" s="165" t="s">
        <v>1134</v>
      </c>
      <c r="I54" s="165">
        <v>10492</v>
      </c>
      <c r="J54" s="165">
        <v>250</v>
      </c>
      <c r="K54" s="165">
        <v>250</v>
      </c>
      <c r="L54" s="165"/>
      <c r="M54" s="165">
        <v>500</v>
      </c>
      <c r="N54" s="166">
        <v>9992</v>
      </c>
      <c r="O54" s="165">
        <v>4331</v>
      </c>
      <c r="P54" s="165">
        <v>2500</v>
      </c>
      <c r="Q54" s="165" t="s">
        <v>1861</v>
      </c>
      <c r="R54" s="165">
        <v>45121</v>
      </c>
      <c r="S54" s="165" t="s">
        <v>1774</v>
      </c>
      <c r="T54" s="165"/>
    </row>
    <row r="55" spans="1:20" x14ac:dyDescent="0.3">
      <c r="A55" s="164">
        <v>45122</v>
      </c>
      <c r="B55" s="165" t="s">
        <v>3530</v>
      </c>
      <c r="C55" s="165" t="s">
        <v>1802</v>
      </c>
      <c r="D55" s="165" t="s">
        <v>1803</v>
      </c>
      <c r="E55" s="165"/>
      <c r="F55" s="165" t="s">
        <v>54</v>
      </c>
      <c r="G55" s="165" t="s">
        <v>26</v>
      </c>
      <c r="H55" s="165" t="s">
        <v>10</v>
      </c>
      <c r="I55" s="165">
        <v>174129</v>
      </c>
      <c r="J55" s="165">
        <v>1395</v>
      </c>
      <c r="K55" s="165">
        <v>1395</v>
      </c>
      <c r="L55" s="165"/>
      <c r="M55" s="165">
        <v>2790</v>
      </c>
      <c r="N55" s="166">
        <v>171339</v>
      </c>
      <c r="O55" s="165">
        <v>4742</v>
      </c>
      <c r="P55" s="165">
        <v>15500</v>
      </c>
      <c r="Q55" s="165" t="s">
        <v>1925</v>
      </c>
      <c r="R55" s="165" t="s">
        <v>1827</v>
      </c>
      <c r="S55" s="165" t="s">
        <v>1804</v>
      </c>
      <c r="T55" s="165"/>
    </row>
    <row r="56" spans="1:20" x14ac:dyDescent="0.3">
      <c r="A56" s="164">
        <v>45126</v>
      </c>
      <c r="B56" s="165" t="s">
        <v>3530</v>
      </c>
      <c r="C56" s="165" t="s">
        <v>1834</v>
      </c>
      <c r="D56" s="165" t="s">
        <v>1844</v>
      </c>
      <c r="E56" s="165">
        <v>2</v>
      </c>
      <c r="F56" s="165" t="s">
        <v>54</v>
      </c>
      <c r="G56" s="165" t="s">
        <v>26</v>
      </c>
      <c r="H56" s="165" t="s">
        <v>10</v>
      </c>
      <c r="I56" s="165">
        <v>5444</v>
      </c>
      <c r="J56" s="165">
        <v>45</v>
      </c>
      <c r="K56" s="165">
        <v>45</v>
      </c>
      <c r="L56" s="165"/>
      <c r="M56" s="165">
        <v>90</v>
      </c>
      <c r="N56" s="166">
        <v>5354</v>
      </c>
      <c r="O56" s="165">
        <v>4176</v>
      </c>
      <c r="P56" s="165">
        <v>500</v>
      </c>
      <c r="Q56" s="165"/>
      <c r="R56" s="165"/>
      <c r="S56" s="165" t="s">
        <v>1835</v>
      </c>
      <c r="T56" s="165"/>
    </row>
    <row r="57" spans="1:20" x14ac:dyDescent="0.3">
      <c r="A57" s="164">
        <v>45128</v>
      </c>
      <c r="B57" s="165" t="s">
        <v>3530</v>
      </c>
      <c r="C57" s="165" t="s">
        <v>1869</v>
      </c>
      <c r="D57" s="165" t="s">
        <v>1870</v>
      </c>
      <c r="E57" s="165">
        <v>1</v>
      </c>
      <c r="F57" s="165" t="s">
        <v>54</v>
      </c>
      <c r="G57" s="165" t="s">
        <v>26</v>
      </c>
      <c r="H57" s="165" t="s">
        <v>10</v>
      </c>
      <c r="I57" s="165">
        <v>2000</v>
      </c>
      <c r="J57" s="165">
        <v>22.5</v>
      </c>
      <c r="K57" s="165">
        <v>22.5</v>
      </c>
      <c r="L57" s="165"/>
      <c r="M57" s="165">
        <v>45</v>
      </c>
      <c r="N57" s="166">
        <v>1955</v>
      </c>
      <c r="O57" s="165">
        <v>1705</v>
      </c>
      <c r="P57" s="165">
        <v>250</v>
      </c>
      <c r="Q57" s="165"/>
      <c r="R57" s="165"/>
      <c r="S57" s="165" t="s">
        <v>1866</v>
      </c>
      <c r="T57" s="165"/>
    </row>
    <row r="58" spans="1:20" x14ac:dyDescent="0.3">
      <c r="A58" s="164">
        <v>45129</v>
      </c>
      <c r="B58" s="165" t="s">
        <v>3530</v>
      </c>
      <c r="C58" s="165" t="s">
        <v>1871</v>
      </c>
      <c r="D58" s="165" t="s">
        <v>1872</v>
      </c>
      <c r="E58" s="165"/>
      <c r="F58" s="165" t="s">
        <v>54</v>
      </c>
      <c r="G58" s="165"/>
      <c r="H58" s="165"/>
      <c r="I58" s="165">
        <v>816</v>
      </c>
      <c r="J58" s="165"/>
      <c r="K58" s="165"/>
      <c r="L58" s="165"/>
      <c r="M58" s="165">
        <v>0</v>
      </c>
      <c r="N58" s="166">
        <v>816</v>
      </c>
      <c r="O58" s="165">
        <v>816</v>
      </c>
      <c r="P58" s="165"/>
      <c r="Q58" s="165"/>
      <c r="R58" s="165"/>
      <c r="S58" s="165"/>
      <c r="T58" s="165"/>
    </row>
    <row r="59" spans="1:20" x14ac:dyDescent="0.3">
      <c r="A59" s="164">
        <v>45129</v>
      </c>
      <c r="B59" s="165" t="s">
        <v>3530</v>
      </c>
      <c r="C59" s="165" t="s">
        <v>1882</v>
      </c>
      <c r="D59" s="165" t="s">
        <v>1883</v>
      </c>
      <c r="E59" s="165"/>
      <c r="F59" s="165" t="s">
        <v>54</v>
      </c>
      <c r="G59" s="165" t="s">
        <v>26</v>
      </c>
      <c r="H59" s="165" t="s">
        <v>10</v>
      </c>
      <c r="I59" s="165">
        <v>200906</v>
      </c>
      <c r="J59" s="165">
        <v>1386</v>
      </c>
      <c r="K59" s="165">
        <v>1386</v>
      </c>
      <c r="L59" s="165"/>
      <c r="M59" s="165">
        <v>2772</v>
      </c>
      <c r="N59" s="166">
        <v>198134</v>
      </c>
      <c r="O59" s="165">
        <v>30783</v>
      </c>
      <c r="P59" s="165">
        <v>15400</v>
      </c>
      <c r="Q59" s="165" t="s">
        <v>1987</v>
      </c>
      <c r="R59" s="165" t="s">
        <v>1903</v>
      </c>
      <c r="S59" s="165" t="s">
        <v>1884</v>
      </c>
      <c r="T59" s="165"/>
    </row>
    <row r="60" spans="1:20" x14ac:dyDescent="0.3">
      <c r="A60" s="164">
        <v>45137</v>
      </c>
      <c r="B60" s="165" t="s">
        <v>3530</v>
      </c>
      <c r="C60" s="165" t="s">
        <v>1916</v>
      </c>
      <c r="D60" s="165" t="s">
        <v>1931</v>
      </c>
      <c r="E60" s="165">
        <v>1</v>
      </c>
      <c r="F60" s="165"/>
      <c r="G60" s="165" t="s">
        <v>26</v>
      </c>
      <c r="H60" s="165" t="s">
        <v>10</v>
      </c>
      <c r="I60" s="165">
        <v>6730</v>
      </c>
      <c r="J60" s="165">
        <v>21</v>
      </c>
      <c r="K60" s="165">
        <v>21</v>
      </c>
      <c r="L60" s="165"/>
      <c r="M60" s="165">
        <v>42</v>
      </c>
      <c r="N60" s="166">
        <v>6688</v>
      </c>
      <c r="O60" s="165">
        <v>6461</v>
      </c>
      <c r="P60" s="165">
        <v>227</v>
      </c>
      <c r="Q60" s="165" t="s">
        <v>2176</v>
      </c>
      <c r="R60" s="165">
        <v>45138</v>
      </c>
      <c r="S60" s="165" t="s">
        <v>1932</v>
      </c>
      <c r="T60" s="165"/>
    </row>
    <row r="61" spans="1:20" x14ac:dyDescent="0.3">
      <c r="A61" s="164">
        <v>45137</v>
      </c>
      <c r="B61" s="165" t="s">
        <v>3530</v>
      </c>
      <c r="C61" s="165" t="s">
        <v>1933</v>
      </c>
      <c r="D61" s="165" t="s">
        <v>1934</v>
      </c>
      <c r="E61" s="165"/>
      <c r="F61" s="165" t="s">
        <v>54</v>
      </c>
      <c r="G61" s="165" t="s">
        <v>26</v>
      </c>
      <c r="H61" s="165" t="s">
        <v>10</v>
      </c>
      <c r="I61" s="165">
        <v>174534</v>
      </c>
      <c r="J61" s="165">
        <v>1575</v>
      </c>
      <c r="K61" s="165">
        <v>1575</v>
      </c>
      <c r="L61" s="165"/>
      <c r="M61" s="165">
        <v>3150</v>
      </c>
      <c r="N61" s="166">
        <v>171384</v>
      </c>
      <c r="O61" s="165">
        <v>4041</v>
      </c>
      <c r="P61" s="165">
        <v>17500</v>
      </c>
      <c r="Q61" s="165">
        <v>45148</v>
      </c>
      <c r="R61" s="165" t="s">
        <v>1970</v>
      </c>
      <c r="S61" s="165" t="s">
        <v>1935</v>
      </c>
      <c r="T61" s="165"/>
    </row>
    <row r="62" spans="1:20" x14ac:dyDescent="0.3">
      <c r="A62" s="164">
        <v>45138</v>
      </c>
      <c r="B62" s="165" t="s">
        <v>3530</v>
      </c>
      <c r="C62" s="165" t="s">
        <v>1943</v>
      </c>
      <c r="D62" s="165" t="s">
        <v>47</v>
      </c>
      <c r="E62" s="165">
        <v>1</v>
      </c>
      <c r="F62" s="165"/>
      <c r="G62" s="165" t="s">
        <v>26</v>
      </c>
      <c r="H62" s="165" t="s">
        <v>10</v>
      </c>
      <c r="I62" s="165">
        <v>952</v>
      </c>
      <c r="J62" s="165">
        <v>54</v>
      </c>
      <c r="K62" s="165">
        <v>54</v>
      </c>
      <c r="L62" s="165"/>
      <c r="M62" s="165">
        <v>108</v>
      </c>
      <c r="N62" s="166">
        <v>844</v>
      </c>
      <c r="O62" s="165">
        <v>244</v>
      </c>
      <c r="P62" s="165">
        <v>600</v>
      </c>
      <c r="Q62" s="165" t="s">
        <v>1945</v>
      </c>
      <c r="R62" s="165"/>
      <c r="S62" s="165" t="s">
        <v>1942</v>
      </c>
      <c r="T62" s="165"/>
    </row>
    <row r="63" spans="1:20" x14ac:dyDescent="0.3">
      <c r="A63" s="164">
        <v>45139</v>
      </c>
      <c r="B63" s="165" t="s">
        <v>3531</v>
      </c>
      <c r="C63" s="165" t="s">
        <v>1953</v>
      </c>
      <c r="D63" s="165" t="s">
        <v>1954</v>
      </c>
      <c r="E63" s="165">
        <v>1</v>
      </c>
      <c r="F63" s="165"/>
      <c r="G63" s="165" t="s">
        <v>26</v>
      </c>
      <c r="H63" s="165" t="s">
        <v>10</v>
      </c>
      <c r="I63" s="165">
        <v>10887</v>
      </c>
      <c r="J63" s="165">
        <v>102</v>
      </c>
      <c r="K63" s="165">
        <v>102</v>
      </c>
      <c r="L63" s="165"/>
      <c r="M63" s="165">
        <v>204</v>
      </c>
      <c r="N63" s="166">
        <v>10683</v>
      </c>
      <c r="O63" s="165">
        <v>4507</v>
      </c>
      <c r="P63" s="165">
        <v>1124</v>
      </c>
      <c r="Q63" s="165" t="s">
        <v>2137</v>
      </c>
      <c r="R63" s="165" t="s">
        <v>1961</v>
      </c>
      <c r="S63" s="165" t="s">
        <v>1956</v>
      </c>
      <c r="T63" s="165"/>
    </row>
    <row r="64" spans="1:20" x14ac:dyDescent="0.3">
      <c r="A64" s="164">
        <v>45141</v>
      </c>
      <c r="B64" s="165" t="s">
        <v>3531</v>
      </c>
      <c r="C64" s="165" t="s">
        <v>1978</v>
      </c>
      <c r="D64" s="165" t="s">
        <v>1979</v>
      </c>
      <c r="E64" s="165">
        <v>2</v>
      </c>
      <c r="F64" s="165" t="s">
        <v>54</v>
      </c>
      <c r="G64" s="165" t="s">
        <v>26</v>
      </c>
      <c r="H64" s="165" t="s">
        <v>10</v>
      </c>
      <c r="I64" s="165">
        <v>19613</v>
      </c>
      <c r="J64" s="165">
        <v>189</v>
      </c>
      <c r="K64" s="165">
        <v>189</v>
      </c>
      <c r="L64" s="165"/>
      <c r="M64" s="165">
        <v>378</v>
      </c>
      <c r="N64" s="166">
        <v>19235</v>
      </c>
      <c r="O64" s="165">
        <v>17135</v>
      </c>
      <c r="P64" s="165">
        <v>2100</v>
      </c>
      <c r="Q64" s="165" t="s">
        <v>1988</v>
      </c>
      <c r="R64" s="165" t="s">
        <v>1988</v>
      </c>
      <c r="S64" s="165" t="s">
        <v>1981</v>
      </c>
      <c r="T64" s="165"/>
    </row>
    <row r="65" spans="1:20" x14ac:dyDescent="0.3">
      <c r="A65" s="164">
        <v>45142</v>
      </c>
      <c r="B65" s="165" t="s">
        <v>3531</v>
      </c>
      <c r="C65" s="165" t="s">
        <v>1989</v>
      </c>
      <c r="D65" s="165" t="s">
        <v>1990</v>
      </c>
      <c r="E65" s="165">
        <v>2</v>
      </c>
      <c r="F65" s="165" t="s">
        <v>54</v>
      </c>
      <c r="G65" s="165" t="s">
        <v>26</v>
      </c>
      <c r="H65" s="165" t="s">
        <v>10</v>
      </c>
      <c r="I65" s="165">
        <v>125165</v>
      </c>
      <c r="J65" s="165">
        <v>1085</v>
      </c>
      <c r="K65" s="165">
        <v>1085</v>
      </c>
      <c r="L65" s="165"/>
      <c r="M65" s="165">
        <v>2170</v>
      </c>
      <c r="N65" s="166">
        <v>122995</v>
      </c>
      <c r="O65" s="165">
        <v>1944</v>
      </c>
      <c r="P65" s="165">
        <v>12050</v>
      </c>
      <c r="Q65" s="165" t="s">
        <v>2119</v>
      </c>
      <c r="R65" s="165" t="s">
        <v>2023</v>
      </c>
      <c r="S65" s="165" t="s">
        <v>1991</v>
      </c>
      <c r="T65" s="165"/>
    </row>
    <row r="66" spans="1:20" x14ac:dyDescent="0.3">
      <c r="A66" s="164">
        <v>45142</v>
      </c>
      <c r="B66" s="165" t="s">
        <v>3531</v>
      </c>
      <c r="C66" s="165" t="s">
        <v>2024</v>
      </c>
      <c r="D66" s="165" t="s">
        <v>1997</v>
      </c>
      <c r="E66" s="165">
        <v>1</v>
      </c>
      <c r="F66" s="165" t="s">
        <v>54</v>
      </c>
      <c r="G66" s="165" t="s">
        <v>24</v>
      </c>
      <c r="H66" s="165" t="s">
        <v>1998</v>
      </c>
      <c r="I66" s="165">
        <v>35395</v>
      </c>
      <c r="J66" s="165">
        <v>743</v>
      </c>
      <c r="K66" s="165">
        <v>743</v>
      </c>
      <c r="L66" s="165"/>
      <c r="M66" s="165">
        <v>1486</v>
      </c>
      <c r="N66" s="166">
        <v>33909</v>
      </c>
      <c r="O66" s="165">
        <v>3603</v>
      </c>
      <c r="P66" s="165">
        <v>8250</v>
      </c>
      <c r="Q66" s="165" t="s">
        <v>2119</v>
      </c>
      <c r="R66" s="165" t="s">
        <v>1999</v>
      </c>
      <c r="S66" s="165"/>
      <c r="T66" s="165"/>
    </row>
    <row r="67" spans="1:20" x14ac:dyDescent="0.3">
      <c r="A67" s="164">
        <v>45149</v>
      </c>
      <c r="B67" s="165" t="s">
        <v>3531</v>
      </c>
      <c r="C67" s="165" t="s">
        <v>1996</v>
      </c>
      <c r="D67" s="165" t="s">
        <v>2025</v>
      </c>
      <c r="E67" s="165"/>
      <c r="F67" s="165" t="s">
        <v>54</v>
      </c>
      <c r="G67" s="165" t="s">
        <v>26</v>
      </c>
      <c r="H67" s="165" t="s">
        <v>10</v>
      </c>
      <c r="I67" s="165">
        <v>194327</v>
      </c>
      <c r="J67" s="165">
        <v>1278</v>
      </c>
      <c r="K67" s="165">
        <v>1278</v>
      </c>
      <c r="L67" s="165"/>
      <c r="M67" s="165">
        <v>2556</v>
      </c>
      <c r="N67" s="166">
        <v>191771</v>
      </c>
      <c r="O67" s="165">
        <v>21230</v>
      </c>
      <c r="P67" s="165">
        <v>14200</v>
      </c>
      <c r="Q67" s="165">
        <v>45161</v>
      </c>
      <c r="R67" s="165" t="s">
        <v>2074</v>
      </c>
      <c r="S67" s="165" t="s">
        <v>2026</v>
      </c>
      <c r="T67" s="165"/>
    </row>
    <row r="68" spans="1:20" x14ac:dyDescent="0.3">
      <c r="A68" s="164">
        <v>45156</v>
      </c>
      <c r="B68" s="165" t="s">
        <v>3531</v>
      </c>
      <c r="C68" s="165" t="s">
        <v>2046</v>
      </c>
      <c r="D68" s="165" t="s">
        <v>2047</v>
      </c>
      <c r="E68" s="165"/>
      <c r="F68" s="165" t="s">
        <v>54</v>
      </c>
      <c r="G68" s="165" t="s">
        <v>9</v>
      </c>
      <c r="H68" s="165" t="s">
        <v>1134</v>
      </c>
      <c r="I68" s="165">
        <v>43249</v>
      </c>
      <c r="J68" s="165">
        <v>1030</v>
      </c>
      <c r="K68" s="165">
        <v>1030</v>
      </c>
      <c r="L68" s="165"/>
      <c r="M68" s="165">
        <v>2060</v>
      </c>
      <c r="N68" s="166">
        <v>41189</v>
      </c>
      <c r="O68" s="165">
        <v>4121</v>
      </c>
      <c r="P68" s="165">
        <v>8750</v>
      </c>
      <c r="Q68" s="165" t="s">
        <v>2119</v>
      </c>
      <c r="R68" s="165" t="s">
        <v>2061</v>
      </c>
      <c r="S68" s="165" t="s">
        <v>2056</v>
      </c>
      <c r="T68" s="165"/>
    </row>
    <row r="69" spans="1:20" x14ac:dyDescent="0.3">
      <c r="A69" s="164">
        <v>45157</v>
      </c>
      <c r="B69" s="165" t="s">
        <v>3531</v>
      </c>
      <c r="C69" s="165" t="s">
        <v>2075</v>
      </c>
      <c r="D69" s="165" t="s">
        <v>27</v>
      </c>
      <c r="E69" s="165">
        <v>1</v>
      </c>
      <c r="F69" s="165"/>
      <c r="G69" s="165" t="s">
        <v>8</v>
      </c>
      <c r="H69" s="165" t="s">
        <v>57</v>
      </c>
      <c r="I69" s="165">
        <v>1001</v>
      </c>
      <c r="J69" s="165"/>
      <c r="K69" s="165"/>
      <c r="L69" s="165"/>
      <c r="M69" s="165">
        <v>0</v>
      </c>
      <c r="N69" s="166">
        <v>1001</v>
      </c>
      <c r="O69" s="165"/>
      <c r="P69" s="165"/>
      <c r="Q69" s="165">
        <v>45166</v>
      </c>
      <c r="R69" s="165"/>
      <c r="S69" s="165"/>
      <c r="T69" s="165"/>
    </row>
    <row r="70" spans="1:20" x14ac:dyDescent="0.3">
      <c r="A70" s="164">
        <v>45157</v>
      </c>
      <c r="B70" s="165" t="s">
        <v>3531</v>
      </c>
      <c r="C70" s="165" t="s">
        <v>2076</v>
      </c>
      <c r="D70" s="165" t="s">
        <v>1914</v>
      </c>
      <c r="E70" s="165"/>
      <c r="F70" s="165" t="s">
        <v>54</v>
      </c>
      <c r="G70" s="165" t="s">
        <v>26</v>
      </c>
      <c r="H70" s="165" t="s">
        <v>10</v>
      </c>
      <c r="I70" s="165">
        <v>299049</v>
      </c>
      <c r="J70" s="165">
        <v>2124</v>
      </c>
      <c r="K70" s="165">
        <v>2124</v>
      </c>
      <c r="L70" s="165"/>
      <c r="M70" s="165">
        <v>4248</v>
      </c>
      <c r="N70" s="166">
        <v>294801</v>
      </c>
      <c r="O70" s="165">
        <v>3758</v>
      </c>
      <c r="P70" s="165">
        <v>23600</v>
      </c>
      <c r="Q70" s="165" t="s">
        <v>2193</v>
      </c>
      <c r="R70" s="165" t="s">
        <v>2144</v>
      </c>
      <c r="S70" s="165" t="s">
        <v>2077</v>
      </c>
      <c r="T70" s="165"/>
    </row>
    <row r="71" spans="1:20" x14ac:dyDescent="0.3">
      <c r="A71" s="164">
        <v>45163</v>
      </c>
      <c r="B71" s="165" t="s">
        <v>3531</v>
      </c>
      <c r="C71" s="165" t="s">
        <v>2140</v>
      </c>
      <c r="D71" s="165" t="s">
        <v>2141</v>
      </c>
      <c r="E71" s="165"/>
      <c r="F71" s="165" t="s">
        <v>54</v>
      </c>
      <c r="G71" s="165" t="s">
        <v>26</v>
      </c>
      <c r="H71" s="165" t="s">
        <v>10</v>
      </c>
      <c r="I71" s="165">
        <v>681695</v>
      </c>
      <c r="J71" s="165">
        <v>2565</v>
      </c>
      <c r="K71" s="165">
        <v>2565</v>
      </c>
      <c r="L71" s="165"/>
      <c r="M71" s="165">
        <v>5130</v>
      </c>
      <c r="N71" s="166">
        <v>676565</v>
      </c>
      <c r="O71" s="165">
        <v>10696</v>
      </c>
      <c r="P71" s="165">
        <v>28500</v>
      </c>
      <c r="Q71" s="165">
        <v>45171</v>
      </c>
      <c r="R71" s="165" t="s">
        <v>2226</v>
      </c>
      <c r="S71" s="165" t="s">
        <v>2142</v>
      </c>
      <c r="T71" s="165"/>
    </row>
    <row r="72" spans="1:20" x14ac:dyDescent="0.3">
      <c r="A72" s="164">
        <v>45167</v>
      </c>
      <c r="B72" s="165" t="s">
        <v>3531</v>
      </c>
      <c r="C72" s="165" t="s">
        <v>2167</v>
      </c>
      <c r="D72" s="165" t="s">
        <v>3523</v>
      </c>
      <c r="E72" s="165">
        <v>5</v>
      </c>
      <c r="F72" s="165"/>
      <c r="G72" s="165" t="s">
        <v>26</v>
      </c>
      <c r="H72" s="165" t="s">
        <v>10</v>
      </c>
      <c r="I72" s="165">
        <v>51719</v>
      </c>
      <c r="J72" s="165">
        <v>45</v>
      </c>
      <c r="K72" s="165">
        <v>45</v>
      </c>
      <c r="L72" s="165"/>
      <c r="M72" s="165">
        <v>90</v>
      </c>
      <c r="N72" s="166">
        <v>51629</v>
      </c>
      <c r="O72" s="165">
        <v>25779</v>
      </c>
      <c r="P72" s="165">
        <v>500</v>
      </c>
      <c r="Q72" s="165" t="s">
        <v>2262</v>
      </c>
      <c r="R72" s="165">
        <v>45170</v>
      </c>
      <c r="S72" s="165" t="s">
        <v>2168</v>
      </c>
      <c r="T72" s="165"/>
    </row>
    <row r="73" spans="1:20" x14ac:dyDescent="0.3">
      <c r="A73" s="164">
        <v>45167</v>
      </c>
      <c r="B73" s="165" t="s">
        <v>3531</v>
      </c>
      <c r="C73" s="165" t="s">
        <v>2177</v>
      </c>
      <c r="D73" s="165" t="s">
        <v>53</v>
      </c>
      <c r="E73" s="165">
        <v>4</v>
      </c>
      <c r="F73" s="165"/>
      <c r="G73" s="165" t="s">
        <v>26</v>
      </c>
      <c r="H73" s="165" t="s">
        <v>10</v>
      </c>
      <c r="I73" s="165">
        <v>27184</v>
      </c>
      <c r="J73" s="165">
        <v>45</v>
      </c>
      <c r="K73" s="165">
        <v>45</v>
      </c>
      <c r="L73" s="165"/>
      <c r="M73" s="165">
        <v>90</v>
      </c>
      <c r="N73" s="166">
        <v>27094</v>
      </c>
      <c r="O73" s="165">
        <v>11774</v>
      </c>
      <c r="P73" s="165">
        <v>500</v>
      </c>
      <c r="Q73" s="165" t="s">
        <v>2261</v>
      </c>
      <c r="R73" s="165">
        <v>45170</v>
      </c>
      <c r="S73" s="165" t="s">
        <v>2178</v>
      </c>
      <c r="T73" s="165"/>
    </row>
    <row r="74" spans="1:20" x14ac:dyDescent="0.3">
      <c r="A74" s="164">
        <v>45168</v>
      </c>
      <c r="B74" s="165" t="s">
        <v>3531</v>
      </c>
      <c r="C74" s="165" t="s">
        <v>2188</v>
      </c>
      <c r="D74" s="165" t="s">
        <v>2189</v>
      </c>
      <c r="E74" s="165"/>
      <c r="F74" s="165" t="s">
        <v>54</v>
      </c>
      <c r="G74" s="165" t="s">
        <v>26</v>
      </c>
      <c r="H74" s="165" t="s">
        <v>10</v>
      </c>
      <c r="I74" s="165">
        <v>215674</v>
      </c>
      <c r="J74" s="165">
        <v>1400</v>
      </c>
      <c r="K74" s="165">
        <v>1400</v>
      </c>
      <c r="L74" s="165"/>
      <c r="M74" s="165">
        <v>2800</v>
      </c>
      <c r="N74" s="166">
        <v>212874</v>
      </c>
      <c r="O74" s="165">
        <v>9658</v>
      </c>
      <c r="P74" s="165">
        <v>15550</v>
      </c>
      <c r="Q74" s="165" t="s">
        <v>2309</v>
      </c>
      <c r="R74" s="165" t="s">
        <v>2228</v>
      </c>
      <c r="S74" s="165" t="s">
        <v>2190</v>
      </c>
      <c r="T74" s="165"/>
    </row>
    <row r="75" spans="1:20" x14ac:dyDescent="0.3">
      <c r="A75" s="164">
        <v>45168</v>
      </c>
      <c r="B75" s="165" t="s">
        <v>3531</v>
      </c>
      <c r="C75" s="165" t="s">
        <v>2208</v>
      </c>
      <c r="D75" s="165" t="s">
        <v>2209</v>
      </c>
      <c r="E75" s="165"/>
      <c r="F75" s="165" t="s">
        <v>54</v>
      </c>
      <c r="G75" s="165" t="s">
        <v>24</v>
      </c>
      <c r="H75" s="165" t="s">
        <v>2210</v>
      </c>
      <c r="I75" s="165">
        <v>76087</v>
      </c>
      <c r="J75" s="165">
        <v>720</v>
      </c>
      <c r="K75" s="165">
        <v>720</v>
      </c>
      <c r="L75" s="165"/>
      <c r="M75" s="165">
        <v>1440</v>
      </c>
      <c r="N75" s="166">
        <v>74647</v>
      </c>
      <c r="O75" s="165">
        <v>49978</v>
      </c>
      <c r="P75" s="165">
        <v>8000</v>
      </c>
      <c r="Q75" s="165" t="s">
        <v>2309</v>
      </c>
      <c r="R75" s="165" t="s">
        <v>2211</v>
      </c>
      <c r="S75" s="165"/>
      <c r="T75" s="165"/>
    </row>
    <row r="76" spans="1:20" x14ac:dyDescent="0.3">
      <c r="A76" s="164">
        <v>45171</v>
      </c>
      <c r="B76" s="165" t="s">
        <v>3532</v>
      </c>
      <c r="C76" s="165" t="s">
        <v>2222</v>
      </c>
      <c r="D76" s="165" t="s">
        <v>1954</v>
      </c>
      <c r="E76" s="165">
        <v>2</v>
      </c>
      <c r="F76" s="165"/>
      <c r="G76" s="165" t="s">
        <v>24</v>
      </c>
      <c r="H76" s="165" t="s">
        <v>2223</v>
      </c>
      <c r="I76" s="165">
        <v>14337</v>
      </c>
      <c r="J76" s="165">
        <v>135</v>
      </c>
      <c r="K76" s="165">
        <v>135</v>
      </c>
      <c r="L76" s="165"/>
      <c r="M76" s="165">
        <v>270</v>
      </c>
      <c r="N76" s="166">
        <v>14067</v>
      </c>
      <c r="O76" s="165">
        <v>12567</v>
      </c>
      <c r="P76" s="165">
        <v>1500</v>
      </c>
      <c r="Q76" s="165">
        <v>45178</v>
      </c>
      <c r="R76" s="165" t="s">
        <v>2224</v>
      </c>
      <c r="S76" s="165"/>
      <c r="T76" s="165"/>
    </row>
    <row r="77" spans="1:20" x14ac:dyDescent="0.3">
      <c r="A77" s="164">
        <v>45171</v>
      </c>
      <c r="B77" s="165" t="s">
        <v>3532</v>
      </c>
      <c r="C77" s="165" t="s">
        <v>2231</v>
      </c>
      <c r="D77" s="165" t="s">
        <v>2232</v>
      </c>
      <c r="E77" s="165">
        <v>1</v>
      </c>
      <c r="F77" s="165"/>
      <c r="G77" s="165" t="s">
        <v>26</v>
      </c>
      <c r="H77" s="165" t="s">
        <v>10</v>
      </c>
      <c r="I77" s="165">
        <v>255674</v>
      </c>
      <c r="J77" s="165">
        <v>270</v>
      </c>
      <c r="K77" s="165">
        <v>270</v>
      </c>
      <c r="L77" s="165"/>
      <c r="M77" s="165">
        <v>540</v>
      </c>
      <c r="N77" s="166">
        <v>255134</v>
      </c>
      <c r="O77" s="165">
        <v>252134</v>
      </c>
      <c r="P77" s="165">
        <v>3000</v>
      </c>
      <c r="Q77" s="165">
        <v>45174</v>
      </c>
      <c r="R77" s="165">
        <v>45174</v>
      </c>
      <c r="S77" s="165" t="s">
        <v>2233</v>
      </c>
      <c r="T77" s="165"/>
    </row>
    <row r="78" spans="1:20" x14ac:dyDescent="0.3">
      <c r="A78" s="164">
        <v>45173</v>
      </c>
      <c r="B78" s="165" t="s">
        <v>3532</v>
      </c>
      <c r="C78" s="165" t="s">
        <v>2235</v>
      </c>
      <c r="D78" s="165" t="s">
        <v>2234</v>
      </c>
      <c r="E78" s="165"/>
      <c r="F78" s="165" t="s">
        <v>54</v>
      </c>
      <c r="G78" s="165" t="s">
        <v>26</v>
      </c>
      <c r="H78" s="165" t="s">
        <v>10</v>
      </c>
      <c r="I78" s="165">
        <v>248086</v>
      </c>
      <c r="J78" s="165">
        <v>1580</v>
      </c>
      <c r="K78" s="165">
        <v>1580</v>
      </c>
      <c r="L78" s="165"/>
      <c r="M78" s="165">
        <v>3160</v>
      </c>
      <c r="N78" s="166">
        <v>244926</v>
      </c>
      <c r="O78" s="165">
        <v>21283</v>
      </c>
      <c r="P78" s="165">
        <v>17550</v>
      </c>
      <c r="Q78" s="165" t="s">
        <v>2347</v>
      </c>
      <c r="R78" s="165" t="s">
        <v>2308</v>
      </c>
      <c r="S78" s="165" t="s">
        <v>2236</v>
      </c>
      <c r="T78" s="165"/>
    </row>
    <row r="79" spans="1:20" x14ac:dyDescent="0.3">
      <c r="A79" s="164">
        <v>45173</v>
      </c>
      <c r="B79" s="165" t="s">
        <v>3532</v>
      </c>
      <c r="C79" s="165" t="s">
        <v>2239</v>
      </c>
      <c r="D79" s="165" t="s">
        <v>17</v>
      </c>
      <c r="E79" s="165">
        <v>1</v>
      </c>
      <c r="F79" s="165"/>
      <c r="G79" s="165" t="s">
        <v>26</v>
      </c>
      <c r="H79" s="165" t="s">
        <v>10</v>
      </c>
      <c r="I79" s="165">
        <v>13200</v>
      </c>
      <c r="J79" s="165">
        <v>165</v>
      </c>
      <c r="K79" s="165">
        <v>165</v>
      </c>
      <c r="L79" s="165"/>
      <c r="M79" s="165">
        <v>330</v>
      </c>
      <c r="N79" s="166">
        <v>12870</v>
      </c>
      <c r="O79" s="165">
        <v>4817</v>
      </c>
      <c r="P79" s="165">
        <v>1832</v>
      </c>
      <c r="Q79" s="165">
        <v>45182</v>
      </c>
      <c r="R79" s="165">
        <v>45178</v>
      </c>
      <c r="S79" s="165" t="s">
        <v>2240</v>
      </c>
      <c r="T79" s="165"/>
    </row>
    <row r="80" spans="1:20" x14ac:dyDescent="0.3">
      <c r="A80" s="164">
        <v>45173</v>
      </c>
      <c r="B80" s="165" t="s">
        <v>3532</v>
      </c>
      <c r="C80" s="165" t="s">
        <v>2246</v>
      </c>
      <c r="D80" s="165" t="s">
        <v>2247</v>
      </c>
      <c r="E80" s="165"/>
      <c r="F80" s="165" t="s">
        <v>54</v>
      </c>
      <c r="G80" s="165" t="s">
        <v>22</v>
      </c>
      <c r="H80" s="165" t="s">
        <v>10</v>
      </c>
      <c r="I80" s="165">
        <v>38600</v>
      </c>
      <c r="J80" s="165">
        <v>900</v>
      </c>
      <c r="K80" s="165">
        <v>900</v>
      </c>
      <c r="L80" s="165"/>
      <c r="M80" s="165">
        <v>1800</v>
      </c>
      <c r="N80" s="166">
        <v>36800</v>
      </c>
      <c r="O80" s="165">
        <v>26800</v>
      </c>
      <c r="P80" s="165">
        <v>10000</v>
      </c>
      <c r="Q80" s="165" t="s">
        <v>2354</v>
      </c>
      <c r="R80" s="165">
        <v>45178</v>
      </c>
      <c r="S80" s="165" t="s">
        <v>2248</v>
      </c>
      <c r="T80" s="165"/>
    </row>
    <row r="81" spans="1:20" x14ac:dyDescent="0.3">
      <c r="A81" s="164">
        <v>45174</v>
      </c>
      <c r="B81" s="165" t="s">
        <v>3532</v>
      </c>
      <c r="C81" s="165" t="s">
        <v>2259</v>
      </c>
      <c r="D81" s="165" t="s">
        <v>2258</v>
      </c>
      <c r="E81" s="165">
        <v>4</v>
      </c>
      <c r="F81" s="165" t="s">
        <v>54</v>
      </c>
      <c r="G81" s="165" t="s">
        <v>24</v>
      </c>
      <c r="H81" s="165" t="s">
        <v>2260</v>
      </c>
      <c r="I81" s="165">
        <v>36108</v>
      </c>
      <c r="J81" s="165">
        <v>630</v>
      </c>
      <c r="K81" s="165">
        <v>630</v>
      </c>
      <c r="L81" s="165"/>
      <c r="M81" s="165">
        <v>1260</v>
      </c>
      <c r="N81" s="166">
        <v>34848</v>
      </c>
      <c r="O81" s="165">
        <v>14560</v>
      </c>
      <c r="P81" s="165">
        <v>7000</v>
      </c>
      <c r="Q81" s="165" t="s">
        <v>2354</v>
      </c>
      <c r="R81" s="165" t="s">
        <v>2266</v>
      </c>
      <c r="S81" s="165"/>
      <c r="T81" s="165"/>
    </row>
    <row r="82" spans="1:20" x14ac:dyDescent="0.3">
      <c r="A82" s="164">
        <v>45176</v>
      </c>
      <c r="B82" s="165" t="s">
        <v>3532</v>
      </c>
      <c r="C82" s="165" t="s">
        <v>2281</v>
      </c>
      <c r="D82" s="165" t="s">
        <v>2289</v>
      </c>
      <c r="E82" s="165"/>
      <c r="F82" s="165" t="s">
        <v>60</v>
      </c>
      <c r="G82" s="165" t="s">
        <v>26</v>
      </c>
      <c r="H82" s="165" t="s">
        <v>10</v>
      </c>
      <c r="I82" s="165">
        <v>38246</v>
      </c>
      <c r="J82" s="165">
        <v>90</v>
      </c>
      <c r="K82" s="165">
        <v>90</v>
      </c>
      <c r="L82" s="165"/>
      <c r="M82" s="165">
        <v>180</v>
      </c>
      <c r="N82" s="166">
        <v>38066</v>
      </c>
      <c r="O82" s="165">
        <v>23314</v>
      </c>
      <c r="P82" s="165">
        <v>1000</v>
      </c>
      <c r="Q82" s="165" t="s">
        <v>2332</v>
      </c>
      <c r="R82" s="165" t="s">
        <v>2314</v>
      </c>
      <c r="S82" s="165" t="s">
        <v>2282</v>
      </c>
      <c r="T82" s="165"/>
    </row>
    <row r="83" spans="1:20" x14ac:dyDescent="0.3">
      <c r="A83" s="164">
        <v>45176</v>
      </c>
      <c r="B83" s="165" t="s">
        <v>3532</v>
      </c>
      <c r="C83" s="165" t="s">
        <v>2286</v>
      </c>
      <c r="D83" s="165" t="s">
        <v>2285</v>
      </c>
      <c r="E83" s="165"/>
      <c r="F83" s="165" t="s">
        <v>60</v>
      </c>
      <c r="G83" s="165" t="s">
        <v>2287</v>
      </c>
      <c r="H83" s="165" t="s">
        <v>2288</v>
      </c>
      <c r="I83" s="165">
        <v>10335</v>
      </c>
      <c r="J83" s="165">
        <v>153.5</v>
      </c>
      <c r="K83" s="165">
        <v>153.5</v>
      </c>
      <c r="L83" s="165"/>
      <c r="M83" s="165">
        <v>307</v>
      </c>
      <c r="N83" s="166">
        <v>10028</v>
      </c>
      <c r="O83" s="165">
        <v>8325.0499999999993</v>
      </c>
      <c r="P83" s="165">
        <v>1703</v>
      </c>
      <c r="Q83" s="165" t="s">
        <v>2332</v>
      </c>
      <c r="R83" s="165" t="s">
        <v>2274</v>
      </c>
      <c r="S83" s="165"/>
      <c r="T83" s="165"/>
    </row>
    <row r="84" spans="1:20" x14ac:dyDescent="0.3">
      <c r="A84" s="164">
        <v>45177</v>
      </c>
      <c r="B84" s="165" t="s">
        <v>3532</v>
      </c>
      <c r="C84" s="165" t="s">
        <v>2315</v>
      </c>
      <c r="D84" s="165" t="s">
        <v>2292</v>
      </c>
      <c r="E84" s="165"/>
      <c r="F84" s="165" t="s">
        <v>54</v>
      </c>
      <c r="G84" s="165" t="s">
        <v>9</v>
      </c>
      <c r="H84" s="165" t="s">
        <v>1134</v>
      </c>
      <c r="I84" s="165"/>
      <c r="J84" s="165"/>
      <c r="K84" s="165"/>
      <c r="L84" s="165"/>
      <c r="M84" s="165">
        <v>0</v>
      </c>
      <c r="N84" s="166">
        <v>0</v>
      </c>
      <c r="O84" s="165"/>
      <c r="P84" s="165"/>
      <c r="Q84" s="165"/>
      <c r="R84" s="165"/>
      <c r="S84" s="165"/>
      <c r="T84" s="165"/>
    </row>
    <row r="85" spans="1:20" x14ac:dyDescent="0.3">
      <c r="A85" s="164">
        <v>45177</v>
      </c>
      <c r="B85" s="165" t="s">
        <v>3532</v>
      </c>
      <c r="C85" s="165" t="s">
        <v>2327</v>
      </c>
      <c r="D85" s="165" t="s">
        <v>2329</v>
      </c>
      <c r="E85" s="165"/>
      <c r="F85" s="165" t="s">
        <v>60</v>
      </c>
      <c r="G85" s="165" t="s">
        <v>26</v>
      </c>
      <c r="H85" s="165" t="s">
        <v>10</v>
      </c>
      <c r="I85" s="165">
        <v>2484</v>
      </c>
      <c r="J85" s="165">
        <v>190</v>
      </c>
      <c r="K85" s="165">
        <v>190</v>
      </c>
      <c r="L85" s="165"/>
      <c r="M85" s="165">
        <v>380</v>
      </c>
      <c r="N85" s="166">
        <v>2104</v>
      </c>
      <c r="O85" s="165">
        <v>0</v>
      </c>
      <c r="P85" s="165">
        <v>2104</v>
      </c>
      <c r="Q85" s="165"/>
      <c r="R85" s="165" t="s">
        <v>2331</v>
      </c>
      <c r="S85" s="165" t="s">
        <v>2330</v>
      </c>
      <c r="T85" s="165"/>
    </row>
    <row r="86" spans="1:20" x14ac:dyDescent="0.3">
      <c r="A86" s="164">
        <v>45178</v>
      </c>
      <c r="B86" s="165" t="s">
        <v>3532</v>
      </c>
      <c r="C86" s="165" t="s">
        <v>2319</v>
      </c>
      <c r="D86" s="165" t="s">
        <v>2320</v>
      </c>
      <c r="E86" s="165"/>
      <c r="F86" s="165" t="s">
        <v>54</v>
      </c>
      <c r="G86" s="165" t="s">
        <v>26</v>
      </c>
      <c r="H86" s="165" t="s">
        <v>10</v>
      </c>
      <c r="I86" s="165">
        <v>258908</v>
      </c>
      <c r="J86" s="165">
        <v>1597.5</v>
      </c>
      <c r="K86" s="165">
        <v>1597.5</v>
      </c>
      <c r="L86" s="165"/>
      <c r="M86" s="165">
        <v>3195</v>
      </c>
      <c r="N86" s="166">
        <v>255713</v>
      </c>
      <c r="O86" s="165">
        <v>3537</v>
      </c>
      <c r="P86" s="165">
        <v>17750</v>
      </c>
      <c r="Q86" s="165" t="s">
        <v>2509</v>
      </c>
      <c r="R86" s="165" t="s">
        <v>2412</v>
      </c>
      <c r="S86" s="165" t="s">
        <v>2322</v>
      </c>
      <c r="T86" s="165"/>
    </row>
    <row r="87" spans="1:20" x14ac:dyDescent="0.3">
      <c r="A87" s="164">
        <v>45179</v>
      </c>
      <c r="B87" s="165" t="s">
        <v>3532</v>
      </c>
      <c r="C87" s="165" t="s">
        <v>2324</v>
      </c>
      <c r="D87" s="165" t="s">
        <v>3519</v>
      </c>
      <c r="E87" s="165">
        <v>2</v>
      </c>
      <c r="F87" s="165"/>
      <c r="G87" s="165" t="s">
        <v>26</v>
      </c>
      <c r="H87" s="165" t="s">
        <v>10</v>
      </c>
      <c r="I87" s="165">
        <v>14386</v>
      </c>
      <c r="J87" s="165">
        <v>82</v>
      </c>
      <c r="K87" s="165">
        <v>82</v>
      </c>
      <c r="L87" s="165"/>
      <c r="M87" s="165">
        <v>164</v>
      </c>
      <c r="N87" s="166">
        <v>14222</v>
      </c>
      <c r="O87" s="165">
        <v>7737</v>
      </c>
      <c r="P87" s="165">
        <v>906</v>
      </c>
      <c r="Q87" s="165">
        <v>45208</v>
      </c>
      <c r="R87" s="165">
        <v>45185</v>
      </c>
      <c r="S87" s="165" t="s">
        <v>2326</v>
      </c>
      <c r="T87" s="165"/>
    </row>
    <row r="88" spans="1:20" x14ac:dyDescent="0.3">
      <c r="A88" s="164">
        <v>45181</v>
      </c>
      <c r="B88" s="165" t="s">
        <v>3532</v>
      </c>
      <c r="C88" s="165" t="s">
        <v>2335</v>
      </c>
      <c r="D88" s="165" t="s">
        <v>2336</v>
      </c>
      <c r="E88" s="165">
        <v>1</v>
      </c>
      <c r="F88" s="165" t="s">
        <v>54</v>
      </c>
      <c r="G88" s="165" t="s">
        <v>24</v>
      </c>
      <c r="H88" s="165" t="s">
        <v>2337</v>
      </c>
      <c r="I88" s="165">
        <v>11532</v>
      </c>
      <c r="J88" s="165">
        <v>162</v>
      </c>
      <c r="K88" s="165">
        <v>162</v>
      </c>
      <c r="L88" s="165"/>
      <c r="M88" s="165">
        <v>324</v>
      </c>
      <c r="N88" s="166">
        <v>11208</v>
      </c>
      <c r="O88" s="165">
        <v>9408</v>
      </c>
      <c r="P88" s="165">
        <v>1800</v>
      </c>
      <c r="Q88" s="165" t="s">
        <v>2509</v>
      </c>
      <c r="R88" s="165" t="s">
        <v>2355</v>
      </c>
      <c r="S88" s="165"/>
      <c r="T88" s="165"/>
    </row>
    <row r="89" spans="1:20" x14ac:dyDescent="0.3">
      <c r="A89" s="164">
        <v>45183</v>
      </c>
      <c r="B89" s="165" t="s">
        <v>3532</v>
      </c>
      <c r="C89" s="165" t="s">
        <v>2344</v>
      </c>
      <c r="D89" s="165" t="s">
        <v>2525</v>
      </c>
      <c r="E89" s="165">
        <v>1</v>
      </c>
      <c r="F89" s="165"/>
      <c r="G89" s="165" t="s">
        <v>26</v>
      </c>
      <c r="H89" s="165" t="s">
        <v>10</v>
      </c>
      <c r="I89" s="165">
        <v>144971</v>
      </c>
      <c r="J89" s="165">
        <v>549</v>
      </c>
      <c r="K89" s="165">
        <v>549</v>
      </c>
      <c r="L89" s="165"/>
      <c r="M89" s="165">
        <v>1098</v>
      </c>
      <c r="N89" s="166">
        <v>143873</v>
      </c>
      <c r="O89" s="165">
        <v>132728</v>
      </c>
      <c r="P89" s="165">
        <v>6100</v>
      </c>
      <c r="Q89" s="165">
        <v>45185</v>
      </c>
      <c r="R89" s="165">
        <v>45185</v>
      </c>
      <c r="S89" s="165" t="s">
        <v>2346</v>
      </c>
      <c r="T89" s="165"/>
    </row>
    <row r="90" spans="1:20" x14ac:dyDescent="0.3">
      <c r="A90" s="164">
        <v>45183</v>
      </c>
      <c r="B90" s="165" t="s">
        <v>3532</v>
      </c>
      <c r="C90" s="165" t="s">
        <v>2413</v>
      </c>
      <c r="D90" s="165" t="s">
        <v>2414</v>
      </c>
      <c r="E90" s="165">
        <v>1</v>
      </c>
      <c r="F90" s="165"/>
      <c r="G90" s="165" t="s">
        <v>8</v>
      </c>
      <c r="H90" s="165" t="s">
        <v>57</v>
      </c>
      <c r="I90" s="165">
        <v>3516</v>
      </c>
      <c r="J90" s="165">
        <v>268.5</v>
      </c>
      <c r="K90" s="165">
        <v>268.5</v>
      </c>
      <c r="L90" s="165"/>
      <c r="M90" s="165">
        <v>537</v>
      </c>
      <c r="N90" s="166">
        <v>2979</v>
      </c>
      <c r="O90" s="165">
        <v>2979</v>
      </c>
      <c r="P90" s="165"/>
      <c r="Q90" s="165">
        <v>45166</v>
      </c>
      <c r="R90" s="165"/>
      <c r="S90" s="165"/>
      <c r="T90" s="165"/>
    </row>
    <row r="91" spans="1:20" x14ac:dyDescent="0.3">
      <c r="A91" s="164">
        <v>45187</v>
      </c>
      <c r="B91" s="165" t="s">
        <v>3532</v>
      </c>
      <c r="C91" s="165" t="s">
        <v>2415</v>
      </c>
      <c r="D91" s="165" t="s">
        <v>2416</v>
      </c>
      <c r="E91" s="165">
        <v>1</v>
      </c>
      <c r="F91" s="165" t="s">
        <v>54</v>
      </c>
      <c r="G91" s="165" t="s">
        <v>26</v>
      </c>
      <c r="H91" s="165" t="s">
        <v>10</v>
      </c>
      <c r="I91" s="165">
        <v>259895</v>
      </c>
      <c r="J91" s="165">
        <v>1823</v>
      </c>
      <c r="K91" s="165">
        <v>1823</v>
      </c>
      <c r="L91" s="165"/>
      <c r="M91" s="165">
        <v>3646</v>
      </c>
      <c r="N91" s="166">
        <v>256249</v>
      </c>
      <c r="O91" s="165">
        <v>118</v>
      </c>
      <c r="P91" s="165">
        <v>20250</v>
      </c>
      <c r="Q91" s="165" t="s">
        <v>2509</v>
      </c>
      <c r="R91" s="165" t="s">
        <v>2499</v>
      </c>
      <c r="S91" s="165" t="s">
        <v>2425</v>
      </c>
      <c r="T91" s="165"/>
    </row>
    <row r="92" spans="1:20" x14ac:dyDescent="0.3">
      <c r="A92" s="164">
        <v>45187</v>
      </c>
      <c r="B92" s="165" t="s">
        <v>3532</v>
      </c>
      <c r="C92" s="165" t="s">
        <v>2479</v>
      </c>
      <c r="D92" s="165" t="s">
        <v>2488</v>
      </c>
      <c r="E92" s="165"/>
      <c r="F92" s="165" t="s">
        <v>54</v>
      </c>
      <c r="G92" s="165" t="s">
        <v>26</v>
      </c>
      <c r="H92" s="165" t="s">
        <v>10</v>
      </c>
      <c r="I92" s="165">
        <v>72273</v>
      </c>
      <c r="J92" s="165">
        <v>284</v>
      </c>
      <c r="K92" s="165">
        <v>284</v>
      </c>
      <c r="L92" s="165"/>
      <c r="M92" s="165">
        <v>568</v>
      </c>
      <c r="N92" s="166">
        <v>71705</v>
      </c>
      <c r="O92" s="165">
        <v>68555</v>
      </c>
      <c r="P92" s="165">
        <v>3150</v>
      </c>
      <c r="Q92" s="165" t="s">
        <v>2500</v>
      </c>
      <c r="R92" s="165"/>
      <c r="S92" s="165" t="s">
        <v>2480</v>
      </c>
      <c r="T92" s="165"/>
    </row>
    <row r="93" spans="1:20" x14ac:dyDescent="0.3">
      <c r="A93" s="164">
        <v>45189</v>
      </c>
      <c r="B93" s="165" t="s">
        <v>3532</v>
      </c>
      <c r="C93" s="165" t="s">
        <v>2441</v>
      </c>
      <c r="D93" s="165" t="s">
        <v>2247</v>
      </c>
      <c r="E93" s="165"/>
      <c r="F93" s="165" t="s">
        <v>54</v>
      </c>
      <c r="G93" s="165" t="s">
        <v>22</v>
      </c>
      <c r="H93" s="165" t="s">
        <v>10</v>
      </c>
      <c r="I93" s="165">
        <v>28950</v>
      </c>
      <c r="J93" s="165">
        <v>675</v>
      </c>
      <c r="K93" s="165">
        <v>675</v>
      </c>
      <c r="L93" s="165"/>
      <c r="M93" s="165">
        <v>1350</v>
      </c>
      <c r="N93" s="166">
        <v>27600</v>
      </c>
      <c r="O93" s="165">
        <v>6700</v>
      </c>
      <c r="P93" s="165">
        <v>7500</v>
      </c>
      <c r="Q93" s="165" t="s">
        <v>2509</v>
      </c>
      <c r="R93" s="165">
        <v>45193</v>
      </c>
      <c r="S93" s="165" t="s">
        <v>2442</v>
      </c>
      <c r="T93" s="165"/>
    </row>
    <row r="94" spans="1:20" x14ac:dyDescent="0.3">
      <c r="A94" s="164">
        <v>45190</v>
      </c>
      <c r="B94" s="165" t="s">
        <v>3532</v>
      </c>
      <c r="C94" s="165" t="s">
        <v>2462</v>
      </c>
      <c r="D94" s="165" t="s">
        <v>1954</v>
      </c>
      <c r="E94" s="165">
        <v>1</v>
      </c>
      <c r="F94" s="165"/>
      <c r="G94" s="165" t="s">
        <v>24</v>
      </c>
      <c r="H94" s="165" t="s">
        <v>10</v>
      </c>
      <c r="I94" s="165">
        <v>11311</v>
      </c>
      <c r="J94" s="165">
        <v>180</v>
      </c>
      <c r="K94" s="165">
        <v>180</v>
      </c>
      <c r="L94" s="165"/>
      <c r="M94" s="165">
        <v>360</v>
      </c>
      <c r="N94" s="166">
        <v>10951</v>
      </c>
      <c r="O94" s="165">
        <v>8951</v>
      </c>
      <c r="P94" s="165">
        <v>2000</v>
      </c>
      <c r="Q94" s="165" t="s">
        <v>2628</v>
      </c>
      <c r="R94" s="165">
        <v>45193</v>
      </c>
      <c r="S94" s="165" t="s">
        <v>2463</v>
      </c>
      <c r="T94" s="165"/>
    </row>
    <row r="95" spans="1:20" x14ac:dyDescent="0.3">
      <c r="A95" s="164">
        <v>45191</v>
      </c>
      <c r="B95" s="165" t="s">
        <v>3532</v>
      </c>
      <c r="C95" s="165" t="s">
        <v>2464</v>
      </c>
      <c r="D95" s="165" t="s">
        <v>2493</v>
      </c>
      <c r="E95" s="165"/>
      <c r="F95" s="165" t="s">
        <v>54</v>
      </c>
      <c r="G95" s="165" t="s">
        <v>2287</v>
      </c>
      <c r="H95" s="165" t="s">
        <v>2288</v>
      </c>
      <c r="I95" s="165">
        <v>17259</v>
      </c>
      <c r="J95" s="165">
        <v>324</v>
      </c>
      <c r="K95" s="165">
        <v>324</v>
      </c>
      <c r="L95" s="165"/>
      <c r="M95" s="165">
        <v>648</v>
      </c>
      <c r="N95" s="166">
        <v>16611</v>
      </c>
      <c r="O95" s="165">
        <v>13010.33</v>
      </c>
      <c r="P95" s="165">
        <v>3600</v>
      </c>
      <c r="Q95" s="165" t="s">
        <v>2509</v>
      </c>
      <c r="R95" s="165" t="s">
        <v>2465</v>
      </c>
      <c r="S95" s="165"/>
      <c r="T95" s="165"/>
    </row>
    <row r="96" spans="1:20" x14ac:dyDescent="0.3">
      <c r="A96" s="164">
        <v>45195</v>
      </c>
      <c r="B96" s="165" t="s">
        <v>3532</v>
      </c>
      <c r="C96" s="165" t="s">
        <v>2502</v>
      </c>
      <c r="D96" s="165" t="s">
        <v>1591</v>
      </c>
      <c r="E96" s="165">
        <v>3</v>
      </c>
      <c r="F96" s="165" t="s">
        <v>1593</v>
      </c>
      <c r="G96" s="165" t="s">
        <v>26</v>
      </c>
      <c r="H96" s="165" t="s">
        <v>10</v>
      </c>
      <c r="I96" s="165">
        <v>18272</v>
      </c>
      <c r="J96" s="165"/>
      <c r="K96" s="165"/>
      <c r="L96" s="165">
        <v>36</v>
      </c>
      <c r="M96" s="165">
        <v>36</v>
      </c>
      <c r="N96" s="166">
        <v>71580</v>
      </c>
      <c r="O96" s="165">
        <v>18000</v>
      </c>
      <c r="P96" s="165">
        <v>200</v>
      </c>
      <c r="Q96" s="165">
        <v>45197</v>
      </c>
      <c r="R96" s="165">
        <v>45201</v>
      </c>
      <c r="S96" s="165" t="s">
        <v>2507</v>
      </c>
      <c r="T96" s="165"/>
    </row>
    <row r="97" spans="1:20" x14ac:dyDescent="0.3">
      <c r="A97" s="164">
        <v>45195</v>
      </c>
      <c r="B97" s="165" t="s">
        <v>3532</v>
      </c>
      <c r="C97" s="165" t="s">
        <v>2506</v>
      </c>
      <c r="D97" s="165" t="s">
        <v>262</v>
      </c>
      <c r="E97" s="165">
        <v>1</v>
      </c>
      <c r="F97" s="165" t="s">
        <v>60</v>
      </c>
      <c r="G97" s="165" t="s">
        <v>26</v>
      </c>
      <c r="H97" s="165" t="s">
        <v>10</v>
      </c>
      <c r="I97" s="165">
        <v>86057</v>
      </c>
      <c r="J97" s="165">
        <v>90</v>
      </c>
      <c r="K97" s="165">
        <v>90</v>
      </c>
      <c r="L97" s="165"/>
      <c r="M97" s="165">
        <v>180</v>
      </c>
      <c r="N97" s="166">
        <v>85877</v>
      </c>
      <c r="O97" s="165">
        <v>79059</v>
      </c>
      <c r="P97" s="165">
        <v>1000</v>
      </c>
      <c r="Q97" s="165">
        <v>45202</v>
      </c>
      <c r="R97" s="165">
        <v>45201</v>
      </c>
      <c r="S97" s="165" t="s">
        <v>2505</v>
      </c>
      <c r="T97" s="165"/>
    </row>
    <row r="98" spans="1:20" x14ac:dyDescent="0.3">
      <c r="A98" s="164">
        <v>45196</v>
      </c>
      <c r="B98" s="165" t="s">
        <v>3532</v>
      </c>
      <c r="C98" s="165" t="s">
        <v>2511</v>
      </c>
      <c r="D98" s="165" t="s">
        <v>2510</v>
      </c>
      <c r="E98" s="165">
        <v>1</v>
      </c>
      <c r="F98" s="165" t="s">
        <v>54</v>
      </c>
      <c r="G98" s="165" t="s">
        <v>26</v>
      </c>
      <c r="H98" s="165" t="s">
        <v>10</v>
      </c>
      <c r="I98" s="165">
        <v>99180</v>
      </c>
      <c r="J98" s="165">
        <v>648</v>
      </c>
      <c r="K98" s="165">
        <v>648</v>
      </c>
      <c r="L98" s="165"/>
      <c r="M98" s="165">
        <v>1296</v>
      </c>
      <c r="N98" s="166">
        <v>97884</v>
      </c>
      <c r="O98" s="165">
        <v>8436</v>
      </c>
      <c r="P98" s="165">
        <v>7200</v>
      </c>
      <c r="Q98" s="165" t="s">
        <v>2647</v>
      </c>
      <c r="R98" s="165" t="s">
        <v>2548</v>
      </c>
      <c r="S98" s="165" t="s">
        <v>2512</v>
      </c>
      <c r="T98" s="165"/>
    </row>
    <row r="99" spans="1:20" x14ac:dyDescent="0.3">
      <c r="A99" s="164">
        <v>45196</v>
      </c>
      <c r="B99" s="165" t="s">
        <v>3532</v>
      </c>
      <c r="C99" s="165" t="s">
        <v>2513</v>
      </c>
      <c r="D99" s="165" t="s">
        <v>2517</v>
      </c>
      <c r="E99" s="165">
        <v>2</v>
      </c>
      <c r="F99" s="165"/>
      <c r="G99" s="165" t="s">
        <v>26</v>
      </c>
      <c r="H99" s="165" t="s">
        <v>10</v>
      </c>
      <c r="I99" s="165">
        <v>41000</v>
      </c>
      <c r="J99" s="165">
        <v>133.5</v>
      </c>
      <c r="K99" s="165">
        <v>133.5</v>
      </c>
      <c r="L99" s="165"/>
      <c r="M99" s="165">
        <v>267</v>
      </c>
      <c r="N99" s="166">
        <v>40733</v>
      </c>
      <c r="O99" s="165">
        <v>13182</v>
      </c>
      <c r="P99" s="165">
        <v>1479</v>
      </c>
      <c r="Q99" s="165">
        <v>45204</v>
      </c>
      <c r="R99" s="165">
        <v>45201</v>
      </c>
      <c r="S99" s="165" t="s">
        <v>2514</v>
      </c>
      <c r="T99" s="165"/>
    </row>
    <row r="100" spans="1:20" x14ac:dyDescent="0.3">
      <c r="A100" s="164">
        <v>45198</v>
      </c>
      <c r="B100" s="165" t="s">
        <v>3532</v>
      </c>
      <c r="C100" s="165" t="s">
        <v>2516</v>
      </c>
      <c r="D100" s="165" t="s">
        <v>2345</v>
      </c>
      <c r="E100" s="165">
        <v>1</v>
      </c>
      <c r="F100" s="165"/>
      <c r="G100" s="165" t="s">
        <v>8</v>
      </c>
      <c r="H100" s="165" t="s">
        <v>57</v>
      </c>
      <c r="I100" s="165">
        <v>1221</v>
      </c>
      <c r="J100" s="165">
        <v>29</v>
      </c>
      <c r="K100" s="165">
        <v>29</v>
      </c>
      <c r="L100" s="165"/>
      <c r="M100" s="165">
        <v>58</v>
      </c>
      <c r="N100" s="166">
        <v>1163</v>
      </c>
      <c r="O100" s="165">
        <v>847</v>
      </c>
      <c r="P100" s="165">
        <v>316</v>
      </c>
      <c r="Q100" s="165">
        <v>45197</v>
      </c>
      <c r="R100" s="165" t="s">
        <v>2529</v>
      </c>
      <c r="S100" s="165">
        <v>10099542</v>
      </c>
      <c r="T100" s="165"/>
    </row>
    <row r="101" spans="1:20" x14ac:dyDescent="0.3">
      <c r="A101" s="164">
        <v>45198</v>
      </c>
      <c r="B101" s="165" t="s">
        <v>3532</v>
      </c>
      <c r="C101" s="165" t="s">
        <v>2522</v>
      </c>
      <c r="D101" s="165" t="s">
        <v>2524</v>
      </c>
      <c r="E101" s="165">
        <v>1</v>
      </c>
      <c r="F101" s="165"/>
      <c r="G101" s="165" t="s">
        <v>8</v>
      </c>
      <c r="H101" s="165" t="s">
        <v>57</v>
      </c>
      <c r="I101" s="165">
        <v>374</v>
      </c>
      <c r="J101" s="165">
        <v>29</v>
      </c>
      <c r="K101" s="165">
        <v>29</v>
      </c>
      <c r="L101" s="165"/>
      <c r="M101" s="165">
        <v>58</v>
      </c>
      <c r="N101" s="166">
        <v>316</v>
      </c>
      <c r="O101" s="165">
        <v>316</v>
      </c>
      <c r="P101" s="165"/>
      <c r="Q101" s="165">
        <v>45198</v>
      </c>
      <c r="R101" s="165" t="s">
        <v>2543</v>
      </c>
      <c r="S101" s="165"/>
      <c r="T101" s="165"/>
    </row>
    <row r="102" spans="1:20" x14ac:dyDescent="0.3">
      <c r="A102" s="164">
        <v>45198</v>
      </c>
      <c r="B102" s="165" t="s">
        <v>3532</v>
      </c>
      <c r="C102" s="165" t="s">
        <v>2523</v>
      </c>
      <c r="D102" s="165" t="s">
        <v>2567</v>
      </c>
      <c r="E102" s="165"/>
      <c r="F102" s="165"/>
      <c r="G102" s="165" t="s">
        <v>24</v>
      </c>
      <c r="H102" s="165" t="s">
        <v>2518</v>
      </c>
      <c r="I102" s="165">
        <v>524097</v>
      </c>
      <c r="J102" s="165">
        <v>4050</v>
      </c>
      <c r="K102" s="165">
        <v>4050</v>
      </c>
      <c r="L102" s="165"/>
      <c r="M102" s="165">
        <v>8100</v>
      </c>
      <c r="N102" s="166">
        <v>515997</v>
      </c>
      <c r="O102" s="165">
        <v>470997</v>
      </c>
      <c r="P102" s="165">
        <v>45000</v>
      </c>
      <c r="Q102" s="165">
        <v>45204</v>
      </c>
      <c r="R102" s="165" t="s">
        <v>2519</v>
      </c>
      <c r="S102" s="165"/>
      <c r="T102" s="165"/>
    </row>
    <row r="103" spans="1:20" x14ac:dyDescent="0.3">
      <c r="A103" s="164">
        <v>45202</v>
      </c>
      <c r="B103" s="165" t="s">
        <v>3533</v>
      </c>
      <c r="C103" s="165" t="s">
        <v>2544</v>
      </c>
      <c r="D103" s="165" t="s">
        <v>2549</v>
      </c>
      <c r="E103" s="165">
        <v>2</v>
      </c>
      <c r="F103" s="165"/>
      <c r="G103" s="165" t="s">
        <v>2550</v>
      </c>
      <c r="H103" s="165" t="s">
        <v>2551</v>
      </c>
      <c r="I103" s="165">
        <v>101980</v>
      </c>
      <c r="J103" s="165">
        <v>1330</v>
      </c>
      <c r="K103" s="165">
        <v>1330</v>
      </c>
      <c r="L103" s="165"/>
      <c r="M103" s="165">
        <v>2660</v>
      </c>
      <c r="N103" s="166">
        <v>99320</v>
      </c>
      <c r="O103" s="165">
        <v>84550</v>
      </c>
      <c r="P103" s="165">
        <v>14770</v>
      </c>
      <c r="Q103" s="165" t="s">
        <v>2552</v>
      </c>
      <c r="R103" s="165" t="s">
        <v>2553</v>
      </c>
      <c r="S103" s="165" t="s">
        <v>2572</v>
      </c>
      <c r="T103" s="165"/>
    </row>
    <row r="104" spans="1:20" x14ac:dyDescent="0.3">
      <c r="A104" s="164">
        <v>45202</v>
      </c>
      <c r="B104" s="165" t="s">
        <v>3533</v>
      </c>
      <c r="C104" s="165" t="s">
        <v>2555</v>
      </c>
      <c r="D104" s="165" t="s">
        <v>2545</v>
      </c>
      <c r="E104" s="165">
        <v>3</v>
      </c>
      <c r="F104" s="165" t="s">
        <v>1593</v>
      </c>
      <c r="G104" s="165" t="s">
        <v>14</v>
      </c>
      <c r="H104" s="165" t="s">
        <v>20</v>
      </c>
      <c r="I104" s="165">
        <v>268680</v>
      </c>
      <c r="J104" s="165"/>
      <c r="K104" s="165"/>
      <c r="L104" s="165">
        <v>12795</v>
      </c>
      <c r="M104" s="165">
        <v>12795</v>
      </c>
      <c r="N104" s="166">
        <v>255885</v>
      </c>
      <c r="O104" s="165">
        <v>204600</v>
      </c>
      <c r="P104" s="165">
        <v>51285</v>
      </c>
      <c r="Q104" s="165" t="s">
        <v>2564</v>
      </c>
      <c r="R104" s="165" t="s">
        <v>2565</v>
      </c>
      <c r="S104" s="165"/>
      <c r="T104" s="165"/>
    </row>
    <row r="105" spans="1:20" x14ac:dyDescent="0.3">
      <c r="A105" s="164">
        <v>45202</v>
      </c>
      <c r="B105" s="165" t="s">
        <v>3533</v>
      </c>
      <c r="C105" s="165" t="s">
        <v>2556</v>
      </c>
      <c r="D105" s="165" t="s">
        <v>2557</v>
      </c>
      <c r="E105" s="165"/>
      <c r="F105" s="165" t="s">
        <v>54</v>
      </c>
      <c r="G105" s="165" t="s">
        <v>26</v>
      </c>
      <c r="H105" s="165" t="s">
        <v>10</v>
      </c>
      <c r="I105" s="165">
        <v>216260</v>
      </c>
      <c r="J105" s="165">
        <v>1737</v>
      </c>
      <c r="K105" s="165">
        <v>1737</v>
      </c>
      <c r="L105" s="165"/>
      <c r="M105" s="165">
        <v>3474</v>
      </c>
      <c r="N105" s="166">
        <v>212786</v>
      </c>
      <c r="O105" s="165">
        <v>15858</v>
      </c>
      <c r="P105" s="165">
        <v>19300</v>
      </c>
      <c r="Q105" s="165">
        <v>45216</v>
      </c>
      <c r="R105" s="165" t="s">
        <v>2646</v>
      </c>
      <c r="S105" s="165" t="s">
        <v>2558</v>
      </c>
      <c r="T105" s="165"/>
    </row>
    <row r="106" spans="1:20" x14ac:dyDescent="0.3">
      <c r="A106" s="164">
        <v>45203</v>
      </c>
      <c r="B106" s="165" t="s">
        <v>3533</v>
      </c>
      <c r="C106" s="165" t="s">
        <v>2573</v>
      </c>
      <c r="D106" s="165" t="s">
        <v>2574</v>
      </c>
      <c r="E106" s="165"/>
      <c r="F106" s="165" t="s">
        <v>60</v>
      </c>
      <c r="G106" s="165" t="s">
        <v>26</v>
      </c>
      <c r="H106" s="165" t="s">
        <v>10</v>
      </c>
      <c r="I106" s="165">
        <v>19274</v>
      </c>
      <c r="J106" s="165">
        <v>63</v>
      </c>
      <c r="K106" s="165">
        <v>63</v>
      </c>
      <c r="L106" s="165"/>
      <c r="M106" s="165">
        <v>126</v>
      </c>
      <c r="N106" s="166">
        <v>19148</v>
      </c>
      <c r="O106" s="165">
        <v>11014</v>
      </c>
      <c r="P106" s="165">
        <v>700</v>
      </c>
      <c r="Q106" s="165">
        <v>45204</v>
      </c>
      <c r="R106" s="165" t="s">
        <v>2642</v>
      </c>
      <c r="S106" s="165" t="s">
        <v>2580</v>
      </c>
      <c r="T106" s="165"/>
    </row>
    <row r="107" spans="1:20" x14ac:dyDescent="0.3">
      <c r="A107" s="164">
        <v>45203</v>
      </c>
      <c r="B107" s="165" t="s">
        <v>3533</v>
      </c>
      <c r="C107" s="165" t="s">
        <v>2575</v>
      </c>
      <c r="D107" s="165" t="s">
        <v>2645</v>
      </c>
      <c r="E107" s="165"/>
      <c r="F107" s="165" t="s">
        <v>2644</v>
      </c>
      <c r="G107" s="165" t="s">
        <v>26</v>
      </c>
      <c r="H107" s="165" t="s">
        <v>10</v>
      </c>
      <c r="I107" s="165">
        <v>19274</v>
      </c>
      <c r="J107" s="165">
        <v>63</v>
      </c>
      <c r="K107" s="165">
        <v>63</v>
      </c>
      <c r="L107" s="165"/>
      <c r="M107" s="165">
        <v>126</v>
      </c>
      <c r="N107" s="166">
        <v>19148</v>
      </c>
      <c r="O107" s="165">
        <v>11014</v>
      </c>
      <c r="P107" s="165">
        <v>700</v>
      </c>
      <c r="Q107" s="165">
        <v>45209</v>
      </c>
      <c r="R107" s="165" t="s">
        <v>2642</v>
      </c>
      <c r="S107" s="165" t="s">
        <v>2580</v>
      </c>
      <c r="T107" s="165"/>
    </row>
    <row r="108" spans="1:20" x14ac:dyDescent="0.3">
      <c r="A108" s="164">
        <v>45203</v>
      </c>
      <c r="B108" s="165" t="s">
        <v>3533</v>
      </c>
      <c r="C108" s="165" t="s">
        <v>2576</v>
      </c>
      <c r="D108" s="165" t="s">
        <v>2577</v>
      </c>
      <c r="E108" s="165"/>
      <c r="F108" s="165"/>
      <c r="G108" s="165" t="s">
        <v>26</v>
      </c>
      <c r="H108" s="165" t="s">
        <v>10</v>
      </c>
      <c r="I108" s="165">
        <v>19120</v>
      </c>
      <c r="J108" s="165">
        <v>36</v>
      </c>
      <c r="K108" s="165">
        <v>36</v>
      </c>
      <c r="L108" s="165"/>
      <c r="M108" s="165">
        <v>72</v>
      </c>
      <c r="N108" s="166">
        <v>19048</v>
      </c>
      <c r="O108" s="165">
        <v>11014</v>
      </c>
      <c r="P108" s="165">
        <v>400</v>
      </c>
      <c r="Q108" s="165">
        <v>45215</v>
      </c>
      <c r="R108" s="165" t="s">
        <v>2642</v>
      </c>
      <c r="S108" s="165" t="s">
        <v>2580</v>
      </c>
      <c r="T108" s="165"/>
    </row>
    <row r="109" spans="1:20" x14ac:dyDescent="0.3">
      <c r="A109" s="164">
        <v>45203</v>
      </c>
      <c r="B109" s="165" t="s">
        <v>3533</v>
      </c>
      <c r="C109" s="165" t="s">
        <v>2584</v>
      </c>
      <c r="D109" s="165" t="s">
        <v>2585</v>
      </c>
      <c r="E109" s="165"/>
      <c r="F109" s="165" t="s">
        <v>54</v>
      </c>
      <c r="G109" s="165" t="s">
        <v>547</v>
      </c>
      <c r="H109" s="165" t="s">
        <v>1134</v>
      </c>
      <c r="I109" s="165">
        <v>82414</v>
      </c>
      <c r="J109" s="165">
        <v>1963</v>
      </c>
      <c r="K109" s="165">
        <v>1963</v>
      </c>
      <c r="L109" s="165"/>
      <c r="M109" s="165">
        <v>3926</v>
      </c>
      <c r="N109" s="166">
        <v>78488</v>
      </c>
      <c r="O109" s="165"/>
      <c r="P109" s="165">
        <v>16250</v>
      </c>
      <c r="Q109" s="165" t="s">
        <v>2647</v>
      </c>
      <c r="R109" s="165">
        <v>45204</v>
      </c>
      <c r="S109" s="165"/>
      <c r="T109" s="165"/>
    </row>
    <row r="110" spans="1:20" x14ac:dyDescent="0.3">
      <c r="A110" s="164">
        <v>45204</v>
      </c>
      <c r="B110" s="165" t="s">
        <v>3533</v>
      </c>
      <c r="C110" s="165" t="s">
        <v>2615</v>
      </c>
      <c r="D110" s="165" t="s">
        <v>19</v>
      </c>
      <c r="E110" s="165">
        <v>1</v>
      </c>
      <c r="F110" s="165"/>
      <c r="G110" s="165" t="s">
        <v>26</v>
      </c>
      <c r="H110" s="165" t="s">
        <v>10</v>
      </c>
      <c r="I110" s="165">
        <v>57891</v>
      </c>
      <c r="J110" s="165">
        <v>90</v>
      </c>
      <c r="K110" s="165">
        <v>90</v>
      </c>
      <c r="L110" s="165"/>
      <c r="M110" s="165">
        <v>180</v>
      </c>
      <c r="N110" s="166">
        <v>57711</v>
      </c>
      <c r="O110" s="165">
        <v>56711</v>
      </c>
      <c r="P110" s="165">
        <v>1000</v>
      </c>
      <c r="Q110" s="165">
        <v>45210</v>
      </c>
      <c r="R110" s="165" t="s">
        <v>2643</v>
      </c>
      <c r="S110" s="165" t="s">
        <v>2616</v>
      </c>
      <c r="T110" s="165"/>
    </row>
    <row r="111" spans="1:20" x14ac:dyDescent="0.3">
      <c r="A111" s="164">
        <v>45214</v>
      </c>
      <c r="B111" s="165" t="s">
        <v>3533</v>
      </c>
      <c r="C111" s="165" t="s">
        <v>2649</v>
      </c>
      <c r="D111" s="165" t="s">
        <v>2650</v>
      </c>
      <c r="E111" s="165"/>
      <c r="F111" s="165" t="s">
        <v>54</v>
      </c>
      <c r="G111" s="165" t="s">
        <v>26</v>
      </c>
      <c r="H111" s="165" t="s">
        <v>10</v>
      </c>
      <c r="I111" s="165">
        <v>501252</v>
      </c>
      <c r="J111" s="165">
        <v>2956.5</v>
      </c>
      <c r="K111" s="165">
        <v>2956.5</v>
      </c>
      <c r="L111" s="165"/>
      <c r="M111" s="165">
        <v>5913</v>
      </c>
      <c r="N111" s="166">
        <v>495339</v>
      </c>
      <c r="O111" s="165">
        <v>9921</v>
      </c>
      <c r="P111" s="165">
        <v>32850</v>
      </c>
      <c r="Q111" s="165" t="s">
        <v>2840</v>
      </c>
      <c r="R111" s="165" t="s">
        <v>2653</v>
      </c>
      <c r="S111" s="165" t="s">
        <v>2651</v>
      </c>
      <c r="T111" s="165"/>
    </row>
    <row r="112" spans="1:20" x14ac:dyDescent="0.3">
      <c r="A112" s="164">
        <v>45216</v>
      </c>
      <c r="B112" s="165" t="s">
        <v>3533</v>
      </c>
      <c r="C112" s="165" t="s">
        <v>2654</v>
      </c>
      <c r="D112" s="165" t="s">
        <v>833</v>
      </c>
      <c r="E112" s="165">
        <v>1</v>
      </c>
      <c r="F112" s="165"/>
      <c r="G112" s="165" t="s">
        <v>26</v>
      </c>
      <c r="H112" s="165" t="s">
        <v>10</v>
      </c>
      <c r="I112" s="165">
        <v>6700</v>
      </c>
      <c r="J112" s="165">
        <v>11.5</v>
      </c>
      <c r="K112" s="165">
        <v>11.5</v>
      </c>
      <c r="L112" s="165"/>
      <c r="M112" s="165">
        <v>23</v>
      </c>
      <c r="N112" s="166">
        <v>6677</v>
      </c>
      <c r="O112" s="165">
        <v>6526</v>
      </c>
      <c r="P112" s="165">
        <v>123</v>
      </c>
      <c r="Q112" s="165" t="s">
        <v>2989</v>
      </c>
      <c r="R112" s="165">
        <v>45217</v>
      </c>
      <c r="S112" s="165" t="s">
        <v>2655</v>
      </c>
      <c r="T112" s="165"/>
    </row>
    <row r="113" spans="1:20" x14ac:dyDescent="0.3">
      <c r="A113" s="164">
        <v>45217</v>
      </c>
      <c r="B113" s="165" t="s">
        <v>3533</v>
      </c>
      <c r="C113" s="165" t="s">
        <v>2656</v>
      </c>
      <c r="D113" s="165" t="s">
        <v>2657</v>
      </c>
      <c r="E113" s="165">
        <v>2</v>
      </c>
      <c r="F113" s="165"/>
      <c r="G113" s="165" t="s">
        <v>26</v>
      </c>
      <c r="H113" s="165" t="s">
        <v>2682</v>
      </c>
      <c r="I113" s="165">
        <v>15144</v>
      </c>
      <c r="J113" s="165"/>
      <c r="K113" s="165"/>
      <c r="L113" s="165">
        <v>754</v>
      </c>
      <c r="M113" s="165">
        <v>754</v>
      </c>
      <c r="N113" s="166">
        <v>14390</v>
      </c>
      <c r="O113" s="165">
        <v>10206</v>
      </c>
      <c r="P113" s="165">
        <v>4184</v>
      </c>
      <c r="Q113" s="165" t="s">
        <v>2658</v>
      </c>
      <c r="R113" s="165" t="s">
        <v>2683</v>
      </c>
      <c r="S113" s="165" t="s">
        <v>2684</v>
      </c>
      <c r="T113" s="165"/>
    </row>
    <row r="114" spans="1:20" x14ac:dyDescent="0.3">
      <c r="A114" s="164">
        <v>45219</v>
      </c>
      <c r="B114" s="165" t="s">
        <v>3533</v>
      </c>
      <c r="C114" s="165" t="s">
        <v>2738</v>
      </c>
      <c r="D114" s="165" t="s">
        <v>3524</v>
      </c>
      <c r="E114" s="165"/>
      <c r="F114" s="165"/>
      <c r="G114" s="165" t="s">
        <v>14</v>
      </c>
      <c r="H114" s="165" t="s">
        <v>2687</v>
      </c>
      <c r="I114" s="165">
        <v>92500</v>
      </c>
      <c r="J114" s="165">
        <v>2203</v>
      </c>
      <c r="K114" s="165">
        <v>2203</v>
      </c>
      <c r="L114" s="165"/>
      <c r="M114" s="165">
        <v>4406</v>
      </c>
      <c r="N114" s="166">
        <v>88094</v>
      </c>
      <c r="O114" s="165">
        <v>69300</v>
      </c>
      <c r="P114" s="165">
        <v>18794</v>
      </c>
      <c r="Q114" s="165">
        <v>45261</v>
      </c>
      <c r="R114" s="165" t="s">
        <v>2688</v>
      </c>
      <c r="S114" s="165"/>
      <c r="T114" s="165"/>
    </row>
    <row r="115" spans="1:20" x14ac:dyDescent="0.3">
      <c r="A115" s="164">
        <v>45222</v>
      </c>
      <c r="B115" s="165" t="s">
        <v>3533</v>
      </c>
      <c r="C115" s="165" t="s">
        <v>2739</v>
      </c>
      <c r="D115" s="165" t="s">
        <v>2740</v>
      </c>
      <c r="E115" s="165">
        <v>1</v>
      </c>
      <c r="F115" s="165" t="s">
        <v>54</v>
      </c>
      <c r="G115" s="165" t="s">
        <v>24</v>
      </c>
      <c r="H115" s="165" t="s">
        <v>10</v>
      </c>
      <c r="I115" s="165">
        <v>6509</v>
      </c>
      <c r="J115" s="165">
        <v>90</v>
      </c>
      <c r="K115" s="165">
        <v>90</v>
      </c>
      <c r="L115" s="165"/>
      <c r="M115" s="165">
        <v>180</v>
      </c>
      <c r="N115" s="166">
        <v>6329</v>
      </c>
      <c r="O115" s="165">
        <v>5329</v>
      </c>
      <c r="P115" s="165">
        <v>1000</v>
      </c>
      <c r="Q115" s="165" t="s">
        <v>2840</v>
      </c>
      <c r="R115" s="165" t="s">
        <v>2746</v>
      </c>
      <c r="S115" s="165" t="s">
        <v>2741</v>
      </c>
      <c r="T115" s="165"/>
    </row>
    <row r="116" spans="1:20" x14ac:dyDescent="0.3">
      <c r="A116" s="164">
        <v>45222</v>
      </c>
      <c r="B116" s="165" t="s">
        <v>3533</v>
      </c>
      <c r="C116" s="165" t="s">
        <v>2749</v>
      </c>
      <c r="D116" s="165" t="s">
        <v>2760</v>
      </c>
      <c r="E116" s="165">
        <v>3</v>
      </c>
      <c r="F116" s="165"/>
      <c r="G116" s="165" t="s">
        <v>14</v>
      </c>
      <c r="H116" s="165" t="s">
        <v>2318</v>
      </c>
      <c r="I116" s="165">
        <v>227540</v>
      </c>
      <c r="J116" s="165">
        <v>5418</v>
      </c>
      <c r="K116" s="165">
        <v>5418</v>
      </c>
      <c r="L116" s="165"/>
      <c r="M116" s="165">
        <v>10836</v>
      </c>
      <c r="N116" s="166">
        <v>216704</v>
      </c>
      <c r="O116" s="165">
        <v>172700</v>
      </c>
      <c r="P116" s="165">
        <v>44004</v>
      </c>
      <c r="Q116" s="165" t="s">
        <v>2284</v>
      </c>
      <c r="R116" s="165" t="s">
        <v>1863</v>
      </c>
      <c r="S116" s="165"/>
      <c r="T116" s="165"/>
    </row>
    <row r="117" spans="1:20" x14ac:dyDescent="0.3">
      <c r="A117" s="164">
        <v>45223</v>
      </c>
      <c r="B117" s="165" t="s">
        <v>3533</v>
      </c>
      <c r="C117" s="165" t="s">
        <v>2759</v>
      </c>
      <c r="D117" s="165" t="s">
        <v>2750</v>
      </c>
      <c r="E117" s="165"/>
      <c r="F117" s="165" t="s">
        <v>54</v>
      </c>
      <c r="G117" s="165" t="s">
        <v>26</v>
      </c>
      <c r="H117" s="165" t="s">
        <v>10</v>
      </c>
      <c r="I117" s="165">
        <v>591188</v>
      </c>
      <c r="J117" s="165">
        <v>4194</v>
      </c>
      <c r="K117" s="165">
        <v>4194</v>
      </c>
      <c r="L117" s="165"/>
      <c r="M117" s="165">
        <v>8388</v>
      </c>
      <c r="N117" s="166">
        <v>582800</v>
      </c>
      <c r="O117" s="165">
        <v>1637</v>
      </c>
      <c r="P117" s="165">
        <v>46600</v>
      </c>
      <c r="Q117" s="165" t="s">
        <v>2955</v>
      </c>
      <c r="R117" s="165" t="s">
        <v>2901</v>
      </c>
      <c r="S117" s="165" t="s">
        <v>2776</v>
      </c>
      <c r="T117" s="165"/>
    </row>
    <row r="118" spans="1:20" x14ac:dyDescent="0.3">
      <c r="A118" s="164">
        <v>45224</v>
      </c>
      <c r="B118" s="165" t="s">
        <v>3533</v>
      </c>
      <c r="C118" s="165" t="s">
        <v>2747</v>
      </c>
      <c r="D118" s="165" t="s">
        <v>2748</v>
      </c>
      <c r="E118" s="165">
        <v>1</v>
      </c>
      <c r="F118" s="165" t="s">
        <v>60</v>
      </c>
      <c r="G118" s="165" t="s">
        <v>26</v>
      </c>
      <c r="H118" s="165" t="s">
        <v>10</v>
      </c>
      <c r="I118" s="165">
        <v>15380</v>
      </c>
      <c r="J118" s="165">
        <v>36</v>
      </c>
      <c r="K118" s="165">
        <v>36</v>
      </c>
      <c r="L118" s="165"/>
      <c r="M118" s="165">
        <v>72</v>
      </c>
      <c r="N118" s="166">
        <v>15308</v>
      </c>
      <c r="O118" s="165">
        <v>14908</v>
      </c>
      <c r="P118" s="165">
        <v>400</v>
      </c>
      <c r="Q118" s="165" t="s">
        <v>2751</v>
      </c>
      <c r="R118" s="165" t="s">
        <v>2994</v>
      </c>
      <c r="S118" s="165"/>
      <c r="T118" s="165"/>
    </row>
    <row r="119" spans="1:20" x14ac:dyDescent="0.3">
      <c r="A119" s="164">
        <v>45224</v>
      </c>
      <c r="B119" s="165" t="s">
        <v>3533</v>
      </c>
      <c r="C119" s="165" t="s">
        <v>2752</v>
      </c>
      <c r="D119" s="165" t="s">
        <v>2645</v>
      </c>
      <c r="E119" s="165"/>
      <c r="F119" s="165" t="s">
        <v>2644</v>
      </c>
      <c r="G119" s="165" t="s">
        <v>26</v>
      </c>
      <c r="H119" s="165" t="s">
        <v>10</v>
      </c>
      <c r="I119" s="165">
        <v>15380</v>
      </c>
      <c r="J119" s="165">
        <v>36</v>
      </c>
      <c r="K119" s="165">
        <v>36</v>
      </c>
      <c r="L119" s="165"/>
      <c r="M119" s="165">
        <v>72</v>
      </c>
      <c r="N119" s="166">
        <v>15308</v>
      </c>
      <c r="O119" s="165">
        <v>14908</v>
      </c>
      <c r="P119" s="165">
        <v>400</v>
      </c>
      <c r="Q119" s="165" t="s">
        <v>2751</v>
      </c>
      <c r="R119" s="165" t="s">
        <v>2783</v>
      </c>
      <c r="S119" s="165"/>
      <c r="T119" s="165"/>
    </row>
    <row r="120" spans="1:20" x14ac:dyDescent="0.3">
      <c r="A120" s="164">
        <v>45224</v>
      </c>
      <c r="B120" s="165" t="s">
        <v>3533</v>
      </c>
      <c r="C120" s="165" t="s">
        <v>2753</v>
      </c>
      <c r="D120" s="165" t="s">
        <v>2577</v>
      </c>
      <c r="E120" s="165"/>
      <c r="F120" s="165"/>
      <c r="G120" s="165" t="s">
        <v>26</v>
      </c>
      <c r="H120" s="165" t="s">
        <v>10</v>
      </c>
      <c r="I120" s="165">
        <v>15380</v>
      </c>
      <c r="J120" s="165">
        <v>36</v>
      </c>
      <c r="K120" s="165">
        <v>36</v>
      </c>
      <c r="L120" s="165"/>
      <c r="M120" s="165">
        <v>72</v>
      </c>
      <c r="N120" s="166">
        <v>15308</v>
      </c>
      <c r="O120" s="165">
        <v>14908</v>
      </c>
      <c r="P120" s="165">
        <v>400</v>
      </c>
      <c r="Q120" s="165" t="s">
        <v>2751</v>
      </c>
      <c r="R120" s="165" t="s">
        <v>2990</v>
      </c>
      <c r="S120" s="165"/>
      <c r="T120" s="165"/>
    </row>
    <row r="121" spans="1:20" x14ac:dyDescent="0.3">
      <c r="A121" s="164">
        <v>45225</v>
      </c>
      <c r="B121" s="165" t="s">
        <v>3533</v>
      </c>
      <c r="C121" s="165" t="s">
        <v>2771</v>
      </c>
      <c r="D121" s="165" t="s">
        <v>2549</v>
      </c>
      <c r="E121" s="165">
        <v>1</v>
      </c>
      <c r="F121" s="165"/>
      <c r="G121" s="165" t="s">
        <v>22</v>
      </c>
      <c r="H121" s="165" t="s">
        <v>58</v>
      </c>
      <c r="I121" s="165">
        <v>9110</v>
      </c>
      <c r="J121" s="165">
        <v>135</v>
      </c>
      <c r="K121" s="165">
        <v>135</v>
      </c>
      <c r="L121" s="165"/>
      <c r="M121" s="165">
        <v>270</v>
      </c>
      <c r="N121" s="166">
        <v>71580</v>
      </c>
      <c r="O121" s="165">
        <v>7070</v>
      </c>
      <c r="P121" s="165">
        <v>1500</v>
      </c>
      <c r="Q121" s="165">
        <v>45243</v>
      </c>
      <c r="R121" s="165">
        <v>45225</v>
      </c>
      <c r="S121" s="165" t="s">
        <v>2792</v>
      </c>
      <c r="T121" s="165"/>
    </row>
    <row r="122" spans="1:20" x14ac:dyDescent="0.3">
      <c r="A122" s="164">
        <v>45226</v>
      </c>
      <c r="B122" s="165" t="s">
        <v>3533</v>
      </c>
      <c r="C122" s="165" t="s">
        <v>2778</v>
      </c>
      <c r="D122" s="165" t="s">
        <v>847</v>
      </c>
      <c r="E122" s="165">
        <v>5</v>
      </c>
      <c r="F122" s="165"/>
      <c r="G122" s="165" t="s">
        <v>26</v>
      </c>
      <c r="H122" s="165" t="s">
        <v>10</v>
      </c>
      <c r="I122" s="165">
        <v>17158</v>
      </c>
      <c r="J122" s="165">
        <v>90</v>
      </c>
      <c r="K122" s="165">
        <v>90</v>
      </c>
      <c r="L122" s="165"/>
      <c r="M122" s="165">
        <v>180</v>
      </c>
      <c r="N122" s="166">
        <v>16978</v>
      </c>
      <c r="O122" s="165">
        <v>15978</v>
      </c>
      <c r="P122" s="165">
        <v>1000</v>
      </c>
      <c r="Q122" s="165" t="s">
        <v>3106</v>
      </c>
      <c r="R122" s="165" t="s">
        <v>2850</v>
      </c>
      <c r="S122" s="165" t="s">
        <v>2779</v>
      </c>
      <c r="T122" s="165"/>
    </row>
    <row r="123" spans="1:20" x14ac:dyDescent="0.3">
      <c r="A123" s="164">
        <v>45226</v>
      </c>
      <c r="B123" s="165" t="s">
        <v>3533</v>
      </c>
      <c r="C123" s="165" t="s">
        <v>2784</v>
      </c>
      <c r="D123" s="165" t="s">
        <v>2785</v>
      </c>
      <c r="E123" s="165">
        <v>5</v>
      </c>
      <c r="F123" s="165"/>
      <c r="G123" s="165" t="s">
        <v>26</v>
      </c>
      <c r="H123" s="165" t="s">
        <v>10</v>
      </c>
      <c r="I123" s="165">
        <v>17158</v>
      </c>
      <c r="J123" s="165">
        <v>90</v>
      </c>
      <c r="K123" s="165">
        <v>90</v>
      </c>
      <c r="L123" s="165"/>
      <c r="M123" s="165">
        <v>180</v>
      </c>
      <c r="N123" s="166">
        <v>16978</v>
      </c>
      <c r="O123" s="165">
        <v>15978</v>
      </c>
      <c r="P123" s="165">
        <v>1000</v>
      </c>
      <c r="Q123" s="165" t="s">
        <v>2991</v>
      </c>
      <c r="R123" s="165" t="s">
        <v>2850</v>
      </c>
      <c r="S123" s="165" t="s">
        <v>2779</v>
      </c>
      <c r="T123" s="165"/>
    </row>
    <row r="124" spans="1:20" x14ac:dyDescent="0.3">
      <c r="A124" s="164">
        <v>45226</v>
      </c>
      <c r="B124" s="165" t="s">
        <v>3533</v>
      </c>
      <c r="C124" s="165" t="s">
        <v>2786</v>
      </c>
      <c r="D124" s="165" t="s">
        <v>2787</v>
      </c>
      <c r="E124" s="165">
        <v>5</v>
      </c>
      <c r="F124" s="165"/>
      <c r="G124" s="165" t="s">
        <v>26</v>
      </c>
      <c r="H124" s="165" t="s">
        <v>10</v>
      </c>
      <c r="I124" s="165">
        <v>17158</v>
      </c>
      <c r="J124" s="165">
        <v>90</v>
      </c>
      <c r="K124" s="165">
        <v>90</v>
      </c>
      <c r="L124" s="165"/>
      <c r="M124" s="165">
        <v>180</v>
      </c>
      <c r="N124" s="166">
        <v>16978</v>
      </c>
      <c r="O124" s="165">
        <v>15978</v>
      </c>
      <c r="P124" s="165">
        <v>1000</v>
      </c>
      <c r="Q124" s="165">
        <v>45240</v>
      </c>
      <c r="R124" s="165" t="s">
        <v>2850</v>
      </c>
      <c r="S124" s="165" t="s">
        <v>2779</v>
      </c>
      <c r="T124" s="165"/>
    </row>
    <row r="125" spans="1:20" x14ac:dyDescent="0.3">
      <c r="A125" s="164">
        <v>45226</v>
      </c>
      <c r="B125" s="165" t="s">
        <v>3533</v>
      </c>
      <c r="C125" s="165" t="s">
        <v>2788</v>
      </c>
      <c r="D125" s="165" t="s">
        <v>2789</v>
      </c>
      <c r="E125" s="165">
        <v>5</v>
      </c>
      <c r="F125" s="165"/>
      <c r="G125" s="165" t="s">
        <v>26</v>
      </c>
      <c r="H125" s="165" t="s">
        <v>10</v>
      </c>
      <c r="I125" s="165">
        <v>17158</v>
      </c>
      <c r="J125" s="165">
        <v>90</v>
      </c>
      <c r="K125" s="165">
        <v>90</v>
      </c>
      <c r="L125" s="165"/>
      <c r="M125" s="165">
        <v>180</v>
      </c>
      <c r="N125" s="166">
        <v>16978</v>
      </c>
      <c r="O125" s="165">
        <v>15978</v>
      </c>
      <c r="P125" s="165">
        <v>1000</v>
      </c>
      <c r="Q125" s="165" t="s">
        <v>2991</v>
      </c>
      <c r="R125" s="165" t="s">
        <v>2850</v>
      </c>
      <c r="S125" s="165" t="s">
        <v>2779</v>
      </c>
      <c r="T125" s="165"/>
    </row>
    <row r="126" spans="1:20" x14ac:dyDescent="0.3">
      <c r="A126" s="164">
        <v>45226</v>
      </c>
      <c r="B126" s="165" t="s">
        <v>3533</v>
      </c>
      <c r="C126" s="165" t="s">
        <v>2790</v>
      </c>
      <c r="D126" s="165" t="s">
        <v>2791</v>
      </c>
      <c r="E126" s="165">
        <v>5</v>
      </c>
      <c r="F126" s="165"/>
      <c r="G126" s="165" t="s">
        <v>26</v>
      </c>
      <c r="H126" s="165" t="s">
        <v>10</v>
      </c>
      <c r="I126" s="165">
        <v>17158</v>
      </c>
      <c r="J126" s="165">
        <v>90</v>
      </c>
      <c r="K126" s="165">
        <v>90</v>
      </c>
      <c r="L126" s="165"/>
      <c r="M126" s="165">
        <v>180</v>
      </c>
      <c r="N126" s="166">
        <v>16978</v>
      </c>
      <c r="O126" s="165">
        <v>15978</v>
      </c>
      <c r="P126" s="165">
        <v>1000</v>
      </c>
      <c r="Q126" s="165" t="s">
        <v>2991</v>
      </c>
      <c r="R126" s="165" t="s">
        <v>2850</v>
      </c>
      <c r="S126" s="165" t="s">
        <v>2779</v>
      </c>
      <c r="T126" s="165"/>
    </row>
    <row r="127" spans="1:20" x14ac:dyDescent="0.3">
      <c r="A127" s="164">
        <v>45227</v>
      </c>
      <c r="B127" s="165" t="s">
        <v>3533</v>
      </c>
      <c r="C127" s="165" t="s">
        <v>2793</v>
      </c>
      <c r="D127" s="165" t="s">
        <v>2794</v>
      </c>
      <c r="E127" s="165">
        <v>1</v>
      </c>
      <c r="F127" s="165" t="s">
        <v>54</v>
      </c>
      <c r="G127" s="165" t="s">
        <v>24</v>
      </c>
      <c r="H127" s="165" t="s">
        <v>10</v>
      </c>
      <c r="I127" s="165">
        <v>36744</v>
      </c>
      <c r="J127" s="165">
        <v>270</v>
      </c>
      <c r="K127" s="165">
        <v>270</v>
      </c>
      <c r="L127" s="165"/>
      <c r="M127" s="165">
        <v>540</v>
      </c>
      <c r="N127" s="166">
        <v>36204</v>
      </c>
      <c r="O127" s="165">
        <v>21038</v>
      </c>
      <c r="P127" s="165">
        <v>3000</v>
      </c>
      <c r="Q127" s="165" t="s">
        <v>2955</v>
      </c>
      <c r="R127" s="165" t="s">
        <v>2890</v>
      </c>
      <c r="S127" s="165" t="s">
        <v>2798</v>
      </c>
      <c r="T127" s="165"/>
    </row>
    <row r="128" spans="1:20" x14ac:dyDescent="0.3">
      <c r="A128" s="164">
        <v>45231</v>
      </c>
      <c r="B128" s="165" t="s">
        <v>3534</v>
      </c>
      <c r="C128" s="165" t="s">
        <v>2843</v>
      </c>
      <c r="D128" s="165" t="s">
        <v>2847</v>
      </c>
      <c r="E128" s="165"/>
      <c r="F128" s="165" t="s">
        <v>54</v>
      </c>
      <c r="G128" s="165" t="s">
        <v>26</v>
      </c>
      <c r="H128" s="165" t="s">
        <v>10</v>
      </c>
      <c r="I128" s="165">
        <v>45989</v>
      </c>
      <c r="J128" s="165">
        <v>189</v>
      </c>
      <c r="K128" s="165">
        <v>189</v>
      </c>
      <c r="L128" s="165"/>
      <c r="M128" s="165">
        <v>378</v>
      </c>
      <c r="N128" s="166">
        <v>45611</v>
      </c>
      <c r="O128" s="165">
        <v>43511</v>
      </c>
      <c r="P128" s="165">
        <v>2100</v>
      </c>
      <c r="Q128" s="165" t="s">
        <v>3095</v>
      </c>
      <c r="R128" s="165"/>
      <c r="S128" s="165" t="s">
        <v>2848</v>
      </c>
      <c r="T128" s="165"/>
    </row>
    <row r="129" spans="1:20" x14ac:dyDescent="0.3">
      <c r="A129" s="164">
        <v>45232</v>
      </c>
      <c r="B129" s="165" t="s">
        <v>3534</v>
      </c>
      <c r="C129" s="165" t="s">
        <v>2873</v>
      </c>
      <c r="D129" s="165" t="s">
        <v>2874</v>
      </c>
      <c r="E129" s="165">
        <v>1</v>
      </c>
      <c r="F129" s="165"/>
      <c r="G129" s="165" t="s">
        <v>26</v>
      </c>
      <c r="H129" s="165" t="s">
        <v>10</v>
      </c>
      <c r="I129" s="165">
        <v>10743</v>
      </c>
      <c r="J129" s="165"/>
      <c r="K129" s="165"/>
      <c r="L129" s="165">
        <v>19</v>
      </c>
      <c r="M129" s="165">
        <v>19</v>
      </c>
      <c r="N129" s="166">
        <v>10724</v>
      </c>
      <c r="O129" s="165">
        <v>4205</v>
      </c>
      <c r="P129" s="165">
        <v>101</v>
      </c>
      <c r="Q129" s="165" t="s">
        <v>2953</v>
      </c>
      <c r="R129" s="165" t="s">
        <v>2877</v>
      </c>
      <c r="S129" s="165" t="s">
        <v>2875</v>
      </c>
      <c r="T129" s="165"/>
    </row>
    <row r="130" spans="1:20" x14ac:dyDescent="0.3">
      <c r="A130" s="164">
        <v>45232</v>
      </c>
      <c r="B130" s="165" t="s">
        <v>3534</v>
      </c>
      <c r="C130" s="165" t="s">
        <v>2878</v>
      </c>
      <c r="D130" s="165" t="s">
        <v>2879</v>
      </c>
      <c r="E130" s="165"/>
      <c r="F130" s="165" t="s">
        <v>54</v>
      </c>
      <c r="G130" s="165" t="s">
        <v>26</v>
      </c>
      <c r="H130" s="165" t="s">
        <v>10</v>
      </c>
      <c r="I130" s="165">
        <v>237116</v>
      </c>
      <c r="J130" s="165">
        <v>1890</v>
      </c>
      <c r="K130" s="165">
        <v>1890</v>
      </c>
      <c r="L130" s="165"/>
      <c r="M130" s="165">
        <v>3780</v>
      </c>
      <c r="N130" s="166">
        <v>233336</v>
      </c>
      <c r="O130" s="165">
        <v>5349</v>
      </c>
      <c r="P130" s="165">
        <v>21000</v>
      </c>
      <c r="Q130" s="165">
        <v>45240</v>
      </c>
      <c r="R130" s="165" t="s">
        <v>2981</v>
      </c>
      <c r="S130" s="165" t="s">
        <v>2880</v>
      </c>
      <c r="T130" s="165"/>
    </row>
    <row r="131" spans="1:20" x14ac:dyDescent="0.3">
      <c r="A131" s="164">
        <v>45234</v>
      </c>
      <c r="B131" s="165" t="s">
        <v>3534</v>
      </c>
      <c r="C131" s="165" t="s">
        <v>2931</v>
      </c>
      <c r="D131" s="165" t="s">
        <v>2923</v>
      </c>
      <c r="E131" s="165"/>
      <c r="F131" s="165"/>
      <c r="G131" s="165" t="s">
        <v>26</v>
      </c>
      <c r="H131" s="165" t="s">
        <v>10</v>
      </c>
      <c r="I131" s="165">
        <v>14977</v>
      </c>
      <c r="J131" s="165"/>
      <c r="K131" s="165"/>
      <c r="L131" s="165">
        <v>18</v>
      </c>
      <c r="M131" s="165">
        <v>18</v>
      </c>
      <c r="N131" s="166">
        <v>14959</v>
      </c>
      <c r="O131" s="165">
        <v>6561</v>
      </c>
      <c r="P131" s="165">
        <v>100</v>
      </c>
      <c r="Q131" s="165">
        <v>13778</v>
      </c>
      <c r="R131" s="165" t="s">
        <v>2979</v>
      </c>
      <c r="S131" s="165" t="s">
        <v>2921</v>
      </c>
      <c r="T131" s="165"/>
    </row>
    <row r="132" spans="1:20" x14ac:dyDescent="0.3">
      <c r="A132" s="164">
        <v>45236</v>
      </c>
      <c r="B132" s="165" t="s">
        <v>3534</v>
      </c>
      <c r="C132" s="165" t="s">
        <v>2932</v>
      </c>
      <c r="D132" s="165" t="s">
        <v>2292</v>
      </c>
      <c r="E132" s="165"/>
      <c r="F132" s="165" t="s">
        <v>54</v>
      </c>
      <c r="G132" s="165" t="s">
        <v>2933</v>
      </c>
      <c r="H132" s="165" t="s">
        <v>1134</v>
      </c>
      <c r="I132" s="165">
        <v>65246</v>
      </c>
      <c r="J132" s="165">
        <v>1554</v>
      </c>
      <c r="K132" s="165">
        <v>1554</v>
      </c>
      <c r="L132" s="165"/>
      <c r="M132" s="165">
        <v>3108</v>
      </c>
      <c r="N132" s="166">
        <v>62138</v>
      </c>
      <c r="O132" s="165"/>
      <c r="P132" s="165">
        <v>12500</v>
      </c>
      <c r="Q132" s="165" t="s">
        <v>3009</v>
      </c>
      <c r="R132" s="165" t="s">
        <v>2954</v>
      </c>
      <c r="S132" s="165"/>
      <c r="T132" s="165"/>
    </row>
    <row r="133" spans="1:20" x14ac:dyDescent="0.3">
      <c r="A133" s="164">
        <v>45236</v>
      </c>
      <c r="B133" s="165" t="s">
        <v>3534</v>
      </c>
      <c r="C133" s="165" t="s">
        <v>2951</v>
      </c>
      <c r="D133" s="165" t="s">
        <v>2952</v>
      </c>
      <c r="E133" s="165">
        <v>1</v>
      </c>
      <c r="F133" s="165"/>
      <c r="G133" s="165" t="s">
        <v>22</v>
      </c>
      <c r="H133" s="165" t="s">
        <v>359</v>
      </c>
      <c r="I133" s="165">
        <v>21440</v>
      </c>
      <c r="J133" s="165">
        <v>315</v>
      </c>
      <c r="K133" s="165">
        <v>315</v>
      </c>
      <c r="L133" s="165"/>
      <c r="M133" s="165">
        <v>630</v>
      </c>
      <c r="N133" s="166">
        <v>20810</v>
      </c>
      <c r="O133" s="165">
        <v>17310</v>
      </c>
      <c r="P133" s="165">
        <v>3500</v>
      </c>
      <c r="Q133" s="165">
        <v>45237</v>
      </c>
      <c r="R133" s="165">
        <v>45236</v>
      </c>
      <c r="S133" s="165" t="s">
        <v>3112</v>
      </c>
      <c r="T133" s="165"/>
    </row>
    <row r="134" spans="1:20" x14ac:dyDescent="0.3">
      <c r="A134" s="164">
        <v>45236</v>
      </c>
      <c r="B134" s="165" t="s">
        <v>3534</v>
      </c>
      <c r="C134" s="165" t="s">
        <v>2986</v>
      </c>
      <c r="D134" s="165" t="s">
        <v>25</v>
      </c>
      <c r="E134" s="165"/>
      <c r="F134" s="165"/>
      <c r="G134" s="165" t="s">
        <v>22</v>
      </c>
      <c r="H134" s="165" t="s">
        <v>2987</v>
      </c>
      <c r="I134" s="165">
        <v>10500</v>
      </c>
      <c r="J134" s="165">
        <v>420</v>
      </c>
      <c r="K134" s="165">
        <v>420</v>
      </c>
      <c r="L134" s="165"/>
      <c r="M134" s="165">
        <v>840</v>
      </c>
      <c r="N134" s="166">
        <v>9660</v>
      </c>
      <c r="O134" s="165">
        <v>5000</v>
      </c>
      <c r="P134" s="165">
        <v>4660</v>
      </c>
      <c r="Q134" s="165">
        <v>45243</v>
      </c>
      <c r="R134" s="165">
        <v>45236</v>
      </c>
      <c r="S134" s="165"/>
      <c r="T134" s="165"/>
    </row>
    <row r="135" spans="1:20" x14ac:dyDescent="0.3">
      <c r="A135" s="164">
        <v>45243</v>
      </c>
      <c r="B135" s="165" t="s">
        <v>3534</v>
      </c>
      <c r="C135" s="165" t="s">
        <v>2988</v>
      </c>
      <c r="D135" s="165" t="s">
        <v>2545</v>
      </c>
      <c r="E135" s="165">
        <v>5</v>
      </c>
      <c r="F135" s="165" t="s">
        <v>1593</v>
      </c>
      <c r="G135" s="165" t="s">
        <v>1105</v>
      </c>
      <c r="H135" s="165" t="s">
        <v>3022</v>
      </c>
      <c r="I135" s="165">
        <v>4675</v>
      </c>
      <c r="J135" s="165"/>
      <c r="K135" s="165"/>
      <c r="L135" s="165">
        <v>223</v>
      </c>
      <c r="M135" s="165">
        <v>223</v>
      </c>
      <c r="N135" s="166">
        <v>4452</v>
      </c>
      <c r="O135" s="165">
        <v>2888</v>
      </c>
      <c r="P135" s="165">
        <v>1564</v>
      </c>
      <c r="Q135" s="165" t="s">
        <v>3017</v>
      </c>
      <c r="R135" s="165">
        <v>45244</v>
      </c>
      <c r="S135" s="165">
        <v>1580</v>
      </c>
      <c r="T135" s="165"/>
    </row>
    <row r="136" spans="1:20" x14ac:dyDescent="0.3">
      <c r="A136" s="164">
        <v>45245</v>
      </c>
      <c r="B136" s="165" t="s">
        <v>3534</v>
      </c>
      <c r="C136" s="165" t="s">
        <v>2992</v>
      </c>
      <c r="D136" s="165" t="s">
        <v>2993</v>
      </c>
      <c r="E136" s="165"/>
      <c r="F136" s="165" t="s">
        <v>60</v>
      </c>
      <c r="G136" s="165" t="s">
        <v>26</v>
      </c>
      <c r="H136" s="165" t="s">
        <v>10</v>
      </c>
      <c r="I136" s="165">
        <v>230783</v>
      </c>
      <c r="J136" s="165">
        <v>504</v>
      </c>
      <c r="K136" s="165">
        <v>504</v>
      </c>
      <c r="L136" s="165"/>
      <c r="M136" s="165">
        <v>1008</v>
      </c>
      <c r="N136" s="166">
        <v>229775</v>
      </c>
      <c r="O136" s="165">
        <v>7468</v>
      </c>
      <c r="P136" s="165">
        <v>5600</v>
      </c>
      <c r="Q136" s="165" t="s">
        <v>3055</v>
      </c>
      <c r="R136" s="165" t="s">
        <v>3066</v>
      </c>
      <c r="S136" s="165"/>
      <c r="T136" s="165"/>
    </row>
    <row r="137" spans="1:20" x14ac:dyDescent="0.3">
      <c r="A137" s="164">
        <v>45246</v>
      </c>
      <c r="B137" s="165" t="s">
        <v>3534</v>
      </c>
      <c r="C137" s="165" t="s">
        <v>2995</v>
      </c>
      <c r="D137" s="165" t="s">
        <v>3007</v>
      </c>
      <c r="E137" s="165"/>
      <c r="F137" s="165" t="s">
        <v>54</v>
      </c>
      <c r="G137" s="165" t="s">
        <v>26</v>
      </c>
      <c r="H137" s="165" t="s">
        <v>10</v>
      </c>
      <c r="I137" s="165">
        <v>134329</v>
      </c>
      <c r="J137" s="165">
        <v>788</v>
      </c>
      <c r="K137" s="165">
        <v>788</v>
      </c>
      <c r="L137" s="165"/>
      <c r="M137" s="165">
        <v>1576</v>
      </c>
      <c r="N137" s="166">
        <v>132753</v>
      </c>
      <c r="O137" s="165">
        <v>18430</v>
      </c>
      <c r="P137" s="165">
        <v>8750</v>
      </c>
      <c r="Q137" s="165" t="s">
        <v>3096</v>
      </c>
      <c r="R137" s="165" t="s">
        <v>3072</v>
      </c>
      <c r="S137" s="165" t="s">
        <v>3008</v>
      </c>
      <c r="T137" s="165"/>
    </row>
    <row r="138" spans="1:20" x14ac:dyDescent="0.3">
      <c r="A138" s="164">
        <v>45246</v>
      </c>
      <c r="B138" s="165" t="s">
        <v>3534</v>
      </c>
      <c r="C138" s="165" t="s">
        <v>3010</v>
      </c>
      <c r="D138" s="165" t="s">
        <v>2794</v>
      </c>
      <c r="E138" s="165">
        <v>1</v>
      </c>
      <c r="F138" s="165" t="s">
        <v>54</v>
      </c>
      <c r="G138" s="165" t="s">
        <v>24</v>
      </c>
      <c r="H138" s="165" t="s">
        <v>11</v>
      </c>
      <c r="I138" s="165">
        <v>55141</v>
      </c>
      <c r="J138" s="165">
        <v>270</v>
      </c>
      <c r="K138" s="165">
        <v>270</v>
      </c>
      <c r="L138" s="165"/>
      <c r="M138" s="165">
        <v>540</v>
      </c>
      <c r="N138" s="166">
        <v>54601</v>
      </c>
      <c r="O138" s="165">
        <v>10858</v>
      </c>
      <c r="P138" s="165">
        <v>3000</v>
      </c>
      <c r="Q138" s="165" t="s">
        <v>3133</v>
      </c>
      <c r="R138" s="165" t="s">
        <v>3011</v>
      </c>
      <c r="S138" s="165"/>
      <c r="T138" s="165"/>
    </row>
    <row r="139" spans="1:20" x14ac:dyDescent="0.3">
      <c r="A139" s="164">
        <v>45250</v>
      </c>
      <c r="B139" s="165" t="s">
        <v>3534</v>
      </c>
      <c r="C139" s="165" t="s">
        <v>3018</v>
      </c>
      <c r="D139" s="165" t="s">
        <v>2549</v>
      </c>
      <c r="E139" s="165"/>
      <c r="F139" s="165"/>
      <c r="G139" s="165" t="s">
        <v>3019</v>
      </c>
      <c r="H139" s="165" t="s">
        <v>3020</v>
      </c>
      <c r="I139" s="165">
        <v>28726</v>
      </c>
      <c r="J139" s="165">
        <v>333</v>
      </c>
      <c r="K139" s="165">
        <v>333</v>
      </c>
      <c r="L139" s="165"/>
      <c r="M139" s="165">
        <v>666</v>
      </c>
      <c r="N139" s="166">
        <v>28060</v>
      </c>
      <c r="O139" s="165">
        <v>24360</v>
      </c>
      <c r="P139" s="165">
        <v>3700</v>
      </c>
      <c r="Q139" s="165" t="s">
        <v>3125</v>
      </c>
      <c r="R139" s="165">
        <v>45250</v>
      </c>
      <c r="S139" s="165" t="s">
        <v>3028</v>
      </c>
      <c r="T139" s="165"/>
    </row>
    <row r="140" spans="1:20" x14ac:dyDescent="0.3">
      <c r="A140" s="164">
        <v>45250</v>
      </c>
      <c r="B140" s="165" t="s">
        <v>3534</v>
      </c>
      <c r="C140" s="165" t="s">
        <v>3023</v>
      </c>
      <c r="D140" s="165" t="s">
        <v>42</v>
      </c>
      <c r="E140" s="165"/>
      <c r="F140" s="165" t="s">
        <v>43</v>
      </c>
      <c r="G140" s="165" t="s">
        <v>14</v>
      </c>
      <c r="H140" s="165" t="s">
        <v>10</v>
      </c>
      <c r="I140" s="165">
        <v>99340</v>
      </c>
      <c r="J140" s="165">
        <v>2366</v>
      </c>
      <c r="K140" s="165">
        <v>2366</v>
      </c>
      <c r="L140" s="165"/>
      <c r="M140" s="165">
        <v>4732</v>
      </c>
      <c r="N140" s="166">
        <v>94608</v>
      </c>
      <c r="O140" s="165">
        <v>20347</v>
      </c>
      <c r="P140" s="165">
        <v>7235</v>
      </c>
      <c r="Q140" s="165">
        <v>45253</v>
      </c>
      <c r="R140" s="165" t="s">
        <v>3064</v>
      </c>
      <c r="S140" s="165" t="s">
        <v>3024</v>
      </c>
      <c r="T140" s="165"/>
    </row>
    <row r="141" spans="1:20" x14ac:dyDescent="0.3">
      <c r="A141" s="164">
        <v>45250</v>
      </c>
      <c r="B141" s="165" t="s">
        <v>3534</v>
      </c>
      <c r="C141" s="165" t="s">
        <v>3049</v>
      </c>
      <c r="D141" s="165" t="s">
        <v>3050</v>
      </c>
      <c r="E141" s="165">
        <v>3</v>
      </c>
      <c r="F141" s="165" t="s">
        <v>43</v>
      </c>
      <c r="G141" s="165" t="s">
        <v>14</v>
      </c>
      <c r="H141" s="165" t="s">
        <v>10</v>
      </c>
      <c r="I141" s="165">
        <v>744000</v>
      </c>
      <c r="J141" s="165">
        <v>17715</v>
      </c>
      <c r="K141" s="165">
        <v>17715</v>
      </c>
      <c r="L141" s="165"/>
      <c r="M141" s="165">
        <v>35430</v>
      </c>
      <c r="N141" s="166">
        <v>708570</v>
      </c>
      <c r="O141" s="165">
        <v>16907</v>
      </c>
      <c r="P141" s="165">
        <v>183871</v>
      </c>
      <c r="Q141" s="165" t="s">
        <v>2269</v>
      </c>
      <c r="R141" s="165" t="s">
        <v>2221</v>
      </c>
      <c r="S141" s="165" t="s">
        <v>2219</v>
      </c>
      <c r="T141" s="165"/>
    </row>
    <row r="142" spans="1:20" x14ac:dyDescent="0.3">
      <c r="A142" s="164">
        <v>45255</v>
      </c>
      <c r="B142" s="165" t="s">
        <v>3534</v>
      </c>
      <c r="C142" s="165" t="s">
        <v>3059</v>
      </c>
      <c r="D142" s="165" t="s">
        <v>1377</v>
      </c>
      <c r="E142" s="165">
        <v>2</v>
      </c>
      <c r="F142" s="165" t="s">
        <v>52</v>
      </c>
      <c r="G142" s="165" t="s">
        <v>14</v>
      </c>
      <c r="H142" s="165" t="s">
        <v>10</v>
      </c>
      <c r="I142" s="165">
        <v>206000</v>
      </c>
      <c r="J142" s="165">
        <v>4905</v>
      </c>
      <c r="K142" s="165">
        <v>4905</v>
      </c>
      <c r="L142" s="165"/>
      <c r="M142" s="165">
        <v>9810</v>
      </c>
      <c r="N142" s="166">
        <v>196190</v>
      </c>
      <c r="O142" s="165">
        <v>17375</v>
      </c>
      <c r="P142" s="165">
        <v>44606</v>
      </c>
      <c r="Q142" s="165">
        <v>45255</v>
      </c>
      <c r="R142" s="165" t="s">
        <v>3062</v>
      </c>
      <c r="S142" s="165" t="s">
        <v>3057</v>
      </c>
      <c r="T142" s="165"/>
    </row>
    <row r="143" spans="1:20" x14ac:dyDescent="0.3">
      <c r="A143" s="164">
        <v>45258</v>
      </c>
      <c r="B143" s="165" t="s">
        <v>3534</v>
      </c>
      <c r="C143" s="165" t="s">
        <v>3078</v>
      </c>
      <c r="D143" s="165" t="s">
        <v>3079</v>
      </c>
      <c r="E143" s="165">
        <v>1</v>
      </c>
      <c r="F143" s="165" t="s">
        <v>60</v>
      </c>
      <c r="G143" s="165" t="s">
        <v>26</v>
      </c>
      <c r="H143" s="165" t="s">
        <v>10</v>
      </c>
      <c r="I143" s="165">
        <v>22356</v>
      </c>
      <c r="J143" s="165">
        <v>63</v>
      </c>
      <c r="K143" s="165">
        <v>63</v>
      </c>
      <c r="L143" s="165"/>
      <c r="M143" s="165">
        <v>126</v>
      </c>
      <c r="N143" s="166">
        <v>22230</v>
      </c>
      <c r="O143" s="165">
        <v>8421</v>
      </c>
      <c r="P143" s="165">
        <v>700</v>
      </c>
      <c r="Q143" s="165">
        <v>45266</v>
      </c>
      <c r="R143" s="165" t="s">
        <v>3100</v>
      </c>
      <c r="S143" s="165" t="s">
        <v>3080</v>
      </c>
      <c r="T143" s="165"/>
    </row>
    <row r="144" spans="1:20" x14ac:dyDescent="0.3">
      <c r="A144" s="164">
        <v>45261</v>
      </c>
      <c r="B144" s="165" t="s">
        <v>3535</v>
      </c>
      <c r="C144" s="165" t="s">
        <v>3086</v>
      </c>
      <c r="D144" s="165" t="s">
        <v>3090</v>
      </c>
      <c r="E144" s="165">
        <v>1</v>
      </c>
      <c r="F144" s="165" t="s">
        <v>54</v>
      </c>
      <c r="G144" s="165" t="s">
        <v>26</v>
      </c>
      <c r="H144" s="165" t="s">
        <v>3087</v>
      </c>
      <c r="I144" s="165">
        <v>313749</v>
      </c>
      <c r="J144" s="165">
        <v>1445</v>
      </c>
      <c r="K144" s="165">
        <v>1445</v>
      </c>
      <c r="L144" s="165"/>
      <c r="M144" s="165">
        <v>2890</v>
      </c>
      <c r="N144" s="166">
        <v>310859</v>
      </c>
      <c r="O144" s="165">
        <v>100</v>
      </c>
      <c r="P144" s="165">
        <v>16050</v>
      </c>
      <c r="Q144" s="165" t="s">
        <v>3221</v>
      </c>
      <c r="R144" s="165" t="s">
        <v>3088</v>
      </c>
      <c r="S144" s="165"/>
      <c r="T144" s="165"/>
    </row>
    <row r="145" spans="1:20" x14ac:dyDescent="0.3">
      <c r="A145" s="164">
        <v>45261</v>
      </c>
      <c r="B145" s="165" t="s">
        <v>3535</v>
      </c>
      <c r="C145" s="165" t="s">
        <v>3092</v>
      </c>
      <c r="D145" s="165" t="s">
        <v>3111</v>
      </c>
      <c r="E145" s="165">
        <v>2</v>
      </c>
      <c r="F145" s="165" t="s">
        <v>52</v>
      </c>
      <c r="G145" s="165" t="s">
        <v>14</v>
      </c>
      <c r="H145" s="165" t="s">
        <v>10</v>
      </c>
      <c r="I145" s="165">
        <v>160000</v>
      </c>
      <c r="J145" s="165">
        <v>3810</v>
      </c>
      <c r="K145" s="165">
        <v>3810</v>
      </c>
      <c r="L145" s="165"/>
      <c r="M145" s="165">
        <v>7620</v>
      </c>
      <c r="N145" s="166">
        <v>152380</v>
      </c>
      <c r="O145" s="165">
        <v>37402</v>
      </c>
      <c r="P145" s="165">
        <v>48178</v>
      </c>
      <c r="Q145" s="165">
        <v>45267</v>
      </c>
      <c r="R145" s="165" t="s">
        <v>3099</v>
      </c>
      <c r="S145" s="165" t="s">
        <v>3093</v>
      </c>
      <c r="T145" s="165"/>
    </row>
    <row r="146" spans="1:20" x14ac:dyDescent="0.3">
      <c r="A146" s="164">
        <v>45264</v>
      </c>
      <c r="B146" s="165" t="s">
        <v>3535</v>
      </c>
      <c r="C146" s="165" t="s">
        <v>3101</v>
      </c>
      <c r="D146" s="165" t="s">
        <v>833</v>
      </c>
      <c r="E146" s="165">
        <v>1</v>
      </c>
      <c r="F146" s="165"/>
      <c r="G146" s="165" t="s">
        <v>59</v>
      </c>
      <c r="H146" s="165" t="s">
        <v>10</v>
      </c>
      <c r="I146" s="165">
        <v>3000</v>
      </c>
      <c r="J146" s="165">
        <v>35</v>
      </c>
      <c r="K146" s="165">
        <v>35</v>
      </c>
      <c r="L146" s="165"/>
      <c r="M146" s="165">
        <v>70</v>
      </c>
      <c r="N146" s="166">
        <v>2930</v>
      </c>
      <c r="O146" s="165">
        <v>2545</v>
      </c>
      <c r="P146" s="165">
        <v>385</v>
      </c>
      <c r="Q146" s="165" t="s">
        <v>3428</v>
      </c>
      <c r="R146" s="165" t="s">
        <v>3102</v>
      </c>
      <c r="S146" s="165"/>
      <c r="T146" s="165"/>
    </row>
    <row r="147" spans="1:20" x14ac:dyDescent="0.3">
      <c r="A147" s="164">
        <v>45266</v>
      </c>
      <c r="B147" s="165" t="s">
        <v>3535</v>
      </c>
      <c r="C147" s="165" t="s">
        <v>3105</v>
      </c>
      <c r="D147" s="165" t="s">
        <v>847</v>
      </c>
      <c r="E147" s="165">
        <v>2</v>
      </c>
      <c r="F147" s="165"/>
      <c r="G147" s="165" t="s">
        <v>14</v>
      </c>
      <c r="H147" s="165" t="s">
        <v>162</v>
      </c>
      <c r="I147" s="165">
        <v>27960</v>
      </c>
      <c r="J147" s="165">
        <v>666</v>
      </c>
      <c r="K147" s="165">
        <v>666</v>
      </c>
      <c r="L147" s="165"/>
      <c r="M147" s="165">
        <v>1332</v>
      </c>
      <c r="N147" s="166">
        <v>26628</v>
      </c>
      <c r="O147" s="165">
        <v>1860.4</v>
      </c>
      <c r="P147" s="165">
        <v>5390</v>
      </c>
      <c r="Q147" s="165" t="s">
        <v>3104</v>
      </c>
      <c r="R147" s="165" t="s">
        <v>2983</v>
      </c>
      <c r="S147" s="165"/>
      <c r="T147" s="165"/>
    </row>
    <row r="148" spans="1:20" x14ac:dyDescent="0.3">
      <c r="A148" s="164">
        <v>45271</v>
      </c>
      <c r="B148" s="165" t="s">
        <v>3535</v>
      </c>
      <c r="C148" s="165" t="s">
        <v>3134</v>
      </c>
      <c r="D148" s="165" t="s">
        <v>3135</v>
      </c>
      <c r="E148" s="165">
        <v>1</v>
      </c>
      <c r="F148" s="165" t="s">
        <v>54</v>
      </c>
      <c r="G148" s="165" t="s">
        <v>24</v>
      </c>
      <c r="H148" s="165" t="s">
        <v>10</v>
      </c>
      <c r="I148" s="165">
        <v>153040</v>
      </c>
      <c r="J148" s="165">
        <v>990</v>
      </c>
      <c r="K148" s="165">
        <v>990</v>
      </c>
      <c r="L148" s="165"/>
      <c r="M148" s="165">
        <v>1980</v>
      </c>
      <c r="N148" s="166">
        <v>151060</v>
      </c>
      <c r="O148" s="165">
        <v>5126</v>
      </c>
      <c r="P148" s="165">
        <v>11000</v>
      </c>
      <c r="Q148" s="165" t="s">
        <v>3221</v>
      </c>
      <c r="R148" s="165" t="s">
        <v>3171</v>
      </c>
      <c r="S148" s="165" t="s">
        <v>3137</v>
      </c>
      <c r="T148" s="165"/>
    </row>
    <row r="149" spans="1:20" x14ac:dyDescent="0.3">
      <c r="A149" s="164">
        <v>45278</v>
      </c>
      <c r="B149" s="165" t="s">
        <v>3535</v>
      </c>
      <c r="C149" s="165" t="s">
        <v>3174</v>
      </c>
      <c r="D149" s="165" t="s">
        <v>2292</v>
      </c>
      <c r="E149" s="165"/>
      <c r="F149" s="165" t="s">
        <v>54</v>
      </c>
      <c r="G149" s="165" t="s">
        <v>2933</v>
      </c>
      <c r="H149" s="165" t="s">
        <v>1134</v>
      </c>
      <c r="I149" s="165">
        <v>95252</v>
      </c>
      <c r="J149" s="165">
        <v>2268</v>
      </c>
      <c r="K149" s="165">
        <v>2268</v>
      </c>
      <c r="L149" s="165"/>
      <c r="M149" s="165">
        <v>4536</v>
      </c>
      <c r="N149" s="166">
        <v>90716</v>
      </c>
      <c r="O149" s="165"/>
      <c r="P149" s="165">
        <v>16250</v>
      </c>
      <c r="Q149" s="165" t="s">
        <v>3221</v>
      </c>
      <c r="R149" s="165" t="s">
        <v>3203</v>
      </c>
      <c r="S149" s="165"/>
      <c r="T149" s="165"/>
    </row>
    <row r="150" spans="1:20" x14ac:dyDescent="0.3">
      <c r="A150" s="164">
        <v>45278</v>
      </c>
      <c r="B150" s="165" t="s">
        <v>3535</v>
      </c>
      <c r="C150" s="165" t="s">
        <v>3202</v>
      </c>
      <c r="D150" s="165" t="s">
        <v>2660</v>
      </c>
      <c r="E150" s="165">
        <v>2</v>
      </c>
      <c r="F150" s="165"/>
      <c r="G150" s="165" t="s">
        <v>14</v>
      </c>
      <c r="H150" s="165" t="s">
        <v>20</v>
      </c>
      <c r="I150" s="165">
        <v>422937</v>
      </c>
      <c r="J150" s="165"/>
      <c r="K150" s="165"/>
      <c r="L150" s="165">
        <v>20140</v>
      </c>
      <c r="M150" s="165">
        <v>20140</v>
      </c>
      <c r="N150" s="166">
        <v>402797</v>
      </c>
      <c r="O150" s="165">
        <v>180350</v>
      </c>
      <c r="P150" s="165">
        <v>85538</v>
      </c>
      <c r="Q150" s="165" t="s">
        <v>2676</v>
      </c>
      <c r="R150" s="165" t="s">
        <v>2795</v>
      </c>
      <c r="S150" s="165"/>
      <c r="T150" s="165"/>
    </row>
    <row r="151" spans="1:20" x14ac:dyDescent="0.3">
      <c r="A151" s="164">
        <v>45280</v>
      </c>
      <c r="B151" s="165" t="s">
        <v>3535</v>
      </c>
      <c r="C151" s="165" t="s">
        <v>3206</v>
      </c>
      <c r="D151" s="165" t="s">
        <v>3209</v>
      </c>
      <c r="E151" s="165">
        <v>1</v>
      </c>
      <c r="F151" s="165" t="s">
        <v>60</v>
      </c>
      <c r="G151" s="165" t="s">
        <v>26</v>
      </c>
      <c r="H151" s="165" t="s">
        <v>10</v>
      </c>
      <c r="I151" s="165">
        <v>7432</v>
      </c>
      <c r="J151" s="165">
        <v>153</v>
      </c>
      <c r="K151" s="165">
        <v>153</v>
      </c>
      <c r="L151" s="165"/>
      <c r="M151" s="165">
        <v>306</v>
      </c>
      <c r="N151" s="166">
        <v>7126</v>
      </c>
      <c r="O151" s="165">
        <v>2072</v>
      </c>
      <c r="P151" s="165">
        <v>1700</v>
      </c>
      <c r="Q151" s="165" t="s">
        <v>3261</v>
      </c>
      <c r="R151" s="165" t="s">
        <v>3254</v>
      </c>
      <c r="S151" s="165" t="s">
        <v>3204</v>
      </c>
      <c r="T151" s="165"/>
    </row>
    <row r="152" spans="1:20" x14ac:dyDescent="0.3">
      <c r="A152" s="164">
        <v>45283</v>
      </c>
      <c r="B152" s="165" t="s">
        <v>3535</v>
      </c>
      <c r="C152" s="165" t="s">
        <v>3215</v>
      </c>
      <c r="D152" s="165" t="s">
        <v>3208</v>
      </c>
      <c r="E152" s="165">
        <v>1</v>
      </c>
      <c r="F152" s="165" t="s">
        <v>54</v>
      </c>
      <c r="G152" s="165" t="s">
        <v>26</v>
      </c>
      <c r="H152" s="165" t="s">
        <v>10</v>
      </c>
      <c r="I152" s="165">
        <v>38028</v>
      </c>
      <c r="J152" s="165">
        <v>221</v>
      </c>
      <c r="K152" s="165">
        <v>221</v>
      </c>
      <c r="L152" s="165"/>
      <c r="M152" s="165">
        <v>442</v>
      </c>
      <c r="N152" s="166">
        <v>37586</v>
      </c>
      <c r="O152" s="165">
        <v>6344</v>
      </c>
      <c r="P152" s="165">
        <v>2450</v>
      </c>
      <c r="Q152" s="165" t="s">
        <v>3312</v>
      </c>
      <c r="R152" s="165">
        <v>20339</v>
      </c>
      <c r="S152" s="165" t="s">
        <v>3207</v>
      </c>
      <c r="T152" s="165"/>
    </row>
    <row r="153" spans="1:20" x14ac:dyDescent="0.3">
      <c r="A153" s="164">
        <v>45650</v>
      </c>
      <c r="B153" s="165" t="s">
        <v>3535</v>
      </c>
      <c r="C153" s="165" t="s">
        <v>3248</v>
      </c>
      <c r="D153" s="165" t="s">
        <v>3253</v>
      </c>
      <c r="E153" s="165"/>
      <c r="F153" s="165" t="s">
        <v>54</v>
      </c>
      <c r="G153" s="165" t="s">
        <v>26</v>
      </c>
      <c r="H153" s="165" t="s">
        <v>10</v>
      </c>
      <c r="I153" s="165">
        <v>8042</v>
      </c>
      <c r="J153" s="165">
        <v>31.5</v>
      </c>
      <c r="K153" s="165">
        <v>31.5</v>
      </c>
      <c r="L153" s="165"/>
      <c r="M153" s="165">
        <v>63</v>
      </c>
      <c r="N153" s="166">
        <v>7979</v>
      </c>
      <c r="O153" s="165">
        <v>1672</v>
      </c>
      <c r="P153" s="165">
        <v>350</v>
      </c>
      <c r="Q153" s="165" t="s">
        <v>3256</v>
      </c>
      <c r="R153" s="165" t="s">
        <v>3313</v>
      </c>
      <c r="S153" s="165" t="s">
        <v>3250</v>
      </c>
      <c r="T153" s="165"/>
    </row>
    <row r="154" spans="1:20" x14ac:dyDescent="0.3">
      <c r="A154" s="164">
        <v>45652</v>
      </c>
      <c r="B154" s="165" t="s">
        <v>3535</v>
      </c>
      <c r="C154" s="165" t="s">
        <v>3255</v>
      </c>
      <c r="D154" s="165" t="s">
        <v>3249</v>
      </c>
      <c r="E154" s="165"/>
      <c r="F154" s="165" t="s">
        <v>60</v>
      </c>
      <c r="G154" s="165" t="s">
        <v>26</v>
      </c>
      <c r="H154" s="165" t="s">
        <v>10</v>
      </c>
      <c r="I154" s="165">
        <v>12181</v>
      </c>
      <c r="J154" s="165">
        <v>31.5</v>
      </c>
      <c r="K154" s="165">
        <v>31.5</v>
      </c>
      <c r="L154" s="165"/>
      <c r="M154" s="165">
        <v>63</v>
      </c>
      <c r="N154" s="166">
        <v>12118</v>
      </c>
      <c r="O154" s="165">
        <v>11768</v>
      </c>
      <c r="P154" s="165">
        <v>350</v>
      </c>
      <c r="Q154" s="165" t="s">
        <v>3257</v>
      </c>
      <c r="R154" s="165" t="s">
        <v>3262</v>
      </c>
      <c r="S154" s="165" t="s">
        <v>3247</v>
      </c>
      <c r="T154" s="165"/>
    </row>
    <row r="155" spans="1:20" x14ac:dyDescent="0.3">
      <c r="A155" s="164">
        <v>45293</v>
      </c>
      <c r="B155" s="165" t="s">
        <v>3536</v>
      </c>
      <c r="C155" s="165" t="s">
        <v>3223</v>
      </c>
      <c r="D155" s="165" t="s">
        <v>55</v>
      </c>
      <c r="E155" s="165"/>
      <c r="F155" s="165" t="s">
        <v>54</v>
      </c>
      <c r="G155" s="165" t="s">
        <v>2933</v>
      </c>
      <c r="H155" s="165" t="s">
        <v>1134</v>
      </c>
      <c r="I155" s="165">
        <v>47111</v>
      </c>
      <c r="J155" s="165">
        <v>1122</v>
      </c>
      <c r="K155" s="165">
        <v>1122</v>
      </c>
      <c r="L155" s="165"/>
      <c r="M155" s="165">
        <v>2244</v>
      </c>
      <c r="N155" s="166">
        <v>44867</v>
      </c>
      <c r="O155" s="165"/>
      <c r="P155" s="165">
        <v>10000</v>
      </c>
      <c r="Q155" s="165" t="s">
        <v>3312</v>
      </c>
      <c r="R155" s="165" t="s">
        <v>3234</v>
      </c>
      <c r="S155" s="165"/>
      <c r="T155" s="165"/>
    </row>
    <row r="156" spans="1:20" x14ac:dyDescent="0.3">
      <c r="A156" s="164">
        <v>45296</v>
      </c>
      <c r="B156" s="165" t="s">
        <v>3536</v>
      </c>
      <c r="C156" s="165" t="s">
        <v>3225</v>
      </c>
      <c r="D156" s="165" t="s">
        <v>3269</v>
      </c>
      <c r="E156" s="165">
        <v>1</v>
      </c>
      <c r="F156" s="165" t="s">
        <v>54</v>
      </c>
      <c r="G156" s="165" t="s">
        <v>26</v>
      </c>
      <c r="H156" s="165" t="s">
        <v>10</v>
      </c>
      <c r="I156" s="165">
        <v>152527</v>
      </c>
      <c r="J156" s="165">
        <v>756</v>
      </c>
      <c r="K156" s="165">
        <v>756</v>
      </c>
      <c r="L156" s="165"/>
      <c r="M156" s="165">
        <v>1512</v>
      </c>
      <c r="N156" s="166">
        <v>151015</v>
      </c>
      <c r="O156" s="165">
        <v>10695</v>
      </c>
      <c r="P156" s="165">
        <v>8400</v>
      </c>
      <c r="Q156" s="165" t="s">
        <v>3349</v>
      </c>
      <c r="R156" s="165" t="s">
        <v>3275</v>
      </c>
      <c r="S156" s="165" t="s">
        <v>3266</v>
      </c>
      <c r="T156" s="165"/>
    </row>
    <row r="157" spans="1:20" x14ac:dyDescent="0.3">
      <c r="A157" s="164">
        <v>45302</v>
      </c>
      <c r="B157" s="165" t="s">
        <v>3536</v>
      </c>
      <c r="C157" s="165" t="s">
        <v>3263</v>
      </c>
      <c r="D157" s="165" t="s">
        <v>3286</v>
      </c>
      <c r="E157" s="165">
        <v>1</v>
      </c>
      <c r="F157" s="165"/>
      <c r="G157" s="165" t="s">
        <v>8</v>
      </c>
      <c r="H157" s="165" t="s">
        <v>57</v>
      </c>
      <c r="I157" s="165">
        <v>462</v>
      </c>
      <c r="J157" s="165">
        <v>36</v>
      </c>
      <c r="K157" s="165">
        <v>36</v>
      </c>
      <c r="L157" s="165"/>
      <c r="M157" s="165">
        <v>72</v>
      </c>
      <c r="N157" s="166">
        <v>390</v>
      </c>
      <c r="O157" s="165">
        <v>390</v>
      </c>
      <c r="P157" s="165"/>
      <c r="Q157" s="165">
        <v>45302</v>
      </c>
      <c r="R157" s="165"/>
      <c r="S157" s="165"/>
      <c r="T157" s="165"/>
    </row>
    <row r="158" spans="1:20" x14ac:dyDescent="0.3">
      <c r="A158" s="164">
        <v>45302</v>
      </c>
      <c r="B158" s="165" t="s">
        <v>3536</v>
      </c>
      <c r="C158" s="165" t="s">
        <v>3291</v>
      </c>
      <c r="D158" s="165" t="s">
        <v>3292</v>
      </c>
      <c r="E158" s="165"/>
      <c r="F158" s="165" t="s">
        <v>54</v>
      </c>
      <c r="G158" s="165" t="s">
        <v>24</v>
      </c>
      <c r="H158" s="165" t="s">
        <v>3293</v>
      </c>
      <c r="I158" s="165">
        <v>14680</v>
      </c>
      <c r="J158" s="165">
        <v>90</v>
      </c>
      <c r="K158" s="165">
        <v>90</v>
      </c>
      <c r="L158" s="165"/>
      <c r="M158" s="165">
        <v>180</v>
      </c>
      <c r="N158" s="166">
        <v>14500</v>
      </c>
      <c r="O158" s="165">
        <v>13500</v>
      </c>
      <c r="P158" s="165">
        <v>1000</v>
      </c>
      <c r="Q158" s="165" t="s">
        <v>3349</v>
      </c>
      <c r="R158" s="165">
        <v>45304</v>
      </c>
      <c r="S158" s="165">
        <v>2424</v>
      </c>
      <c r="T158" s="165"/>
    </row>
    <row r="159" spans="1:20" x14ac:dyDescent="0.3">
      <c r="A159" s="164">
        <v>45304</v>
      </c>
      <c r="B159" s="165" t="s">
        <v>3536</v>
      </c>
      <c r="C159" s="165" t="s">
        <v>3302</v>
      </c>
      <c r="D159" s="165" t="s">
        <v>3303</v>
      </c>
      <c r="E159" s="165">
        <v>1</v>
      </c>
      <c r="F159" s="165" t="s">
        <v>60</v>
      </c>
      <c r="G159" s="165" t="s">
        <v>26</v>
      </c>
      <c r="H159" s="165" t="s">
        <v>10</v>
      </c>
      <c r="I159" s="165">
        <v>8647</v>
      </c>
      <c r="J159" s="165">
        <v>45</v>
      </c>
      <c r="K159" s="165">
        <v>45</v>
      </c>
      <c r="L159" s="165"/>
      <c r="M159" s="165">
        <v>90</v>
      </c>
      <c r="N159" s="166">
        <v>8557</v>
      </c>
      <c r="O159" s="165">
        <v>8057</v>
      </c>
      <c r="P159" s="165">
        <v>500</v>
      </c>
      <c r="Q159" s="165" t="s">
        <v>3261</v>
      </c>
      <c r="R159" s="165" t="s">
        <v>3322</v>
      </c>
      <c r="S159" s="165" t="s">
        <v>3304</v>
      </c>
      <c r="T159" s="165"/>
    </row>
    <row r="160" spans="1:20" x14ac:dyDescent="0.3">
      <c r="A160" s="164">
        <v>45305</v>
      </c>
      <c r="B160" s="165" t="s">
        <v>3536</v>
      </c>
      <c r="C160" s="165" t="s">
        <v>3305</v>
      </c>
      <c r="D160" s="165" t="s">
        <v>3306</v>
      </c>
      <c r="E160" s="165"/>
      <c r="F160" s="165" t="s">
        <v>54</v>
      </c>
      <c r="G160" s="165" t="s">
        <v>26</v>
      </c>
      <c r="H160" s="165" t="s">
        <v>10</v>
      </c>
      <c r="I160" s="165">
        <v>11881</v>
      </c>
      <c r="J160" s="165">
        <v>63</v>
      </c>
      <c r="K160" s="165">
        <v>63</v>
      </c>
      <c r="L160" s="165"/>
      <c r="M160" s="165">
        <v>126</v>
      </c>
      <c r="N160" s="166">
        <v>11755</v>
      </c>
      <c r="O160" s="165">
        <v>11055</v>
      </c>
      <c r="P160" s="165">
        <v>700</v>
      </c>
      <c r="Q160" s="165" t="s">
        <v>3403</v>
      </c>
      <c r="R160" s="165" t="s">
        <v>3319</v>
      </c>
      <c r="S160" s="165" t="s">
        <v>3250</v>
      </c>
      <c r="T160" s="165"/>
    </row>
    <row r="161" spans="1:20" x14ac:dyDescent="0.3">
      <c r="A161" s="164">
        <v>45307</v>
      </c>
      <c r="B161" s="165" t="s">
        <v>3536</v>
      </c>
      <c r="C161" s="165" t="s">
        <v>3314</v>
      </c>
      <c r="D161" s="165" t="s">
        <v>17</v>
      </c>
      <c r="E161" s="165">
        <v>1</v>
      </c>
      <c r="F161" s="165"/>
      <c r="G161" s="165" t="s">
        <v>26</v>
      </c>
      <c r="H161" s="165" t="s">
        <v>10</v>
      </c>
      <c r="I161" s="165">
        <v>371109</v>
      </c>
      <c r="J161" s="165">
        <v>1603</v>
      </c>
      <c r="K161" s="165">
        <v>1603</v>
      </c>
      <c r="L161" s="165"/>
      <c r="M161" s="165">
        <v>3206</v>
      </c>
      <c r="N161" s="166">
        <v>367903</v>
      </c>
      <c r="O161" s="165">
        <v>177796</v>
      </c>
      <c r="P161" s="165">
        <v>17801</v>
      </c>
      <c r="Q161" s="165">
        <v>45324</v>
      </c>
      <c r="R161" s="165" t="s">
        <v>3354</v>
      </c>
      <c r="S161" s="165" t="s">
        <v>3315</v>
      </c>
      <c r="T161" s="165"/>
    </row>
    <row r="162" spans="1:20" x14ac:dyDescent="0.3">
      <c r="A162" s="164">
        <v>45310</v>
      </c>
      <c r="B162" s="165" t="s">
        <v>3536</v>
      </c>
      <c r="C162" s="165" t="s">
        <v>3321</v>
      </c>
      <c r="D162" s="165" t="s">
        <v>3324</v>
      </c>
      <c r="E162" s="165"/>
      <c r="F162" s="165" t="s">
        <v>54</v>
      </c>
      <c r="G162" s="165" t="s">
        <v>26</v>
      </c>
      <c r="H162" s="165" t="s">
        <v>10</v>
      </c>
      <c r="I162" s="165">
        <v>93192</v>
      </c>
      <c r="J162" s="165">
        <v>504</v>
      </c>
      <c r="K162" s="165">
        <v>504</v>
      </c>
      <c r="L162" s="165"/>
      <c r="M162" s="165">
        <v>1008</v>
      </c>
      <c r="N162" s="166">
        <v>92184</v>
      </c>
      <c r="O162" s="165">
        <v>5493</v>
      </c>
      <c r="P162" s="165">
        <v>5600</v>
      </c>
      <c r="Q162" s="165" t="s">
        <v>3442</v>
      </c>
      <c r="R162" s="165" t="s">
        <v>3358</v>
      </c>
      <c r="S162" s="165" t="s">
        <v>3326</v>
      </c>
      <c r="T162" s="165"/>
    </row>
    <row r="163" spans="1:20" x14ac:dyDescent="0.3">
      <c r="A163" s="164">
        <v>45310</v>
      </c>
      <c r="B163" s="165" t="s">
        <v>3536</v>
      </c>
      <c r="C163" s="165" t="s">
        <v>3328</v>
      </c>
      <c r="D163" s="165" t="s">
        <v>3329</v>
      </c>
      <c r="E163" s="165">
        <v>1</v>
      </c>
      <c r="F163" s="165" t="s">
        <v>60</v>
      </c>
      <c r="G163" s="165" t="s">
        <v>1091</v>
      </c>
      <c r="H163" s="165" t="s">
        <v>3330</v>
      </c>
      <c r="I163" s="165">
        <v>62760</v>
      </c>
      <c r="J163" s="165">
        <v>270</v>
      </c>
      <c r="K163" s="165">
        <v>270</v>
      </c>
      <c r="L163" s="165"/>
      <c r="M163" s="165">
        <v>540</v>
      </c>
      <c r="N163" s="166">
        <v>62220</v>
      </c>
      <c r="O163" s="165">
        <v>12750</v>
      </c>
      <c r="P163" s="165">
        <v>3000</v>
      </c>
      <c r="Q163" s="165">
        <v>45324</v>
      </c>
      <c r="R163" s="165" t="s">
        <v>3331</v>
      </c>
      <c r="S163" s="165"/>
      <c r="T163" s="165"/>
    </row>
    <row r="164" spans="1:20" x14ac:dyDescent="0.3">
      <c r="A164" s="164">
        <v>45311</v>
      </c>
      <c r="B164" s="165" t="s">
        <v>3536</v>
      </c>
      <c r="C164" s="165" t="s">
        <v>3334</v>
      </c>
      <c r="D164" s="165" t="s">
        <v>1206</v>
      </c>
      <c r="E164" s="165">
        <v>2</v>
      </c>
      <c r="F164" s="165"/>
      <c r="G164" s="165" t="s">
        <v>26</v>
      </c>
      <c r="H164" s="165" t="s">
        <v>10</v>
      </c>
      <c r="I164" s="165">
        <v>22541</v>
      </c>
      <c r="J164" s="165">
        <v>180</v>
      </c>
      <c r="K164" s="165">
        <v>180</v>
      </c>
      <c r="L164" s="165"/>
      <c r="M164" s="165">
        <v>360</v>
      </c>
      <c r="N164" s="166">
        <v>22181</v>
      </c>
      <c r="O164" s="165">
        <v>10261</v>
      </c>
      <c r="P164" s="165">
        <v>2000</v>
      </c>
      <c r="Q164" s="165">
        <v>45321</v>
      </c>
      <c r="R164" s="165" t="s">
        <v>3357</v>
      </c>
      <c r="S164" s="165" t="s">
        <v>3336</v>
      </c>
      <c r="T164" s="165"/>
    </row>
    <row r="165" spans="1:20" x14ac:dyDescent="0.3">
      <c r="A165" s="164">
        <v>45313</v>
      </c>
      <c r="B165" s="165" t="s">
        <v>3536</v>
      </c>
      <c r="C165" s="165" t="s">
        <v>3338</v>
      </c>
      <c r="D165" s="165" t="s">
        <v>3339</v>
      </c>
      <c r="E165" s="165"/>
      <c r="F165" s="165" t="s">
        <v>43</v>
      </c>
      <c r="G165" s="165" t="s">
        <v>14</v>
      </c>
      <c r="H165" s="165" t="s">
        <v>10</v>
      </c>
      <c r="I165" s="165">
        <v>133386</v>
      </c>
      <c r="J165" s="165">
        <v>3176</v>
      </c>
      <c r="K165" s="165">
        <v>3176</v>
      </c>
      <c r="L165" s="165"/>
      <c r="M165" s="165">
        <v>6352</v>
      </c>
      <c r="N165" s="166">
        <v>127034</v>
      </c>
      <c r="O165" s="165">
        <v>4151</v>
      </c>
      <c r="P165" s="165">
        <v>16234</v>
      </c>
      <c r="Q165" s="165">
        <v>45323</v>
      </c>
      <c r="R165" s="165" t="s">
        <v>3360</v>
      </c>
      <c r="S165" s="165" t="s">
        <v>3342</v>
      </c>
      <c r="T165" s="165"/>
    </row>
    <row r="166" spans="1:20" x14ac:dyDescent="0.3">
      <c r="A166" s="164">
        <v>45314</v>
      </c>
      <c r="B166" s="165" t="s">
        <v>3536</v>
      </c>
      <c r="C166" s="165" t="s">
        <v>3343</v>
      </c>
      <c r="D166" s="165" t="s">
        <v>100</v>
      </c>
      <c r="E166" s="165">
        <v>1</v>
      </c>
      <c r="F166" s="165"/>
      <c r="G166" s="165" t="s">
        <v>26</v>
      </c>
      <c r="H166" s="165" t="s">
        <v>3344</v>
      </c>
      <c r="I166" s="165">
        <v>150212</v>
      </c>
      <c r="J166" s="165">
        <v>332</v>
      </c>
      <c r="K166" s="165">
        <v>332</v>
      </c>
      <c r="L166" s="165"/>
      <c r="M166" s="165">
        <v>664</v>
      </c>
      <c r="N166" s="166">
        <v>149548</v>
      </c>
      <c r="O166" s="165">
        <v>145862</v>
      </c>
      <c r="P166" s="165">
        <v>3686</v>
      </c>
      <c r="Q166" s="165">
        <v>45317</v>
      </c>
      <c r="R166" s="165" t="s">
        <v>3361</v>
      </c>
      <c r="S166" s="165" t="s">
        <v>3345</v>
      </c>
      <c r="T166" s="165"/>
    </row>
    <row r="167" spans="1:20" x14ac:dyDescent="0.3">
      <c r="A167" s="164">
        <v>45314</v>
      </c>
      <c r="B167" s="165" t="s">
        <v>3536</v>
      </c>
      <c r="C167" s="165" t="s">
        <v>3347</v>
      </c>
      <c r="D167" s="165" t="s">
        <v>42</v>
      </c>
      <c r="E167" s="165"/>
      <c r="F167" s="165" t="s">
        <v>43</v>
      </c>
      <c r="G167" s="165" t="s">
        <v>3348</v>
      </c>
      <c r="H167" s="165" t="s">
        <v>3367</v>
      </c>
      <c r="I167" s="165">
        <v>25102</v>
      </c>
      <c r="J167" s="165">
        <v>598</v>
      </c>
      <c r="K167" s="165">
        <v>598</v>
      </c>
      <c r="L167" s="165"/>
      <c r="M167" s="165">
        <v>1196</v>
      </c>
      <c r="N167" s="166">
        <v>23906</v>
      </c>
      <c r="O167" s="165">
        <v>1785</v>
      </c>
      <c r="P167" s="165">
        <v>4838</v>
      </c>
      <c r="Q167" s="165">
        <v>45327</v>
      </c>
      <c r="R167" s="165" t="s">
        <v>3373</v>
      </c>
      <c r="S167" s="165"/>
      <c r="T167" s="165"/>
    </row>
    <row r="168" spans="1:20" x14ac:dyDescent="0.3">
      <c r="A168" s="164">
        <v>45317</v>
      </c>
      <c r="B168" s="165" t="s">
        <v>3536</v>
      </c>
      <c r="C168" s="165" t="s">
        <v>3362</v>
      </c>
      <c r="D168" s="165" t="s">
        <v>17</v>
      </c>
      <c r="E168" s="165">
        <v>1</v>
      </c>
      <c r="F168" s="165"/>
      <c r="G168" s="165" t="s">
        <v>26</v>
      </c>
      <c r="H168" s="165" t="s">
        <v>10</v>
      </c>
      <c r="I168" s="165">
        <v>9105</v>
      </c>
      <c r="J168" s="165">
        <v>126</v>
      </c>
      <c r="K168" s="165">
        <v>126</v>
      </c>
      <c r="L168" s="165"/>
      <c r="M168" s="165">
        <v>252</v>
      </c>
      <c r="N168" s="166">
        <v>8853</v>
      </c>
      <c r="O168" s="165">
        <v>2960</v>
      </c>
      <c r="P168" s="165">
        <v>1400</v>
      </c>
      <c r="Q168" s="165" t="s">
        <v>3420</v>
      </c>
      <c r="R168" s="165">
        <v>45327</v>
      </c>
      <c r="S168" s="165" t="s">
        <v>3363</v>
      </c>
      <c r="T168" s="165"/>
    </row>
    <row r="169" spans="1:20" x14ac:dyDescent="0.3">
      <c r="A169" s="164">
        <v>45320</v>
      </c>
      <c r="B169" s="165" t="s">
        <v>3536</v>
      </c>
      <c r="C169" s="165" t="s">
        <v>3374</v>
      </c>
      <c r="D169" s="165" t="s">
        <v>3385</v>
      </c>
      <c r="E169" s="165"/>
      <c r="F169" s="165" t="s">
        <v>43</v>
      </c>
      <c r="G169" s="165" t="s">
        <v>14</v>
      </c>
      <c r="H169" s="165" t="s">
        <v>3375</v>
      </c>
      <c r="I169" s="165">
        <v>53558</v>
      </c>
      <c r="J169" s="165">
        <v>1276</v>
      </c>
      <c r="K169" s="165">
        <v>1276</v>
      </c>
      <c r="L169" s="165"/>
      <c r="M169" s="165">
        <v>2552</v>
      </c>
      <c r="N169" s="166">
        <v>51006</v>
      </c>
      <c r="O169" s="165">
        <v>32256</v>
      </c>
      <c r="P169" s="165">
        <v>6000</v>
      </c>
      <c r="Q169" s="165">
        <v>45323</v>
      </c>
      <c r="R169" s="165" t="s">
        <v>3384</v>
      </c>
      <c r="S169" s="165"/>
      <c r="T169" s="165"/>
    </row>
    <row r="170" spans="1:20" x14ac:dyDescent="0.3">
      <c r="A170" s="164">
        <v>45322</v>
      </c>
      <c r="B170" s="165" t="s">
        <v>3536</v>
      </c>
      <c r="C170" s="165" t="s">
        <v>3386</v>
      </c>
      <c r="D170" s="165" t="s">
        <v>3387</v>
      </c>
      <c r="E170" s="165">
        <v>1</v>
      </c>
      <c r="F170" s="165"/>
      <c r="G170" s="165" t="s">
        <v>24</v>
      </c>
      <c r="H170" s="165" t="s">
        <v>11</v>
      </c>
      <c r="I170" s="165">
        <v>13835</v>
      </c>
      <c r="J170" s="165"/>
      <c r="K170" s="165"/>
      <c r="L170" s="165">
        <v>428</v>
      </c>
      <c r="M170" s="165">
        <v>428</v>
      </c>
      <c r="N170" s="166">
        <v>13407</v>
      </c>
      <c r="O170" s="165">
        <v>11038</v>
      </c>
      <c r="P170" s="165">
        <v>2372</v>
      </c>
      <c r="Q170" s="165" t="s">
        <v>3390</v>
      </c>
      <c r="R170" s="165" t="s">
        <v>3389</v>
      </c>
      <c r="S170" s="165" t="s">
        <v>3388</v>
      </c>
      <c r="T170" s="165"/>
    </row>
    <row r="171" spans="1:20" x14ac:dyDescent="0.3">
      <c r="A171" s="164">
        <v>45326</v>
      </c>
      <c r="B171" s="165" t="s">
        <v>3537</v>
      </c>
      <c r="C171" s="165" t="s">
        <v>3391</v>
      </c>
      <c r="D171" s="165" t="s">
        <v>847</v>
      </c>
      <c r="E171" s="165">
        <v>5</v>
      </c>
      <c r="F171" s="165"/>
      <c r="G171" s="165" t="s">
        <v>14</v>
      </c>
      <c r="H171" s="165" t="s">
        <v>20</v>
      </c>
      <c r="I171" s="165">
        <v>81340</v>
      </c>
      <c r="J171" s="165">
        <v>1937</v>
      </c>
      <c r="K171" s="165">
        <v>1937</v>
      </c>
      <c r="L171" s="165"/>
      <c r="M171" s="165">
        <v>3874</v>
      </c>
      <c r="N171" s="166">
        <v>77466</v>
      </c>
      <c r="O171" s="165">
        <v>55464</v>
      </c>
      <c r="P171" s="165">
        <v>22002</v>
      </c>
      <c r="Q171" s="165" t="s">
        <v>2996</v>
      </c>
      <c r="R171" s="165" t="s">
        <v>3005</v>
      </c>
      <c r="S171" s="165"/>
      <c r="T171" s="165"/>
    </row>
    <row r="172" spans="1:20" x14ac:dyDescent="0.3">
      <c r="A172" s="164">
        <v>45326</v>
      </c>
      <c r="B172" s="165" t="s">
        <v>3537</v>
      </c>
      <c r="C172" s="165" t="s">
        <v>3397</v>
      </c>
      <c r="D172" s="165" t="s">
        <v>2785</v>
      </c>
      <c r="E172" s="165">
        <v>5</v>
      </c>
      <c r="F172" s="165"/>
      <c r="G172" s="165" t="s">
        <v>14</v>
      </c>
      <c r="H172" s="165" t="s">
        <v>20</v>
      </c>
      <c r="I172" s="165">
        <v>81340</v>
      </c>
      <c r="J172" s="165">
        <v>1937</v>
      </c>
      <c r="K172" s="165">
        <v>1937</v>
      </c>
      <c r="L172" s="165"/>
      <c r="M172" s="165">
        <v>3874</v>
      </c>
      <c r="N172" s="166">
        <v>77466</v>
      </c>
      <c r="O172" s="165">
        <v>55464</v>
      </c>
      <c r="P172" s="165">
        <v>22002</v>
      </c>
      <c r="Q172" s="165" t="s">
        <v>2996</v>
      </c>
      <c r="R172" s="165" t="s">
        <v>3005</v>
      </c>
      <c r="S172" s="165"/>
      <c r="T172" s="165"/>
    </row>
    <row r="173" spans="1:20" x14ac:dyDescent="0.3">
      <c r="A173" s="164">
        <v>45326</v>
      </c>
      <c r="B173" s="165" t="s">
        <v>3537</v>
      </c>
      <c r="C173" s="165" t="s">
        <v>3398</v>
      </c>
      <c r="D173" s="165" t="s">
        <v>2787</v>
      </c>
      <c r="E173" s="165">
        <v>5</v>
      </c>
      <c r="F173" s="165"/>
      <c r="G173" s="165" t="s">
        <v>14</v>
      </c>
      <c r="H173" s="165" t="s">
        <v>20</v>
      </c>
      <c r="I173" s="165">
        <v>81340</v>
      </c>
      <c r="J173" s="165">
        <v>1937</v>
      </c>
      <c r="K173" s="165">
        <v>1937</v>
      </c>
      <c r="L173" s="165"/>
      <c r="M173" s="165">
        <v>3874</v>
      </c>
      <c r="N173" s="166">
        <v>77466</v>
      </c>
      <c r="O173" s="165">
        <v>55464</v>
      </c>
      <c r="P173" s="165">
        <v>22002</v>
      </c>
      <c r="Q173" s="165" t="s">
        <v>2996</v>
      </c>
      <c r="R173" s="165" t="s">
        <v>3005</v>
      </c>
      <c r="S173" s="165"/>
      <c r="T173" s="165"/>
    </row>
    <row r="174" spans="1:20" x14ac:dyDescent="0.3">
      <c r="A174" s="164">
        <v>45326</v>
      </c>
      <c r="B174" s="165" t="s">
        <v>3537</v>
      </c>
      <c r="C174" s="165" t="s">
        <v>3399</v>
      </c>
      <c r="D174" s="165" t="s">
        <v>2789</v>
      </c>
      <c r="E174" s="165">
        <v>5</v>
      </c>
      <c r="F174" s="165"/>
      <c r="G174" s="165" t="s">
        <v>14</v>
      </c>
      <c r="H174" s="165" t="s">
        <v>20</v>
      </c>
      <c r="I174" s="165">
        <v>81340</v>
      </c>
      <c r="J174" s="165">
        <v>1937</v>
      </c>
      <c r="K174" s="165">
        <v>1937</v>
      </c>
      <c r="L174" s="165"/>
      <c r="M174" s="165">
        <v>3874</v>
      </c>
      <c r="N174" s="166">
        <v>77466</v>
      </c>
      <c r="O174" s="165">
        <v>55464</v>
      </c>
      <c r="P174" s="165">
        <v>22002</v>
      </c>
      <c r="Q174" s="165" t="s">
        <v>2996</v>
      </c>
      <c r="R174" s="165" t="s">
        <v>3005</v>
      </c>
      <c r="S174" s="165"/>
      <c r="T174" s="165"/>
    </row>
    <row r="175" spans="1:20" x14ac:dyDescent="0.3">
      <c r="A175" s="164">
        <v>45326</v>
      </c>
      <c r="B175" s="165" t="s">
        <v>3537</v>
      </c>
      <c r="C175" s="165" t="s">
        <v>3400</v>
      </c>
      <c r="D175" s="165" t="s">
        <v>2791</v>
      </c>
      <c r="E175" s="165">
        <v>5</v>
      </c>
      <c r="F175" s="165"/>
      <c r="G175" s="165" t="s">
        <v>14</v>
      </c>
      <c r="H175" s="165" t="s">
        <v>20</v>
      </c>
      <c r="I175" s="165">
        <v>81340</v>
      </c>
      <c r="J175" s="165">
        <v>1937</v>
      </c>
      <c r="K175" s="165">
        <v>1937</v>
      </c>
      <c r="L175" s="165"/>
      <c r="M175" s="165">
        <v>3874</v>
      </c>
      <c r="N175" s="166">
        <v>77466</v>
      </c>
      <c r="O175" s="165">
        <v>55464</v>
      </c>
      <c r="P175" s="165">
        <v>22002</v>
      </c>
      <c r="Q175" s="165" t="s">
        <v>2996</v>
      </c>
      <c r="R175" s="165" t="s">
        <v>3005</v>
      </c>
      <c r="S175" s="165"/>
      <c r="T175" s="165"/>
    </row>
    <row r="176" spans="1:20" x14ac:dyDescent="0.3">
      <c r="A176" s="164">
        <v>45327</v>
      </c>
      <c r="B176" s="165" t="s">
        <v>3537</v>
      </c>
      <c r="C176" s="165" t="s">
        <v>3401</v>
      </c>
      <c r="D176" s="165" t="s">
        <v>3405</v>
      </c>
      <c r="E176" s="165"/>
      <c r="F176" s="165" t="s">
        <v>54</v>
      </c>
      <c r="G176" s="165" t="s">
        <v>26</v>
      </c>
      <c r="H176" s="165" t="s">
        <v>10</v>
      </c>
      <c r="I176" s="165">
        <v>48730</v>
      </c>
      <c r="J176" s="165">
        <v>189</v>
      </c>
      <c r="K176" s="165">
        <v>189</v>
      </c>
      <c r="L176" s="165"/>
      <c r="M176" s="165">
        <v>378</v>
      </c>
      <c r="N176" s="166">
        <v>48352</v>
      </c>
      <c r="O176" s="165">
        <v>5793</v>
      </c>
      <c r="P176" s="165">
        <v>2100</v>
      </c>
      <c r="Q176" s="165" t="s">
        <v>3490</v>
      </c>
      <c r="R176" s="165" t="s">
        <v>3434</v>
      </c>
      <c r="S176" s="165" t="s">
        <v>3406</v>
      </c>
      <c r="T176" s="165"/>
    </row>
    <row r="177" spans="1:20" x14ac:dyDescent="0.3">
      <c r="A177" s="164">
        <v>45328</v>
      </c>
      <c r="B177" s="165" t="s">
        <v>3537</v>
      </c>
      <c r="C177" s="165" t="s">
        <v>3404</v>
      </c>
      <c r="D177" s="165" t="s">
        <v>3128</v>
      </c>
      <c r="E177" s="165">
        <v>2</v>
      </c>
      <c r="F177" s="165" t="s">
        <v>65</v>
      </c>
      <c r="G177" s="165" t="s">
        <v>14</v>
      </c>
      <c r="H177" s="165" t="s">
        <v>10</v>
      </c>
      <c r="I177" s="165">
        <v>1122678</v>
      </c>
      <c r="J177" s="165"/>
      <c r="K177" s="165"/>
      <c r="L177" s="165">
        <v>53461</v>
      </c>
      <c r="M177" s="165">
        <v>53461</v>
      </c>
      <c r="N177" s="166">
        <v>1069217</v>
      </c>
      <c r="O177" s="165">
        <v>21354</v>
      </c>
      <c r="P177" s="165">
        <v>343714</v>
      </c>
      <c r="Q177" s="165" t="s">
        <v>3172</v>
      </c>
      <c r="R177" s="165" t="s">
        <v>3132</v>
      </c>
      <c r="S177" s="165" t="s">
        <v>3130</v>
      </c>
      <c r="T177" s="165"/>
    </row>
    <row r="178" spans="1:20" x14ac:dyDescent="0.3">
      <c r="A178" s="164">
        <v>45328</v>
      </c>
      <c r="B178" s="165" t="s">
        <v>3537</v>
      </c>
      <c r="C178" s="165" t="s">
        <v>3412</v>
      </c>
      <c r="D178" s="165" t="s">
        <v>62</v>
      </c>
      <c r="E178" s="165">
        <v>2</v>
      </c>
      <c r="F178" s="165" t="s">
        <v>65</v>
      </c>
      <c r="G178" s="165" t="s">
        <v>26</v>
      </c>
      <c r="H178" s="165" t="s">
        <v>10</v>
      </c>
      <c r="I178" s="165">
        <v>102716</v>
      </c>
      <c r="J178" s="165">
        <v>225</v>
      </c>
      <c r="K178" s="165">
        <v>225</v>
      </c>
      <c r="L178" s="165"/>
      <c r="M178" s="165">
        <v>450</v>
      </c>
      <c r="N178" s="166">
        <v>102266</v>
      </c>
      <c r="O178" s="165">
        <v>41590</v>
      </c>
      <c r="P178" s="165">
        <v>2500</v>
      </c>
      <c r="Q178" s="165" t="s">
        <v>3421</v>
      </c>
      <c r="R178" s="165" t="s">
        <v>3435</v>
      </c>
      <c r="S178" s="165" t="s">
        <v>3413</v>
      </c>
      <c r="T178" s="165"/>
    </row>
    <row r="179" spans="1:20" x14ac:dyDescent="0.3">
      <c r="A179" s="164">
        <v>45328</v>
      </c>
      <c r="B179" s="165" t="s">
        <v>3537</v>
      </c>
      <c r="C179" s="165" t="s">
        <v>3415</v>
      </c>
      <c r="D179" s="165" t="s">
        <v>3416</v>
      </c>
      <c r="E179" s="165">
        <v>1</v>
      </c>
      <c r="F179" s="165" t="s">
        <v>43</v>
      </c>
      <c r="G179" s="165" t="s">
        <v>26</v>
      </c>
      <c r="H179" s="165" t="s">
        <v>10</v>
      </c>
      <c r="I179" s="165">
        <v>16399</v>
      </c>
      <c r="J179" s="165">
        <v>45</v>
      </c>
      <c r="K179" s="165">
        <v>45</v>
      </c>
      <c r="L179" s="165"/>
      <c r="M179" s="165">
        <v>90</v>
      </c>
      <c r="N179" s="166">
        <v>16309</v>
      </c>
      <c r="O179" s="165">
        <v>6209</v>
      </c>
      <c r="P179" s="165">
        <v>500</v>
      </c>
      <c r="Q179" s="165">
        <v>45329</v>
      </c>
      <c r="R179" s="165" t="s">
        <v>3436</v>
      </c>
      <c r="S179" s="165" t="s">
        <v>3417</v>
      </c>
      <c r="T179" s="165"/>
    </row>
    <row r="180" spans="1:20" x14ac:dyDescent="0.3">
      <c r="A180" s="164">
        <v>45329</v>
      </c>
      <c r="B180" s="165" t="s">
        <v>3537</v>
      </c>
      <c r="C180" s="165" t="s">
        <v>3422</v>
      </c>
      <c r="D180" s="165" t="s">
        <v>3424</v>
      </c>
      <c r="E180" s="165"/>
      <c r="F180" s="165" t="s">
        <v>54</v>
      </c>
      <c r="G180" s="165" t="s">
        <v>2933</v>
      </c>
      <c r="H180" s="165" t="s">
        <v>3423</v>
      </c>
      <c r="I180" s="165">
        <v>17626</v>
      </c>
      <c r="J180" s="165">
        <v>420</v>
      </c>
      <c r="K180" s="165">
        <v>420</v>
      </c>
      <c r="L180" s="165"/>
      <c r="M180" s="165">
        <v>840</v>
      </c>
      <c r="N180" s="166">
        <v>16786</v>
      </c>
      <c r="O180" s="165">
        <v>6956</v>
      </c>
      <c r="P180" s="165">
        <v>3750</v>
      </c>
      <c r="Q180" s="165" t="s">
        <v>3442</v>
      </c>
      <c r="R180" s="165" t="s">
        <v>3437</v>
      </c>
      <c r="S180" s="165" t="s">
        <v>3427</v>
      </c>
      <c r="T180" s="165"/>
    </row>
    <row r="181" spans="1:20" x14ac:dyDescent="0.3">
      <c r="A181" s="164">
        <v>45331</v>
      </c>
      <c r="B181" s="165" t="s">
        <v>3537</v>
      </c>
      <c r="C181" s="165" t="s">
        <v>3432</v>
      </c>
      <c r="D181" s="165" t="s">
        <v>100</v>
      </c>
      <c r="E181" s="165">
        <v>1</v>
      </c>
      <c r="F181" s="165"/>
      <c r="G181" s="165" t="s">
        <v>26</v>
      </c>
      <c r="H181" s="165" t="s">
        <v>10</v>
      </c>
      <c r="I181" s="165">
        <v>72463</v>
      </c>
      <c r="J181" s="165">
        <v>450</v>
      </c>
      <c r="K181" s="165">
        <v>450</v>
      </c>
      <c r="L181" s="165"/>
      <c r="M181" s="165">
        <v>900</v>
      </c>
      <c r="N181" s="166">
        <v>71563</v>
      </c>
      <c r="O181" s="165">
        <v>66563</v>
      </c>
      <c r="P181" s="165">
        <v>5000</v>
      </c>
      <c r="Q181" s="165" t="s">
        <v>3439</v>
      </c>
      <c r="R181" s="165" t="s">
        <v>3438</v>
      </c>
      <c r="S181" s="165" t="s">
        <v>3433</v>
      </c>
      <c r="T181" s="165"/>
    </row>
    <row r="182" spans="1:20" x14ac:dyDescent="0.3">
      <c r="A182" s="164">
        <v>45334</v>
      </c>
      <c r="B182" s="165" t="s">
        <v>3537</v>
      </c>
      <c r="C182" s="165" t="s">
        <v>3443</v>
      </c>
      <c r="D182" s="165" t="s">
        <v>17</v>
      </c>
      <c r="E182" s="165">
        <v>1</v>
      </c>
      <c r="F182" s="165"/>
      <c r="G182" s="165" t="s">
        <v>22</v>
      </c>
      <c r="H182" s="165" t="s">
        <v>50</v>
      </c>
      <c r="I182" s="165">
        <v>21076</v>
      </c>
      <c r="J182" s="165">
        <v>450</v>
      </c>
      <c r="K182" s="165">
        <v>450</v>
      </c>
      <c r="L182" s="165"/>
      <c r="M182" s="165">
        <v>900</v>
      </c>
      <c r="N182" s="166">
        <v>20176</v>
      </c>
      <c r="O182" s="165">
        <v>15176</v>
      </c>
      <c r="P182" s="165">
        <v>5000</v>
      </c>
      <c r="Q182" s="165">
        <v>45374</v>
      </c>
      <c r="R182" s="165" t="s">
        <v>3440</v>
      </c>
      <c r="S182" s="165" t="s">
        <v>3441</v>
      </c>
      <c r="T182" s="165"/>
    </row>
    <row r="183" spans="1:20" x14ac:dyDescent="0.3">
      <c r="A183" s="164">
        <v>45349</v>
      </c>
      <c r="B183" s="165" t="s">
        <v>3537</v>
      </c>
      <c r="C183" s="165" t="s">
        <v>3448</v>
      </c>
      <c r="D183" s="165" t="s">
        <v>3449</v>
      </c>
      <c r="E183" s="165"/>
      <c r="F183" s="165" t="s">
        <v>54</v>
      </c>
      <c r="G183" s="165" t="s">
        <v>2933</v>
      </c>
      <c r="H183" s="165" t="s">
        <v>3423</v>
      </c>
      <c r="I183" s="165">
        <v>5944</v>
      </c>
      <c r="J183" s="165">
        <v>142</v>
      </c>
      <c r="K183" s="165">
        <v>142</v>
      </c>
      <c r="L183" s="165"/>
      <c r="M183" s="165">
        <v>284</v>
      </c>
      <c r="N183" s="166">
        <v>5660</v>
      </c>
      <c r="O183" s="165">
        <v>4410</v>
      </c>
      <c r="P183" s="165">
        <v>1250</v>
      </c>
      <c r="Q183" s="165" t="s">
        <v>3490</v>
      </c>
      <c r="R183" s="165" t="s">
        <v>3491</v>
      </c>
      <c r="S183" s="165" t="s">
        <v>3450</v>
      </c>
      <c r="T183" s="165"/>
    </row>
    <row r="184" spans="1:20" x14ac:dyDescent="0.3">
      <c r="A184" s="164">
        <v>45351</v>
      </c>
      <c r="B184" s="165" t="s">
        <v>3537</v>
      </c>
      <c r="C184" s="165" t="s">
        <v>3451</v>
      </c>
      <c r="D184" s="165" t="s">
        <v>3452</v>
      </c>
      <c r="E184" s="165">
        <v>7</v>
      </c>
      <c r="F184" s="165" t="s">
        <v>3453</v>
      </c>
      <c r="G184" s="165" t="s">
        <v>26</v>
      </c>
      <c r="H184" s="165" t="s">
        <v>10</v>
      </c>
      <c r="I184" s="165">
        <v>420105</v>
      </c>
      <c r="J184" s="165">
        <v>315</v>
      </c>
      <c r="K184" s="165">
        <v>315</v>
      </c>
      <c r="L184" s="165"/>
      <c r="M184" s="165">
        <v>630</v>
      </c>
      <c r="N184" s="166">
        <v>419475</v>
      </c>
      <c r="O184" s="165">
        <v>415975</v>
      </c>
      <c r="P184" s="165">
        <v>3500</v>
      </c>
      <c r="Q184" s="165" t="s">
        <v>3472</v>
      </c>
      <c r="R184" s="165" t="s">
        <v>3460</v>
      </c>
      <c r="S184" s="165" t="s">
        <v>3454</v>
      </c>
      <c r="T184" s="165"/>
    </row>
    <row r="185" spans="1:20" x14ac:dyDescent="0.3">
      <c r="A185" s="164">
        <v>45351</v>
      </c>
      <c r="B185" s="165" t="s">
        <v>3537</v>
      </c>
      <c r="C185" s="165" t="s">
        <v>3456</v>
      </c>
      <c r="D185" s="165" t="s">
        <v>3455</v>
      </c>
      <c r="E185" s="165">
        <v>1</v>
      </c>
      <c r="F185" s="165"/>
      <c r="G185" s="165" t="s">
        <v>8</v>
      </c>
      <c r="H185" s="165" t="s">
        <v>57</v>
      </c>
      <c r="I185" s="165">
        <v>582</v>
      </c>
      <c r="J185" s="165">
        <v>45</v>
      </c>
      <c r="K185" s="165">
        <v>45</v>
      </c>
      <c r="L185" s="165"/>
      <c r="M185" s="165">
        <v>90</v>
      </c>
      <c r="N185" s="166">
        <v>492</v>
      </c>
      <c r="O185" s="165">
        <v>492</v>
      </c>
      <c r="P185" s="165"/>
      <c r="Q185" s="165" t="s">
        <v>3457</v>
      </c>
      <c r="R185" s="165"/>
      <c r="S185" s="165"/>
      <c r="T185" s="165"/>
    </row>
    <row r="186" spans="1:20" x14ac:dyDescent="0.3">
      <c r="A186" s="164">
        <v>45352</v>
      </c>
      <c r="B186" s="165" t="s">
        <v>3538</v>
      </c>
      <c r="C186" s="165" t="s">
        <v>3459</v>
      </c>
      <c r="D186" s="165" t="s">
        <v>3452</v>
      </c>
      <c r="E186" s="165">
        <v>7</v>
      </c>
      <c r="F186" s="165" t="s">
        <v>3453</v>
      </c>
      <c r="G186" s="165" t="s">
        <v>14</v>
      </c>
      <c r="H186" s="165" t="s">
        <v>10</v>
      </c>
      <c r="I186" s="165">
        <v>339885</v>
      </c>
      <c r="J186" s="165">
        <v>8093</v>
      </c>
      <c r="K186" s="165">
        <v>8093</v>
      </c>
      <c r="L186" s="165"/>
      <c r="M186" s="165">
        <v>16186</v>
      </c>
      <c r="N186" s="166">
        <v>323699</v>
      </c>
      <c r="O186" s="165">
        <v>47250</v>
      </c>
      <c r="P186" s="165">
        <v>76400</v>
      </c>
      <c r="Q186" s="165" t="s">
        <v>3473</v>
      </c>
      <c r="R186" s="165" t="s">
        <v>3482</v>
      </c>
      <c r="S186" s="165" t="s">
        <v>3461</v>
      </c>
      <c r="T186" s="165"/>
    </row>
    <row r="187" spans="1:20" x14ac:dyDescent="0.3">
      <c r="A187" s="164">
        <v>45355</v>
      </c>
      <c r="B187" s="165" t="s">
        <v>3538</v>
      </c>
      <c r="C187" s="165" t="s">
        <v>3466</v>
      </c>
      <c r="D187" s="165" t="s">
        <v>3467</v>
      </c>
      <c r="E187" s="165">
        <v>1</v>
      </c>
      <c r="F187" s="165"/>
      <c r="G187" s="165" t="s">
        <v>24</v>
      </c>
      <c r="H187" s="165" t="s">
        <v>11</v>
      </c>
      <c r="I187" s="165">
        <v>13401</v>
      </c>
      <c r="J187" s="165">
        <v>180</v>
      </c>
      <c r="K187" s="165">
        <v>180</v>
      </c>
      <c r="L187" s="165"/>
      <c r="M187" s="165">
        <v>360</v>
      </c>
      <c r="N187" s="166">
        <v>13041</v>
      </c>
      <c r="O187" s="165">
        <v>11041</v>
      </c>
      <c r="P187" s="165">
        <v>2000</v>
      </c>
      <c r="Q187" s="165" t="s">
        <v>3476</v>
      </c>
      <c r="R187" s="165" t="s">
        <v>3464</v>
      </c>
      <c r="S187" s="165" t="s">
        <v>3471</v>
      </c>
      <c r="T187" s="165"/>
    </row>
    <row r="188" spans="1:20" x14ac:dyDescent="0.3">
      <c r="A188" s="164">
        <v>45355</v>
      </c>
      <c r="B188" s="165" t="s">
        <v>3538</v>
      </c>
      <c r="C188" s="165" t="s">
        <v>3468</v>
      </c>
      <c r="D188" s="165" t="s">
        <v>3469</v>
      </c>
      <c r="E188" s="165">
        <v>1</v>
      </c>
      <c r="F188" s="165" t="s">
        <v>43</v>
      </c>
      <c r="G188" s="165" t="s">
        <v>26</v>
      </c>
      <c r="H188" s="165" t="s">
        <v>10</v>
      </c>
      <c r="I188" s="165">
        <v>61759</v>
      </c>
      <c r="J188" s="165">
        <v>90</v>
      </c>
      <c r="K188" s="165">
        <v>90</v>
      </c>
      <c r="L188" s="165"/>
      <c r="M188" s="165">
        <v>180</v>
      </c>
      <c r="N188" s="166">
        <v>61579</v>
      </c>
      <c r="O188" s="165">
        <v>60579</v>
      </c>
      <c r="P188" s="165">
        <v>1000</v>
      </c>
      <c r="Q188" s="165" t="s">
        <v>3475</v>
      </c>
      <c r="R188" s="165" t="s">
        <v>3492</v>
      </c>
      <c r="S188" s="165" t="s">
        <v>3470</v>
      </c>
      <c r="T188" s="165"/>
    </row>
    <row r="189" spans="1:20" x14ac:dyDescent="0.3">
      <c r="A189" s="164">
        <v>45357</v>
      </c>
      <c r="B189" s="165" t="s">
        <v>3538</v>
      </c>
      <c r="C189" s="165" t="s">
        <v>3477</v>
      </c>
      <c r="D189" s="165" t="s">
        <v>62</v>
      </c>
      <c r="E189" s="165">
        <v>2</v>
      </c>
      <c r="F189" s="165"/>
      <c r="G189" s="165" t="s">
        <v>26</v>
      </c>
      <c r="H189" s="165" t="s">
        <v>3478</v>
      </c>
      <c r="I189" s="165">
        <v>2614</v>
      </c>
      <c r="J189" s="165">
        <v>27</v>
      </c>
      <c r="K189" s="165">
        <v>27</v>
      </c>
      <c r="L189" s="165"/>
      <c r="M189" s="165">
        <v>54</v>
      </c>
      <c r="N189" s="166">
        <v>2560</v>
      </c>
      <c r="O189" s="165">
        <v>2260</v>
      </c>
      <c r="P189" s="165">
        <v>300</v>
      </c>
      <c r="Q189" s="165" t="s">
        <v>3497</v>
      </c>
      <c r="R189" s="165" t="s">
        <v>3479</v>
      </c>
      <c r="S189" s="165"/>
      <c r="T189" s="165"/>
    </row>
    <row r="190" spans="1:20" x14ac:dyDescent="0.3">
      <c r="A190" s="164">
        <v>45358</v>
      </c>
      <c r="B190" s="165" t="s">
        <v>3538</v>
      </c>
      <c r="C190" s="165" t="s">
        <v>3484</v>
      </c>
      <c r="D190" s="165" t="s">
        <v>3452</v>
      </c>
      <c r="E190" s="165">
        <v>1</v>
      </c>
      <c r="F190" s="165" t="s">
        <v>3453</v>
      </c>
      <c r="G190" s="165" t="s">
        <v>14</v>
      </c>
      <c r="H190" s="165" t="s">
        <v>10</v>
      </c>
      <c r="I190" s="165">
        <v>115980</v>
      </c>
      <c r="J190" s="165">
        <v>2762</v>
      </c>
      <c r="K190" s="165">
        <v>2762</v>
      </c>
      <c r="L190" s="165"/>
      <c r="M190" s="165">
        <v>5524</v>
      </c>
      <c r="N190" s="166">
        <v>110456</v>
      </c>
      <c r="O190" s="165">
        <v>59427</v>
      </c>
      <c r="P190" s="165">
        <v>19203</v>
      </c>
      <c r="Q190" s="165" t="s">
        <v>3496</v>
      </c>
      <c r="R190" s="165" t="s">
        <v>3493</v>
      </c>
      <c r="S190" s="165" t="s">
        <v>3480</v>
      </c>
      <c r="T190" s="165"/>
    </row>
    <row r="191" spans="1:20" x14ac:dyDescent="0.3">
      <c r="A191" s="164">
        <v>45358</v>
      </c>
      <c r="B191" s="165" t="s">
        <v>3538</v>
      </c>
      <c r="C191" s="165" t="s">
        <v>3485</v>
      </c>
      <c r="D191" s="165" t="s">
        <v>18</v>
      </c>
      <c r="E191" s="165">
        <v>3</v>
      </c>
      <c r="F191" s="165"/>
      <c r="G191" s="165" t="s">
        <v>26</v>
      </c>
      <c r="H191" s="165" t="s">
        <v>10</v>
      </c>
      <c r="I191" s="165">
        <v>67366</v>
      </c>
      <c r="J191" s="165">
        <v>180</v>
      </c>
      <c r="K191" s="165">
        <v>180</v>
      </c>
      <c r="L191" s="165"/>
      <c r="M191" s="165">
        <v>360</v>
      </c>
      <c r="N191" s="166">
        <v>67006</v>
      </c>
      <c r="O191" s="165">
        <v>65006</v>
      </c>
      <c r="P191" s="165">
        <v>2000</v>
      </c>
      <c r="Q191" s="165" t="s">
        <v>3487</v>
      </c>
      <c r="R191" s="165" t="s">
        <v>3492</v>
      </c>
      <c r="S191" s="165" t="s">
        <v>3486</v>
      </c>
      <c r="T191" s="165"/>
    </row>
    <row r="192" spans="1:20" x14ac:dyDescent="0.3">
      <c r="A192" s="164">
        <v>45364</v>
      </c>
      <c r="B192" s="165" t="s">
        <v>3538</v>
      </c>
      <c r="C192" s="165" t="s">
        <v>3498</v>
      </c>
      <c r="D192" s="165" t="s">
        <v>3499</v>
      </c>
      <c r="E192" s="165">
        <v>1</v>
      </c>
      <c r="F192" s="165" t="s">
        <v>43</v>
      </c>
      <c r="G192" s="165" t="s">
        <v>14</v>
      </c>
      <c r="H192" s="165" t="s">
        <v>10</v>
      </c>
      <c r="I192" s="165">
        <v>84638</v>
      </c>
      <c r="J192" s="165">
        <v>2016</v>
      </c>
      <c r="K192" s="165">
        <v>2016</v>
      </c>
      <c r="L192" s="165"/>
      <c r="M192" s="165">
        <v>4032</v>
      </c>
      <c r="N192" s="166">
        <v>80606</v>
      </c>
      <c r="O192" s="165">
        <v>4957</v>
      </c>
      <c r="P192" s="165">
        <v>3940</v>
      </c>
      <c r="Q192" s="165" t="s">
        <v>3512</v>
      </c>
      <c r="R192" s="165" t="s">
        <v>3505</v>
      </c>
      <c r="S192" s="165" t="s">
        <v>3500</v>
      </c>
      <c r="T192" s="165"/>
    </row>
    <row r="193" spans="1:20" x14ac:dyDescent="0.3">
      <c r="A193" s="164">
        <v>45365</v>
      </c>
      <c r="B193" s="165" t="s">
        <v>3538</v>
      </c>
      <c r="C193" s="165" t="s">
        <v>3503</v>
      </c>
      <c r="D193" s="165" t="s">
        <v>3506</v>
      </c>
      <c r="E193" s="165">
        <v>4</v>
      </c>
      <c r="F193" s="165"/>
      <c r="G193" s="165" t="s">
        <v>22</v>
      </c>
      <c r="H193" s="165" t="s">
        <v>50</v>
      </c>
      <c r="I193" s="165">
        <v>21560</v>
      </c>
      <c r="J193" s="165">
        <v>720</v>
      </c>
      <c r="K193" s="165">
        <v>720</v>
      </c>
      <c r="L193" s="165"/>
      <c r="M193" s="165">
        <v>1440</v>
      </c>
      <c r="N193" s="166">
        <v>20120</v>
      </c>
      <c r="O193" s="165">
        <v>12120</v>
      </c>
      <c r="P193" s="165">
        <v>8000</v>
      </c>
      <c r="Q193" s="165" t="s">
        <v>3510</v>
      </c>
      <c r="R193" s="165" t="s">
        <v>3504</v>
      </c>
      <c r="S193" s="165"/>
      <c r="T193" s="165"/>
    </row>
    <row r="194" spans="1:20" x14ac:dyDescent="0.3">
      <c r="A194" s="164">
        <v>45367</v>
      </c>
      <c r="B194" s="165" t="s">
        <v>3538</v>
      </c>
      <c r="C194" s="165" t="s">
        <v>3507</v>
      </c>
      <c r="D194" s="165" t="s">
        <v>1231</v>
      </c>
      <c r="E194" s="165">
        <v>4</v>
      </c>
      <c r="F194" s="165"/>
      <c r="G194" s="165" t="s">
        <v>26</v>
      </c>
      <c r="H194" s="165" t="s">
        <v>10</v>
      </c>
      <c r="I194" s="165">
        <v>241108</v>
      </c>
      <c r="J194" s="165">
        <v>540</v>
      </c>
      <c r="K194" s="165">
        <v>540</v>
      </c>
      <c r="L194" s="165"/>
      <c r="M194" s="165">
        <v>1080</v>
      </c>
      <c r="N194" s="166">
        <v>240028</v>
      </c>
      <c r="O194" s="165">
        <v>234028</v>
      </c>
      <c r="P194" s="165">
        <v>6000</v>
      </c>
      <c r="Q194" s="165" t="s">
        <v>3509</v>
      </c>
      <c r="R194" s="165" t="s">
        <v>3511</v>
      </c>
      <c r="S194" s="165" t="s">
        <v>3508</v>
      </c>
      <c r="T194" s="165"/>
    </row>
    <row r="195" spans="1:20" x14ac:dyDescent="0.3">
      <c r="A195" s="164">
        <v>45371</v>
      </c>
      <c r="B195" s="165" t="s">
        <v>3538</v>
      </c>
      <c r="C195" s="165" t="s">
        <v>3513</v>
      </c>
      <c r="D195" s="165" t="s">
        <v>62</v>
      </c>
      <c r="E195" s="165"/>
      <c r="F195" s="165"/>
      <c r="G195" s="165" t="s">
        <v>26</v>
      </c>
      <c r="H195" s="165" t="s">
        <v>3514</v>
      </c>
      <c r="I195" s="165">
        <v>9058</v>
      </c>
      <c r="J195" s="165">
        <v>9</v>
      </c>
      <c r="K195" s="165">
        <v>9</v>
      </c>
      <c r="L195" s="165"/>
      <c r="M195" s="165">
        <v>18</v>
      </c>
      <c r="N195" s="166">
        <v>9040</v>
      </c>
      <c r="O195" s="165">
        <v>1040</v>
      </c>
      <c r="P195" s="165">
        <v>100</v>
      </c>
      <c r="Q195" s="165" t="s">
        <v>3517</v>
      </c>
      <c r="R195" s="165" t="s">
        <v>3515</v>
      </c>
      <c r="S195" s="165"/>
      <c r="T195" s="165"/>
    </row>
  </sheetData>
  <autoFilter ref="A1:T195" xr:uid="{00000000-0009-0000-0000-000004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94"/>
  <sheetViews>
    <sheetView workbookViewId="0">
      <selection activeCell="F21" sqref="F21"/>
    </sheetView>
  </sheetViews>
  <sheetFormatPr defaultRowHeight="14.4" x14ac:dyDescent="0.3"/>
  <cols>
    <col min="2" max="2" width="9.88671875" bestFit="1" customWidth="1"/>
    <col min="3" max="3" width="12.21875" bestFit="1" customWidth="1"/>
    <col min="4" max="4" width="14.109375" bestFit="1" customWidth="1"/>
  </cols>
  <sheetData>
    <row r="1" spans="2:4" x14ac:dyDescent="0.3">
      <c r="B1" s="169" t="s">
        <v>3525</v>
      </c>
      <c r="C1" s="169" t="s">
        <v>3526</v>
      </c>
      <c r="D1" s="169" t="s">
        <v>1</v>
      </c>
    </row>
    <row r="2" spans="2:4" x14ac:dyDescent="0.3">
      <c r="B2" s="165" t="s">
        <v>3527</v>
      </c>
      <c r="C2" s="166">
        <v>71580</v>
      </c>
      <c r="D2" s="165" t="s">
        <v>26</v>
      </c>
    </row>
    <row r="3" spans="2:4" x14ac:dyDescent="0.3">
      <c r="B3" s="165" t="s">
        <v>3527</v>
      </c>
      <c r="C3" s="166">
        <v>104800</v>
      </c>
      <c r="D3" s="165" t="s">
        <v>26</v>
      </c>
    </row>
    <row r="4" spans="2:4" x14ac:dyDescent="0.3">
      <c r="B4" s="165" t="s">
        <v>3527</v>
      </c>
      <c r="C4" s="166">
        <v>446694</v>
      </c>
      <c r="D4" s="165" t="s">
        <v>14</v>
      </c>
    </row>
    <row r="5" spans="2:4" x14ac:dyDescent="0.3">
      <c r="B5" s="165" t="s">
        <v>3527</v>
      </c>
      <c r="C5" s="166">
        <v>297370</v>
      </c>
      <c r="D5" s="165" t="s">
        <v>14</v>
      </c>
    </row>
    <row r="6" spans="2:4" x14ac:dyDescent="0.3">
      <c r="B6" s="165" t="s">
        <v>3527</v>
      </c>
      <c r="C6" s="166">
        <v>222000</v>
      </c>
      <c r="D6" s="165" t="s">
        <v>26</v>
      </c>
    </row>
    <row r="7" spans="2:4" x14ac:dyDescent="0.3">
      <c r="B7" s="165" t="s">
        <v>3527</v>
      </c>
      <c r="C7" s="166">
        <v>47413</v>
      </c>
      <c r="D7" s="165" t="s">
        <v>24</v>
      </c>
    </row>
    <row r="8" spans="2:4" x14ac:dyDescent="0.3">
      <c r="B8" s="165" t="s">
        <v>3527</v>
      </c>
      <c r="C8" s="166">
        <v>461810</v>
      </c>
      <c r="D8" s="165" t="s">
        <v>26</v>
      </c>
    </row>
    <row r="9" spans="2:4" x14ac:dyDescent="0.3">
      <c r="B9" s="165" t="s">
        <v>3527</v>
      </c>
      <c r="C9" s="166">
        <v>378143</v>
      </c>
      <c r="D9" s="165" t="s">
        <v>14</v>
      </c>
    </row>
    <row r="10" spans="2:4" x14ac:dyDescent="0.3">
      <c r="B10" s="165" t="s">
        <v>3527</v>
      </c>
      <c r="C10" s="166">
        <v>9100</v>
      </c>
      <c r="D10" s="165" t="s">
        <v>24</v>
      </c>
    </row>
    <row r="11" spans="2:4" x14ac:dyDescent="0.3">
      <c r="B11" s="165" t="s">
        <v>3527</v>
      </c>
      <c r="C11" s="166">
        <v>25687</v>
      </c>
      <c r="D11" s="165" t="s">
        <v>9</v>
      </c>
    </row>
    <row r="12" spans="2:4" x14ac:dyDescent="0.3">
      <c r="B12" s="165" t="s">
        <v>3527</v>
      </c>
      <c r="C12" s="166">
        <v>7462</v>
      </c>
      <c r="D12" s="165" t="s">
        <v>22</v>
      </c>
    </row>
    <row r="13" spans="2:4" x14ac:dyDescent="0.3">
      <c r="B13" s="165" t="s">
        <v>3527</v>
      </c>
      <c r="C13" s="166">
        <v>55683</v>
      </c>
      <c r="D13" s="165" t="s">
        <v>26</v>
      </c>
    </row>
    <row r="14" spans="2:4" x14ac:dyDescent="0.3">
      <c r="B14" s="165" t="s">
        <v>3527</v>
      </c>
      <c r="C14" s="166">
        <v>238865</v>
      </c>
      <c r="D14" s="165" t="s">
        <v>14</v>
      </c>
    </row>
    <row r="15" spans="2:4" x14ac:dyDescent="0.3">
      <c r="B15" s="165" t="s">
        <v>3527</v>
      </c>
      <c r="C15" s="166">
        <v>10090</v>
      </c>
      <c r="D15" s="165" t="s">
        <v>22</v>
      </c>
    </row>
    <row r="16" spans="2:4" x14ac:dyDescent="0.3">
      <c r="B16" s="165" t="s">
        <v>3527</v>
      </c>
      <c r="C16" s="166">
        <v>311090</v>
      </c>
      <c r="D16" s="165" t="s">
        <v>14</v>
      </c>
    </row>
    <row r="17" spans="2:4" x14ac:dyDescent="0.3">
      <c r="B17" s="165" t="s">
        <v>3527</v>
      </c>
      <c r="C17" s="166">
        <v>38550</v>
      </c>
      <c r="D17" s="165" t="s">
        <v>26</v>
      </c>
    </row>
    <row r="18" spans="2:4" x14ac:dyDescent="0.3">
      <c r="B18" s="165" t="s">
        <v>3527</v>
      </c>
      <c r="C18" s="166">
        <v>34500</v>
      </c>
      <c r="D18" s="165" t="s">
        <v>26</v>
      </c>
    </row>
    <row r="19" spans="2:4" x14ac:dyDescent="0.3">
      <c r="B19" s="165" t="s">
        <v>3527</v>
      </c>
      <c r="C19" s="166">
        <v>17855</v>
      </c>
      <c r="D19" s="165" t="s">
        <v>24</v>
      </c>
    </row>
    <row r="20" spans="2:4" x14ac:dyDescent="0.3">
      <c r="B20" s="165" t="s">
        <v>3527</v>
      </c>
      <c r="C20" s="166">
        <v>71580</v>
      </c>
      <c r="D20" s="165" t="s">
        <v>26</v>
      </c>
    </row>
    <row r="21" spans="2:4" x14ac:dyDescent="0.3">
      <c r="B21" s="165" t="s">
        <v>3527</v>
      </c>
      <c r="C21" s="166">
        <v>60834</v>
      </c>
      <c r="D21" s="165" t="s">
        <v>26</v>
      </c>
    </row>
    <row r="22" spans="2:4" x14ac:dyDescent="0.3">
      <c r="B22" s="165" t="s">
        <v>3527</v>
      </c>
      <c r="C22" s="166">
        <v>10836</v>
      </c>
      <c r="D22" s="165" t="s">
        <v>26</v>
      </c>
    </row>
    <row r="23" spans="2:4" x14ac:dyDescent="0.3">
      <c r="B23" s="165" t="s">
        <v>3528</v>
      </c>
      <c r="C23" s="166">
        <v>317052</v>
      </c>
      <c r="D23" s="165" t="s">
        <v>26</v>
      </c>
    </row>
    <row r="24" spans="2:4" x14ac:dyDescent="0.3">
      <c r="B24" s="165" t="s">
        <v>3528</v>
      </c>
      <c r="C24" s="166">
        <v>22361</v>
      </c>
      <c r="D24" s="165" t="s">
        <v>26</v>
      </c>
    </row>
    <row r="25" spans="2:4" x14ac:dyDescent="0.3">
      <c r="B25" s="165" t="s">
        <v>3528</v>
      </c>
      <c r="C25" s="166">
        <v>157463</v>
      </c>
      <c r="D25" s="165" t="s">
        <v>26</v>
      </c>
    </row>
    <row r="26" spans="2:4" x14ac:dyDescent="0.3">
      <c r="B26" s="165" t="s">
        <v>3528</v>
      </c>
      <c r="C26" s="166">
        <v>682557</v>
      </c>
      <c r="D26" s="165" t="s">
        <v>26</v>
      </c>
    </row>
    <row r="27" spans="2:4" x14ac:dyDescent="0.3">
      <c r="B27" s="165" t="s">
        <v>3528</v>
      </c>
      <c r="C27" s="166">
        <v>17998</v>
      </c>
      <c r="D27" s="165" t="s">
        <v>8</v>
      </c>
    </row>
    <row r="28" spans="2:4" x14ac:dyDescent="0.3">
      <c r="B28" s="165" t="s">
        <v>3528</v>
      </c>
      <c r="C28" s="166">
        <v>29802</v>
      </c>
      <c r="D28" s="165" t="s">
        <v>22</v>
      </c>
    </row>
    <row r="29" spans="2:4" x14ac:dyDescent="0.3">
      <c r="B29" s="165" t="s">
        <v>3528</v>
      </c>
      <c r="C29" s="166">
        <v>53241</v>
      </c>
      <c r="D29" s="165" t="s">
        <v>26</v>
      </c>
    </row>
    <row r="30" spans="2:4" x14ac:dyDescent="0.3">
      <c r="B30" s="165" t="s">
        <v>3528</v>
      </c>
      <c r="C30" s="166">
        <v>189544</v>
      </c>
      <c r="D30" s="165" t="s">
        <v>26</v>
      </c>
    </row>
    <row r="31" spans="2:4" x14ac:dyDescent="0.3">
      <c r="B31" s="165" t="s">
        <v>3528</v>
      </c>
      <c r="C31" s="166">
        <v>20068</v>
      </c>
      <c r="D31" s="165" t="s">
        <v>22</v>
      </c>
    </row>
    <row r="32" spans="2:4" x14ac:dyDescent="0.3">
      <c r="B32" s="165" t="s">
        <v>3528</v>
      </c>
      <c r="C32" s="166">
        <v>335010</v>
      </c>
      <c r="D32" s="165" t="s">
        <v>26</v>
      </c>
    </row>
    <row r="33" spans="2:4" x14ac:dyDescent="0.3">
      <c r="B33" s="165" t="s">
        <v>3528</v>
      </c>
      <c r="C33" s="166">
        <v>218141</v>
      </c>
      <c r="D33" s="165" t="s">
        <v>26</v>
      </c>
    </row>
    <row r="34" spans="2:4" x14ac:dyDescent="0.3">
      <c r="B34" s="165" t="s">
        <v>3528</v>
      </c>
      <c r="C34" s="166">
        <v>282477</v>
      </c>
      <c r="D34" s="165" t="s">
        <v>26</v>
      </c>
    </row>
    <row r="35" spans="2:4" x14ac:dyDescent="0.3">
      <c r="B35" s="165" t="s">
        <v>3528</v>
      </c>
      <c r="C35" s="166">
        <v>44433</v>
      </c>
      <c r="D35" s="165" t="s">
        <v>26</v>
      </c>
    </row>
    <row r="36" spans="2:4" x14ac:dyDescent="0.3">
      <c r="B36" s="165" t="s">
        <v>3528</v>
      </c>
      <c r="C36" s="166">
        <v>71580</v>
      </c>
      <c r="D36" s="165" t="s">
        <v>26</v>
      </c>
    </row>
    <row r="37" spans="2:4" x14ac:dyDescent="0.3">
      <c r="B37" s="165" t="s">
        <v>3528</v>
      </c>
      <c r="C37" s="166">
        <v>24341</v>
      </c>
      <c r="D37" s="165" t="s">
        <v>26</v>
      </c>
    </row>
    <row r="38" spans="2:4" x14ac:dyDescent="0.3">
      <c r="B38" s="165" t="s">
        <v>3528</v>
      </c>
      <c r="C38" s="166">
        <v>239290</v>
      </c>
      <c r="D38" s="165" t="s">
        <v>26</v>
      </c>
    </row>
    <row r="39" spans="2:4" x14ac:dyDescent="0.3">
      <c r="B39" s="165" t="s">
        <v>3529</v>
      </c>
      <c r="C39" s="166">
        <v>218293.9</v>
      </c>
      <c r="D39" s="165" t="s">
        <v>14</v>
      </c>
    </row>
    <row r="40" spans="2:4" x14ac:dyDescent="0.3">
      <c r="B40" s="165" t="s">
        <v>3529</v>
      </c>
      <c r="C40" s="166">
        <v>71580</v>
      </c>
      <c r="D40" s="165" t="s">
        <v>26</v>
      </c>
    </row>
    <row r="41" spans="2:4" x14ac:dyDescent="0.3">
      <c r="B41" s="165" t="s">
        <v>3529</v>
      </c>
      <c r="C41" s="166">
        <v>12722</v>
      </c>
      <c r="D41" s="165" t="s">
        <v>9</v>
      </c>
    </row>
    <row r="42" spans="2:4" x14ac:dyDescent="0.3">
      <c r="B42" s="165" t="s">
        <v>3529</v>
      </c>
      <c r="C42" s="166">
        <v>9000</v>
      </c>
      <c r="D42" s="165" t="s">
        <v>22</v>
      </c>
    </row>
    <row r="43" spans="2:4" x14ac:dyDescent="0.3">
      <c r="B43" s="165" t="s">
        <v>3529</v>
      </c>
      <c r="C43" s="166">
        <v>71580</v>
      </c>
      <c r="D43" s="165" t="s">
        <v>24</v>
      </c>
    </row>
    <row r="44" spans="2:4" x14ac:dyDescent="0.3">
      <c r="B44" s="165" t="s">
        <v>3529</v>
      </c>
      <c r="C44" s="166">
        <v>371179</v>
      </c>
      <c r="D44" s="165" t="s">
        <v>26</v>
      </c>
    </row>
    <row r="45" spans="2:4" x14ac:dyDescent="0.3">
      <c r="B45" s="165" t="s">
        <v>3529</v>
      </c>
      <c r="C45" s="166">
        <v>0</v>
      </c>
      <c r="D45" s="165" t="s">
        <v>14</v>
      </c>
    </row>
    <row r="46" spans="2:4" x14ac:dyDescent="0.3">
      <c r="B46" s="165" t="s">
        <v>3529</v>
      </c>
      <c r="C46" s="166">
        <v>91607</v>
      </c>
      <c r="D46" s="165" t="s">
        <v>26</v>
      </c>
    </row>
    <row r="47" spans="2:4" x14ac:dyDescent="0.3">
      <c r="B47" s="165" t="s">
        <v>3529</v>
      </c>
      <c r="C47" s="166">
        <v>54641</v>
      </c>
      <c r="D47" s="165" t="s">
        <v>26</v>
      </c>
    </row>
    <row r="48" spans="2:4" x14ac:dyDescent="0.3">
      <c r="B48" s="165" t="s">
        <v>3529</v>
      </c>
      <c r="C48" s="166">
        <v>5890</v>
      </c>
      <c r="D48" s="165" t="s">
        <v>9</v>
      </c>
    </row>
    <row r="49" spans="2:4" x14ac:dyDescent="0.3">
      <c r="B49" s="165" t="s">
        <v>3529</v>
      </c>
      <c r="C49" s="166">
        <v>7800</v>
      </c>
      <c r="D49" s="165" t="s">
        <v>26</v>
      </c>
    </row>
    <row r="50" spans="2:4" x14ac:dyDescent="0.3">
      <c r="B50" s="165" t="s">
        <v>3529</v>
      </c>
      <c r="C50" s="166">
        <v>18768</v>
      </c>
      <c r="D50" s="165" t="s">
        <v>24</v>
      </c>
    </row>
    <row r="51" spans="2:4" x14ac:dyDescent="0.3">
      <c r="B51" s="165" t="s">
        <v>3530</v>
      </c>
      <c r="C51" s="166">
        <v>240113</v>
      </c>
      <c r="D51" s="165" t="s">
        <v>26</v>
      </c>
    </row>
    <row r="52" spans="2:4" x14ac:dyDescent="0.3">
      <c r="B52" s="165" t="s">
        <v>3530</v>
      </c>
      <c r="C52" s="166">
        <v>73444</v>
      </c>
      <c r="D52" s="165" t="s">
        <v>26</v>
      </c>
    </row>
    <row r="53" spans="2:4" x14ac:dyDescent="0.3">
      <c r="B53" s="165" t="s">
        <v>3530</v>
      </c>
      <c r="C53" s="166">
        <v>50936</v>
      </c>
      <c r="D53" s="165" t="s">
        <v>26</v>
      </c>
    </row>
    <row r="54" spans="2:4" x14ac:dyDescent="0.3">
      <c r="B54" s="165" t="s">
        <v>3530</v>
      </c>
      <c r="C54" s="166">
        <v>9992</v>
      </c>
      <c r="D54" s="165" t="s">
        <v>9</v>
      </c>
    </row>
    <row r="55" spans="2:4" x14ac:dyDescent="0.3">
      <c r="B55" s="165" t="s">
        <v>3530</v>
      </c>
      <c r="C55" s="166">
        <v>171339</v>
      </c>
      <c r="D55" s="165" t="s">
        <v>7</v>
      </c>
    </row>
    <row r="56" spans="2:4" x14ac:dyDescent="0.3">
      <c r="B56" s="165" t="s">
        <v>3530</v>
      </c>
      <c r="C56" s="166">
        <v>5354</v>
      </c>
      <c r="D56" s="165" t="s">
        <v>26</v>
      </c>
    </row>
    <row r="57" spans="2:4" x14ac:dyDescent="0.3">
      <c r="B57" s="165" t="s">
        <v>3530</v>
      </c>
      <c r="C57" s="166">
        <v>1955</v>
      </c>
      <c r="D57" s="165" t="s">
        <v>26</v>
      </c>
    </row>
    <row r="58" spans="2:4" x14ac:dyDescent="0.3">
      <c r="B58" s="165" t="s">
        <v>3530</v>
      </c>
      <c r="C58" s="166">
        <v>198134</v>
      </c>
      <c r="D58" s="165" t="s">
        <v>26</v>
      </c>
    </row>
    <row r="59" spans="2:4" x14ac:dyDescent="0.3">
      <c r="B59" s="165" t="s">
        <v>3530</v>
      </c>
      <c r="C59" s="166">
        <v>6688</v>
      </c>
      <c r="D59" s="165" t="s">
        <v>26</v>
      </c>
    </row>
    <row r="60" spans="2:4" x14ac:dyDescent="0.3">
      <c r="B60" s="165" t="s">
        <v>3530</v>
      </c>
      <c r="C60" s="166">
        <v>171384</v>
      </c>
      <c r="D60" s="165" t="s">
        <v>26</v>
      </c>
    </row>
    <row r="61" spans="2:4" x14ac:dyDescent="0.3">
      <c r="B61" s="165" t="s">
        <v>3530</v>
      </c>
      <c r="C61" s="166">
        <v>844</v>
      </c>
      <c r="D61" s="165" t="s">
        <v>26</v>
      </c>
    </row>
    <row r="62" spans="2:4" x14ac:dyDescent="0.3">
      <c r="B62" s="165" t="s">
        <v>3531</v>
      </c>
      <c r="C62" s="166">
        <v>10683</v>
      </c>
      <c r="D62" s="165" t="s">
        <v>26</v>
      </c>
    </row>
    <row r="63" spans="2:4" x14ac:dyDescent="0.3">
      <c r="B63" s="165" t="s">
        <v>3531</v>
      </c>
      <c r="C63" s="166">
        <v>19235</v>
      </c>
      <c r="D63" s="165" t="s">
        <v>26</v>
      </c>
    </row>
    <row r="64" spans="2:4" x14ac:dyDescent="0.3">
      <c r="B64" s="165" t="s">
        <v>3531</v>
      </c>
      <c r="C64" s="166">
        <v>122995</v>
      </c>
      <c r="D64" s="165" t="s">
        <v>26</v>
      </c>
    </row>
    <row r="65" spans="2:4" x14ac:dyDescent="0.3">
      <c r="B65" s="165" t="s">
        <v>3531</v>
      </c>
      <c r="C65" s="166">
        <v>33909</v>
      </c>
      <c r="D65" s="165" t="s">
        <v>24</v>
      </c>
    </row>
    <row r="66" spans="2:4" x14ac:dyDescent="0.3">
      <c r="B66" s="165" t="s">
        <v>3531</v>
      </c>
      <c r="C66" s="166">
        <v>191771</v>
      </c>
      <c r="D66" s="165" t="s">
        <v>26</v>
      </c>
    </row>
    <row r="67" spans="2:4" x14ac:dyDescent="0.3">
      <c r="B67" s="165" t="s">
        <v>3531</v>
      </c>
      <c r="C67" s="166">
        <v>41189</v>
      </c>
      <c r="D67" s="165" t="s">
        <v>9</v>
      </c>
    </row>
    <row r="68" spans="2:4" x14ac:dyDescent="0.3">
      <c r="B68" s="165" t="s">
        <v>3531</v>
      </c>
      <c r="C68" s="166">
        <v>1001</v>
      </c>
      <c r="D68" s="165" t="s">
        <v>8</v>
      </c>
    </row>
    <row r="69" spans="2:4" x14ac:dyDescent="0.3">
      <c r="B69" s="165" t="s">
        <v>3531</v>
      </c>
      <c r="C69" s="166">
        <v>294801</v>
      </c>
      <c r="D69" s="165" t="s">
        <v>26</v>
      </c>
    </row>
    <row r="70" spans="2:4" x14ac:dyDescent="0.3">
      <c r="B70" s="165" t="s">
        <v>3531</v>
      </c>
      <c r="C70" s="166">
        <v>676565</v>
      </c>
      <c r="D70" s="165" t="s">
        <v>26</v>
      </c>
    </row>
    <row r="71" spans="2:4" x14ac:dyDescent="0.3">
      <c r="B71" s="165" t="s">
        <v>3531</v>
      </c>
      <c r="C71" s="166">
        <v>51629</v>
      </c>
      <c r="D71" s="165" t="s">
        <v>26</v>
      </c>
    </row>
    <row r="72" spans="2:4" x14ac:dyDescent="0.3">
      <c r="B72" s="165" t="s">
        <v>3531</v>
      </c>
      <c r="C72" s="166">
        <v>27094</v>
      </c>
      <c r="D72" s="165" t="s">
        <v>26</v>
      </c>
    </row>
    <row r="73" spans="2:4" x14ac:dyDescent="0.3">
      <c r="B73" s="165" t="s">
        <v>3531</v>
      </c>
      <c r="C73" s="166">
        <v>212874</v>
      </c>
      <c r="D73" s="165" t="s">
        <v>26</v>
      </c>
    </row>
    <row r="74" spans="2:4" x14ac:dyDescent="0.3">
      <c r="B74" s="165" t="s">
        <v>3531</v>
      </c>
      <c r="C74" s="166">
        <v>74647</v>
      </c>
      <c r="D74" s="165" t="s">
        <v>24</v>
      </c>
    </row>
    <row r="75" spans="2:4" x14ac:dyDescent="0.3">
      <c r="B75" s="165" t="s">
        <v>3532</v>
      </c>
      <c r="C75" s="166">
        <v>14067</v>
      </c>
      <c r="D75" s="165" t="s">
        <v>24</v>
      </c>
    </row>
    <row r="76" spans="2:4" x14ac:dyDescent="0.3">
      <c r="B76" s="165" t="s">
        <v>3532</v>
      </c>
      <c r="C76" s="166">
        <v>255134</v>
      </c>
      <c r="D76" s="165" t="s">
        <v>26</v>
      </c>
    </row>
    <row r="77" spans="2:4" x14ac:dyDescent="0.3">
      <c r="B77" s="165" t="s">
        <v>3532</v>
      </c>
      <c r="C77" s="166">
        <v>244926</v>
      </c>
      <c r="D77" s="165" t="s">
        <v>26</v>
      </c>
    </row>
    <row r="78" spans="2:4" x14ac:dyDescent="0.3">
      <c r="B78" s="165" t="s">
        <v>3532</v>
      </c>
      <c r="C78" s="166">
        <v>12870</v>
      </c>
      <c r="D78" s="165" t="s">
        <v>26</v>
      </c>
    </row>
    <row r="79" spans="2:4" x14ac:dyDescent="0.3">
      <c r="B79" s="165" t="s">
        <v>3532</v>
      </c>
      <c r="C79" s="166">
        <v>36800</v>
      </c>
      <c r="D79" s="165" t="s">
        <v>22</v>
      </c>
    </row>
    <row r="80" spans="2:4" x14ac:dyDescent="0.3">
      <c r="B80" s="165" t="s">
        <v>3532</v>
      </c>
      <c r="C80" s="166">
        <v>34848</v>
      </c>
      <c r="D80" s="165" t="s">
        <v>24</v>
      </c>
    </row>
    <row r="81" spans="2:4" x14ac:dyDescent="0.3">
      <c r="B81" s="165" t="s">
        <v>3532</v>
      </c>
      <c r="C81" s="166">
        <v>38066</v>
      </c>
      <c r="D81" s="165" t="s">
        <v>26</v>
      </c>
    </row>
    <row r="82" spans="2:4" x14ac:dyDescent="0.3">
      <c r="B82" s="165" t="s">
        <v>3532</v>
      </c>
      <c r="C82" s="166">
        <v>10028</v>
      </c>
      <c r="D82" s="165" t="s">
        <v>2287</v>
      </c>
    </row>
    <row r="83" spans="2:4" x14ac:dyDescent="0.3">
      <c r="B83" s="165" t="s">
        <v>3532</v>
      </c>
      <c r="C83" s="166">
        <v>0</v>
      </c>
      <c r="D83" s="165" t="s">
        <v>9</v>
      </c>
    </row>
    <row r="84" spans="2:4" x14ac:dyDescent="0.3">
      <c r="B84" s="165" t="s">
        <v>3532</v>
      </c>
      <c r="C84" s="166">
        <v>2104</v>
      </c>
      <c r="D84" s="165" t="s">
        <v>26</v>
      </c>
    </row>
    <row r="85" spans="2:4" x14ac:dyDescent="0.3">
      <c r="B85" s="165" t="s">
        <v>3532</v>
      </c>
      <c r="C85" s="166">
        <v>255713</v>
      </c>
      <c r="D85" s="165" t="s">
        <v>26</v>
      </c>
    </row>
    <row r="86" spans="2:4" x14ac:dyDescent="0.3">
      <c r="B86" s="165" t="s">
        <v>3532</v>
      </c>
      <c r="C86" s="166">
        <v>14222</v>
      </c>
      <c r="D86" s="165" t="s">
        <v>26</v>
      </c>
    </row>
    <row r="87" spans="2:4" x14ac:dyDescent="0.3">
      <c r="B87" s="165" t="s">
        <v>3532</v>
      </c>
      <c r="C87" s="166">
        <v>11208</v>
      </c>
      <c r="D87" s="165" t="s">
        <v>24</v>
      </c>
    </row>
    <row r="88" spans="2:4" x14ac:dyDescent="0.3">
      <c r="B88" s="165" t="s">
        <v>3532</v>
      </c>
      <c r="C88" s="166">
        <v>143873</v>
      </c>
      <c r="D88" s="165" t="s">
        <v>26</v>
      </c>
    </row>
    <row r="89" spans="2:4" x14ac:dyDescent="0.3">
      <c r="B89" s="165" t="s">
        <v>3532</v>
      </c>
      <c r="C89" s="166">
        <v>2979</v>
      </c>
      <c r="D89" s="165" t="s">
        <v>8</v>
      </c>
    </row>
    <row r="90" spans="2:4" x14ac:dyDescent="0.3">
      <c r="B90" s="165" t="s">
        <v>3532</v>
      </c>
      <c r="C90" s="166">
        <v>256249</v>
      </c>
      <c r="D90" s="165" t="s">
        <v>26</v>
      </c>
    </row>
    <row r="91" spans="2:4" x14ac:dyDescent="0.3">
      <c r="B91" s="165" t="s">
        <v>3532</v>
      </c>
      <c r="C91" s="166">
        <v>71705</v>
      </c>
      <c r="D91" s="165" t="s">
        <v>26</v>
      </c>
    </row>
    <row r="92" spans="2:4" x14ac:dyDescent="0.3">
      <c r="B92" s="165" t="s">
        <v>3532</v>
      </c>
      <c r="C92" s="166">
        <v>27600</v>
      </c>
      <c r="D92" s="165" t="s">
        <v>22</v>
      </c>
    </row>
    <row r="93" spans="2:4" x14ac:dyDescent="0.3">
      <c r="B93" s="165" t="s">
        <v>3532</v>
      </c>
      <c r="C93" s="166">
        <v>10951</v>
      </c>
      <c r="D93" s="165" t="s">
        <v>24</v>
      </c>
    </row>
    <row r="94" spans="2:4" x14ac:dyDescent="0.3">
      <c r="B94" s="165" t="s">
        <v>3532</v>
      </c>
      <c r="C94" s="166">
        <v>16611</v>
      </c>
      <c r="D94" s="165" t="s">
        <v>2287</v>
      </c>
    </row>
    <row r="95" spans="2:4" x14ac:dyDescent="0.3">
      <c r="B95" s="165" t="s">
        <v>3532</v>
      </c>
      <c r="C95" s="166">
        <v>71580</v>
      </c>
      <c r="D95" s="165" t="s">
        <v>26</v>
      </c>
    </row>
    <row r="96" spans="2:4" x14ac:dyDescent="0.3">
      <c r="B96" s="165" t="s">
        <v>3532</v>
      </c>
      <c r="C96" s="166">
        <v>85877</v>
      </c>
      <c r="D96" s="165" t="s">
        <v>26</v>
      </c>
    </row>
    <row r="97" spans="2:4" x14ac:dyDescent="0.3">
      <c r="B97" s="165" t="s">
        <v>3532</v>
      </c>
      <c r="C97" s="166">
        <v>97884</v>
      </c>
      <c r="D97" s="165" t="s">
        <v>26</v>
      </c>
    </row>
    <row r="98" spans="2:4" x14ac:dyDescent="0.3">
      <c r="B98" s="165" t="s">
        <v>3532</v>
      </c>
      <c r="C98" s="166">
        <v>40733</v>
      </c>
      <c r="D98" s="165" t="s">
        <v>26</v>
      </c>
    </row>
    <row r="99" spans="2:4" x14ac:dyDescent="0.3">
      <c r="B99" s="165" t="s">
        <v>3532</v>
      </c>
      <c r="C99" s="166">
        <v>1163</v>
      </c>
      <c r="D99" s="165" t="s">
        <v>8</v>
      </c>
    </row>
    <row r="100" spans="2:4" x14ac:dyDescent="0.3">
      <c r="B100" s="165" t="s">
        <v>3532</v>
      </c>
      <c r="C100" s="166">
        <v>316</v>
      </c>
      <c r="D100" s="165" t="s">
        <v>8</v>
      </c>
    </row>
    <row r="101" spans="2:4" x14ac:dyDescent="0.3">
      <c r="B101" s="165" t="s">
        <v>3532</v>
      </c>
      <c r="C101" s="166">
        <v>515997</v>
      </c>
      <c r="D101" s="165" t="s">
        <v>24</v>
      </c>
    </row>
    <row r="102" spans="2:4" x14ac:dyDescent="0.3">
      <c r="B102" s="165" t="s">
        <v>3533</v>
      </c>
      <c r="C102" s="166">
        <v>99320</v>
      </c>
      <c r="D102" s="165" t="s">
        <v>2550</v>
      </c>
    </row>
    <row r="103" spans="2:4" x14ac:dyDescent="0.3">
      <c r="B103" s="165" t="s">
        <v>3533</v>
      </c>
      <c r="C103" s="166">
        <v>255885</v>
      </c>
      <c r="D103" s="165" t="s">
        <v>14</v>
      </c>
    </row>
    <row r="104" spans="2:4" x14ac:dyDescent="0.3">
      <c r="B104" s="165" t="s">
        <v>3533</v>
      </c>
      <c r="C104" s="166">
        <v>212786</v>
      </c>
      <c r="D104" s="165" t="s">
        <v>26</v>
      </c>
    </row>
    <row r="105" spans="2:4" x14ac:dyDescent="0.3">
      <c r="B105" s="165" t="s">
        <v>3533</v>
      </c>
      <c r="C105" s="166">
        <v>19148</v>
      </c>
      <c r="D105" s="165" t="s">
        <v>26</v>
      </c>
    </row>
    <row r="106" spans="2:4" x14ac:dyDescent="0.3">
      <c r="B106" s="165" t="s">
        <v>3533</v>
      </c>
      <c r="C106" s="166">
        <v>19148</v>
      </c>
      <c r="D106" s="165" t="s">
        <v>26</v>
      </c>
    </row>
    <row r="107" spans="2:4" x14ac:dyDescent="0.3">
      <c r="B107" s="165" t="s">
        <v>3533</v>
      </c>
      <c r="C107" s="166">
        <v>19048</v>
      </c>
      <c r="D107" s="165" t="s">
        <v>26</v>
      </c>
    </row>
    <row r="108" spans="2:4" x14ac:dyDescent="0.3">
      <c r="B108" s="165" t="s">
        <v>3533</v>
      </c>
      <c r="C108" s="166">
        <v>78488</v>
      </c>
      <c r="D108" s="165" t="s">
        <v>547</v>
      </c>
    </row>
    <row r="109" spans="2:4" x14ac:dyDescent="0.3">
      <c r="B109" s="165" t="s">
        <v>3533</v>
      </c>
      <c r="C109" s="166">
        <v>57711</v>
      </c>
      <c r="D109" s="165" t="s">
        <v>26</v>
      </c>
    </row>
    <row r="110" spans="2:4" x14ac:dyDescent="0.3">
      <c r="B110" s="165" t="s">
        <v>3533</v>
      </c>
      <c r="C110" s="166">
        <v>495339</v>
      </c>
      <c r="D110" s="165" t="s">
        <v>26</v>
      </c>
    </row>
    <row r="111" spans="2:4" x14ac:dyDescent="0.3">
      <c r="B111" s="165" t="s">
        <v>3533</v>
      </c>
      <c r="C111" s="166">
        <v>6677</v>
      </c>
      <c r="D111" s="165" t="s">
        <v>26</v>
      </c>
    </row>
    <row r="112" spans="2:4" x14ac:dyDescent="0.3">
      <c r="B112" s="165" t="s">
        <v>3533</v>
      </c>
      <c r="C112" s="166">
        <v>14390</v>
      </c>
      <c r="D112" s="165" t="s">
        <v>26</v>
      </c>
    </row>
    <row r="113" spans="2:4" x14ac:dyDescent="0.3">
      <c r="B113" s="165" t="s">
        <v>3533</v>
      </c>
      <c r="C113" s="166">
        <v>88094</v>
      </c>
      <c r="D113" s="165" t="s">
        <v>14</v>
      </c>
    </row>
    <row r="114" spans="2:4" x14ac:dyDescent="0.3">
      <c r="B114" s="165" t="s">
        <v>3533</v>
      </c>
      <c r="C114" s="166">
        <v>6329</v>
      </c>
      <c r="D114" s="165" t="s">
        <v>24</v>
      </c>
    </row>
    <row r="115" spans="2:4" x14ac:dyDescent="0.3">
      <c r="B115" s="165" t="s">
        <v>3533</v>
      </c>
      <c r="C115" s="166">
        <v>216704</v>
      </c>
      <c r="D115" s="165" t="s">
        <v>14</v>
      </c>
    </row>
    <row r="116" spans="2:4" x14ac:dyDescent="0.3">
      <c r="B116" s="165" t="s">
        <v>3533</v>
      </c>
      <c r="C116" s="166">
        <v>582800</v>
      </c>
      <c r="D116" s="165" t="s">
        <v>26</v>
      </c>
    </row>
    <row r="117" spans="2:4" x14ac:dyDescent="0.3">
      <c r="B117" s="165" t="s">
        <v>3533</v>
      </c>
      <c r="C117" s="166">
        <v>15308</v>
      </c>
      <c r="D117" s="165" t="s">
        <v>26</v>
      </c>
    </row>
    <row r="118" spans="2:4" x14ac:dyDescent="0.3">
      <c r="B118" s="165" t="s">
        <v>3533</v>
      </c>
      <c r="C118" s="166">
        <v>15308</v>
      </c>
      <c r="D118" s="165" t="s">
        <v>26</v>
      </c>
    </row>
    <row r="119" spans="2:4" x14ac:dyDescent="0.3">
      <c r="B119" s="165" t="s">
        <v>3533</v>
      </c>
      <c r="C119" s="166">
        <v>15308</v>
      </c>
      <c r="D119" s="165" t="s">
        <v>26</v>
      </c>
    </row>
    <row r="120" spans="2:4" x14ac:dyDescent="0.3">
      <c r="B120" s="165" t="s">
        <v>3533</v>
      </c>
      <c r="C120" s="166">
        <v>71580</v>
      </c>
      <c r="D120" s="165" t="s">
        <v>22</v>
      </c>
    </row>
    <row r="121" spans="2:4" x14ac:dyDescent="0.3">
      <c r="B121" s="165" t="s">
        <v>3533</v>
      </c>
      <c r="C121" s="166">
        <v>16978</v>
      </c>
      <c r="D121" s="165" t="s">
        <v>26</v>
      </c>
    </row>
    <row r="122" spans="2:4" x14ac:dyDescent="0.3">
      <c r="B122" s="165" t="s">
        <v>3533</v>
      </c>
      <c r="C122" s="166">
        <v>16978</v>
      </c>
      <c r="D122" s="165" t="s">
        <v>26</v>
      </c>
    </row>
    <row r="123" spans="2:4" x14ac:dyDescent="0.3">
      <c r="B123" s="165" t="s">
        <v>3533</v>
      </c>
      <c r="C123" s="166">
        <v>16978</v>
      </c>
      <c r="D123" s="165" t="s">
        <v>26</v>
      </c>
    </row>
    <row r="124" spans="2:4" x14ac:dyDescent="0.3">
      <c r="B124" s="165" t="s">
        <v>3533</v>
      </c>
      <c r="C124" s="166">
        <v>16978</v>
      </c>
      <c r="D124" s="165" t="s">
        <v>26</v>
      </c>
    </row>
    <row r="125" spans="2:4" x14ac:dyDescent="0.3">
      <c r="B125" s="165" t="s">
        <v>3533</v>
      </c>
      <c r="C125" s="166">
        <v>16978</v>
      </c>
      <c r="D125" s="165" t="s">
        <v>26</v>
      </c>
    </row>
    <row r="126" spans="2:4" x14ac:dyDescent="0.3">
      <c r="B126" s="165" t="s">
        <v>3533</v>
      </c>
      <c r="C126" s="166">
        <v>36204</v>
      </c>
      <c r="D126" s="165" t="s">
        <v>24</v>
      </c>
    </row>
    <row r="127" spans="2:4" x14ac:dyDescent="0.3">
      <c r="B127" s="165" t="s">
        <v>3534</v>
      </c>
      <c r="C127" s="166">
        <v>45611</v>
      </c>
      <c r="D127" s="165" t="s">
        <v>26</v>
      </c>
    </row>
    <row r="128" spans="2:4" x14ac:dyDescent="0.3">
      <c r="B128" s="165" t="s">
        <v>3534</v>
      </c>
      <c r="C128" s="166">
        <v>10724</v>
      </c>
      <c r="D128" s="165" t="s">
        <v>26</v>
      </c>
    </row>
    <row r="129" spans="2:4" x14ac:dyDescent="0.3">
      <c r="B129" s="165" t="s">
        <v>3534</v>
      </c>
      <c r="C129" s="166">
        <v>233336</v>
      </c>
      <c r="D129" s="165" t="s">
        <v>26</v>
      </c>
    </row>
    <row r="130" spans="2:4" x14ac:dyDescent="0.3">
      <c r="B130" s="165" t="s">
        <v>3534</v>
      </c>
      <c r="C130" s="166">
        <v>14959</v>
      </c>
      <c r="D130" s="165" t="s">
        <v>26</v>
      </c>
    </row>
    <row r="131" spans="2:4" x14ac:dyDescent="0.3">
      <c r="B131" s="165" t="s">
        <v>3534</v>
      </c>
      <c r="C131" s="166">
        <v>62138</v>
      </c>
      <c r="D131" s="165" t="s">
        <v>2933</v>
      </c>
    </row>
    <row r="132" spans="2:4" x14ac:dyDescent="0.3">
      <c r="B132" s="165" t="s">
        <v>3534</v>
      </c>
      <c r="C132" s="166">
        <v>20810</v>
      </c>
      <c r="D132" s="165" t="s">
        <v>22</v>
      </c>
    </row>
    <row r="133" spans="2:4" x14ac:dyDescent="0.3">
      <c r="B133" s="165" t="s">
        <v>3534</v>
      </c>
      <c r="C133" s="166">
        <v>9660</v>
      </c>
      <c r="D133" s="165" t="s">
        <v>22</v>
      </c>
    </row>
    <row r="134" spans="2:4" x14ac:dyDescent="0.3">
      <c r="B134" s="165" t="s">
        <v>3534</v>
      </c>
      <c r="C134" s="166">
        <v>4452</v>
      </c>
      <c r="D134" s="165" t="s">
        <v>1105</v>
      </c>
    </row>
    <row r="135" spans="2:4" x14ac:dyDescent="0.3">
      <c r="B135" s="165" t="s">
        <v>3534</v>
      </c>
      <c r="C135" s="166">
        <v>229775</v>
      </c>
      <c r="D135" s="165" t="s">
        <v>26</v>
      </c>
    </row>
    <row r="136" spans="2:4" x14ac:dyDescent="0.3">
      <c r="B136" s="165" t="s">
        <v>3534</v>
      </c>
      <c r="C136" s="166">
        <v>132753</v>
      </c>
      <c r="D136" s="165" t="s">
        <v>26</v>
      </c>
    </row>
    <row r="137" spans="2:4" x14ac:dyDescent="0.3">
      <c r="B137" s="165" t="s">
        <v>3534</v>
      </c>
      <c r="C137" s="166">
        <v>54601</v>
      </c>
      <c r="D137" s="165" t="s">
        <v>24</v>
      </c>
    </row>
    <row r="138" spans="2:4" x14ac:dyDescent="0.3">
      <c r="B138" s="165" t="s">
        <v>3534</v>
      </c>
      <c r="C138" s="166">
        <v>28060</v>
      </c>
      <c r="D138" s="165" t="s">
        <v>3019</v>
      </c>
    </row>
    <row r="139" spans="2:4" x14ac:dyDescent="0.3">
      <c r="B139" s="165" t="s">
        <v>3534</v>
      </c>
      <c r="C139" s="166">
        <v>94608</v>
      </c>
      <c r="D139" s="165" t="s">
        <v>14</v>
      </c>
    </row>
    <row r="140" spans="2:4" x14ac:dyDescent="0.3">
      <c r="B140" s="165" t="s">
        <v>3534</v>
      </c>
      <c r="C140" s="166">
        <v>708570</v>
      </c>
      <c r="D140" s="165" t="s">
        <v>1162</v>
      </c>
    </row>
    <row r="141" spans="2:4" x14ac:dyDescent="0.3">
      <c r="B141" s="165" t="s">
        <v>3534</v>
      </c>
      <c r="C141" s="166">
        <v>196190</v>
      </c>
      <c r="D141" s="165" t="s">
        <v>14</v>
      </c>
    </row>
    <row r="142" spans="2:4" x14ac:dyDescent="0.3">
      <c r="B142" s="165" t="s">
        <v>3534</v>
      </c>
      <c r="C142" s="166">
        <v>22230</v>
      </c>
      <c r="D142" s="165" t="s">
        <v>26</v>
      </c>
    </row>
    <row r="143" spans="2:4" x14ac:dyDescent="0.3">
      <c r="B143" s="165" t="s">
        <v>3535</v>
      </c>
      <c r="C143" s="166">
        <v>310859</v>
      </c>
      <c r="D143" s="165" t="s">
        <v>26</v>
      </c>
    </row>
    <row r="144" spans="2:4" x14ac:dyDescent="0.3">
      <c r="B144" s="165" t="s">
        <v>3535</v>
      </c>
      <c r="C144" s="166">
        <v>152380</v>
      </c>
      <c r="D144" s="165" t="s">
        <v>14</v>
      </c>
    </row>
    <row r="145" spans="2:4" x14ac:dyDescent="0.3">
      <c r="B145" s="165" t="s">
        <v>3535</v>
      </c>
      <c r="C145" s="166">
        <v>2930</v>
      </c>
      <c r="D145" s="165" t="s">
        <v>59</v>
      </c>
    </row>
    <row r="146" spans="2:4" x14ac:dyDescent="0.3">
      <c r="B146" s="165" t="s">
        <v>3535</v>
      </c>
      <c r="C146" s="166">
        <v>26628</v>
      </c>
      <c r="D146" s="165" t="s">
        <v>14</v>
      </c>
    </row>
    <row r="147" spans="2:4" x14ac:dyDescent="0.3">
      <c r="B147" s="165" t="s">
        <v>3535</v>
      </c>
      <c r="C147" s="166">
        <v>151060</v>
      </c>
      <c r="D147" s="165" t="s">
        <v>24</v>
      </c>
    </row>
    <row r="148" spans="2:4" x14ac:dyDescent="0.3">
      <c r="B148" s="165" t="s">
        <v>3535</v>
      </c>
      <c r="C148" s="166">
        <v>90716</v>
      </c>
      <c r="D148" s="165" t="s">
        <v>2933</v>
      </c>
    </row>
    <row r="149" spans="2:4" x14ac:dyDescent="0.3">
      <c r="B149" s="165" t="s">
        <v>3535</v>
      </c>
      <c r="C149" s="166">
        <v>402797</v>
      </c>
      <c r="D149" s="165" t="s">
        <v>14</v>
      </c>
    </row>
    <row r="150" spans="2:4" x14ac:dyDescent="0.3">
      <c r="B150" s="165" t="s">
        <v>3535</v>
      </c>
      <c r="C150" s="166">
        <v>7126</v>
      </c>
      <c r="D150" s="165" t="s">
        <v>26</v>
      </c>
    </row>
    <row r="151" spans="2:4" x14ac:dyDescent="0.3">
      <c r="B151" s="165" t="s">
        <v>3535</v>
      </c>
      <c r="C151" s="166">
        <v>37586</v>
      </c>
      <c r="D151" s="165" t="s">
        <v>26</v>
      </c>
    </row>
    <row r="152" spans="2:4" x14ac:dyDescent="0.3">
      <c r="B152" s="165" t="s">
        <v>3535</v>
      </c>
      <c r="C152" s="166">
        <v>7979</v>
      </c>
      <c r="D152" s="165" t="s">
        <v>26</v>
      </c>
    </row>
    <row r="153" spans="2:4" x14ac:dyDescent="0.3">
      <c r="B153" s="165" t="s">
        <v>3535</v>
      </c>
      <c r="C153" s="166">
        <v>12118</v>
      </c>
      <c r="D153" s="165" t="s">
        <v>26</v>
      </c>
    </row>
    <row r="154" spans="2:4" x14ac:dyDescent="0.3">
      <c r="B154" s="165" t="s">
        <v>3536</v>
      </c>
      <c r="C154" s="166">
        <v>44867</v>
      </c>
      <c r="D154" s="165" t="s">
        <v>2933</v>
      </c>
    </row>
    <row r="155" spans="2:4" x14ac:dyDescent="0.3">
      <c r="B155" s="165" t="s">
        <v>3536</v>
      </c>
      <c r="C155" s="166">
        <v>151015</v>
      </c>
      <c r="D155" s="165" t="s">
        <v>26</v>
      </c>
    </row>
    <row r="156" spans="2:4" x14ac:dyDescent="0.3">
      <c r="B156" s="165" t="s">
        <v>3536</v>
      </c>
      <c r="C156" s="166">
        <v>390</v>
      </c>
      <c r="D156" s="165" t="s">
        <v>8</v>
      </c>
    </row>
    <row r="157" spans="2:4" x14ac:dyDescent="0.3">
      <c r="B157" s="165" t="s">
        <v>3536</v>
      </c>
      <c r="C157" s="166">
        <v>14500</v>
      </c>
      <c r="D157" s="165" t="s">
        <v>24</v>
      </c>
    </row>
    <row r="158" spans="2:4" x14ac:dyDescent="0.3">
      <c r="B158" s="165" t="s">
        <v>3536</v>
      </c>
      <c r="C158" s="166">
        <v>8557</v>
      </c>
      <c r="D158" s="165" t="s">
        <v>26</v>
      </c>
    </row>
    <row r="159" spans="2:4" x14ac:dyDescent="0.3">
      <c r="B159" s="165" t="s">
        <v>3536</v>
      </c>
      <c r="C159" s="166">
        <v>11755</v>
      </c>
      <c r="D159" s="165" t="s">
        <v>26</v>
      </c>
    </row>
    <row r="160" spans="2:4" x14ac:dyDescent="0.3">
      <c r="B160" s="165" t="s">
        <v>3536</v>
      </c>
      <c r="C160" s="166">
        <v>367903</v>
      </c>
      <c r="D160" s="165" t="s">
        <v>26</v>
      </c>
    </row>
    <row r="161" spans="2:4" x14ac:dyDescent="0.3">
      <c r="B161" s="165" t="s">
        <v>3536</v>
      </c>
      <c r="C161" s="166">
        <v>92184</v>
      </c>
      <c r="D161" s="165" t="s">
        <v>26</v>
      </c>
    </row>
    <row r="162" spans="2:4" x14ac:dyDescent="0.3">
      <c r="B162" s="165" t="s">
        <v>3536</v>
      </c>
      <c r="C162" s="166">
        <v>62220</v>
      </c>
      <c r="D162" s="165" t="s">
        <v>1091</v>
      </c>
    </row>
    <row r="163" spans="2:4" x14ac:dyDescent="0.3">
      <c r="B163" s="165" t="s">
        <v>3536</v>
      </c>
      <c r="C163" s="166">
        <v>22181</v>
      </c>
      <c r="D163" s="165" t="s">
        <v>26</v>
      </c>
    </row>
    <row r="164" spans="2:4" x14ac:dyDescent="0.3">
      <c r="B164" s="165" t="s">
        <v>3536</v>
      </c>
      <c r="C164" s="166">
        <v>127034</v>
      </c>
      <c r="D164" s="165" t="s">
        <v>14</v>
      </c>
    </row>
    <row r="165" spans="2:4" x14ac:dyDescent="0.3">
      <c r="B165" s="165" t="s">
        <v>3536</v>
      </c>
      <c r="C165" s="166">
        <v>149548</v>
      </c>
      <c r="D165" s="165" t="s">
        <v>26</v>
      </c>
    </row>
    <row r="166" spans="2:4" x14ac:dyDescent="0.3">
      <c r="B166" s="165" t="s">
        <v>3536</v>
      </c>
      <c r="C166" s="166">
        <v>23906</v>
      </c>
      <c r="D166" s="165" t="s">
        <v>3348</v>
      </c>
    </row>
    <row r="167" spans="2:4" x14ac:dyDescent="0.3">
      <c r="B167" s="165" t="s">
        <v>3536</v>
      </c>
      <c r="C167" s="166">
        <v>8853</v>
      </c>
      <c r="D167" s="165" t="s">
        <v>26</v>
      </c>
    </row>
    <row r="168" spans="2:4" x14ac:dyDescent="0.3">
      <c r="B168" s="165" t="s">
        <v>3536</v>
      </c>
      <c r="C168" s="166">
        <v>51006</v>
      </c>
      <c r="D168" s="165" t="s">
        <v>14</v>
      </c>
    </row>
    <row r="169" spans="2:4" x14ac:dyDescent="0.3">
      <c r="B169" s="165" t="s">
        <v>3536</v>
      </c>
      <c r="C169" s="166">
        <v>13407</v>
      </c>
      <c r="D169" s="165" t="s">
        <v>24</v>
      </c>
    </row>
    <row r="170" spans="2:4" x14ac:dyDescent="0.3">
      <c r="B170" s="165" t="s">
        <v>3537</v>
      </c>
      <c r="C170" s="166">
        <v>77466</v>
      </c>
      <c r="D170" s="165" t="s">
        <v>14</v>
      </c>
    </row>
    <row r="171" spans="2:4" x14ac:dyDescent="0.3">
      <c r="B171" s="165" t="s">
        <v>3537</v>
      </c>
      <c r="C171" s="166">
        <v>77466</v>
      </c>
      <c r="D171" s="165" t="s">
        <v>14</v>
      </c>
    </row>
    <row r="172" spans="2:4" x14ac:dyDescent="0.3">
      <c r="B172" s="165" t="s">
        <v>3537</v>
      </c>
      <c r="C172" s="166">
        <v>77466</v>
      </c>
      <c r="D172" s="165" t="s">
        <v>14</v>
      </c>
    </row>
    <row r="173" spans="2:4" x14ac:dyDescent="0.3">
      <c r="B173" s="165" t="s">
        <v>3537</v>
      </c>
      <c r="C173" s="166">
        <v>77466</v>
      </c>
      <c r="D173" s="165" t="s">
        <v>14</v>
      </c>
    </row>
    <row r="174" spans="2:4" x14ac:dyDescent="0.3">
      <c r="B174" s="165" t="s">
        <v>3537</v>
      </c>
      <c r="C174" s="166">
        <v>77466</v>
      </c>
      <c r="D174" s="165" t="s">
        <v>14</v>
      </c>
    </row>
    <row r="175" spans="2:4" x14ac:dyDescent="0.3">
      <c r="B175" s="165" t="s">
        <v>3537</v>
      </c>
      <c r="C175" s="166">
        <v>48352</v>
      </c>
      <c r="D175" s="165" t="s">
        <v>26</v>
      </c>
    </row>
    <row r="176" spans="2:4" x14ac:dyDescent="0.3">
      <c r="B176" s="165" t="s">
        <v>3537</v>
      </c>
      <c r="C176" s="166">
        <v>1069217</v>
      </c>
      <c r="D176" s="165" t="s">
        <v>1162</v>
      </c>
    </row>
    <row r="177" spans="2:4" x14ac:dyDescent="0.3">
      <c r="B177" s="165" t="s">
        <v>3537</v>
      </c>
      <c r="C177" s="166">
        <v>102266</v>
      </c>
      <c r="D177" s="165" t="s">
        <v>26</v>
      </c>
    </row>
    <row r="178" spans="2:4" x14ac:dyDescent="0.3">
      <c r="B178" s="165" t="s">
        <v>3537</v>
      </c>
      <c r="C178" s="166">
        <v>16309</v>
      </c>
      <c r="D178" s="165" t="s">
        <v>26</v>
      </c>
    </row>
    <row r="179" spans="2:4" x14ac:dyDescent="0.3">
      <c r="B179" s="165" t="s">
        <v>3537</v>
      </c>
      <c r="C179" s="166">
        <v>16786</v>
      </c>
      <c r="D179" s="165" t="s">
        <v>2933</v>
      </c>
    </row>
    <row r="180" spans="2:4" x14ac:dyDescent="0.3">
      <c r="B180" s="165" t="s">
        <v>3537</v>
      </c>
      <c r="C180" s="166">
        <v>71563</v>
      </c>
      <c r="D180" s="165" t="s">
        <v>26</v>
      </c>
    </row>
    <row r="181" spans="2:4" x14ac:dyDescent="0.3">
      <c r="B181" s="165" t="s">
        <v>3537</v>
      </c>
      <c r="C181" s="166">
        <v>20176</v>
      </c>
      <c r="D181" s="165" t="s">
        <v>22</v>
      </c>
    </row>
    <row r="182" spans="2:4" x14ac:dyDescent="0.3">
      <c r="B182" s="165" t="s">
        <v>3537</v>
      </c>
      <c r="C182" s="166">
        <v>5660</v>
      </c>
      <c r="D182" s="165" t="s">
        <v>2933</v>
      </c>
    </row>
    <row r="183" spans="2:4" x14ac:dyDescent="0.3">
      <c r="B183" s="165" t="s">
        <v>3537</v>
      </c>
      <c r="C183" s="166">
        <v>419475</v>
      </c>
      <c r="D183" s="165" t="s">
        <v>26</v>
      </c>
    </row>
    <row r="184" spans="2:4" x14ac:dyDescent="0.3">
      <c r="B184" s="165" t="s">
        <v>3537</v>
      </c>
      <c r="C184" s="166">
        <v>492</v>
      </c>
      <c r="D184" s="165" t="s">
        <v>8</v>
      </c>
    </row>
    <row r="185" spans="2:4" x14ac:dyDescent="0.3">
      <c r="B185" s="165" t="s">
        <v>3538</v>
      </c>
      <c r="C185" s="166">
        <v>323699</v>
      </c>
      <c r="D185" s="165" t="s">
        <v>14</v>
      </c>
    </row>
    <row r="186" spans="2:4" x14ac:dyDescent="0.3">
      <c r="B186" s="165" t="s">
        <v>3538</v>
      </c>
      <c r="C186" s="166">
        <v>13041</v>
      </c>
      <c r="D186" s="165" t="s">
        <v>24</v>
      </c>
    </row>
    <row r="187" spans="2:4" x14ac:dyDescent="0.3">
      <c r="B187" s="165" t="s">
        <v>3538</v>
      </c>
      <c r="C187" s="166">
        <v>61579</v>
      </c>
      <c r="D187" s="165" t="s">
        <v>26</v>
      </c>
    </row>
    <row r="188" spans="2:4" x14ac:dyDescent="0.3">
      <c r="B188" s="165" t="s">
        <v>3538</v>
      </c>
      <c r="C188" s="166">
        <v>2560</v>
      </c>
      <c r="D188" s="165" t="s">
        <v>26</v>
      </c>
    </row>
    <row r="189" spans="2:4" x14ac:dyDescent="0.3">
      <c r="B189" s="165" t="s">
        <v>3538</v>
      </c>
      <c r="C189" s="166">
        <v>110456</v>
      </c>
      <c r="D189" s="165" t="s">
        <v>14</v>
      </c>
    </row>
    <row r="190" spans="2:4" x14ac:dyDescent="0.3">
      <c r="B190" s="165" t="s">
        <v>3538</v>
      </c>
      <c r="C190" s="166">
        <v>67006</v>
      </c>
      <c r="D190" s="165" t="s">
        <v>26</v>
      </c>
    </row>
    <row r="191" spans="2:4" x14ac:dyDescent="0.3">
      <c r="B191" s="165" t="s">
        <v>3538</v>
      </c>
      <c r="C191" s="166">
        <v>80606</v>
      </c>
      <c r="D191" s="165" t="s">
        <v>14</v>
      </c>
    </row>
    <row r="192" spans="2:4" x14ac:dyDescent="0.3">
      <c r="B192" s="165" t="s">
        <v>3538</v>
      </c>
      <c r="C192" s="166">
        <v>20120</v>
      </c>
      <c r="D192" s="165" t="s">
        <v>22</v>
      </c>
    </row>
    <row r="193" spans="2:4" x14ac:dyDescent="0.3">
      <c r="B193" s="165" t="s">
        <v>3538</v>
      </c>
      <c r="C193" s="166">
        <v>240028</v>
      </c>
      <c r="D193" s="165" t="s">
        <v>26</v>
      </c>
    </row>
    <row r="194" spans="2:4" x14ac:dyDescent="0.3">
      <c r="B194" s="165" t="s">
        <v>3538</v>
      </c>
      <c r="C194" s="166">
        <v>9040</v>
      </c>
      <c r="D194" s="165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52"/>
  <sheetViews>
    <sheetView workbookViewId="0">
      <pane ySplit="1" topLeftCell="A629" activePane="bottomLeft" state="frozen"/>
      <selection activeCell="D1" sqref="D1"/>
      <selection pane="bottomLeft" activeCell="C629" sqref="C629"/>
    </sheetView>
  </sheetViews>
  <sheetFormatPr defaultColWidth="8.77734375" defaultRowHeight="13.2" x14ac:dyDescent="0.3"/>
  <cols>
    <col min="1" max="1" width="7" style="3" bestFit="1" customWidth="1"/>
    <col min="2" max="2" width="13.5546875" style="3" bestFit="1" customWidth="1"/>
    <col min="3" max="3" width="25" style="3" customWidth="1"/>
    <col min="4" max="4" width="2.88671875" style="3" bestFit="1" customWidth="1"/>
    <col min="5" max="5" width="13.109375" style="3" bestFit="1" customWidth="1"/>
    <col min="6" max="6" width="13.33203125" style="3" bestFit="1" customWidth="1"/>
    <col min="7" max="7" width="22.6640625" style="3" bestFit="1" customWidth="1"/>
    <col min="8" max="8" width="14.21875" style="3" bestFit="1" customWidth="1"/>
    <col min="9" max="10" width="5" style="3" bestFit="1" customWidth="1"/>
    <col min="11" max="11" width="5.77734375" style="3" bestFit="1" customWidth="1"/>
    <col min="12" max="12" width="6.44140625" style="3" bestFit="1" customWidth="1"/>
    <col min="13" max="13" width="5.109375" style="3" bestFit="1" customWidth="1"/>
    <col min="14" max="14" width="22.6640625" style="25" customWidth="1"/>
    <col min="15" max="15" width="19.21875" style="3" customWidth="1"/>
    <col min="16" max="16" width="21" style="3" customWidth="1"/>
    <col min="17" max="17" width="14.77734375" style="3" customWidth="1"/>
    <col min="18" max="18" width="5" style="3" bestFit="1" customWidth="1"/>
    <col min="19" max="16384" width="8.77734375" style="3"/>
  </cols>
  <sheetData>
    <row r="1" spans="1:17" s="4" customFormat="1" x14ac:dyDescent="0.3">
      <c r="A1" s="4" t="s">
        <v>32</v>
      </c>
      <c r="B1" s="4" t="s">
        <v>33</v>
      </c>
      <c r="C1" s="4" t="s">
        <v>34</v>
      </c>
      <c r="D1" s="4" t="s">
        <v>0</v>
      </c>
      <c r="E1" s="4" t="s">
        <v>35</v>
      </c>
      <c r="F1" s="4" t="s">
        <v>1</v>
      </c>
      <c r="G1" s="4" t="s">
        <v>36</v>
      </c>
      <c r="H1" s="4" t="s">
        <v>44</v>
      </c>
      <c r="I1" s="4" t="s">
        <v>2</v>
      </c>
      <c r="J1" s="4" t="s">
        <v>3</v>
      </c>
      <c r="K1" s="4" t="s">
        <v>4</v>
      </c>
      <c r="L1" s="4" t="s">
        <v>45</v>
      </c>
      <c r="M1" s="4" t="s">
        <v>5</v>
      </c>
      <c r="N1" s="53" t="s">
        <v>38</v>
      </c>
      <c r="O1" s="4" t="s">
        <v>37</v>
      </c>
      <c r="P1" s="4" t="s">
        <v>39</v>
      </c>
      <c r="Q1" s="4" t="s">
        <v>6</v>
      </c>
    </row>
    <row r="2" spans="1:17" x14ac:dyDescent="0.3">
      <c r="A2" s="5"/>
    </row>
    <row r="3" spans="1:17" s="7" customFormat="1" x14ac:dyDescent="0.3">
      <c r="A3" s="6">
        <v>44655</v>
      </c>
      <c r="B3" s="7" t="s">
        <v>67</v>
      </c>
      <c r="C3" s="7" t="s">
        <v>68</v>
      </c>
      <c r="D3" s="7">
        <v>1</v>
      </c>
      <c r="E3" s="7" t="s">
        <v>54</v>
      </c>
      <c r="F3" s="7" t="s">
        <v>26</v>
      </c>
      <c r="G3" s="7" t="s">
        <v>10</v>
      </c>
      <c r="H3" s="7">
        <v>6288</v>
      </c>
      <c r="I3" s="7">
        <f>M3*9%</f>
        <v>22.5</v>
      </c>
      <c r="J3" s="7">
        <f>I3</f>
        <v>22.5</v>
      </c>
      <c r="L3" s="7">
        <v>5993</v>
      </c>
      <c r="M3" s="7">
        <v>250</v>
      </c>
      <c r="N3" s="54"/>
      <c r="P3" s="7" t="s">
        <v>69</v>
      </c>
    </row>
    <row r="4" spans="1:17" x14ac:dyDescent="0.3">
      <c r="A4" s="5"/>
    </row>
    <row r="5" spans="1:17" x14ac:dyDescent="0.3">
      <c r="A5" s="5">
        <v>44655</v>
      </c>
      <c r="B5" s="3" t="s">
        <v>72</v>
      </c>
      <c r="C5" s="3" t="s">
        <v>42</v>
      </c>
      <c r="D5" s="3">
        <v>2</v>
      </c>
      <c r="E5" s="3" t="s">
        <v>43</v>
      </c>
      <c r="F5" s="3" t="s">
        <v>14</v>
      </c>
      <c r="G5" s="3" t="s">
        <v>10</v>
      </c>
      <c r="H5" s="3">
        <f>65500</f>
        <v>65500</v>
      </c>
      <c r="I5" s="3">
        <v>8941</v>
      </c>
      <c r="J5" s="3">
        <f>I5</f>
        <v>8941</v>
      </c>
      <c r="L5" s="3">
        <v>36189</v>
      </c>
      <c r="M5" s="3">
        <v>49638</v>
      </c>
      <c r="N5" s="55" t="s">
        <v>133</v>
      </c>
      <c r="O5" s="8" t="s">
        <v>134</v>
      </c>
      <c r="P5" s="3" t="s">
        <v>70</v>
      </c>
    </row>
    <row r="6" spans="1:17" x14ac:dyDescent="0.3">
      <c r="A6" s="5"/>
      <c r="H6" s="3">
        <v>310000</v>
      </c>
      <c r="L6" s="3">
        <v>17891</v>
      </c>
      <c r="N6" s="25" t="s">
        <v>135</v>
      </c>
      <c r="O6" s="3" t="s">
        <v>136</v>
      </c>
      <c r="P6" s="3" t="s">
        <v>71</v>
      </c>
    </row>
    <row r="7" spans="1:17" x14ac:dyDescent="0.3">
      <c r="A7" s="5"/>
      <c r="G7" s="3" t="s">
        <v>20</v>
      </c>
      <c r="L7" s="3">
        <v>253900</v>
      </c>
      <c r="O7" s="3" t="s">
        <v>144</v>
      </c>
    </row>
    <row r="8" spans="1:17" x14ac:dyDescent="0.3">
      <c r="H8" s="4">
        <f>SUM(H5:H7)</f>
        <v>375500</v>
      </c>
      <c r="L8" s="4">
        <f>SUM(L5:L7)</f>
        <v>307980</v>
      </c>
    </row>
    <row r="10" spans="1:17" s="10" customFormat="1" x14ac:dyDescent="0.3">
      <c r="A10" s="9">
        <v>44657</v>
      </c>
      <c r="B10" s="10" t="s">
        <v>99</v>
      </c>
      <c r="C10" s="10" t="s">
        <v>108</v>
      </c>
      <c r="D10" s="10">
        <v>4</v>
      </c>
      <c r="F10" s="10" t="s">
        <v>109</v>
      </c>
      <c r="G10" s="10" t="s">
        <v>10</v>
      </c>
      <c r="H10" s="10">
        <v>21816</v>
      </c>
      <c r="I10" s="10">
        <v>0</v>
      </c>
      <c r="J10" s="10">
        <v>0</v>
      </c>
      <c r="L10" s="10">
        <v>21816</v>
      </c>
      <c r="M10" s="10">
        <v>0</v>
      </c>
      <c r="N10" s="56">
        <v>44657</v>
      </c>
      <c r="O10" s="11">
        <v>44657</v>
      </c>
    </row>
    <row r="11" spans="1:17" s="10" customFormat="1" x14ac:dyDescent="0.3">
      <c r="A11" s="9"/>
      <c r="C11" s="10" t="s">
        <v>110</v>
      </c>
      <c r="N11" s="56"/>
      <c r="O11" s="11"/>
    </row>
    <row r="13" spans="1:17" x14ac:dyDescent="0.3">
      <c r="A13" s="5">
        <v>44657</v>
      </c>
      <c r="B13" s="3" t="s">
        <v>73</v>
      </c>
      <c r="C13" s="3" t="s">
        <v>66</v>
      </c>
      <c r="D13" s="3">
        <v>4</v>
      </c>
      <c r="F13" s="3" t="s">
        <v>74</v>
      </c>
      <c r="G13" s="3" t="s">
        <v>10</v>
      </c>
      <c r="H13" s="3">
        <f>21816+12053</f>
        <v>33869</v>
      </c>
      <c r="I13" s="3">
        <v>270</v>
      </c>
      <c r="J13" s="3">
        <v>270</v>
      </c>
      <c r="L13" s="3">
        <v>30327</v>
      </c>
      <c r="M13" s="3">
        <v>3002</v>
      </c>
      <c r="N13" s="55" t="s">
        <v>79</v>
      </c>
      <c r="O13" s="8" t="s">
        <v>96</v>
      </c>
      <c r="P13" s="3" t="s">
        <v>75</v>
      </c>
    </row>
    <row r="14" spans="1:17" x14ac:dyDescent="0.3">
      <c r="A14" s="5"/>
      <c r="N14" s="55"/>
      <c r="O14" s="8"/>
    </row>
    <row r="16" spans="1:17" x14ac:dyDescent="0.3">
      <c r="A16" s="5">
        <v>44658</v>
      </c>
      <c r="B16" s="3" t="s">
        <v>76</v>
      </c>
      <c r="C16" s="3" t="s">
        <v>27</v>
      </c>
      <c r="D16" s="3">
        <v>2</v>
      </c>
      <c r="F16" s="3" t="s">
        <v>9</v>
      </c>
      <c r="G16" s="3" t="s">
        <v>20</v>
      </c>
      <c r="H16" s="4">
        <v>20340</v>
      </c>
      <c r="I16" s="3">
        <v>270</v>
      </c>
      <c r="J16" s="3">
        <v>270</v>
      </c>
      <c r="L16" s="4">
        <v>16800</v>
      </c>
      <c r="M16" s="3">
        <v>3000</v>
      </c>
      <c r="N16" s="25" t="s">
        <v>93</v>
      </c>
      <c r="O16" s="8">
        <v>44665</v>
      </c>
    </row>
    <row r="18" spans="1:16" x14ac:dyDescent="0.3">
      <c r="A18" s="5">
        <v>44658</v>
      </c>
      <c r="B18" s="3" t="s">
        <v>78</v>
      </c>
      <c r="C18" s="3" t="s">
        <v>77</v>
      </c>
      <c r="D18" s="3">
        <v>2</v>
      </c>
      <c r="F18" s="3" t="s">
        <v>24</v>
      </c>
      <c r="G18" s="3" t="s">
        <v>10</v>
      </c>
      <c r="H18" s="4">
        <v>58600</v>
      </c>
      <c r="I18" s="3">
        <v>362</v>
      </c>
      <c r="J18" s="3">
        <v>362</v>
      </c>
      <c r="L18" s="4">
        <v>53862</v>
      </c>
      <c r="M18" s="3">
        <v>4014</v>
      </c>
      <c r="N18" s="55" t="s">
        <v>94</v>
      </c>
      <c r="O18" s="8">
        <v>44664</v>
      </c>
    </row>
    <row r="19" spans="1:16" x14ac:dyDescent="0.3">
      <c r="N19" s="25" t="s">
        <v>95</v>
      </c>
    </row>
    <row r="21" spans="1:16" x14ac:dyDescent="0.3">
      <c r="A21" s="5">
        <v>44658</v>
      </c>
      <c r="B21" s="3" t="s">
        <v>80</v>
      </c>
      <c r="C21" s="12" t="s">
        <v>81</v>
      </c>
      <c r="D21" s="3">
        <v>1</v>
      </c>
      <c r="E21" s="3" t="s">
        <v>54</v>
      </c>
      <c r="F21" s="3" t="s">
        <v>9</v>
      </c>
      <c r="G21" s="3" t="s">
        <v>20</v>
      </c>
      <c r="H21" s="4">
        <v>8955</v>
      </c>
      <c r="I21" s="3">
        <v>90</v>
      </c>
      <c r="J21" s="3">
        <v>90</v>
      </c>
      <c r="L21" s="4">
        <v>7775</v>
      </c>
      <c r="M21" s="3">
        <v>1000</v>
      </c>
      <c r="N21" s="55">
        <v>44662</v>
      </c>
      <c r="O21" s="8">
        <v>44665</v>
      </c>
    </row>
    <row r="23" spans="1:16" s="7" customFormat="1" x14ac:dyDescent="0.3">
      <c r="A23" s="6">
        <v>44659</v>
      </c>
      <c r="B23" s="7" t="s">
        <v>82</v>
      </c>
      <c r="C23" s="7" t="s">
        <v>83</v>
      </c>
      <c r="D23" s="7">
        <v>1</v>
      </c>
      <c r="E23" s="7" t="s">
        <v>54</v>
      </c>
      <c r="F23" s="7" t="s">
        <v>7</v>
      </c>
      <c r="G23" s="7" t="s">
        <v>10</v>
      </c>
      <c r="H23" s="13">
        <f>SUM(I23:J23,L25,M23)</f>
        <v>14765</v>
      </c>
      <c r="I23" s="7">
        <v>45</v>
      </c>
      <c r="J23" s="7">
        <v>45</v>
      </c>
      <c r="L23" s="7">
        <v>6982</v>
      </c>
      <c r="M23" s="7">
        <v>500</v>
      </c>
      <c r="N23" s="57">
        <v>44662</v>
      </c>
      <c r="O23" s="14">
        <v>44664</v>
      </c>
      <c r="P23" s="7" t="s">
        <v>84</v>
      </c>
    </row>
    <row r="24" spans="1:16" s="7" customFormat="1" x14ac:dyDescent="0.3">
      <c r="A24" s="6"/>
      <c r="L24" s="7">
        <v>7193</v>
      </c>
      <c r="N24" s="58"/>
      <c r="O24" s="6"/>
      <c r="P24" s="7" t="s">
        <v>85</v>
      </c>
    </row>
    <row r="25" spans="1:16" s="7" customFormat="1" x14ac:dyDescent="0.3">
      <c r="L25" s="13">
        <f>SUM(L23:L24)</f>
        <v>14175</v>
      </c>
      <c r="N25" s="54"/>
    </row>
    <row r="26" spans="1:16" x14ac:dyDescent="0.3">
      <c r="H26" s="4"/>
      <c r="L26" s="4"/>
    </row>
    <row r="28" spans="1:16" x14ac:dyDescent="0.3">
      <c r="A28" s="5"/>
    </row>
    <row r="29" spans="1:16" x14ac:dyDescent="0.3">
      <c r="A29" s="5">
        <v>44661</v>
      </c>
      <c r="B29" s="3" t="s">
        <v>86</v>
      </c>
      <c r="C29" s="3" t="s">
        <v>87</v>
      </c>
      <c r="D29" s="3">
        <v>2</v>
      </c>
      <c r="E29" s="3" t="s">
        <v>54</v>
      </c>
      <c r="F29" s="3" t="s">
        <v>7</v>
      </c>
      <c r="G29" s="3" t="s">
        <v>10</v>
      </c>
      <c r="H29" s="4">
        <v>30266</v>
      </c>
      <c r="I29" s="3">
        <v>90</v>
      </c>
      <c r="J29" s="3">
        <v>90</v>
      </c>
      <c r="L29" s="3">
        <v>14032</v>
      </c>
      <c r="M29" s="3">
        <v>1000</v>
      </c>
      <c r="N29" s="55">
        <v>44662</v>
      </c>
      <c r="O29" s="8">
        <v>44664</v>
      </c>
      <c r="P29" s="3" t="s">
        <v>88</v>
      </c>
    </row>
    <row r="30" spans="1:16" x14ac:dyDescent="0.3">
      <c r="L30" s="3">
        <v>15054</v>
      </c>
      <c r="P30" s="3" t="s">
        <v>89</v>
      </c>
    </row>
    <row r="31" spans="1:16" x14ac:dyDescent="0.3">
      <c r="A31" s="5"/>
      <c r="L31" s="3">
        <v>236</v>
      </c>
      <c r="N31" s="38"/>
      <c r="O31" s="5"/>
      <c r="P31" s="3" t="s">
        <v>90</v>
      </c>
    </row>
    <row r="32" spans="1:16" x14ac:dyDescent="0.3">
      <c r="L32" s="4">
        <f>SUM(L29:L30)</f>
        <v>29086</v>
      </c>
    </row>
    <row r="33" spans="1:16" x14ac:dyDescent="0.3">
      <c r="A33" s="8"/>
      <c r="N33" s="38"/>
      <c r="O33" s="8"/>
    </row>
    <row r="35" spans="1:16" x14ac:dyDescent="0.3">
      <c r="A35" s="5">
        <v>44662</v>
      </c>
      <c r="B35" s="3" t="s">
        <v>92</v>
      </c>
      <c r="C35" s="3" t="s">
        <v>122</v>
      </c>
      <c r="D35" s="3">
        <v>1</v>
      </c>
      <c r="E35" s="3" t="s">
        <v>54</v>
      </c>
      <c r="F35" s="3" t="s">
        <v>7</v>
      </c>
      <c r="G35" s="3" t="s">
        <v>10</v>
      </c>
      <c r="H35" s="4">
        <v>8338</v>
      </c>
      <c r="I35" s="3">
        <v>45</v>
      </c>
      <c r="J35" s="3">
        <v>45</v>
      </c>
      <c r="L35" s="3">
        <v>7630</v>
      </c>
      <c r="M35" s="3">
        <v>500</v>
      </c>
      <c r="N35" s="55">
        <v>44662</v>
      </c>
      <c r="O35" s="5">
        <v>44664</v>
      </c>
      <c r="P35" s="3" t="s">
        <v>91</v>
      </c>
    </row>
    <row r="36" spans="1:16" x14ac:dyDescent="0.3">
      <c r="L36" s="3">
        <v>118</v>
      </c>
    </row>
    <row r="37" spans="1:16" x14ac:dyDescent="0.3">
      <c r="A37" s="5"/>
      <c r="L37" s="4">
        <f>SUM(L35:L36)</f>
        <v>7748</v>
      </c>
    </row>
    <row r="39" spans="1:16" x14ac:dyDescent="0.3">
      <c r="A39" s="5">
        <v>44662</v>
      </c>
      <c r="B39" s="3" t="s">
        <v>97</v>
      </c>
      <c r="C39" s="12" t="s">
        <v>98</v>
      </c>
      <c r="D39" s="3">
        <v>2</v>
      </c>
      <c r="E39" s="3" t="s">
        <v>54</v>
      </c>
      <c r="F39" s="3" t="s">
        <v>9</v>
      </c>
      <c r="G39" s="3" t="s">
        <v>20</v>
      </c>
      <c r="H39" s="69">
        <f>51687-46428-295+295</f>
        <v>5259</v>
      </c>
      <c r="I39" s="69">
        <v>542</v>
      </c>
      <c r="J39" s="69">
        <v>542</v>
      </c>
      <c r="K39" s="69"/>
      <c r="L39" s="69">
        <v>3465</v>
      </c>
      <c r="M39" s="69">
        <v>6020</v>
      </c>
      <c r="N39" s="173" t="s">
        <v>137</v>
      </c>
      <c r="O39" s="15">
        <v>44670</v>
      </c>
    </row>
    <row r="40" spans="1:16" x14ac:dyDescent="0.3">
      <c r="A40" s="5"/>
      <c r="C40" s="3" t="s">
        <v>123</v>
      </c>
      <c r="G40" s="3" t="s">
        <v>124</v>
      </c>
      <c r="H40" s="69">
        <f>34900</f>
        <v>34900</v>
      </c>
      <c r="I40" s="69"/>
      <c r="J40" s="69"/>
      <c r="K40" s="69"/>
      <c r="L40" s="69">
        <v>31360</v>
      </c>
      <c r="M40" s="69"/>
      <c r="N40" s="173"/>
      <c r="O40" s="15">
        <v>44669</v>
      </c>
    </row>
    <row r="41" spans="1:16" x14ac:dyDescent="0.3">
      <c r="A41" s="5"/>
      <c r="C41" s="3" t="s">
        <v>125</v>
      </c>
      <c r="G41" s="3" t="s">
        <v>10</v>
      </c>
      <c r="H41" s="69">
        <f>236+590</f>
        <v>826</v>
      </c>
      <c r="I41" s="69"/>
      <c r="J41" s="69"/>
      <c r="K41" s="69"/>
      <c r="L41" s="69">
        <v>236</v>
      </c>
      <c r="M41" s="69"/>
      <c r="N41" s="70"/>
      <c r="O41" s="69"/>
    </row>
    <row r="42" spans="1:16" x14ac:dyDescent="0.3">
      <c r="A42" s="5"/>
      <c r="C42" s="3" t="s">
        <v>126</v>
      </c>
      <c r="G42" s="3" t="s">
        <v>10</v>
      </c>
      <c r="H42" s="69">
        <f>236+590</f>
        <v>826</v>
      </c>
      <c r="I42" s="69"/>
      <c r="J42" s="69"/>
      <c r="K42" s="69"/>
      <c r="L42" s="69">
        <v>236</v>
      </c>
      <c r="M42" s="69"/>
      <c r="N42" s="70"/>
      <c r="O42" s="69"/>
    </row>
    <row r="43" spans="1:16" s="69" customFormat="1" x14ac:dyDescent="0.3">
      <c r="A43" s="15"/>
      <c r="C43" s="69" t="s">
        <v>127</v>
      </c>
      <c r="G43" s="69" t="s">
        <v>10</v>
      </c>
      <c r="H43" s="69">
        <f>L43+295</f>
        <v>4932</v>
      </c>
      <c r="L43" s="69">
        <v>4637</v>
      </c>
      <c r="N43" s="70"/>
      <c r="O43" s="172" t="s">
        <v>132</v>
      </c>
      <c r="P43" s="69" t="s">
        <v>129</v>
      </c>
    </row>
    <row r="44" spans="1:16" s="69" customFormat="1" x14ac:dyDescent="0.3">
      <c r="A44" s="15"/>
      <c r="C44" s="69" t="s">
        <v>127</v>
      </c>
      <c r="G44" s="69" t="s">
        <v>10</v>
      </c>
      <c r="H44" s="69">
        <f>L44+295</f>
        <v>4944</v>
      </c>
      <c r="L44" s="69">
        <v>4649</v>
      </c>
      <c r="N44" s="70"/>
      <c r="O44" s="172"/>
      <c r="P44" s="69" t="s">
        <v>128</v>
      </c>
    </row>
    <row r="45" spans="1:16" s="69" customFormat="1" x14ac:dyDescent="0.3">
      <c r="A45" s="15"/>
      <c r="H45" s="16">
        <f>SUM(H39:H44)</f>
        <v>51687</v>
      </c>
      <c r="L45" s="16">
        <f>SUM(L39:L44)</f>
        <v>44583</v>
      </c>
      <c r="N45" s="70"/>
    </row>
    <row r="46" spans="1:16" x14ac:dyDescent="0.3">
      <c r="A46" s="5"/>
      <c r="N46" s="55"/>
      <c r="O46" s="5"/>
    </row>
    <row r="47" spans="1:16" s="10" customFormat="1" x14ac:dyDescent="0.3">
      <c r="A47" s="9">
        <v>44665</v>
      </c>
      <c r="B47" s="10" t="s">
        <v>111</v>
      </c>
      <c r="C47" s="10" t="s">
        <v>100</v>
      </c>
      <c r="D47" s="10">
        <v>1</v>
      </c>
      <c r="F47" s="10" t="s">
        <v>109</v>
      </c>
      <c r="G47" s="10" t="s">
        <v>10</v>
      </c>
      <c r="H47" s="10">
        <v>80618</v>
      </c>
      <c r="I47" s="10">
        <v>0</v>
      </c>
      <c r="J47" s="10">
        <v>0</v>
      </c>
      <c r="L47" s="10">
        <v>80618</v>
      </c>
      <c r="M47" s="10">
        <v>0</v>
      </c>
      <c r="N47" s="56">
        <v>44665</v>
      </c>
      <c r="O47" s="11">
        <v>44665</v>
      </c>
      <c r="P47" s="10" t="s">
        <v>118</v>
      </c>
    </row>
    <row r="48" spans="1:16" s="10" customFormat="1" x14ac:dyDescent="0.3">
      <c r="A48" s="9"/>
      <c r="C48" s="10" t="s">
        <v>114</v>
      </c>
      <c r="N48" s="56"/>
      <c r="O48" s="11"/>
    </row>
    <row r="49" spans="1:16" x14ac:dyDescent="0.3">
      <c r="H49" s="4"/>
      <c r="L49" s="4"/>
    </row>
    <row r="50" spans="1:16" x14ac:dyDescent="0.3">
      <c r="A50" s="5">
        <v>44665</v>
      </c>
      <c r="B50" s="3" t="s">
        <v>101</v>
      </c>
      <c r="C50" s="3" t="s">
        <v>107</v>
      </c>
      <c r="D50" s="3">
        <v>3</v>
      </c>
      <c r="F50" s="3" t="s">
        <v>102</v>
      </c>
      <c r="G50" s="3" t="s">
        <v>10</v>
      </c>
      <c r="H50" s="3">
        <f>80618+200000+27280</f>
        <v>307898</v>
      </c>
      <c r="I50" s="3">
        <v>740</v>
      </c>
      <c r="J50" s="3">
        <v>740</v>
      </c>
      <c r="L50" s="3">
        <f>92653+205549</f>
        <v>298202</v>
      </c>
      <c r="M50" s="3">
        <v>8216</v>
      </c>
      <c r="N50" s="25" t="s">
        <v>112</v>
      </c>
      <c r="O50" s="3" t="s">
        <v>115</v>
      </c>
      <c r="P50" s="3" t="s">
        <v>116</v>
      </c>
    </row>
    <row r="51" spans="1:16" x14ac:dyDescent="0.3">
      <c r="A51" s="8"/>
      <c r="O51" s="3" t="s">
        <v>113</v>
      </c>
      <c r="P51" s="3" t="s">
        <v>117</v>
      </c>
    </row>
    <row r="53" spans="1:16" s="10" customFormat="1" x14ac:dyDescent="0.3">
      <c r="A53" s="9">
        <v>44666</v>
      </c>
      <c r="B53" s="10" t="s">
        <v>119</v>
      </c>
      <c r="C53" s="10" t="s">
        <v>120</v>
      </c>
      <c r="E53" s="10" t="s">
        <v>54</v>
      </c>
      <c r="F53" s="10" t="s">
        <v>26</v>
      </c>
      <c r="G53" s="10" t="s">
        <v>10</v>
      </c>
      <c r="H53" s="10">
        <v>7075</v>
      </c>
      <c r="I53" s="10">
        <v>0</v>
      </c>
      <c r="J53" s="10">
        <v>0</v>
      </c>
      <c r="K53" s="10">
        <v>0</v>
      </c>
      <c r="L53" s="17">
        <f>25859</f>
        <v>25859</v>
      </c>
      <c r="M53" s="10">
        <v>0</v>
      </c>
      <c r="N53" s="70"/>
    </row>
    <row r="54" spans="1:16" x14ac:dyDescent="0.3">
      <c r="H54" s="3">
        <v>6864</v>
      </c>
    </row>
    <row r="55" spans="1:16" x14ac:dyDescent="0.3">
      <c r="H55" s="3">
        <v>5966</v>
      </c>
    </row>
    <row r="56" spans="1:16" x14ac:dyDescent="0.3">
      <c r="H56" s="3">
        <v>5954</v>
      </c>
    </row>
    <row r="57" spans="1:16" x14ac:dyDescent="0.3">
      <c r="H57" s="17">
        <f>SUM(H53:H56)</f>
        <v>25859</v>
      </c>
    </row>
    <row r="59" spans="1:16" x14ac:dyDescent="0.3">
      <c r="A59" s="5">
        <v>44666</v>
      </c>
      <c r="B59" s="3" t="s">
        <v>103</v>
      </c>
      <c r="C59" s="3" t="s">
        <v>105</v>
      </c>
      <c r="D59" s="3">
        <v>1</v>
      </c>
      <c r="E59" s="3" t="s">
        <v>61</v>
      </c>
      <c r="F59" s="3" t="s">
        <v>26</v>
      </c>
      <c r="G59" s="3" t="s">
        <v>10</v>
      </c>
      <c r="H59" s="3">
        <f>L59+1180</f>
        <v>279693</v>
      </c>
      <c r="I59" s="3">
        <v>90</v>
      </c>
      <c r="J59" s="3">
        <v>90</v>
      </c>
      <c r="L59" s="3">
        <v>278513</v>
      </c>
      <c r="M59" s="3">
        <v>1000</v>
      </c>
      <c r="N59" s="38">
        <v>44669</v>
      </c>
      <c r="O59" s="5" t="s">
        <v>121</v>
      </c>
      <c r="P59" s="3" t="s">
        <v>104</v>
      </c>
    </row>
    <row r="60" spans="1:16" x14ac:dyDescent="0.3">
      <c r="H60" s="3">
        <v>9272</v>
      </c>
      <c r="I60" s="3">
        <v>45</v>
      </c>
      <c r="J60" s="3">
        <v>45</v>
      </c>
      <c r="L60" s="3">
        <v>8682</v>
      </c>
      <c r="M60" s="3">
        <v>500</v>
      </c>
      <c r="O60" s="3" t="s">
        <v>130</v>
      </c>
      <c r="P60" s="3" t="s">
        <v>106</v>
      </c>
    </row>
    <row r="61" spans="1:16" x14ac:dyDescent="0.3">
      <c r="A61" s="5"/>
      <c r="H61" s="4">
        <f>SUM(H59:H60)</f>
        <v>288965</v>
      </c>
      <c r="L61" s="4">
        <f>SUM(L59:L60)</f>
        <v>287195</v>
      </c>
      <c r="O61" s="5" t="s">
        <v>131</v>
      </c>
    </row>
    <row r="63" spans="1:16" s="69" customFormat="1" x14ac:dyDescent="0.3">
      <c r="A63" s="15">
        <v>44674</v>
      </c>
      <c r="B63" s="69" t="s">
        <v>138</v>
      </c>
      <c r="C63" s="69" t="s">
        <v>139</v>
      </c>
      <c r="D63" s="69">
        <v>1</v>
      </c>
      <c r="F63" s="69" t="s">
        <v>140</v>
      </c>
      <c r="G63" s="69" t="s">
        <v>57</v>
      </c>
      <c r="H63" s="69">
        <v>1200</v>
      </c>
      <c r="I63" s="69">
        <v>20</v>
      </c>
      <c r="J63" s="69">
        <v>20</v>
      </c>
      <c r="L63" s="69">
        <v>942</v>
      </c>
      <c r="M63" s="69">
        <v>218</v>
      </c>
      <c r="N63" s="30" t="s">
        <v>149</v>
      </c>
      <c r="O63" s="15">
        <v>44676</v>
      </c>
    </row>
    <row r="64" spans="1:16" s="69" customFormat="1" x14ac:dyDescent="0.3">
      <c r="N64" s="47"/>
    </row>
    <row r="65" spans="1:16" s="69" customFormat="1" x14ac:dyDescent="0.3">
      <c r="A65" s="15">
        <v>44674</v>
      </c>
      <c r="B65" s="69" t="s">
        <v>141</v>
      </c>
      <c r="C65" s="12" t="s">
        <v>28</v>
      </c>
      <c r="D65" s="69">
        <v>1</v>
      </c>
      <c r="F65" s="69" t="s">
        <v>9</v>
      </c>
      <c r="G65" s="69" t="s">
        <v>20</v>
      </c>
      <c r="H65" s="16">
        <v>34620</v>
      </c>
      <c r="I65" s="16">
        <v>270</v>
      </c>
      <c r="J65" s="16">
        <v>270</v>
      </c>
      <c r="K65" s="16"/>
      <c r="L65" s="16">
        <v>31080</v>
      </c>
      <c r="M65" s="69">
        <v>3000</v>
      </c>
      <c r="N65" s="30" t="s">
        <v>149</v>
      </c>
      <c r="O65" s="15">
        <v>44679</v>
      </c>
    </row>
    <row r="67" spans="1:16" x14ac:dyDescent="0.3">
      <c r="A67" s="5">
        <v>44678</v>
      </c>
      <c r="B67" s="3" t="s">
        <v>142</v>
      </c>
      <c r="C67" s="3" t="s">
        <v>143</v>
      </c>
      <c r="D67" s="3">
        <v>1</v>
      </c>
      <c r="E67" s="3" t="s">
        <v>60</v>
      </c>
      <c r="F67" s="3" t="s">
        <v>26</v>
      </c>
      <c r="G67" s="3" t="s">
        <v>10</v>
      </c>
      <c r="H67" s="3">
        <f>SUM(I67:M67)</f>
        <v>5666</v>
      </c>
      <c r="I67" s="3">
        <v>90</v>
      </c>
      <c r="J67" s="3">
        <v>90</v>
      </c>
      <c r="L67" s="3">
        <v>4486</v>
      </c>
      <c r="M67" s="3">
        <v>1000</v>
      </c>
      <c r="N67" s="38">
        <v>44685</v>
      </c>
      <c r="O67" s="5">
        <v>44684</v>
      </c>
    </row>
    <row r="69" spans="1:16" x14ac:dyDescent="0.3">
      <c r="A69" s="5">
        <v>44683</v>
      </c>
      <c r="B69" s="3" t="s">
        <v>145</v>
      </c>
      <c r="C69" s="3" t="s">
        <v>146</v>
      </c>
      <c r="D69" s="3">
        <v>2</v>
      </c>
      <c r="E69" s="3" t="s">
        <v>54</v>
      </c>
      <c r="F69" s="3" t="s">
        <v>26</v>
      </c>
      <c r="G69" s="3" t="s">
        <v>10</v>
      </c>
      <c r="H69" s="3">
        <f>SUM(I69:M69)</f>
        <v>9786</v>
      </c>
      <c r="I69" s="3">
        <v>45</v>
      </c>
      <c r="J69" s="3">
        <v>45</v>
      </c>
      <c r="L69" s="3">
        <v>9196</v>
      </c>
      <c r="M69" s="3">
        <v>500</v>
      </c>
      <c r="N69" s="38">
        <v>44688</v>
      </c>
      <c r="O69" s="5">
        <v>44684</v>
      </c>
      <c r="P69" s="3" t="s">
        <v>147</v>
      </c>
    </row>
    <row r="70" spans="1:16" x14ac:dyDescent="0.3">
      <c r="H70" s="3">
        <f>SUM(I70:M70)</f>
        <v>9000</v>
      </c>
      <c r="I70" s="3">
        <v>45</v>
      </c>
      <c r="J70" s="3">
        <v>45</v>
      </c>
      <c r="L70" s="3">
        <v>8410</v>
      </c>
      <c r="M70" s="3">
        <v>500</v>
      </c>
      <c r="P70" s="3" t="s">
        <v>148</v>
      </c>
    </row>
    <row r="71" spans="1:16" x14ac:dyDescent="0.3">
      <c r="H71" s="4">
        <f>SUM(H69:H70)</f>
        <v>18786</v>
      </c>
      <c r="L71" s="4">
        <f>SUM(L69:L70)</f>
        <v>17606</v>
      </c>
    </row>
    <row r="72" spans="1:16" x14ac:dyDescent="0.3">
      <c r="A72" s="5"/>
    </row>
    <row r="73" spans="1:16" x14ac:dyDescent="0.3">
      <c r="A73" s="5">
        <v>44684</v>
      </c>
      <c r="B73" s="3" t="s">
        <v>150</v>
      </c>
      <c r="C73" s="3" t="s">
        <v>151</v>
      </c>
      <c r="D73" s="3">
        <v>3</v>
      </c>
      <c r="E73" s="3" t="s">
        <v>43</v>
      </c>
      <c r="F73" s="3" t="s">
        <v>14</v>
      </c>
      <c r="G73" s="3" t="s">
        <v>10</v>
      </c>
      <c r="H73" s="3">
        <v>0</v>
      </c>
      <c r="I73" s="3">
        <v>6504</v>
      </c>
      <c r="J73" s="3">
        <v>6504</v>
      </c>
      <c r="L73" s="3">
        <v>34964</v>
      </c>
      <c r="M73" s="3">
        <v>21283</v>
      </c>
      <c r="N73" s="38">
        <v>44686</v>
      </c>
      <c r="O73" s="15">
        <v>44692</v>
      </c>
      <c r="P73" s="3" t="s">
        <v>152</v>
      </c>
    </row>
    <row r="74" spans="1:16" x14ac:dyDescent="0.3">
      <c r="A74" s="5"/>
      <c r="G74" s="3" t="s">
        <v>10</v>
      </c>
      <c r="H74" s="3">
        <v>0</v>
      </c>
      <c r="L74" s="3">
        <v>21220</v>
      </c>
      <c r="P74" s="3" t="s">
        <v>153</v>
      </c>
    </row>
    <row r="75" spans="1:16" x14ac:dyDescent="0.3">
      <c r="G75" s="3" t="s">
        <v>20</v>
      </c>
      <c r="H75" s="3">
        <f>SUM(D75:G75)</f>
        <v>0</v>
      </c>
      <c r="L75" s="3">
        <f>174500+7000+1200</f>
        <v>182700</v>
      </c>
      <c r="O75" s="5">
        <v>44686</v>
      </c>
    </row>
    <row r="76" spans="1:16" x14ac:dyDescent="0.3">
      <c r="H76" s="4">
        <v>273175</v>
      </c>
      <c r="L76" s="4">
        <f>SUM(L73:L75)</f>
        <v>238884</v>
      </c>
    </row>
    <row r="78" spans="1:16" x14ac:dyDescent="0.3">
      <c r="A78" s="5">
        <v>44685</v>
      </c>
      <c r="B78" s="3" t="s">
        <v>154</v>
      </c>
      <c r="C78" s="3" t="s">
        <v>155</v>
      </c>
      <c r="D78" s="3">
        <v>1</v>
      </c>
      <c r="E78" s="3" t="s">
        <v>54</v>
      </c>
      <c r="F78" s="3" t="s">
        <v>26</v>
      </c>
      <c r="G78" s="3" t="s">
        <v>10</v>
      </c>
      <c r="H78" s="3">
        <f>SUM(I78:M79)</f>
        <v>11995</v>
      </c>
      <c r="I78" s="3">
        <v>45</v>
      </c>
      <c r="J78" s="3">
        <v>45</v>
      </c>
      <c r="L78" s="3">
        <v>4418</v>
      </c>
      <c r="M78" s="3">
        <v>500</v>
      </c>
      <c r="N78" s="38">
        <v>44688</v>
      </c>
      <c r="O78" s="15">
        <v>44692</v>
      </c>
      <c r="P78" s="3" t="s">
        <v>156</v>
      </c>
    </row>
    <row r="79" spans="1:16" x14ac:dyDescent="0.3">
      <c r="A79" s="5"/>
      <c r="L79" s="3">
        <v>6987</v>
      </c>
      <c r="P79" s="3" t="s">
        <v>157</v>
      </c>
    </row>
    <row r="80" spans="1:16" x14ac:dyDescent="0.3">
      <c r="H80" s="4">
        <f>H78</f>
        <v>11995</v>
      </c>
      <c r="L80" s="4">
        <f>SUM(L78:L79)</f>
        <v>11405</v>
      </c>
    </row>
    <row r="81" spans="1:16" x14ac:dyDescent="0.3">
      <c r="A81" s="8"/>
    </row>
    <row r="82" spans="1:16" x14ac:dyDescent="0.3">
      <c r="A82" s="5">
        <v>44685</v>
      </c>
      <c r="B82" s="3" t="s">
        <v>164</v>
      </c>
      <c r="C82" s="3" t="s">
        <v>158</v>
      </c>
      <c r="D82" s="3">
        <v>4</v>
      </c>
      <c r="F82" s="3" t="s">
        <v>26</v>
      </c>
      <c r="G82" s="3" t="s">
        <v>10</v>
      </c>
      <c r="K82" s="3">
        <v>1771.56</v>
      </c>
      <c r="L82" s="3">
        <v>77819</v>
      </c>
      <c r="M82" s="3">
        <v>9842</v>
      </c>
      <c r="N82" s="38">
        <v>44686</v>
      </c>
      <c r="O82" s="15">
        <v>44692</v>
      </c>
      <c r="P82" s="3" t="s">
        <v>159</v>
      </c>
    </row>
    <row r="83" spans="1:16" x14ac:dyDescent="0.3">
      <c r="A83" s="5"/>
      <c r="L83" s="3">
        <v>13405</v>
      </c>
      <c r="N83" s="38" t="s">
        <v>29</v>
      </c>
      <c r="O83" s="3">
        <f>108525</f>
        <v>108525</v>
      </c>
      <c r="P83" s="3" t="s">
        <v>160</v>
      </c>
    </row>
    <row r="84" spans="1:16" x14ac:dyDescent="0.3">
      <c r="L84" s="3">
        <v>17301</v>
      </c>
      <c r="P84" s="3" t="s">
        <v>161</v>
      </c>
    </row>
    <row r="85" spans="1:16" x14ac:dyDescent="0.3">
      <c r="A85" s="5"/>
      <c r="G85" s="3" t="s">
        <v>162</v>
      </c>
      <c r="L85" s="3">
        <v>3787.2</v>
      </c>
      <c r="O85" s="3" t="s">
        <v>163</v>
      </c>
    </row>
    <row r="86" spans="1:16" x14ac:dyDescent="0.3">
      <c r="G86" s="3" t="s">
        <v>162</v>
      </c>
      <c r="L86" s="3">
        <v>1807.2</v>
      </c>
      <c r="O86" s="3" t="s">
        <v>163</v>
      </c>
    </row>
    <row r="87" spans="1:16" x14ac:dyDescent="0.3">
      <c r="A87" s="5"/>
      <c r="H87" s="4">
        <v>125733</v>
      </c>
      <c r="L87" s="4">
        <f>SUM(L82:L86)</f>
        <v>114119.4</v>
      </c>
      <c r="O87" s="5"/>
    </row>
    <row r="89" spans="1:16" x14ac:dyDescent="0.3">
      <c r="A89" s="5"/>
    </row>
    <row r="90" spans="1:16" x14ac:dyDescent="0.3">
      <c r="A90" s="5">
        <v>44690</v>
      </c>
      <c r="B90" s="3" t="s">
        <v>165</v>
      </c>
      <c r="C90" s="3" t="s">
        <v>49</v>
      </c>
      <c r="D90" s="3">
        <v>4</v>
      </c>
      <c r="F90" s="3" t="s">
        <v>14</v>
      </c>
      <c r="G90" s="3" t="s">
        <v>10</v>
      </c>
      <c r="H90" s="3">
        <v>451500</v>
      </c>
      <c r="I90" s="3">
        <v>10238</v>
      </c>
      <c r="J90" s="3">
        <v>10238</v>
      </c>
      <c r="L90" s="3">
        <v>95575</v>
      </c>
      <c r="M90" s="3">
        <v>19993</v>
      </c>
      <c r="N90" s="38">
        <v>44692</v>
      </c>
      <c r="O90" s="3" t="s">
        <v>179</v>
      </c>
      <c r="P90" s="3" t="s">
        <v>166</v>
      </c>
    </row>
    <row r="91" spans="1:16" x14ac:dyDescent="0.3">
      <c r="G91" s="3" t="s">
        <v>10</v>
      </c>
      <c r="H91" s="18" t="s">
        <v>258</v>
      </c>
      <c r="L91" s="3">
        <v>293956</v>
      </c>
      <c r="N91" s="25">
        <v>200000</v>
      </c>
      <c r="O91" s="5" t="s">
        <v>193</v>
      </c>
      <c r="P91" s="3" t="s">
        <v>235</v>
      </c>
    </row>
    <row r="92" spans="1:16" x14ac:dyDescent="0.3">
      <c r="H92" s="18">
        <v>21500</v>
      </c>
      <c r="L92" s="4">
        <f>SUM(L90:L91)</f>
        <v>389531</v>
      </c>
      <c r="N92" s="38">
        <v>44693</v>
      </c>
    </row>
    <row r="93" spans="1:16" x14ac:dyDescent="0.3">
      <c r="N93" s="25">
        <v>251500</v>
      </c>
    </row>
    <row r="94" spans="1:16" x14ac:dyDescent="0.3">
      <c r="H94" s="4"/>
      <c r="L94" s="4"/>
    </row>
    <row r="95" spans="1:16" x14ac:dyDescent="0.3">
      <c r="A95" s="5">
        <v>44690</v>
      </c>
      <c r="B95" s="3" t="s">
        <v>167</v>
      </c>
      <c r="C95" s="3" t="s">
        <v>172</v>
      </c>
      <c r="D95" s="3">
        <v>1</v>
      </c>
      <c r="F95" s="3" t="s">
        <v>26</v>
      </c>
      <c r="G95" s="3" t="s">
        <v>10</v>
      </c>
      <c r="H95" s="3">
        <v>12790</v>
      </c>
      <c r="I95" s="3">
        <v>113</v>
      </c>
      <c r="J95" s="3">
        <v>113</v>
      </c>
      <c r="L95" s="3">
        <v>5669</v>
      </c>
      <c r="M95" s="3">
        <v>1251</v>
      </c>
      <c r="N95" s="38">
        <v>44700</v>
      </c>
      <c r="O95" s="5" t="s">
        <v>196</v>
      </c>
      <c r="P95" s="3" t="s">
        <v>169</v>
      </c>
    </row>
    <row r="96" spans="1:16" x14ac:dyDescent="0.3">
      <c r="L96" s="3">
        <v>5940</v>
      </c>
      <c r="N96" s="25" t="s">
        <v>191</v>
      </c>
      <c r="O96" s="3" t="s">
        <v>197</v>
      </c>
      <c r="P96" s="3" t="s">
        <v>168</v>
      </c>
    </row>
    <row r="97" spans="1:17" x14ac:dyDescent="0.3">
      <c r="H97" s="31">
        <v>4345</v>
      </c>
      <c r="I97" s="31"/>
      <c r="J97" s="31"/>
      <c r="K97" s="31"/>
      <c r="L97" s="31">
        <v>4049</v>
      </c>
      <c r="P97" s="3" t="s">
        <v>195</v>
      </c>
    </row>
    <row r="98" spans="1:17" x14ac:dyDescent="0.3">
      <c r="A98" s="5"/>
      <c r="H98" s="4">
        <f>SUM(H95:H97)</f>
        <v>17135</v>
      </c>
      <c r="L98" s="4">
        <f>SUM(L95:L97)</f>
        <v>15658</v>
      </c>
      <c r="O98" s="5"/>
    </row>
    <row r="101" spans="1:17" x14ac:dyDescent="0.3">
      <c r="A101" s="5">
        <v>44690</v>
      </c>
      <c r="B101" s="3" t="s">
        <v>170</v>
      </c>
      <c r="C101" s="3" t="s">
        <v>171</v>
      </c>
      <c r="D101" s="3">
        <v>1</v>
      </c>
      <c r="F101" s="3" t="s">
        <v>26</v>
      </c>
      <c r="G101" s="3" t="s">
        <v>10</v>
      </c>
      <c r="H101" s="3">
        <v>12790</v>
      </c>
      <c r="I101" s="3">
        <v>113</v>
      </c>
      <c r="J101" s="3">
        <v>113</v>
      </c>
      <c r="L101" s="3">
        <v>5669</v>
      </c>
      <c r="M101" s="3">
        <v>1251</v>
      </c>
      <c r="N101" s="38">
        <v>44700</v>
      </c>
      <c r="O101" s="5" t="s">
        <v>196</v>
      </c>
      <c r="P101" s="3" t="s">
        <v>174</v>
      </c>
    </row>
    <row r="102" spans="1:17" x14ac:dyDescent="0.3">
      <c r="L102" s="3">
        <v>5940</v>
      </c>
      <c r="N102" s="25" t="s">
        <v>191</v>
      </c>
      <c r="O102" s="3" t="s">
        <v>197</v>
      </c>
      <c r="P102" s="3" t="s">
        <v>173</v>
      </c>
    </row>
    <row r="103" spans="1:17" x14ac:dyDescent="0.3">
      <c r="H103" s="31">
        <v>4345</v>
      </c>
      <c r="I103" s="31"/>
      <c r="J103" s="31"/>
      <c r="K103" s="31"/>
      <c r="L103" s="31">
        <v>4049</v>
      </c>
      <c r="P103" s="3" t="s">
        <v>194</v>
      </c>
    </row>
    <row r="104" spans="1:17" x14ac:dyDescent="0.3">
      <c r="A104" s="5"/>
      <c r="H104" s="4">
        <f>SUM(H101:H103)</f>
        <v>17135</v>
      </c>
      <c r="L104" s="4">
        <f>SUM(L101:L103)</f>
        <v>15658</v>
      </c>
      <c r="O104" s="5"/>
    </row>
    <row r="106" spans="1:17" x14ac:dyDescent="0.3">
      <c r="A106" s="5">
        <v>44691</v>
      </c>
      <c r="B106" s="3" t="s">
        <v>175</v>
      </c>
      <c r="C106" s="3" t="s">
        <v>176</v>
      </c>
      <c r="D106" s="3">
        <v>1</v>
      </c>
      <c r="E106" s="3">
        <f>885+2360</f>
        <v>3245</v>
      </c>
      <c r="F106" s="3" t="s">
        <v>26</v>
      </c>
      <c r="G106" s="3" t="s">
        <v>10</v>
      </c>
      <c r="H106" s="3">
        <v>3886</v>
      </c>
      <c r="I106" s="3">
        <v>45</v>
      </c>
      <c r="J106" s="3">
        <v>45</v>
      </c>
      <c r="L106" s="3">
        <v>3591</v>
      </c>
      <c r="M106" s="3">
        <v>500</v>
      </c>
      <c r="N106" s="38">
        <v>44705</v>
      </c>
      <c r="O106" s="5">
        <v>44692</v>
      </c>
      <c r="P106" s="3" t="s">
        <v>178</v>
      </c>
    </row>
    <row r="107" spans="1:17" x14ac:dyDescent="0.3">
      <c r="H107" s="3">
        <v>5576</v>
      </c>
      <c r="L107" s="3">
        <v>5281</v>
      </c>
      <c r="N107" s="25" t="s">
        <v>192</v>
      </c>
      <c r="P107" s="3" t="s">
        <v>177</v>
      </c>
    </row>
    <row r="108" spans="1:17" s="4" customFormat="1" x14ac:dyDescent="0.3">
      <c r="A108" s="19"/>
      <c r="H108" s="4">
        <f>SUM(H106:H107)</f>
        <v>9462</v>
      </c>
      <c r="L108" s="20">
        <f>SUM(L106:L107)</f>
        <v>8872</v>
      </c>
      <c r="N108" s="53"/>
    </row>
    <row r="109" spans="1:17" x14ac:dyDescent="0.3">
      <c r="F109" s="21"/>
    </row>
    <row r="110" spans="1:17" x14ac:dyDescent="0.3">
      <c r="A110" s="5">
        <v>44692</v>
      </c>
      <c r="B110" s="3" t="s">
        <v>181</v>
      </c>
      <c r="C110" s="3" t="s">
        <v>64</v>
      </c>
      <c r="D110" s="3">
        <v>1</v>
      </c>
      <c r="E110" s="3" t="s">
        <v>54</v>
      </c>
      <c r="F110" s="21" t="s">
        <v>26</v>
      </c>
      <c r="G110" s="3" t="s">
        <v>10</v>
      </c>
      <c r="H110" s="3">
        <f>SUM(I110:M110)</f>
        <v>336722</v>
      </c>
      <c r="I110" s="3">
        <v>180</v>
      </c>
      <c r="J110" s="3">
        <v>180</v>
      </c>
      <c r="L110" s="3">
        <v>334362</v>
      </c>
      <c r="M110" s="3">
        <v>2000</v>
      </c>
      <c r="N110" s="38">
        <v>44698</v>
      </c>
      <c r="O110" s="5">
        <v>44699</v>
      </c>
      <c r="P110" s="3" t="s">
        <v>180</v>
      </c>
    </row>
    <row r="111" spans="1:17" x14ac:dyDescent="0.3">
      <c r="A111" s="5"/>
      <c r="F111" s="21"/>
    </row>
    <row r="112" spans="1:17" x14ac:dyDescent="0.3">
      <c r="A112" s="5">
        <v>44694</v>
      </c>
      <c r="B112" s="3" t="s">
        <v>182</v>
      </c>
      <c r="C112" s="3" t="s">
        <v>183</v>
      </c>
      <c r="D112" s="3">
        <v>2</v>
      </c>
      <c r="F112" s="21" t="s">
        <v>22</v>
      </c>
      <c r="G112" s="3" t="s">
        <v>50</v>
      </c>
      <c r="H112" s="3">
        <v>9170</v>
      </c>
      <c r="I112" s="3">
        <v>286</v>
      </c>
      <c r="J112" s="3">
        <v>286</v>
      </c>
      <c r="L112" s="3">
        <v>5420</v>
      </c>
      <c r="M112" s="3">
        <v>3178</v>
      </c>
      <c r="N112" s="38">
        <v>44694</v>
      </c>
      <c r="O112" s="5">
        <v>44705</v>
      </c>
      <c r="P112" s="3" t="s">
        <v>209</v>
      </c>
      <c r="Q112" s="3" t="s">
        <v>210</v>
      </c>
    </row>
    <row r="113" spans="1:16" x14ac:dyDescent="0.3">
      <c r="A113" s="5"/>
      <c r="F113" s="21"/>
      <c r="L113" s="3">
        <f>L112-4920</f>
        <v>500</v>
      </c>
    </row>
    <row r="114" spans="1:16" x14ac:dyDescent="0.3">
      <c r="A114" s="5">
        <v>44697</v>
      </c>
      <c r="B114" s="3" t="s">
        <v>184</v>
      </c>
      <c r="C114" s="3" t="s">
        <v>63</v>
      </c>
      <c r="D114" s="3">
        <v>4</v>
      </c>
      <c r="F114" s="21" t="s">
        <v>22</v>
      </c>
      <c r="G114" s="3" t="s">
        <v>50</v>
      </c>
      <c r="H114" s="3">
        <f>3245*4</f>
        <v>12980</v>
      </c>
      <c r="I114" s="3">
        <f>M114*9%</f>
        <v>720</v>
      </c>
      <c r="J114" s="3">
        <f>I114</f>
        <v>720</v>
      </c>
      <c r="L114" s="3">
        <f>885*4</f>
        <v>3540</v>
      </c>
      <c r="M114" s="3">
        <v>8000</v>
      </c>
      <c r="N114" s="38">
        <v>44705</v>
      </c>
      <c r="O114" s="5">
        <v>44705</v>
      </c>
      <c r="P114" s="3" t="s">
        <v>215</v>
      </c>
    </row>
    <row r="115" spans="1:16" x14ac:dyDescent="0.3">
      <c r="A115" s="5"/>
      <c r="F115" s="21"/>
    </row>
    <row r="116" spans="1:16" x14ac:dyDescent="0.3">
      <c r="A116" s="5">
        <v>44698</v>
      </c>
      <c r="B116" s="3" t="s">
        <v>186</v>
      </c>
      <c r="C116" s="3" t="s">
        <v>187</v>
      </c>
      <c r="D116" s="3">
        <v>1</v>
      </c>
      <c r="E116" s="3" t="s">
        <v>54</v>
      </c>
      <c r="F116" s="21" t="s">
        <v>26</v>
      </c>
      <c r="G116" s="3" t="s">
        <v>10</v>
      </c>
      <c r="H116" s="3">
        <f>SUM(I116:M116)</f>
        <v>7344</v>
      </c>
      <c r="I116" s="3">
        <v>23</v>
      </c>
      <c r="J116" s="3">
        <v>23</v>
      </c>
      <c r="L116" s="3">
        <v>7048</v>
      </c>
      <c r="M116" s="3">
        <v>250</v>
      </c>
      <c r="N116" s="47">
        <v>44699</v>
      </c>
      <c r="O116" s="5">
        <v>44700</v>
      </c>
      <c r="P116" s="3" t="s">
        <v>188</v>
      </c>
    </row>
    <row r="117" spans="1:16" x14ac:dyDescent="0.3">
      <c r="A117" s="5"/>
      <c r="F117" s="21"/>
    </row>
    <row r="118" spans="1:16" x14ac:dyDescent="0.3">
      <c r="A118" s="5">
        <v>44698</v>
      </c>
      <c r="B118" s="3" t="s">
        <v>190</v>
      </c>
      <c r="C118" s="3" t="s">
        <v>187</v>
      </c>
      <c r="D118" s="3">
        <v>1</v>
      </c>
      <c r="E118" s="3" t="s">
        <v>54</v>
      </c>
      <c r="F118" s="21" t="s">
        <v>26</v>
      </c>
      <c r="G118" s="3" t="s">
        <v>10</v>
      </c>
      <c r="H118" s="3">
        <f>SUM(I118:M118)</f>
        <v>8458</v>
      </c>
      <c r="I118" s="3">
        <v>23</v>
      </c>
      <c r="J118" s="3">
        <v>23</v>
      </c>
      <c r="L118" s="3">
        <v>8162</v>
      </c>
      <c r="M118" s="3">
        <v>250</v>
      </c>
      <c r="N118" s="47">
        <v>44699</v>
      </c>
      <c r="O118" s="5">
        <v>44700</v>
      </c>
      <c r="P118" s="3" t="s">
        <v>189</v>
      </c>
    </row>
    <row r="119" spans="1:16" x14ac:dyDescent="0.3">
      <c r="A119" s="5"/>
      <c r="F119" s="21"/>
    </row>
    <row r="120" spans="1:16" s="23" customFormat="1" x14ac:dyDescent="0.3">
      <c r="A120" s="22">
        <v>44698</v>
      </c>
      <c r="B120" s="23" t="s">
        <v>198</v>
      </c>
      <c r="C120" s="23" t="s">
        <v>212</v>
      </c>
      <c r="D120" s="23">
        <v>2</v>
      </c>
      <c r="F120" s="23" t="s">
        <v>24</v>
      </c>
      <c r="G120" s="23" t="s">
        <v>10</v>
      </c>
      <c r="H120" s="23">
        <v>30420</v>
      </c>
      <c r="I120" s="23">
        <v>224</v>
      </c>
      <c r="J120" s="23">
        <v>224</v>
      </c>
      <c r="L120" s="23">
        <v>27489</v>
      </c>
      <c r="M120" s="23">
        <v>2483</v>
      </c>
      <c r="N120" s="59"/>
    </row>
    <row r="121" spans="1:16" x14ac:dyDescent="0.3">
      <c r="F121" s="21"/>
    </row>
    <row r="122" spans="1:16" s="10" customFormat="1" x14ac:dyDescent="0.3">
      <c r="A122" s="9">
        <v>44700</v>
      </c>
      <c r="B122" s="10" t="s">
        <v>246</v>
      </c>
      <c r="C122" s="10" t="s">
        <v>212</v>
      </c>
      <c r="D122" s="10">
        <v>2</v>
      </c>
      <c r="F122" s="10" t="s">
        <v>24</v>
      </c>
      <c r="G122" s="10" t="s">
        <v>10</v>
      </c>
      <c r="H122" s="10">
        <v>30420</v>
      </c>
      <c r="I122" s="10">
        <v>0</v>
      </c>
      <c r="J122" s="10">
        <v>0</v>
      </c>
      <c r="L122" s="10">
        <v>30420</v>
      </c>
      <c r="M122" s="10">
        <v>0</v>
      </c>
      <c r="N122" s="56"/>
      <c r="O122" s="11"/>
    </row>
    <row r="123" spans="1:16" x14ac:dyDescent="0.3">
      <c r="C123" s="10" t="s">
        <v>267</v>
      </c>
      <c r="F123" s="21"/>
    </row>
    <row r="124" spans="1:16" x14ac:dyDescent="0.3">
      <c r="F124" s="21"/>
    </row>
    <row r="125" spans="1:16" x14ac:dyDescent="0.3">
      <c r="A125" s="5">
        <v>44700</v>
      </c>
      <c r="B125" s="3" t="s">
        <v>199</v>
      </c>
      <c r="C125" s="3" t="s">
        <v>201</v>
      </c>
      <c r="D125" s="3">
        <v>2</v>
      </c>
      <c r="E125" s="3" t="s">
        <v>60</v>
      </c>
      <c r="F125" s="21" t="s">
        <v>26</v>
      </c>
      <c r="G125" s="3" t="s">
        <v>10</v>
      </c>
      <c r="H125" s="4">
        <f>SUM(I125:M126)</f>
        <v>472304</v>
      </c>
      <c r="I125" s="3">
        <f>M125*9%</f>
        <v>405</v>
      </c>
      <c r="J125" s="3">
        <f>I125</f>
        <v>405</v>
      </c>
      <c r="L125" s="3">
        <f>465814-232317-232317</f>
        <v>1180</v>
      </c>
      <c r="M125" s="3">
        <v>4500</v>
      </c>
      <c r="N125" s="30">
        <f>470534+1770</f>
        <v>472304</v>
      </c>
      <c r="O125" s="5">
        <v>44706</v>
      </c>
      <c r="P125" s="3" t="s">
        <v>200</v>
      </c>
    </row>
    <row r="126" spans="1:16" x14ac:dyDescent="0.3">
      <c r="A126" s="5"/>
      <c r="F126" s="21"/>
      <c r="L126" s="3">
        <f>465814</f>
        <v>465814</v>
      </c>
      <c r="N126" s="38">
        <v>44701</v>
      </c>
      <c r="O126" s="3" t="s">
        <v>222</v>
      </c>
      <c r="P126" s="3" t="s">
        <v>202</v>
      </c>
    </row>
    <row r="127" spans="1:16" x14ac:dyDescent="0.3">
      <c r="D127" s="3">
        <v>1</v>
      </c>
      <c r="F127" s="21"/>
      <c r="L127" s="4">
        <f>SUM(L125:L126)</f>
        <v>466994</v>
      </c>
    </row>
    <row r="128" spans="1:16" x14ac:dyDescent="0.3">
      <c r="F128" s="21"/>
    </row>
    <row r="129" spans="1:16" x14ac:dyDescent="0.3">
      <c r="A129" s="5">
        <v>44700</v>
      </c>
      <c r="B129" s="3" t="s">
        <v>205</v>
      </c>
      <c r="C129" s="3" t="s">
        <v>203</v>
      </c>
      <c r="D129" s="3">
        <v>1</v>
      </c>
      <c r="E129" s="3" t="s">
        <v>54</v>
      </c>
      <c r="F129" s="21" t="s">
        <v>26</v>
      </c>
      <c r="G129" s="3" t="s">
        <v>10</v>
      </c>
      <c r="H129" s="3">
        <f>SUM(I129:M129)</f>
        <v>27206</v>
      </c>
      <c r="I129" s="3">
        <f>M129*9%</f>
        <v>270</v>
      </c>
      <c r="J129" s="3">
        <f>I129</f>
        <v>270</v>
      </c>
      <c r="L129" s="3">
        <v>23666</v>
      </c>
      <c r="M129" s="3">
        <v>3000</v>
      </c>
      <c r="N129" s="38">
        <v>44706</v>
      </c>
      <c r="O129" s="5">
        <v>44705</v>
      </c>
      <c r="P129" s="3" t="s">
        <v>204</v>
      </c>
    </row>
    <row r="130" spans="1:16" x14ac:dyDescent="0.3">
      <c r="F130" s="21"/>
    </row>
    <row r="131" spans="1:16" x14ac:dyDescent="0.3">
      <c r="A131" s="5">
        <v>44704</v>
      </c>
      <c r="B131" s="3" t="s">
        <v>206</v>
      </c>
      <c r="C131" s="69" t="s">
        <v>207</v>
      </c>
      <c r="D131" s="3">
        <v>1</v>
      </c>
      <c r="F131" s="3" t="s">
        <v>9</v>
      </c>
      <c r="G131" s="3" t="s">
        <v>211</v>
      </c>
      <c r="H131" s="3">
        <v>50000</v>
      </c>
      <c r="I131" s="3">
        <v>1188</v>
      </c>
      <c r="J131" s="3">
        <v>1188</v>
      </c>
      <c r="K131" s="24"/>
      <c r="L131" s="3">
        <v>39935</v>
      </c>
      <c r="M131" s="3">
        <v>7589</v>
      </c>
      <c r="N131" s="47">
        <v>44713</v>
      </c>
      <c r="O131" s="3" t="s">
        <v>208</v>
      </c>
    </row>
    <row r="132" spans="1:16" x14ac:dyDescent="0.3">
      <c r="A132" s="5"/>
      <c r="C132" s="69"/>
      <c r="K132" s="24"/>
      <c r="N132" s="30" t="s">
        <v>191</v>
      </c>
      <c r="O132" s="3" t="s">
        <v>250</v>
      </c>
    </row>
    <row r="133" spans="1:16" x14ac:dyDescent="0.3">
      <c r="A133" s="5"/>
      <c r="E133" s="10"/>
      <c r="O133" s="25"/>
    </row>
    <row r="134" spans="1:16" x14ac:dyDescent="0.3">
      <c r="A134" s="5">
        <v>44704</v>
      </c>
      <c r="B134" s="3" t="s">
        <v>213</v>
      </c>
      <c r="C134" s="3" t="s">
        <v>212</v>
      </c>
      <c r="D134" s="3">
        <v>2</v>
      </c>
      <c r="F134" s="3" t="s">
        <v>24</v>
      </c>
      <c r="G134" s="3" t="s">
        <v>10</v>
      </c>
      <c r="H134" s="3">
        <v>29900</v>
      </c>
      <c r="I134" s="3">
        <v>211</v>
      </c>
      <c r="J134" s="3">
        <v>211</v>
      </c>
      <c r="L134" s="3">
        <v>27141</v>
      </c>
      <c r="M134" s="3">
        <v>2337</v>
      </c>
      <c r="N134" s="60">
        <v>44714</v>
      </c>
      <c r="O134" s="5">
        <v>44705</v>
      </c>
    </row>
    <row r="135" spans="1:16" x14ac:dyDescent="0.3">
      <c r="N135" s="25" t="s">
        <v>191</v>
      </c>
    </row>
    <row r="137" spans="1:16" x14ac:dyDescent="0.3">
      <c r="A137" s="5">
        <v>44705</v>
      </c>
      <c r="B137" s="3" t="s">
        <v>214</v>
      </c>
      <c r="C137" s="3" t="s">
        <v>201</v>
      </c>
      <c r="D137" s="3">
        <v>2</v>
      </c>
      <c r="E137" s="3" t="s">
        <v>60</v>
      </c>
      <c r="F137" s="21" t="s">
        <v>26</v>
      </c>
      <c r="G137" s="3" t="s">
        <v>10</v>
      </c>
      <c r="H137" s="3">
        <v>57225</v>
      </c>
      <c r="I137" s="3">
        <v>90</v>
      </c>
      <c r="J137" s="3">
        <v>90</v>
      </c>
      <c r="L137" s="3">
        <v>56045</v>
      </c>
      <c r="M137" s="3">
        <v>1000</v>
      </c>
      <c r="N137" s="38">
        <v>44706</v>
      </c>
      <c r="O137" s="5">
        <v>44713</v>
      </c>
      <c r="P137" s="3" t="s">
        <v>216</v>
      </c>
    </row>
    <row r="139" spans="1:16" x14ac:dyDescent="0.3">
      <c r="A139" s="5">
        <v>44706</v>
      </c>
      <c r="B139" s="3" t="s">
        <v>220</v>
      </c>
      <c r="C139" s="3" t="s">
        <v>201</v>
      </c>
      <c r="D139" s="3">
        <v>2</v>
      </c>
      <c r="E139" s="3" t="s">
        <v>60</v>
      </c>
      <c r="F139" s="21" t="s">
        <v>26</v>
      </c>
      <c r="G139" s="3" t="s">
        <v>10</v>
      </c>
      <c r="H139" s="4">
        <f>SUM(I139:J139,L142,M139)</f>
        <v>143450</v>
      </c>
      <c r="I139" s="3">
        <f>M139*9%</f>
        <v>720</v>
      </c>
      <c r="J139" s="3">
        <f>I139</f>
        <v>720</v>
      </c>
      <c r="L139" s="3">
        <v>46482</v>
      </c>
      <c r="M139" s="3">
        <v>8000</v>
      </c>
      <c r="N139" s="38">
        <v>44706</v>
      </c>
      <c r="O139" s="5">
        <v>44713</v>
      </c>
      <c r="P139" s="3" t="s">
        <v>219</v>
      </c>
    </row>
    <row r="140" spans="1:16" x14ac:dyDescent="0.3">
      <c r="L140" s="3">
        <v>66128</v>
      </c>
      <c r="P140" s="3" t="s">
        <v>218</v>
      </c>
    </row>
    <row r="141" spans="1:16" x14ac:dyDescent="0.3">
      <c r="L141" s="3">
        <v>21400</v>
      </c>
      <c r="P141" s="3" t="s">
        <v>217</v>
      </c>
    </row>
    <row r="142" spans="1:16" x14ac:dyDescent="0.3">
      <c r="A142" s="5"/>
      <c r="H142" s="4"/>
      <c r="L142" s="4">
        <f>SUM(L139:L141)</f>
        <v>134010</v>
      </c>
    </row>
    <row r="144" spans="1:16" x14ac:dyDescent="0.3">
      <c r="A144" s="5">
        <v>44706</v>
      </c>
      <c r="B144" s="3" t="s">
        <v>221</v>
      </c>
      <c r="C144" s="3" t="s">
        <v>42</v>
      </c>
      <c r="D144" s="3">
        <v>2</v>
      </c>
      <c r="E144" s="4"/>
      <c r="F144" s="3" t="s">
        <v>9</v>
      </c>
      <c r="G144" s="3" t="s">
        <v>20</v>
      </c>
      <c r="H144" s="4">
        <v>5210</v>
      </c>
      <c r="I144" s="3">
        <v>124</v>
      </c>
      <c r="J144" s="3">
        <v>124</v>
      </c>
      <c r="K144" s="4"/>
      <c r="L144" s="4">
        <v>3954</v>
      </c>
      <c r="M144" s="3">
        <v>1008</v>
      </c>
      <c r="N144" s="38">
        <v>44708</v>
      </c>
      <c r="O144" s="5">
        <v>44709</v>
      </c>
    </row>
    <row r="147" spans="1:16" x14ac:dyDescent="0.3">
      <c r="A147" s="5">
        <v>44707</v>
      </c>
      <c r="B147" s="3" t="s">
        <v>225</v>
      </c>
      <c r="C147" s="3" t="s">
        <v>223</v>
      </c>
      <c r="D147" s="3">
        <v>1</v>
      </c>
      <c r="E147" s="3" t="s">
        <v>60</v>
      </c>
      <c r="F147" s="21" t="s">
        <v>26</v>
      </c>
      <c r="G147" s="3" t="s">
        <v>10</v>
      </c>
      <c r="H147" s="4">
        <f>SUM(I147:M147)</f>
        <v>11227</v>
      </c>
      <c r="I147" s="3">
        <v>90</v>
      </c>
      <c r="J147" s="3">
        <v>90</v>
      </c>
      <c r="L147" s="4">
        <v>10047</v>
      </c>
      <c r="M147" s="3">
        <v>1000</v>
      </c>
      <c r="N147" s="38">
        <v>44711</v>
      </c>
      <c r="O147" s="5">
        <v>44713</v>
      </c>
      <c r="P147" s="3" t="s">
        <v>224</v>
      </c>
    </row>
    <row r="149" spans="1:16" x14ac:dyDescent="0.3">
      <c r="A149" s="5">
        <v>44709</v>
      </c>
      <c r="B149" s="3" t="s">
        <v>226</v>
      </c>
      <c r="C149" s="3" t="s">
        <v>245</v>
      </c>
      <c r="D149" s="3">
        <v>1</v>
      </c>
      <c r="F149" s="3" t="s">
        <v>26</v>
      </c>
      <c r="G149" s="3" t="s">
        <v>10</v>
      </c>
      <c r="H149" s="3">
        <v>7293</v>
      </c>
      <c r="I149" s="3">
        <v>47</v>
      </c>
      <c r="J149" s="3">
        <v>47</v>
      </c>
      <c r="L149" s="3">
        <v>6981</v>
      </c>
      <c r="M149" s="3">
        <v>515</v>
      </c>
      <c r="N149" s="38">
        <v>44709</v>
      </c>
      <c r="O149" s="5">
        <v>44713</v>
      </c>
      <c r="P149" s="3" t="s">
        <v>227</v>
      </c>
    </row>
    <row r="150" spans="1:16" x14ac:dyDescent="0.3">
      <c r="H150" s="3">
        <v>7735</v>
      </c>
      <c r="I150" s="4"/>
      <c r="J150" s="4"/>
      <c r="K150" s="4"/>
      <c r="L150" s="3">
        <v>7438</v>
      </c>
      <c r="P150" s="3" t="s">
        <v>228</v>
      </c>
    </row>
    <row r="151" spans="1:16" x14ac:dyDescent="0.3">
      <c r="H151" s="4">
        <f>SUM(H149:H150)</f>
        <v>15028</v>
      </c>
      <c r="L151" s="4">
        <f>SUM(L149:L150)</f>
        <v>14419</v>
      </c>
    </row>
    <row r="152" spans="1:16" x14ac:dyDescent="0.3">
      <c r="A152" s="5"/>
      <c r="O152" s="5"/>
    </row>
    <row r="154" spans="1:16" x14ac:dyDescent="0.3">
      <c r="A154" s="5">
        <v>44709</v>
      </c>
      <c r="B154" s="3" t="s">
        <v>229</v>
      </c>
      <c r="C154" s="3" t="s">
        <v>230</v>
      </c>
      <c r="D154" s="3">
        <v>1</v>
      </c>
      <c r="F154" s="3" t="s">
        <v>9</v>
      </c>
      <c r="G154" s="3" t="s">
        <v>20</v>
      </c>
      <c r="H154" s="3">
        <v>22040</v>
      </c>
      <c r="I154" s="3">
        <v>525</v>
      </c>
      <c r="J154" s="3">
        <v>525</v>
      </c>
      <c r="L154" s="3">
        <v>18766</v>
      </c>
      <c r="M154" s="3">
        <v>2224</v>
      </c>
      <c r="N154" s="60">
        <v>44714</v>
      </c>
      <c r="O154" s="5">
        <v>44715</v>
      </c>
    </row>
    <row r="155" spans="1:16" x14ac:dyDescent="0.3">
      <c r="A155" s="5"/>
      <c r="N155" s="25" t="s">
        <v>191</v>
      </c>
      <c r="O155" s="5"/>
    </row>
    <row r="156" spans="1:16" x14ac:dyDescent="0.3">
      <c r="A156" s="5"/>
      <c r="O156" s="5"/>
    </row>
    <row r="157" spans="1:16" x14ac:dyDescent="0.3">
      <c r="A157" s="5">
        <v>44711</v>
      </c>
      <c r="B157" s="3" t="s">
        <v>231</v>
      </c>
      <c r="C157" s="3" t="s">
        <v>63</v>
      </c>
      <c r="D157" s="3">
        <v>4</v>
      </c>
      <c r="F157" s="3" t="s">
        <v>7</v>
      </c>
      <c r="G157" s="3" t="s">
        <v>10</v>
      </c>
      <c r="H157" s="3">
        <v>293860</v>
      </c>
      <c r="I157" s="3">
        <v>262</v>
      </c>
      <c r="J157" s="3">
        <f>I157</f>
        <v>262</v>
      </c>
      <c r="L157" s="3">
        <v>290431</v>
      </c>
      <c r="M157" s="3">
        <v>2905</v>
      </c>
      <c r="N157" s="38">
        <v>44712</v>
      </c>
      <c r="O157" s="5">
        <v>44713</v>
      </c>
      <c r="P157" s="3" t="s">
        <v>232</v>
      </c>
    </row>
    <row r="159" spans="1:16" x14ac:dyDescent="0.3">
      <c r="A159" s="5">
        <v>44711</v>
      </c>
      <c r="B159" s="3" t="s">
        <v>236</v>
      </c>
      <c r="C159" s="3" t="s">
        <v>46</v>
      </c>
      <c r="D159" s="3">
        <v>1</v>
      </c>
      <c r="E159" s="26"/>
      <c r="F159" s="3" t="s">
        <v>26</v>
      </c>
      <c r="G159" s="3" t="s">
        <v>10</v>
      </c>
      <c r="H159" s="4">
        <f>SUM(I159:J159,M159,L161)</f>
        <v>15580</v>
      </c>
      <c r="I159" s="3">
        <f>M159*9%</f>
        <v>27</v>
      </c>
      <c r="J159" s="3">
        <f>I159</f>
        <v>27</v>
      </c>
      <c r="L159" s="3">
        <v>8079</v>
      </c>
      <c r="M159" s="3">
        <v>300</v>
      </c>
      <c r="N159" s="38">
        <v>44711</v>
      </c>
      <c r="O159" s="5">
        <v>44714</v>
      </c>
      <c r="P159" s="3" t="s">
        <v>234</v>
      </c>
    </row>
    <row r="160" spans="1:16" x14ac:dyDescent="0.3">
      <c r="E160" s="26"/>
      <c r="L160" s="3">
        <v>7147</v>
      </c>
      <c r="O160" s="4">
        <f>15226-4030-4462</f>
        <v>6734</v>
      </c>
      <c r="P160" s="3" t="s">
        <v>233</v>
      </c>
    </row>
    <row r="161" spans="1:16" x14ac:dyDescent="0.3">
      <c r="E161" s="26"/>
      <c r="L161" s="4">
        <f>SUM(L159:L160)</f>
        <v>15226</v>
      </c>
    </row>
    <row r="162" spans="1:16" x14ac:dyDescent="0.3">
      <c r="E162" s="26"/>
    </row>
    <row r="163" spans="1:16" x14ac:dyDescent="0.3">
      <c r="A163" s="5">
        <v>44711</v>
      </c>
      <c r="B163" s="3" t="s">
        <v>237</v>
      </c>
      <c r="C163" s="69" t="s">
        <v>185</v>
      </c>
      <c r="D163" s="3">
        <v>1</v>
      </c>
      <c r="E163" s="3" t="s">
        <v>43</v>
      </c>
      <c r="F163" s="21" t="s">
        <v>9</v>
      </c>
      <c r="G163" s="3" t="s">
        <v>20</v>
      </c>
      <c r="H163" s="3">
        <v>16436</v>
      </c>
      <c r="I163" s="3">
        <v>392</v>
      </c>
      <c r="J163" s="3">
        <f>I163</f>
        <v>392</v>
      </c>
      <c r="L163" s="3">
        <v>11917</v>
      </c>
      <c r="M163" s="3">
        <v>3735</v>
      </c>
      <c r="N163" s="38">
        <v>44726</v>
      </c>
      <c r="O163" s="5">
        <v>44715</v>
      </c>
    </row>
    <row r="164" spans="1:16" x14ac:dyDescent="0.3">
      <c r="E164" s="26"/>
    </row>
    <row r="165" spans="1:16" x14ac:dyDescent="0.3">
      <c r="A165" s="5">
        <v>44711</v>
      </c>
      <c r="B165" s="3" t="s">
        <v>238</v>
      </c>
      <c r="C165" s="3" t="s">
        <v>239</v>
      </c>
      <c r="D165" s="3">
        <v>1</v>
      </c>
      <c r="E165" s="3" t="s">
        <v>54</v>
      </c>
      <c r="F165" s="3" t="s">
        <v>9</v>
      </c>
      <c r="G165" s="3" t="s">
        <v>20</v>
      </c>
      <c r="H165" s="4">
        <v>10823</v>
      </c>
      <c r="I165" s="3">
        <v>258</v>
      </c>
      <c r="J165" s="3">
        <f>I165</f>
        <v>258</v>
      </c>
      <c r="L165" s="4">
        <v>9807</v>
      </c>
      <c r="M165" s="3">
        <v>500</v>
      </c>
      <c r="N165" s="38">
        <v>44718</v>
      </c>
      <c r="O165" s="5">
        <v>44715</v>
      </c>
    </row>
    <row r="166" spans="1:16" x14ac:dyDescent="0.3">
      <c r="E166" s="26"/>
    </row>
    <row r="167" spans="1:16" x14ac:dyDescent="0.3">
      <c r="A167" s="5">
        <v>44713</v>
      </c>
      <c r="B167" s="3" t="s">
        <v>241</v>
      </c>
      <c r="C167" s="3" t="s">
        <v>239</v>
      </c>
      <c r="D167" s="3">
        <v>1</v>
      </c>
      <c r="E167" s="3" t="s">
        <v>54</v>
      </c>
      <c r="F167" s="3" t="s">
        <v>7</v>
      </c>
      <c r="G167" s="3" t="s">
        <v>10</v>
      </c>
      <c r="H167" s="3">
        <v>31364</v>
      </c>
      <c r="I167" s="3">
        <v>45</v>
      </c>
      <c r="J167" s="3">
        <v>45</v>
      </c>
      <c r="L167" s="3">
        <v>30774</v>
      </c>
      <c r="M167" s="3">
        <v>500</v>
      </c>
      <c r="N167" s="38">
        <v>44714</v>
      </c>
      <c r="O167" s="27">
        <v>44715</v>
      </c>
      <c r="P167" s="3" t="s">
        <v>240</v>
      </c>
    </row>
    <row r="168" spans="1:16" x14ac:dyDescent="0.3">
      <c r="A168" s="5"/>
      <c r="H168" s="3">
        <v>23608</v>
      </c>
      <c r="I168" s="3">
        <v>45</v>
      </c>
      <c r="J168" s="3">
        <v>45</v>
      </c>
      <c r="L168" s="3">
        <v>23018</v>
      </c>
      <c r="M168" s="3">
        <v>500</v>
      </c>
      <c r="P168" s="3" t="s">
        <v>242</v>
      </c>
    </row>
    <row r="169" spans="1:16" x14ac:dyDescent="0.3">
      <c r="H169" s="3">
        <v>11385</v>
      </c>
      <c r="I169" s="3">
        <v>22.5</v>
      </c>
      <c r="J169" s="3">
        <v>22.5</v>
      </c>
      <c r="L169" s="3">
        <v>11089</v>
      </c>
      <c r="M169" s="3">
        <v>250</v>
      </c>
      <c r="P169" s="3" t="s">
        <v>243</v>
      </c>
    </row>
    <row r="170" spans="1:16" x14ac:dyDescent="0.3">
      <c r="H170" s="3">
        <v>9670</v>
      </c>
      <c r="I170" s="3">
        <f>M170*9%</f>
        <v>22.5</v>
      </c>
      <c r="J170" s="3">
        <f>I170</f>
        <v>22.5</v>
      </c>
      <c r="L170" s="3">
        <v>9376</v>
      </c>
      <c r="M170" s="3">
        <v>250</v>
      </c>
      <c r="P170" s="3" t="s">
        <v>244</v>
      </c>
    </row>
    <row r="171" spans="1:16" x14ac:dyDescent="0.3">
      <c r="H171" s="4">
        <f>SUM(H167:H170)</f>
        <v>76027</v>
      </c>
      <c r="I171" s="4"/>
      <c r="J171" s="4"/>
      <c r="K171" s="4"/>
      <c r="L171" s="4">
        <f>SUM(L167:L170)</f>
        <v>74257</v>
      </c>
    </row>
    <row r="173" spans="1:16" s="10" customFormat="1" x14ac:dyDescent="0.3">
      <c r="A173" s="9">
        <v>44713</v>
      </c>
      <c r="B173" s="10" t="s">
        <v>266</v>
      </c>
      <c r="C173" s="10" t="s">
        <v>46</v>
      </c>
      <c r="D173" s="10">
        <v>1</v>
      </c>
      <c r="F173" s="10" t="s">
        <v>109</v>
      </c>
      <c r="G173" s="10" t="s">
        <v>10</v>
      </c>
      <c r="H173" s="10">
        <v>8492</v>
      </c>
      <c r="I173" s="10">
        <v>0</v>
      </c>
      <c r="J173" s="10">
        <v>0</v>
      </c>
      <c r="L173" s="10">
        <v>8492</v>
      </c>
      <c r="M173" s="10">
        <v>0</v>
      </c>
      <c r="N173" s="56">
        <v>44713</v>
      </c>
      <c r="O173" s="28" t="s">
        <v>259</v>
      </c>
      <c r="P173" s="10" t="s">
        <v>248</v>
      </c>
    </row>
    <row r="174" spans="1:16" x14ac:dyDescent="0.3">
      <c r="C174" s="3" t="s">
        <v>247</v>
      </c>
      <c r="P174" s="10" t="s">
        <v>249</v>
      </c>
    </row>
    <row r="177" spans="1:16" x14ac:dyDescent="0.3">
      <c r="A177" s="5">
        <v>44714</v>
      </c>
      <c r="B177" s="3" t="s">
        <v>251</v>
      </c>
      <c r="C177" s="3" t="s">
        <v>207</v>
      </c>
      <c r="D177" s="3">
        <v>1</v>
      </c>
      <c r="F177" s="3" t="s">
        <v>7</v>
      </c>
      <c r="G177" s="3" t="s">
        <v>10</v>
      </c>
      <c r="H177" s="3">
        <v>641488</v>
      </c>
      <c r="I177" s="3">
        <v>76</v>
      </c>
      <c r="J177" s="3">
        <v>76</v>
      </c>
      <c r="L177" s="3">
        <f>640326+(640497-640326)</f>
        <v>640497</v>
      </c>
      <c r="M177" s="3">
        <v>839</v>
      </c>
      <c r="N177" s="55">
        <v>44713</v>
      </c>
      <c r="O177" s="8" t="s">
        <v>282</v>
      </c>
    </row>
    <row r="178" spans="1:16" x14ac:dyDescent="0.3">
      <c r="O178" s="3" t="s">
        <v>263</v>
      </c>
    </row>
    <row r="179" spans="1:16" x14ac:dyDescent="0.3">
      <c r="O179" s="3" t="s">
        <v>283</v>
      </c>
    </row>
    <row r="181" spans="1:16" x14ac:dyDescent="0.3">
      <c r="A181" s="5">
        <v>44714</v>
      </c>
      <c r="B181" s="3" t="s">
        <v>253</v>
      </c>
      <c r="C181" s="3" t="s">
        <v>254</v>
      </c>
      <c r="D181" s="3">
        <v>2</v>
      </c>
      <c r="F181" s="3" t="s">
        <v>7</v>
      </c>
      <c r="G181" s="3" t="s">
        <v>10</v>
      </c>
      <c r="H181" s="3">
        <v>1127924</v>
      </c>
      <c r="I181" s="3">
        <v>181</v>
      </c>
      <c r="J181" s="3">
        <v>181</v>
      </c>
      <c r="L181" s="3">
        <v>1125555</v>
      </c>
      <c r="M181" s="3">
        <v>2007</v>
      </c>
      <c r="N181" s="55">
        <v>44713</v>
      </c>
      <c r="O181" s="8">
        <v>44715</v>
      </c>
      <c r="P181" s="3" t="s">
        <v>252</v>
      </c>
    </row>
    <row r="182" spans="1:16" x14ac:dyDescent="0.3">
      <c r="O182" s="3" t="s">
        <v>263</v>
      </c>
    </row>
    <row r="183" spans="1:16" x14ac:dyDescent="0.3">
      <c r="A183" s="5">
        <v>44714</v>
      </c>
      <c r="B183" s="3" t="s">
        <v>256</v>
      </c>
      <c r="C183" s="3" t="s">
        <v>257</v>
      </c>
      <c r="D183" s="3">
        <v>2</v>
      </c>
      <c r="F183" s="3" t="s">
        <v>7</v>
      </c>
      <c r="G183" s="3" t="s">
        <v>10</v>
      </c>
      <c r="H183" s="3">
        <v>1022168</v>
      </c>
      <c r="I183" s="3">
        <v>155</v>
      </c>
      <c r="J183" s="3">
        <v>155</v>
      </c>
      <c r="L183" s="3">
        <v>1020144</v>
      </c>
      <c r="M183" s="3">
        <v>1714</v>
      </c>
      <c r="N183" s="55">
        <v>44713</v>
      </c>
      <c r="O183" s="8">
        <v>44715</v>
      </c>
      <c r="P183" s="3" t="s">
        <v>255</v>
      </c>
    </row>
    <row r="184" spans="1:16" x14ac:dyDescent="0.3">
      <c r="H184" s="4"/>
      <c r="I184" s="4"/>
      <c r="J184" s="4"/>
      <c r="K184" s="4"/>
      <c r="L184" s="4"/>
      <c r="O184" s="3" t="s">
        <v>263</v>
      </c>
    </row>
    <row r="185" spans="1:16" x14ac:dyDescent="0.3">
      <c r="H185" s="4"/>
      <c r="I185" s="4"/>
      <c r="J185" s="4"/>
      <c r="K185" s="4"/>
      <c r="L185" s="4"/>
    </row>
    <row r="186" spans="1:16" x14ac:dyDescent="0.3">
      <c r="A186" s="5">
        <v>44715</v>
      </c>
      <c r="B186" s="3" t="s">
        <v>261</v>
      </c>
      <c r="C186" s="3" t="s">
        <v>262</v>
      </c>
      <c r="D186" s="3">
        <v>1</v>
      </c>
      <c r="E186" s="3" t="s">
        <v>60</v>
      </c>
      <c r="F186" s="3" t="s">
        <v>7</v>
      </c>
      <c r="G186" s="3" t="s">
        <v>10</v>
      </c>
      <c r="H186" s="4">
        <v>112539</v>
      </c>
      <c r="I186" s="3">
        <v>90</v>
      </c>
      <c r="J186" s="3">
        <v>90</v>
      </c>
      <c r="L186" s="4">
        <v>111359</v>
      </c>
      <c r="M186" s="3">
        <v>1000</v>
      </c>
      <c r="N186" s="38">
        <v>44718</v>
      </c>
      <c r="O186" s="5">
        <v>44721</v>
      </c>
      <c r="P186" s="3" t="s">
        <v>260</v>
      </c>
    </row>
    <row r="188" spans="1:16" x14ac:dyDescent="0.3">
      <c r="A188" s="5">
        <v>44715</v>
      </c>
      <c r="B188" s="3" t="s">
        <v>264</v>
      </c>
      <c r="C188" s="3" t="s">
        <v>17</v>
      </c>
      <c r="D188" s="3">
        <v>1</v>
      </c>
      <c r="F188" s="3" t="s">
        <v>26</v>
      </c>
      <c r="G188" s="3" t="s">
        <v>10</v>
      </c>
      <c r="H188" s="3">
        <v>4315</v>
      </c>
      <c r="I188" s="3">
        <v>22.5</v>
      </c>
      <c r="J188" s="3">
        <v>22.5</v>
      </c>
      <c r="L188" s="3">
        <v>4020</v>
      </c>
      <c r="M188" s="3">
        <v>250</v>
      </c>
      <c r="N188" s="25" t="s">
        <v>306</v>
      </c>
      <c r="O188" s="5">
        <v>44721</v>
      </c>
      <c r="P188" s="3" t="s">
        <v>265</v>
      </c>
    </row>
    <row r="190" spans="1:16" x14ac:dyDescent="0.3">
      <c r="A190" s="5">
        <v>44716</v>
      </c>
      <c r="B190" s="3" t="s">
        <v>268</v>
      </c>
      <c r="C190" s="3" t="s">
        <v>245</v>
      </c>
      <c r="D190" s="3">
        <v>1</v>
      </c>
      <c r="F190" s="3" t="s">
        <v>26</v>
      </c>
      <c r="G190" s="3" t="s">
        <v>10</v>
      </c>
      <c r="H190" s="3">
        <v>7692</v>
      </c>
      <c r="I190" s="3">
        <f>M190*9%</f>
        <v>27</v>
      </c>
      <c r="J190" s="3">
        <v>27</v>
      </c>
      <c r="L190" s="3">
        <v>7338</v>
      </c>
      <c r="M190" s="3">
        <v>300</v>
      </c>
      <c r="N190" s="38">
        <v>44718</v>
      </c>
      <c r="O190" s="5">
        <v>44721</v>
      </c>
      <c r="P190" s="3" t="s">
        <v>270</v>
      </c>
    </row>
    <row r="191" spans="1:16" x14ac:dyDescent="0.3">
      <c r="A191" s="5"/>
      <c r="H191" s="3">
        <v>8174</v>
      </c>
      <c r="I191" s="3">
        <f>M191*9%</f>
        <v>27</v>
      </c>
      <c r="J191" s="3">
        <v>27</v>
      </c>
      <c r="L191" s="3">
        <v>7820</v>
      </c>
      <c r="M191" s="3">
        <v>300</v>
      </c>
      <c r="N191" s="25">
        <v>30961</v>
      </c>
      <c r="O191" s="5"/>
      <c r="P191" s="3" t="s">
        <v>269</v>
      </c>
    </row>
    <row r="192" spans="1:16" x14ac:dyDescent="0.3">
      <c r="H192" s="4">
        <f>SUM(H190:H191)</f>
        <v>15866</v>
      </c>
      <c r="L192" s="4">
        <f>SUM(L190:L191)</f>
        <v>15158</v>
      </c>
    </row>
    <row r="193" spans="1:16" x14ac:dyDescent="0.3">
      <c r="L193" s="4"/>
    </row>
    <row r="194" spans="1:16" x14ac:dyDescent="0.3">
      <c r="A194" s="5">
        <v>44718</v>
      </c>
      <c r="B194" s="3" t="s">
        <v>272</v>
      </c>
      <c r="C194" s="3" t="s">
        <v>245</v>
      </c>
      <c r="D194" s="3">
        <v>1</v>
      </c>
      <c r="F194" s="3" t="s">
        <v>24</v>
      </c>
      <c r="G194" s="3" t="s">
        <v>10</v>
      </c>
      <c r="H194" s="3">
        <v>15095</v>
      </c>
      <c r="I194" s="3">
        <v>180</v>
      </c>
      <c r="J194" s="3">
        <v>180</v>
      </c>
      <c r="L194" s="3">
        <v>13915</v>
      </c>
      <c r="M194" s="3">
        <v>2001</v>
      </c>
      <c r="N194" s="25" t="s">
        <v>274</v>
      </c>
      <c r="O194" s="5">
        <v>44721</v>
      </c>
      <c r="P194" s="3" t="s">
        <v>271</v>
      </c>
    </row>
    <row r="195" spans="1:16" x14ac:dyDescent="0.3">
      <c r="A195" s="5"/>
      <c r="B195" s="29"/>
      <c r="H195" s="3">
        <v>18215</v>
      </c>
      <c r="L195" s="3">
        <v>17034</v>
      </c>
      <c r="N195" s="25" t="s">
        <v>285</v>
      </c>
      <c r="P195" s="3" t="s">
        <v>273</v>
      </c>
    </row>
    <row r="196" spans="1:16" x14ac:dyDescent="0.3">
      <c r="H196" s="4">
        <f>SUM(H194:H195)</f>
        <v>33310</v>
      </c>
      <c r="L196" s="4">
        <f>SUM(L194:L195)</f>
        <v>30949</v>
      </c>
    </row>
    <row r="198" spans="1:16" s="7" customFormat="1" x14ac:dyDescent="0.3">
      <c r="A198" s="6">
        <v>44719</v>
      </c>
      <c r="B198" s="7" t="s">
        <v>275</v>
      </c>
      <c r="C198" s="7" t="s">
        <v>276</v>
      </c>
      <c r="D198" s="7">
        <v>1</v>
      </c>
      <c r="F198" s="7" t="s">
        <v>26</v>
      </c>
      <c r="G198" s="7" t="s">
        <v>10</v>
      </c>
      <c r="H198" s="7">
        <v>4588</v>
      </c>
      <c r="I198" s="7">
        <f>M198*9%</f>
        <v>36.18</v>
      </c>
      <c r="J198" s="7">
        <f>I198</f>
        <v>36.18</v>
      </c>
      <c r="L198" s="7">
        <v>4351</v>
      </c>
      <c r="M198" s="7">
        <v>402</v>
      </c>
      <c r="N198" s="58">
        <v>44720</v>
      </c>
      <c r="O198" s="6">
        <v>44721</v>
      </c>
      <c r="P198" s="7" t="s">
        <v>278</v>
      </c>
    </row>
    <row r="199" spans="1:16" x14ac:dyDescent="0.3">
      <c r="H199" s="3">
        <v>5012</v>
      </c>
      <c r="L199" s="3">
        <v>4775</v>
      </c>
      <c r="P199" s="3" t="s">
        <v>277</v>
      </c>
    </row>
    <row r="200" spans="1:16" x14ac:dyDescent="0.3">
      <c r="H200" s="4">
        <f>SUM(H198:H199)</f>
        <v>9600</v>
      </c>
      <c r="L200" s="4">
        <f>SUM(L198:L199)</f>
        <v>9126</v>
      </c>
    </row>
    <row r="201" spans="1:16" x14ac:dyDescent="0.3">
      <c r="H201" s="4"/>
      <c r="L201" s="4"/>
    </row>
    <row r="202" spans="1:16" ht="39.6" x14ac:dyDescent="0.3">
      <c r="A202" s="5">
        <v>44721</v>
      </c>
      <c r="B202" s="3" t="s">
        <v>279</v>
      </c>
      <c r="C202" s="3" t="s">
        <v>280</v>
      </c>
      <c r="D202" s="3">
        <v>1</v>
      </c>
      <c r="E202" s="3" t="s">
        <v>54</v>
      </c>
      <c r="F202" s="3" t="s">
        <v>26</v>
      </c>
      <c r="G202" s="3" t="s">
        <v>10</v>
      </c>
      <c r="H202" s="3">
        <f>11285+590</f>
        <v>11875</v>
      </c>
      <c r="I202" s="3">
        <v>90</v>
      </c>
      <c r="J202" s="3">
        <v>90</v>
      </c>
      <c r="L202" s="3">
        <v>11285</v>
      </c>
      <c r="M202" s="3">
        <v>1000</v>
      </c>
      <c r="N202" s="38">
        <v>44722</v>
      </c>
      <c r="O202" s="30" t="s">
        <v>295</v>
      </c>
      <c r="P202" s="3" t="s">
        <v>281</v>
      </c>
    </row>
    <row r="203" spans="1:16" x14ac:dyDescent="0.3">
      <c r="H203" s="3">
        <v>708</v>
      </c>
      <c r="L203" s="3">
        <v>118</v>
      </c>
      <c r="P203" s="3" t="s">
        <v>284</v>
      </c>
    </row>
    <row r="204" spans="1:16" x14ac:dyDescent="0.3">
      <c r="H204" s="4">
        <f>SUM(H202:H203)</f>
        <v>12583</v>
      </c>
      <c r="L204" s="4">
        <f>SUM(L202:L203)</f>
        <v>11403</v>
      </c>
    </row>
    <row r="205" spans="1:16" x14ac:dyDescent="0.3">
      <c r="H205" s="4"/>
      <c r="L205" s="4"/>
    </row>
    <row r="206" spans="1:16" s="10" customFormat="1" x14ac:dyDescent="0.3">
      <c r="A206" s="9">
        <v>44723</v>
      </c>
      <c r="B206" s="10" t="s">
        <v>286</v>
      </c>
      <c r="C206" s="10" t="s">
        <v>287</v>
      </c>
      <c r="D206" s="10">
        <v>1</v>
      </c>
      <c r="F206" s="10" t="s">
        <v>109</v>
      </c>
      <c r="G206" s="10" t="s">
        <v>10</v>
      </c>
      <c r="H206" s="10">
        <f>4158+3734</f>
        <v>7892</v>
      </c>
      <c r="I206" s="10">
        <v>0</v>
      </c>
      <c r="J206" s="10">
        <v>0</v>
      </c>
      <c r="L206" s="10">
        <v>7892</v>
      </c>
      <c r="M206" s="10">
        <v>0</v>
      </c>
      <c r="N206" s="56">
        <v>44723</v>
      </c>
      <c r="O206" s="9">
        <v>44725</v>
      </c>
      <c r="P206" s="10" t="s">
        <v>289</v>
      </c>
    </row>
    <row r="207" spans="1:16" x14ac:dyDescent="0.3">
      <c r="C207" s="3" t="s">
        <v>288</v>
      </c>
      <c r="P207" s="10" t="s">
        <v>290</v>
      </c>
    </row>
    <row r="208" spans="1:16" x14ac:dyDescent="0.3">
      <c r="P208" s="10"/>
    </row>
    <row r="209" spans="1:16" x14ac:dyDescent="0.3">
      <c r="A209" s="5">
        <v>44726</v>
      </c>
      <c r="B209" s="3" t="s">
        <v>291</v>
      </c>
      <c r="C209" s="3" t="s">
        <v>47</v>
      </c>
      <c r="D209" s="3">
        <v>2</v>
      </c>
      <c r="F209" s="3" t="s">
        <v>26</v>
      </c>
      <c r="G209" s="3" t="s">
        <v>10</v>
      </c>
      <c r="H209" s="3">
        <v>10700</v>
      </c>
      <c r="I209" s="3">
        <v>5</v>
      </c>
      <c r="J209" s="3">
        <v>5</v>
      </c>
      <c r="L209" s="3">
        <v>10642</v>
      </c>
      <c r="M209" s="3">
        <v>48</v>
      </c>
      <c r="N209" s="38">
        <v>44726</v>
      </c>
      <c r="O209" s="5">
        <v>44728</v>
      </c>
      <c r="P209" s="3" t="s">
        <v>292</v>
      </c>
    </row>
    <row r="210" spans="1:16" x14ac:dyDescent="0.3">
      <c r="P210" s="10"/>
    </row>
    <row r="211" spans="1:16" x14ac:dyDescent="0.3">
      <c r="A211" s="5">
        <v>44732</v>
      </c>
      <c r="B211" s="3" t="s">
        <v>293</v>
      </c>
      <c r="C211" s="3" t="s">
        <v>17</v>
      </c>
      <c r="D211" s="3">
        <v>1</v>
      </c>
      <c r="F211" s="3" t="s">
        <v>26</v>
      </c>
      <c r="G211" s="3" t="s">
        <v>10</v>
      </c>
      <c r="H211" s="3">
        <v>298685</v>
      </c>
      <c r="I211" s="3">
        <v>224</v>
      </c>
      <c r="J211" s="3">
        <v>224</v>
      </c>
      <c r="L211" s="3">
        <v>295754</v>
      </c>
      <c r="M211" s="3">
        <v>2483</v>
      </c>
      <c r="N211" s="25" t="s">
        <v>306</v>
      </c>
      <c r="O211" s="5">
        <v>44736</v>
      </c>
      <c r="P211" s="3" t="s">
        <v>294</v>
      </c>
    </row>
    <row r="212" spans="1:16" x14ac:dyDescent="0.3">
      <c r="L212" s="4"/>
    </row>
    <row r="213" spans="1:16" x14ac:dyDescent="0.3">
      <c r="A213" s="5">
        <v>44734</v>
      </c>
      <c r="B213" s="3" t="s">
        <v>296</v>
      </c>
      <c r="C213" s="3" t="s">
        <v>297</v>
      </c>
      <c r="D213" s="3">
        <v>3</v>
      </c>
      <c r="F213" s="3" t="s">
        <v>26</v>
      </c>
      <c r="G213" s="3" t="s">
        <v>10</v>
      </c>
      <c r="H213" s="3">
        <v>47379</v>
      </c>
      <c r="I213" s="3">
        <v>200</v>
      </c>
      <c r="J213" s="3">
        <v>200</v>
      </c>
      <c r="L213" s="3">
        <v>46068</v>
      </c>
      <c r="M213" s="3">
        <v>2223</v>
      </c>
      <c r="N213" s="38">
        <v>44736</v>
      </c>
      <c r="O213" s="5">
        <v>44736</v>
      </c>
      <c r="P213" s="3" t="s">
        <v>298</v>
      </c>
    </row>
    <row r="214" spans="1:16" x14ac:dyDescent="0.3">
      <c r="H214" s="3">
        <v>30996</v>
      </c>
      <c r="L214" s="3">
        <v>29684</v>
      </c>
    </row>
    <row r="215" spans="1:16" x14ac:dyDescent="0.3">
      <c r="H215" s="4">
        <f>SUM(H213:H214)</f>
        <v>78375</v>
      </c>
      <c r="L215" s="4">
        <f>SUM(L213:L214)</f>
        <v>75752</v>
      </c>
    </row>
    <row r="216" spans="1:16" x14ac:dyDescent="0.3">
      <c r="H216" s="4"/>
      <c r="L216" s="4"/>
    </row>
    <row r="217" spans="1:16" x14ac:dyDescent="0.3">
      <c r="A217" s="5">
        <v>44735</v>
      </c>
      <c r="B217" s="3" t="s">
        <v>299</v>
      </c>
      <c r="C217" s="3" t="s">
        <v>300</v>
      </c>
      <c r="D217" s="3">
        <v>2</v>
      </c>
      <c r="F217" s="3" t="s">
        <v>7</v>
      </c>
      <c r="G217" s="3" t="s">
        <v>10</v>
      </c>
      <c r="H217" s="3">
        <v>13900</v>
      </c>
      <c r="I217" s="3">
        <v>55</v>
      </c>
      <c r="J217" s="3">
        <v>55</v>
      </c>
      <c r="L217" s="3">
        <v>13757</v>
      </c>
      <c r="M217" s="3">
        <v>603</v>
      </c>
      <c r="N217" s="38">
        <v>44743</v>
      </c>
      <c r="O217" s="5">
        <v>44743</v>
      </c>
      <c r="P217" s="3" t="s">
        <v>302</v>
      </c>
    </row>
    <row r="218" spans="1:16" x14ac:dyDescent="0.3">
      <c r="H218" s="3">
        <v>26870</v>
      </c>
      <c r="L218" s="3">
        <v>26300</v>
      </c>
      <c r="P218" s="3" t="s">
        <v>301</v>
      </c>
    </row>
    <row r="219" spans="1:16" x14ac:dyDescent="0.3">
      <c r="H219" s="4">
        <f>SUM(H217:H218)</f>
        <v>40770</v>
      </c>
      <c r="L219" s="4">
        <f>SUM(L217:L218)</f>
        <v>40057</v>
      </c>
    </row>
    <row r="220" spans="1:16" x14ac:dyDescent="0.3">
      <c r="H220" s="4"/>
      <c r="L220" s="4"/>
    </row>
    <row r="221" spans="1:16" x14ac:dyDescent="0.3">
      <c r="A221" s="5">
        <v>44735</v>
      </c>
      <c r="B221" s="3" t="s">
        <v>303</v>
      </c>
      <c r="C221" s="3" t="s">
        <v>304</v>
      </c>
      <c r="D221" s="3">
        <v>2</v>
      </c>
      <c r="F221" s="3" t="s">
        <v>22</v>
      </c>
      <c r="G221" s="3" t="s">
        <v>50</v>
      </c>
      <c r="H221" s="3">
        <f>5971</f>
        <v>5971</v>
      </c>
      <c r="I221" s="3">
        <v>366</v>
      </c>
      <c r="J221" s="3">
        <v>366</v>
      </c>
      <c r="L221" s="3">
        <f>2688+885</f>
        <v>3573</v>
      </c>
      <c r="M221" s="3">
        <v>4064</v>
      </c>
      <c r="N221" s="38">
        <v>44735</v>
      </c>
      <c r="O221" s="5">
        <v>44736</v>
      </c>
    </row>
    <row r="222" spans="1:16" x14ac:dyDescent="0.3">
      <c r="C222" s="3" t="s">
        <v>305</v>
      </c>
      <c r="H222" s="3">
        <f>H221</f>
        <v>5971</v>
      </c>
      <c r="L222" s="3">
        <f>2688+885</f>
        <v>3573</v>
      </c>
    </row>
    <row r="223" spans="1:16" x14ac:dyDescent="0.3">
      <c r="H223" s="4">
        <f>SUM(H221:H222)</f>
        <v>11942</v>
      </c>
      <c r="L223" s="4">
        <f>SUM(L221:L222)</f>
        <v>7146</v>
      </c>
    </row>
    <row r="224" spans="1:16" x14ac:dyDescent="0.3">
      <c r="H224" s="4"/>
      <c r="L224" s="4"/>
    </row>
    <row r="225" spans="1:18" x14ac:dyDescent="0.3">
      <c r="A225" s="5">
        <v>44743</v>
      </c>
      <c r="B225" s="3" t="s">
        <v>311</v>
      </c>
      <c r="C225" s="3" t="s">
        <v>308</v>
      </c>
      <c r="D225" s="3">
        <v>6</v>
      </c>
      <c r="F225" s="3" t="s">
        <v>14</v>
      </c>
      <c r="G225" s="3" t="s">
        <v>20</v>
      </c>
      <c r="H225" s="4">
        <v>282240</v>
      </c>
      <c r="I225" s="3">
        <v>6720</v>
      </c>
      <c r="J225" s="3">
        <f>I225</f>
        <v>6720</v>
      </c>
      <c r="L225" s="4">
        <f>(41500+800)*6</f>
        <v>253800</v>
      </c>
      <c r="M225" s="3">
        <v>15000</v>
      </c>
      <c r="N225" s="61">
        <v>36000</v>
      </c>
      <c r="O225" s="31" t="s">
        <v>314</v>
      </c>
      <c r="P225" s="3">
        <f>L225-75000</f>
        <v>178800</v>
      </c>
      <c r="Q225" s="3">
        <f>29040*6</f>
        <v>174240</v>
      </c>
      <c r="R225" s="3">
        <v>108000</v>
      </c>
    </row>
    <row r="226" spans="1:18" ht="26.4" x14ac:dyDescent="0.3">
      <c r="C226" s="3" t="s">
        <v>309</v>
      </c>
      <c r="H226" s="4"/>
      <c r="L226" s="4"/>
      <c r="N226" s="25" t="s">
        <v>412</v>
      </c>
      <c r="O226" s="3" t="s">
        <v>472</v>
      </c>
    </row>
    <row r="227" spans="1:18" x14ac:dyDescent="0.3">
      <c r="C227" s="3" t="s">
        <v>310</v>
      </c>
      <c r="H227" s="4"/>
      <c r="L227" s="4"/>
      <c r="N227" s="25" t="s">
        <v>467</v>
      </c>
      <c r="O227" s="3" t="s">
        <v>512</v>
      </c>
    </row>
    <row r="228" spans="1:18" x14ac:dyDescent="0.3">
      <c r="G228" s="3">
        <f>(36000*3)+(58080*2)</f>
        <v>224160</v>
      </c>
      <c r="H228" s="4"/>
      <c r="L228" s="4"/>
      <c r="N228" s="25" t="s">
        <v>482</v>
      </c>
    </row>
    <row r="229" spans="1:18" ht="26.4" x14ac:dyDescent="0.3">
      <c r="H229" s="4"/>
      <c r="L229" s="4"/>
      <c r="N229" s="25" t="s">
        <v>1687</v>
      </c>
    </row>
    <row r="230" spans="1:18" x14ac:dyDescent="0.3">
      <c r="H230" s="4"/>
      <c r="L230" s="4"/>
    </row>
    <row r="231" spans="1:18" x14ac:dyDescent="0.3">
      <c r="H231" s="4"/>
      <c r="L231" s="4"/>
    </row>
    <row r="232" spans="1:18" x14ac:dyDescent="0.3">
      <c r="A232" s="5">
        <v>44746</v>
      </c>
      <c r="B232" s="3" t="s">
        <v>312</v>
      </c>
      <c r="C232" s="3" t="s">
        <v>313</v>
      </c>
      <c r="D232" s="3">
        <v>1</v>
      </c>
      <c r="E232" s="3" t="s">
        <v>54</v>
      </c>
      <c r="F232" s="3" t="s">
        <v>7</v>
      </c>
      <c r="G232" s="3" t="s">
        <v>10</v>
      </c>
      <c r="H232" s="3">
        <f>L232+295</f>
        <v>5127</v>
      </c>
      <c r="I232" s="3">
        <v>45</v>
      </c>
      <c r="J232" s="3">
        <v>45</v>
      </c>
      <c r="L232" s="3">
        <v>4832</v>
      </c>
      <c r="M232" s="3">
        <v>500</v>
      </c>
      <c r="N232" s="38">
        <v>44754</v>
      </c>
      <c r="O232" s="5">
        <v>44751</v>
      </c>
      <c r="P232" s="3" t="s">
        <v>319</v>
      </c>
    </row>
    <row r="233" spans="1:18" x14ac:dyDescent="0.3">
      <c r="H233" s="3">
        <f>L233+295</f>
        <v>5615</v>
      </c>
      <c r="L233" s="3">
        <v>5320</v>
      </c>
      <c r="N233" s="25">
        <v>22275</v>
      </c>
      <c r="P233" s="3" t="s">
        <v>320</v>
      </c>
    </row>
    <row r="234" spans="1:18" x14ac:dyDescent="0.3">
      <c r="H234" s="4">
        <f>SUM(H232:H233)</f>
        <v>10742</v>
      </c>
      <c r="L234" s="4">
        <f>SUM(L232:L233)</f>
        <v>10152</v>
      </c>
    </row>
    <row r="235" spans="1:18" x14ac:dyDescent="0.3">
      <c r="H235" s="4"/>
      <c r="L235" s="4"/>
    </row>
    <row r="236" spans="1:18" x14ac:dyDescent="0.3">
      <c r="A236" s="5">
        <v>44747</v>
      </c>
      <c r="B236" s="3" t="s">
        <v>315</v>
      </c>
      <c r="C236" s="3" t="s">
        <v>27</v>
      </c>
      <c r="D236" s="3">
        <v>5</v>
      </c>
      <c r="F236" s="3" t="s">
        <v>22</v>
      </c>
      <c r="G236" s="3" t="s">
        <v>50</v>
      </c>
      <c r="H236" s="4">
        <f>98806+729276-187137</f>
        <v>640945</v>
      </c>
      <c r="I236" s="3">
        <v>2121</v>
      </c>
      <c r="J236" s="3">
        <v>2121</v>
      </c>
      <c r="L236" s="4">
        <v>613138</v>
      </c>
      <c r="M236" s="3">
        <v>23565</v>
      </c>
      <c r="N236" s="25" t="s">
        <v>348</v>
      </c>
      <c r="O236" s="5">
        <v>44754</v>
      </c>
      <c r="P236" s="3" t="s">
        <v>307</v>
      </c>
      <c r="Q236" s="3">
        <f>186132+64136+359960</f>
        <v>610228</v>
      </c>
    </row>
    <row r="237" spans="1:18" x14ac:dyDescent="0.3">
      <c r="H237" s="4"/>
      <c r="L237" s="4"/>
      <c r="N237" s="25" t="s">
        <v>349</v>
      </c>
      <c r="P237" s="3" t="s">
        <v>1232</v>
      </c>
      <c r="Q237" s="3">
        <f>L236-Q236</f>
        <v>2910</v>
      </c>
    </row>
    <row r="238" spans="1:18" x14ac:dyDescent="0.3">
      <c r="H238" s="4"/>
      <c r="L238" s="4"/>
      <c r="P238" s="3" t="s">
        <v>1233</v>
      </c>
      <c r="Q238" s="3" t="s">
        <v>1234</v>
      </c>
    </row>
    <row r="239" spans="1:18" x14ac:dyDescent="0.3">
      <c r="H239" s="4"/>
      <c r="L239" s="4"/>
    </row>
    <row r="240" spans="1:18" x14ac:dyDescent="0.3">
      <c r="A240" s="5">
        <v>44749</v>
      </c>
      <c r="B240" s="3" t="s">
        <v>317</v>
      </c>
      <c r="C240" s="3" t="s">
        <v>318</v>
      </c>
      <c r="D240" s="3">
        <v>1</v>
      </c>
      <c r="F240" s="3" t="s">
        <v>26</v>
      </c>
      <c r="G240" s="3" t="s">
        <v>10</v>
      </c>
      <c r="H240" s="4">
        <v>89966</v>
      </c>
      <c r="I240" s="3">
        <v>270</v>
      </c>
      <c r="J240" s="3">
        <v>270</v>
      </c>
      <c r="L240" s="4">
        <v>86426</v>
      </c>
      <c r="M240" s="3">
        <v>3000</v>
      </c>
      <c r="N240" s="38">
        <v>44749</v>
      </c>
      <c r="O240" s="5">
        <v>44751</v>
      </c>
      <c r="P240" s="3" t="s">
        <v>316</v>
      </c>
    </row>
    <row r="241" spans="1:16" x14ac:dyDescent="0.3">
      <c r="H241" s="4"/>
      <c r="L241" s="4"/>
    </row>
    <row r="242" spans="1:16" x14ac:dyDescent="0.3">
      <c r="A242" s="5">
        <v>44750</v>
      </c>
      <c r="B242" s="3" t="s">
        <v>321</v>
      </c>
      <c r="C242" s="3" t="s">
        <v>322</v>
      </c>
      <c r="D242" s="3">
        <v>25</v>
      </c>
      <c r="F242" s="3" t="s">
        <v>323</v>
      </c>
      <c r="G242" s="3" t="s">
        <v>324</v>
      </c>
      <c r="H242" s="4">
        <v>48898</v>
      </c>
      <c r="I242" s="3">
        <v>3729.5</v>
      </c>
      <c r="J242" s="3">
        <v>3729.5</v>
      </c>
      <c r="L242" s="4" t="s">
        <v>13</v>
      </c>
      <c r="M242" s="3">
        <v>41439</v>
      </c>
      <c r="N242" s="38" t="s">
        <v>368</v>
      </c>
      <c r="O242" s="3" t="s">
        <v>65</v>
      </c>
    </row>
    <row r="243" spans="1:16" x14ac:dyDescent="0.3">
      <c r="H243" s="4"/>
      <c r="L243" s="4"/>
    </row>
    <row r="244" spans="1:16" x14ac:dyDescent="0.3">
      <c r="H244" s="4"/>
      <c r="L244" s="4"/>
    </row>
    <row r="245" spans="1:16" x14ac:dyDescent="0.3">
      <c r="A245" s="5">
        <v>44753</v>
      </c>
      <c r="B245" s="3" t="s">
        <v>325</v>
      </c>
      <c r="C245" s="3" t="s">
        <v>334</v>
      </c>
      <c r="D245" s="3">
        <v>1</v>
      </c>
      <c r="E245" s="3" t="s">
        <v>54</v>
      </c>
      <c r="F245" s="3" t="s">
        <v>26</v>
      </c>
      <c r="G245" s="3" t="s">
        <v>10</v>
      </c>
      <c r="H245" s="4">
        <v>11533</v>
      </c>
      <c r="I245" s="3">
        <v>45</v>
      </c>
      <c r="J245" s="3">
        <v>45</v>
      </c>
      <c r="L245" s="3">
        <v>5691</v>
      </c>
      <c r="M245" s="3">
        <v>500</v>
      </c>
      <c r="N245" s="38">
        <v>44754</v>
      </c>
      <c r="O245" s="5" t="s">
        <v>332</v>
      </c>
      <c r="P245" s="3" t="s">
        <v>326</v>
      </c>
    </row>
    <row r="246" spans="1:16" x14ac:dyDescent="0.3">
      <c r="H246" s="4"/>
      <c r="L246" s="3">
        <v>5252</v>
      </c>
      <c r="N246" s="25">
        <v>22275</v>
      </c>
      <c r="O246" s="3" t="s">
        <v>333</v>
      </c>
      <c r="P246" s="3" t="s">
        <v>327</v>
      </c>
    </row>
    <row r="247" spans="1:16" x14ac:dyDescent="0.3">
      <c r="H247" s="4"/>
      <c r="L247" s="4">
        <f>SUM(L245:L246)</f>
        <v>10943</v>
      </c>
    </row>
    <row r="248" spans="1:16" x14ac:dyDescent="0.3">
      <c r="H248" s="4"/>
      <c r="L248" s="4"/>
    </row>
    <row r="249" spans="1:16" x14ac:dyDescent="0.3">
      <c r="A249" s="5">
        <v>44756</v>
      </c>
      <c r="B249" s="3" t="s">
        <v>328</v>
      </c>
      <c r="C249" s="3" t="s">
        <v>335</v>
      </c>
      <c r="D249" s="3">
        <v>1</v>
      </c>
      <c r="E249" s="3" t="s">
        <v>54</v>
      </c>
      <c r="F249" s="3" t="s">
        <v>26</v>
      </c>
      <c r="G249" s="3" t="s">
        <v>10</v>
      </c>
      <c r="H249" s="4">
        <v>12662</v>
      </c>
      <c r="I249" s="3">
        <v>45</v>
      </c>
      <c r="J249" s="3">
        <v>45</v>
      </c>
      <c r="L249" s="3">
        <v>5704</v>
      </c>
      <c r="M249" s="3">
        <v>500</v>
      </c>
      <c r="N249" s="38">
        <v>44764</v>
      </c>
      <c r="O249" s="5" t="s">
        <v>332</v>
      </c>
      <c r="P249" s="3" t="s">
        <v>329</v>
      </c>
    </row>
    <row r="250" spans="1:16" x14ac:dyDescent="0.3">
      <c r="H250" s="4"/>
      <c r="L250" s="3">
        <v>6368</v>
      </c>
      <c r="O250" s="3" t="s">
        <v>333</v>
      </c>
      <c r="P250" s="3" t="s">
        <v>330</v>
      </c>
    </row>
    <row r="251" spans="1:16" x14ac:dyDescent="0.3">
      <c r="H251" s="4"/>
      <c r="L251" s="4">
        <f>SUM(L249:L250)</f>
        <v>12072</v>
      </c>
    </row>
    <row r="252" spans="1:16" x14ac:dyDescent="0.3">
      <c r="H252" s="4"/>
      <c r="L252" s="4"/>
    </row>
    <row r="253" spans="1:16" x14ac:dyDescent="0.3">
      <c r="A253" s="5">
        <v>44756</v>
      </c>
      <c r="B253" s="3" t="s">
        <v>331</v>
      </c>
      <c r="C253" s="3" t="s">
        <v>1680</v>
      </c>
      <c r="D253" s="3">
        <v>5</v>
      </c>
      <c r="F253" s="3" t="s">
        <v>16</v>
      </c>
      <c r="G253" s="3" t="s">
        <v>57</v>
      </c>
      <c r="H253" s="4">
        <v>6546</v>
      </c>
      <c r="I253" s="3">
        <v>500</v>
      </c>
      <c r="J253" s="3">
        <v>500</v>
      </c>
      <c r="L253" s="4" t="s">
        <v>13</v>
      </c>
      <c r="M253" s="3">
        <v>6546</v>
      </c>
      <c r="N253" s="38">
        <v>44756</v>
      </c>
      <c r="O253" s="3" t="s">
        <v>65</v>
      </c>
    </row>
    <row r="254" spans="1:16" x14ac:dyDescent="0.3">
      <c r="H254" s="4"/>
      <c r="L254" s="4"/>
    </row>
    <row r="255" spans="1:16" x14ac:dyDescent="0.3">
      <c r="A255" s="5">
        <v>44760</v>
      </c>
      <c r="B255" s="3" t="s">
        <v>343</v>
      </c>
      <c r="C255" s="3" t="s">
        <v>342</v>
      </c>
      <c r="D255" s="3">
        <v>2</v>
      </c>
      <c r="E255" s="3">
        <v>22641</v>
      </c>
      <c r="F255" s="3" t="s">
        <v>338</v>
      </c>
      <c r="G255" s="3" t="s">
        <v>10</v>
      </c>
      <c r="H255" s="4">
        <v>26754</v>
      </c>
      <c r="I255" s="3">
        <v>607</v>
      </c>
      <c r="J255" s="3">
        <v>607</v>
      </c>
      <c r="L255" s="3">
        <v>5922</v>
      </c>
      <c r="M255" s="3">
        <v>1625</v>
      </c>
      <c r="N255" s="30" t="s">
        <v>375</v>
      </c>
      <c r="O255" s="5">
        <v>44761</v>
      </c>
      <c r="P255" s="3" t="s">
        <v>337</v>
      </c>
    </row>
    <row r="256" spans="1:16" x14ac:dyDescent="0.3">
      <c r="C256" s="3" t="s">
        <v>351</v>
      </c>
      <c r="E256" s="3">
        <v>1625</v>
      </c>
      <c r="G256" s="3" t="s">
        <v>340</v>
      </c>
      <c r="H256" s="4"/>
      <c r="L256" s="3">
        <v>16719</v>
      </c>
      <c r="N256" s="30" t="s">
        <v>350</v>
      </c>
      <c r="P256" s="3" t="s">
        <v>339</v>
      </c>
    </row>
    <row r="257" spans="1:16" x14ac:dyDescent="0.3">
      <c r="E257" s="3">
        <f>SUM(E255:E256)</f>
        <v>24266</v>
      </c>
      <c r="G257" s="76" t="s">
        <v>341</v>
      </c>
      <c r="L257" s="4">
        <f>SUM(L255:L256)</f>
        <v>22641</v>
      </c>
    </row>
    <row r="258" spans="1:16" x14ac:dyDescent="0.3">
      <c r="E258" s="3">
        <v>607</v>
      </c>
      <c r="L258" s="4"/>
    </row>
    <row r="259" spans="1:16" x14ac:dyDescent="0.3">
      <c r="E259" s="3">
        <f>E258</f>
        <v>607</v>
      </c>
      <c r="L259" s="4"/>
    </row>
    <row r="260" spans="1:16" x14ac:dyDescent="0.3">
      <c r="E260" s="3">
        <f>SUM(E257:E259)</f>
        <v>25480</v>
      </c>
      <c r="L260" s="4"/>
    </row>
    <row r="261" spans="1:16" x14ac:dyDescent="0.3">
      <c r="E261" s="3">
        <v>1274</v>
      </c>
      <c r="L261" s="4"/>
    </row>
    <row r="262" spans="1:16" x14ac:dyDescent="0.3">
      <c r="E262" s="3">
        <f>SUM(E260:E261)</f>
        <v>26754</v>
      </c>
      <c r="L262" s="4"/>
    </row>
    <row r="263" spans="1:16" x14ac:dyDescent="0.3">
      <c r="L263" s="4"/>
    </row>
    <row r="264" spans="1:16" x14ac:dyDescent="0.3">
      <c r="A264" s="5">
        <v>44760</v>
      </c>
      <c r="B264" s="3" t="s">
        <v>344</v>
      </c>
      <c r="C264" s="3" t="s">
        <v>335</v>
      </c>
      <c r="D264" s="3">
        <v>1</v>
      </c>
      <c r="E264" s="3" t="s">
        <v>54</v>
      </c>
      <c r="F264" s="3" t="s">
        <v>9</v>
      </c>
      <c r="G264" s="3" t="s">
        <v>20</v>
      </c>
      <c r="H264" s="3">
        <v>8378</v>
      </c>
      <c r="I264" s="3">
        <v>200</v>
      </c>
      <c r="J264" s="3">
        <v>200</v>
      </c>
      <c r="L264" s="4">
        <v>6978</v>
      </c>
      <c r="M264" s="3">
        <v>1000</v>
      </c>
      <c r="N264" s="38">
        <v>44761</v>
      </c>
      <c r="O264" s="5">
        <v>44761</v>
      </c>
    </row>
    <row r="265" spans="1:16" x14ac:dyDescent="0.3">
      <c r="L265" s="4"/>
    </row>
    <row r="266" spans="1:16" x14ac:dyDescent="0.3">
      <c r="A266" s="5">
        <v>44761</v>
      </c>
      <c r="B266" s="3" t="s">
        <v>345</v>
      </c>
      <c r="C266" s="3" t="s">
        <v>346</v>
      </c>
      <c r="D266" s="3">
        <v>2</v>
      </c>
      <c r="F266" s="3" t="s">
        <v>7</v>
      </c>
      <c r="G266" s="3" t="s">
        <v>10</v>
      </c>
      <c r="H266" s="3">
        <v>257564</v>
      </c>
      <c r="I266" s="3">
        <v>182.5</v>
      </c>
      <c r="J266" s="3">
        <v>182.5</v>
      </c>
      <c r="L266" s="4">
        <v>255176</v>
      </c>
      <c r="M266" s="3">
        <v>2023</v>
      </c>
      <c r="N266" s="38">
        <v>44761</v>
      </c>
      <c r="O266" s="5">
        <v>44763</v>
      </c>
      <c r="P266" s="3" t="s">
        <v>347</v>
      </c>
    </row>
    <row r="267" spans="1:16" x14ac:dyDescent="0.3">
      <c r="L267" s="4"/>
    </row>
    <row r="268" spans="1:16" x14ac:dyDescent="0.3">
      <c r="A268" s="5">
        <v>44762</v>
      </c>
      <c r="B268" s="3" t="s">
        <v>352</v>
      </c>
      <c r="C268" s="3" t="s">
        <v>353</v>
      </c>
      <c r="D268" s="3">
        <v>2</v>
      </c>
      <c r="E268" s="26">
        <v>292653</v>
      </c>
      <c r="F268" s="3" t="s">
        <v>14</v>
      </c>
      <c r="G268" s="3" t="s">
        <v>354</v>
      </c>
      <c r="H268" s="4">
        <v>358425</v>
      </c>
      <c r="I268" s="3">
        <v>8534</v>
      </c>
      <c r="J268" s="3">
        <v>8534</v>
      </c>
      <c r="L268" s="4">
        <v>292653</v>
      </c>
      <c r="M268" s="3">
        <v>48704</v>
      </c>
      <c r="N268" s="38" t="s">
        <v>362</v>
      </c>
      <c r="O268" s="69" t="s">
        <v>379</v>
      </c>
    </row>
    <row r="269" spans="1:16" x14ac:dyDescent="0.3">
      <c r="C269" s="3" t="s">
        <v>355</v>
      </c>
      <c r="E269" s="26">
        <v>48704</v>
      </c>
      <c r="G269" s="3" t="s">
        <v>356</v>
      </c>
      <c r="L269" s="4"/>
      <c r="N269" s="25" t="s">
        <v>370</v>
      </c>
    </row>
    <row r="270" spans="1:16" x14ac:dyDescent="0.3">
      <c r="E270" s="26">
        <f>SUM(E268:E269)</f>
        <v>341357</v>
      </c>
      <c r="G270" s="10" t="s">
        <v>374</v>
      </c>
      <c r="L270" s="4"/>
    </row>
    <row r="271" spans="1:16" x14ac:dyDescent="0.3">
      <c r="E271" s="26">
        <v>8534</v>
      </c>
      <c r="G271" s="3">
        <v>101545.60000000001</v>
      </c>
      <c r="H271" s="96">
        <v>5493</v>
      </c>
      <c r="L271" s="4"/>
    </row>
    <row r="272" spans="1:16" x14ac:dyDescent="0.3">
      <c r="E272" s="26">
        <f>E271</f>
        <v>8534</v>
      </c>
      <c r="G272" s="3">
        <v>274801.91999999998</v>
      </c>
      <c r="H272" s="96">
        <v>898</v>
      </c>
      <c r="L272" s="4"/>
    </row>
    <row r="273" spans="1:16" x14ac:dyDescent="0.3">
      <c r="E273" s="45">
        <f>SUM(E270:E272)</f>
        <v>358425</v>
      </c>
      <c r="G273" s="17">
        <f>SUM(G271:G272)</f>
        <v>376347.52</v>
      </c>
      <c r="H273" s="96">
        <v>-4436</v>
      </c>
      <c r="L273" s="4"/>
    </row>
    <row r="274" spans="1:16" x14ac:dyDescent="0.3">
      <c r="E274" s="26">
        <v>17922</v>
      </c>
      <c r="H274" s="96">
        <f>SUM(H271:H273)</f>
        <v>1955</v>
      </c>
      <c r="L274" s="4"/>
    </row>
    <row r="275" spans="1:16" x14ac:dyDescent="0.3">
      <c r="E275" s="45">
        <f>SUM(E273:E274)</f>
        <v>376347</v>
      </c>
      <c r="L275" s="4"/>
    </row>
    <row r="276" spans="1:16" x14ac:dyDescent="0.3">
      <c r="L276" s="4"/>
    </row>
    <row r="277" spans="1:16" x14ac:dyDescent="0.3">
      <c r="A277" s="5">
        <v>44762</v>
      </c>
      <c r="B277" s="3" t="s">
        <v>358</v>
      </c>
      <c r="C277" s="3" t="s">
        <v>342</v>
      </c>
      <c r="D277" s="3">
        <v>2</v>
      </c>
      <c r="F277" s="3" t="s">
        <v>8</v>
      </c>
      <c r="G277" s="3" t="s">
        <v>57</v>
      </c>
      <c r="H277" s="3">
        <v>3594</v>
      </c>
      <c r="I277" s="3">
        <v>210</v>
      </c>
      <c r="J277" s="3">
        <v>210</v>
      </c>
      <c r="L277" s="4">
        <v>4436</v>
      </c>
      <c r="M277" s="3">
        <v>2332</v>
      </c>
      <c r="N277" s="30" t="s">
        <v>369</v>
      </c>
      <c r="O277" s="5">
        <v>44763</v>
      </c>
      <c r="P277" s="3">
        <v>9692948</v>
      </c>
    </row>
    <row r="278" spans="1:16" x14ac:dyDescent="0.3">
      <c r="C278" s="3" t="s">
        <v>351</v>
      </c>
      <c r="H278" s="3">
        <v>3594</v>
      </c>
      <c r="L278" s="4"/>
      <c r="N278" s="25" t="s">
        <v>361</v>
      </c>
      <c r="P278" s="3">
        <v>9692959</v>
      </c>
    </row>
    <row r="279" spans="1:16" x14ac:dyDescent="0.3">
      <c r="H279" s="4">
        <f>SUM(H277:H278)</f>
        <v>7188</v>
      </c>
      <c r="L279" s="4"/>
    </row>
    <row r="280" spans="1:16" x14ac:dyDescent="0.3">
      <c r="L280" s="4"/>
    </row>
    <row r="281" spans="1:16" x14ac:dyDescent="0.3">
      <c r="A281" s="5">
        <v>44763</v>
      </c>
      <c r="B281" s="3" t="s">
        <v>360</v>
      </c>
      <c r="C281" s="3" t="s">
        <v>346</v>
      </c>
      <c r="D281" s="3">
        <v>2</v>
      </c>
      <c r="E281" s="3">
        <f>9140-500</f>
        <v>8640</v>
      </c>
      <c r="F281" s="3" t="s">
        <v>14</v>
      </c>
      <c r="G281" s="3" t="s">
        <v>359</v>
      </c>
      <c r="H281" s="3">
        <f>14460</f>
        <v>14460</v>
      </c>
      <c r="I281" s="3">
        <v>559</v>
      </c>
      <c r="J281" s="3">
        <v>559</v>
      </c>
      <c r="L281" s="3">
        <v>9140</v>
      </c>
      <c r="M281" s="3">
        <v>7728</v>
      </c>
      <c r="N281" s="25" t="s">
        <v>357</v>
      </c>
      <c r="O281" s="5">
        <v>44764</v>
      </c>
    </row>
    <row r="282" spans="1:16" x14ac:dyDescent="0.3">
      <c r="E282" s="3">
        <f>E281/2</f>
        <v>4320</v>
      </c>
      <c r="G282" s="3" t="s">
        <v>57</v>
      </c>
      <c r="H282" s="3">
        <v>9012</v>
      </c>
      <c r="L282" s="3">
        <v>5486</v>
      </c>
      <c r="N282" s="38">
        <v>44768</v>
      </c>
      <c r="O282" s="5">
        <v>44763</v>
      </c>
      <c r="P282" s="3">
        <v>9693938</v>
      </c>
    </row>
    <row r="283" spans="1:16" x14ac:dyDescent="0.3">
      <c r="H283" s="4">
        <f>SUM(H281:H282)</f>
        <v>23472</v>
      </c>
      <c r="L283" s="4">
        <f>SUM(L281:L282)</f>
        <v>14626</v>
      </c>
      <c r="N283" s="38"/>
      <c r="O283" s="5"/>
    </row>
    <row r="284" spans="1:16" x14ac:dyDescent="0.3">
      <c r="H284" s="4"/>
      <c r="L284" s="4"/>
      <c r="N284" s="38"/>
      <c r="O284" s="5"/>
    </row>
    <row r="285" spans="1:16" x14ac:dyDescent="0.3">
      <c r="A285" s="5">
        <v>44764</v>
      </c>
      <c r="B285" s="3" t="s">
        <v>363</v>
      </c>
      <c r="C285" s="3" t="s">
        <v>17</v>
      </c>
      <c r="D285" s="3">
        <v>1</v>
      </c>
      <c r="F285" s="3" t="s">
        <v>9</v>
      </c>
      <c r="G285" s="3" t="s">
        <v>15</v>
      </c>
      <c r="H285" s="4">
        <v>8155</v>
      </c>
      <c r="I285" s="3">
        <v>195</v>
      </c>
      <c r="J285" s="3">
        <v>195</v>
      </c>
      <c r="L285" s="4">
        <f>6400+(6400*5%)</f>
        <v>6720</v>
      </c>
      <c r="M285" s="3">
        <v>1045</v>
      </c>
      <c r="N285" s="38">
        <v>44750</v>
      </c>
      <c r="O285" s="5">
        <v>44774</v>
      </c>
    </row>
    <row r="286" spans="1:16" x14ac:dyDescent="0.3">
      <c r="A286" s="5"/>
      <c r="H286" s="4"/>
      <c r="N286" s="25">
        <f>23883-15728</f>
        <v>8155</v>
      </c>
    </row>
    <row r="287" spans="1:16" x14ac:dyDescent="0.3">
      <c r="A287" s="5"/>
      <c r="N287" s="25" t="s">
        <v>336</v>
      </c>
    </row>
    <row r="288" spans="1:16" x14ac:dyDescent="0.3">
      <c r="L288" s="4"/>
    </row>
    <row r="289" spans="1:16" x14ac:dyDescent="0.3">
      <c r="A289" s="5">
        <v>44767</v>
      </c>
      <c r="B289" s="3" t="s">
        <v>364</v>
      </c>
      <c r="C289" s="3" t="s">
        <v>366</v>
      </c>
      <c r="D289" s="3">
        <v>1</v>
      </c>
      <c r="E289" s="3" t="s">
        <v>367</v>
      </c>
      <c r="F289" s="3" t="s">
        <v>26</v>
      </c>
      <c r="G289" s="3" t="s">
        <v>10</v>
      </c>
      <c r="H289" s="4">
        <v>31538</v>
      </c>
      <c r="I289" s="3">
        <v>68</v>
      </c>
      <c r="J289" s="3">
        <v>68</v>
      </c>
      <c r="L289" s="4">
        <v>30652</v>
      </c>
      <c r="M289" s="3">
        <v>750</v>
      </c>
      <c r="N289" s="38">
        <v>44771</v>
      </c>
      <c r="O289" s="5">
        <v>44774</v>
      </c>
      <c r="P289" s="3" t="s">
        <v>365</v>
      </c>
    </row>
    <row r="290" spans="1:16" x14ac:dyDescent="0.3">
      <c r="L290" s="4"/>
      <c r="N290" s="25" t="s">
        <v>30</v>
      </c>
    </row>
    <row r="291" spans="1:16" x14ac:dyDescent="0.3">
      <c r="L291" s="4"/>
    </row>
    <row r="292" spans="1:16" x14ac:dyDescent="0.3">
      <c r="A292" s="5">
        <v>44770</v>
      </c>
      <c r="B292" s="3" t="s">
        <v>371</v>
      </c>
      <c r="C292" s="3" t="s">
        <v>372</v>
      </c>
      <c r="D292" s="3">
        <v>2</v>
      </c>
      <c r="E292" s="3" t="s">
        <v>54</v>
      </c>
      <c r="F292" s="3" t="s">
        <v>26</v>
      </c>
      <c r="G292" s="3" t="s">
        <v>10</v>
      </c>
      <c r="H292" s="4">
        <v>18608</v>
      </c>
      <c r="I292" s="3">
        <v>81</v>
      </c>
      <c r="J292" s="3">
        <v>81</v>
      </c>
      <c r="L292" s="3">
        <v>5764</v>
      </c>
      <c r="M292" s="3">
        <v>900</v>
      </c>
      <c r="N292" s="38">
        <v>44775</v>
      </c>
      <c r="O292" s="5">
        <v>44774</v>
      </c>
      <c r="P292" s="3" t="s">
        <v>373</v>
      </c>
    </row>
    <row r="293" spans="1:16" x14ac:dyDescent="0.3">
      <c r="C293" s="3" t="s">
        <v>377</v>
      </c>
      <c r="L293" s="3">
        <v>5968</v>
      </c>
      <c r="P293" s="3" t="s">
        <v>376</v>
      </c>
    </row>
    <row r="294" spans="1:16" x14ac:dyDescent="0.3">
      <c r="A294" s="5"/>
      <c r="B294" s="29"/>
      <c r="L294" s="3">
        <v>5814</v>
      </c>
      <c r="P294" s="3" t="s">
        <v>378</v>
      </c>
    </row>
    <row r="295" spans="1:16" x14ac:dyDescent="0.3">
      <c r="L295" s="4">
        <f>SUM(L292:L294)</f>
        <v>17546</v>
      </c>
    </row>
    <row r="297" spans="1:16" x14ac:dyDescent="0.3">
      <c r="A297" s="5">
        <v>44772</v>
      </c>
      <c r="B297" s="3" t="s">
        <v>380</v>
      </c>
      <c r="C297" s="3" t="s">
        <v>372</v>
      </c>
      <c r="D297" s="3">
        <v>2</v>
      </c>
      <c r="E297" s="3" t="s">
        <v>54</v>
      </c>
      <c r="F297" s="3" t="s">
        <v>26</v>
      </c>
      <c r="G297" s="3" t="s">
        <v>10</v>
      </c>
      <c r="H297" s="4">
        <v>17644</v>
      </c>
      <c r="I297" s="3">
        <v>81</v>
      </c>
      <c r="J297" s="3">
        <v>81</v>
      </c>
      <c r="L297" s="3">
        <v>5414</v>
      </c>
      <c r="M297" s="3">
        <v>900</v>
      </c>
      <c r="N297" s="30" t="s">
        <v>400</v>
      </c>
      <c r="O297" s="5">
        <v>44774</v>
      </c>
      <c r="P297" s="3" t="s">
        <v>381</v>
      </c>
    </row>
    <row r="298" spans="1:16" x14ac:dyDescent="0.3">
      <c r="C298" s="3" t="s">
        <v>384</v>
      </c>
      <c r="L298" s="3">
        <v>3827</v>
      </c>
      <c r="N298" s="38">
        <v>44775</v>
      </c>
      <c r="P298" s="3" t="s">
        <v>383</v>
      </c>
    </row>
    <row r="299" spans="1:16" x14ac:dyDescent="0.3">
      <c r="L299" s="3">
        <v>7341</v>
      </c>
      <c r="P299" s="3" t="s">
        <v>382</v>
      </c>
    </row>
    <row r="300" spans="1:16" x14ac:dyDescent="0.3">
      <c r="L300" s="4">
        <f>SUM(L297:L299)</f>
        <v>16582</v>
      </c>
    </row>
    <row r="302" spans="1:16" x14ac:dyDescent="0.3">
      <c r="A302" s="5">
        <v>44772</v>
      </c>
      <c r="B302" s="3" t="s">
        <v>386</v>
      </c>
      <c r="C302" s="3" t="s">
        <v>402</v>
      </c>
      <c r="D302" s="3">
        <v>1</v>
      </c>
      <c r="E302" s="3" t="s">
        <v>54</v>
      </c>
      <c r="F302" s="3" t="s">
        <v>24</v>
      </c>
      <c r="G302" s="3" t="s">
        <v>385</v>
      </c>
      <c r="H302" s="4">
        <v>4720</v>
      </c>
      <c r="I302" s="3">
        <v>90</v>
      </c>
      <c r="J302" s="3">
        <v>90</v>
      </c>
      <c r="L302" s="4">
        <v>3540</v>
      </c>
      <c r="M302" s="3">
        <v>1000</v>
      </c>
      <c r="N302" s="38">
        <v>44777</v>
      </c>
      <c r="O302" s="5">
        <v>44772</v>
      </c>
      <c r="P302" s="3" t="s">
        <v>401</v>
      </c>
    </row>
    <row r="305" spans="1:16" x14ac:dyDescent="0.3">
      <c r="A305" s="5">
        <v>44772</v>
      </c>
      <c r="B305" s="69" t="s">
        <v>387</v>
      </c>
      <c r="C305" s="3" t="s">
        <v>388</v>
      </c>
      <c r="D305" s="3">
        <v>1</v>
      </c>
      <c r="E305" s="3" t="s">
        <v>54</v>
      </c>
      <c r="F305" s="3" t="s">
        <v>9</v>
      </c>
      <c r="G305" s="3" t="s">
        <v>20</v>
      </c>
      <c r="H305" s="16">
        <v>12402</v>
      </c>
      <c r="I305" s="69">
        <v>296</v>
      </c>
      <c r="J305" s="69">
        <v>296</v>
      </c>
      <c r="K305" s="69"/>
      <c r="L305" s="16">
        <v>10810</v>
      </c>
      <c r="M305" s="69">
        <v>1000</v>
      </c>
      <c r="N305" s="62">
        <v>44779</v>
      </c>
      <c r="O305" s="5">
        <v>44777</v>
      </c>
    </row>
    <row r="306" spans="1:16" x14ac:dyDescent="0.3">
      <c r="A306" s="5"/>
    </row>
    <row r="308" spans="1:16" x14ac:dyDescent="0.3">
      <c r="A308" s="5">
        <v>44774</v>
      </c>
      <c r="B308" s="3" t="s">
        <v>389</v>
      </c>
      <c r="C308" s="3" t="s">
        <v>42</v>
      </c>
      <c r="D308" s="3">
        <v>1</v>
      </c>
      <c r="E308" s="3" t="s">
        <v>43</v>
      </c>
      <c r="F308" s="3" t="s">
        <v>14</v>
      </c>
      <c r="G308" s="3" t="s">
        <v>41</v>
      </c>
      <c r="H308" s="4">
        <v>113356</v>
      </c>
      <c r="I308" s="3">
        <v>2699</v>
      </c>
      <c r="J308" s="3">
        <v>2699</v>
      </c>
      <c r="L308" s="3">
        <v>83005</v>
      </c>
      <c r="M308" s="3">
        <v>8953</v>
      </c>
      <c r="N308" s="38">
        <v>44774</v>
      </c>
      <c r="O308" s="69" t="s">
        <v>422</v>
      </c>
    </row>
    <row r="309" spans="1:16" x14ac:dyDescent="0.3">
      <c r="G309" s="3" t="s">
        <v>20</v>
      </c>
      <c r="L309" s="3">
        <v>16000</v>
      </c>
      <c r="O309" s="27">
        <v>44789</v>
      </c>
    </row>
    <row r="310" spans="1:16" x14ac:dyDescent="0.3">
      <c r="H310" s="4"/>
      <c r="I310" s="4"/>
      <c r="J310" s="4"/>
      <c r="K310" s="4"/>
      <c r="L310" s="4">
        <f>SUM(L308:L309)</f>
        <v>99005</v>
      </c>
    </row>
    <row r="312" spans="1:16" x14ac:dyDescent="0.3">
      <c r="A312" s="5">
        <v>44774</v>
      </c>
      <c r="B312" s="3" t="s">
        <v>390</v>
      </c>
      <c r="C312" s="3" t="s">
        <v>393</v>
      </c>
      <c r="D312" s="3">
        <v>2</v>
      </c>
      <c r="E312" s="3" t="s">
        <v>54</v>
      </c>
      <c r="F312" s="3" t="s">
        <v>26</v>
      </c>
      <c r="G312" s="3" t="s">
        <v>10</v>
      </c>
      <c r="H312" s="4">
        <v>26547</v>
      </c>
      <c r="I312" s="3">
        <f>M312*9%</f>
        <v>108</v>
      </c>
      <c r="J312" s="3">
        <f>I312</f>
        <v>108</v>
      </c>
      <c r="L312" s="3">
        <v>12227</v>
      </c>
      <c r="M312" s="3">
        <v>1200</v>
      </c>
      <c r="N312" s="30" t="s">
        <v>400</v>
      </c>
      <c r="O312" s="5">
        <v>44776</v>
      </c>
      <c r="P312" s="3" t="s">
        <v>392</v>
      </c>
    </row>
    <row r="313" spans="1:16" x14ac:dyDescent="0.3">
      <c r="A313" s="5"/>
      <c r="L313" s="3">
        <v>12904</v>
      </c>
      <c r="N313" s="38">
        <v>44775</v>
      </c>
      <c r="P313" s="3" t="s">
        <v>391</v>
      </c>
    </row>
    <row r="314" spans="1:16" x14ac:dyDescent="0.3">
      <c r="A314" s="5"/>
      <c r="L314" s="4">
        <f>SUM(L312:L313)</f>
        <v>25131</v>
      </c>
    </row>
    <row r="316" spans="1:16" x14ac:dyDescent="0.3">
      <c r="A316" s="5">
        <v>44775</v>
      </c>
      <c r="B316" s="3" t="s">
        <v>410</v>
      </c>
      <c r="C316" s="3" t="s">
        <v>393</v>
      </c>
      <c r="D316" s="3">
        <v>2</v>
      </c>
      <c r="E316" s="3" t="s">
        <v>54</v>
      </c>
      <c r="F316" s="3" t="s">
        <v>9</v>
      </c>
      <c r="G316" s="3" t="s">
        <v>20</v>
      </c>
      <c r="H316" s="4">
        <v>5292</v>
      </c>
      <c r="I316" s="3">
        <v>126</v>
      </c>
      <c r="J316" s="3">
        <v>126</v>
      </c>
      <c r="L316" s="4">
        <v>4040</v>
      </c>
      <c r="M316" s="3">
        <v>1000</v>
      </c>
      <c r="N316" s="25" t="s">
        <v>449</v>
      </c>
      <c r="O316" s="27">
        <v>44785</v>
      </c>
    </row>
    <row r="317" spans="1:16" x14ac:dyDescent="0.3">
      <c r="M317" s="32"/>
    </row>
    <row r="318" spans="1:16" x14ac:dyDescent="0.3">
      <c r="A318" s="5">
        <v>44775</v>
      </c>
      <c r="B318" s="69" t="s">
        <v>411</v>
      </c>
      <c r="C318" s="3" t="s">
        <v>394</v>
      </c>
      <c r="D318" s="3">
        <v>7</v>
      </c>
      <c r="E318" s="3" t="s">
        <v>54</v>
      </c>
      <c r="F318" s="3" t="s">
        <v>26</v>
      </c>
      <c r="G318" s="3" t="s">
        <v>10</v>
      </c>
      <c r="H318" s="3">
        <v>40212</v>
      </c>
      <c r="I318" s="3">
        <v>189</v>
      </c>
      <c r="J318" s="3">
        <v>189</v>
      </c>
      <c r="L318" s="3">
        <v>37734</v>
      </c>
      <c r="M318" s="3">
        <f>300*7</f>
        <v>2100</v>
      </c>
      <c r="N318" s="62">
        <v>44778</v>
      </c>
      <c r="O318" s="27">
        <v>44778</v>
      </c>
      <c r="P318" s="3" t="s">
        <v>395</v>
      </c>
    </row>
    <row r="319" spans="1:16" x14ac:dyDescent="0.3">
      <c r="A319" s="5"/>
      <c r="C319" s="3" t="s">
        <v>377</v>
      </c>
      <c r="H319" s="3">
        <v>6186</v>
      </c>
      <c r="I319" s="3">
        <v>27</v>
      </c>
      <c r="J319" s="3">
        <v>27</v>
      </c>
      <c r="L319" s="3">
        <v>5832</v>
      </c>
      <c r="M319" s="3">
        <v>300</v>
      </c>
      <c r="N319" s="38"/>
      <c r="P319" s="3" t="s">
        <v>396</v>
      </c>
    </row>
    <row r="320" spans="1:16" x14ac:dyDescent="0.3">
      <c r="C320" s="3" t="s">
        <v>377</v>
      </c>
      <c r="H320" s="3">
        <v>5706</v>
      </c>
      <c r="I320" s="3">
        <v>27</v>
      </c>
      <c r="J320" s="3">
        <v>27</v>
      </c>
      <c r="L320" s="3">
        <v>5352</v>
      </c>
      <c r="M320" s="3">
        <v>300</v>
      </c>
      <c r="P320" s="3" t="s">
        <v>397</v>
      </c>
    </row>
    <row r="321" spans="1:16" x14ac:dyDescent="0.3">
      <c r="C321" s="3" t="s">
        <v>398</v>
      </c>
      <c r="H321" s="3">
        <v>3955</v>
      </c>
      <c r="I321" s="3">
        <v>27</v>
      </c>
      <c r="J321" s="3">
        <v>27</v>
      </c>
      <c r="L321" s="3">
        <v>3601</v>
      </c>
      <c r="M321" s="3">
        <v>300</v>
      </c>
      <c r="P321" s="3" t="s">
        <v>399</v>
      </c>
    </row>
    <row r="322" spans="1:16" x14ac:dyDescent="0.3">
      <c r="C322" s="3" t="s">
        <v>403</v>
      </c>
      <c r="H322" s="3">
        <v>17492</v>
      </c>
      <c r="I322" s="3">
        <v>81</v>
      </c>
      <c r="J322" s="3">
        <v>81</v>
      </c>
      <c r="L322" s="3">
        <v>16430</v>
      </c>
      <c r="M322" s="3">
        <v>900</v>
      </c>
      <c r="P322" s="3" t="s">
        <v>404</v>
      </c>
    </row>
    <row r="323" spans="1:16" x14ac:dyDescent="0.3">
      <c r="A323" s="5"/>
      <c r="C323" s="3" t="s">
        <v>405</v>
      </c>
      <c r="H323" s="3">
        <v>6186</v>
      </c>
      <c r="I323" s="3">
        <v>27</v>
      </c>
      <c r="J323" s="3">
        <v>27</v>
      </c>
      <c r="L323" s="3">
        <v>5832</v>
      </c>
      <c r="M323" s="3">
        <v>300</v>
      </c>
      <c r="O323" s="8"/>
      <c r="P323" s="3" t="s">
        <v>406</v>
      </c>
    </row>
    <row r="324" spans="1:16" x14ac:dyDescent="0.3">
      <c r="C324" s="3" t="s">
        <v>405</v>
      </c>
      <c r="H324" s="3">
        <v>7819</v>
      </c>
      <c r="I324" s="3">
        <v>27</v>
      </c>
      <c r="J324" s="3">
        <v>27</v>
      </c>
      <c r="L324" s="3">
        <v>7465</v>
      </c>
      <c r="M324" s="3">
        <v>300</v>
      </c>
      <c r="P324" s="3" t="s">
        <v>407</v>
      </c>
    </row>
    <row r="325" spans="1:16" x14ac:dyDescent="0.3">
      <c r="C325" s="3" t="s">
        <v>409</v>
      </c>
      <c r="H325" s="3">
        <v>7819</v>
      </c>
      <c r="I325" s="3">
        <v>27</v>
      </c>
      <c r="J325" s="3">
        <v>27</v>
      </c>
      <c r="L325" s="3">
        <v>7465</v>
      </c>
      <c r="M325" s="3">
        <v>300</v>
      </c>
      <c r="P325" s="3" t="s">
        <v>408</v>
      </c>
    </row>
    <row r="326" spans="1:16" x14ac:dyDescent="0.3">
      <c r="C326" s="3" t="s">
        <v>413</v>
      </c>
      <c r="H326" s="3">
        <v>23323</v>
      </c>
      <c r="I326" s="3">
        <v>108</v>
      </c>
      <c r="J326" s="3">
        <v>108</v>
      </c>
      <c r="L326" s="3">
        <v>21907</v>
      </c>
      <c r="M326" s="3">
        <v>1200</v>
      </c>
      <c r="P326" s="3" t="s">
        <v>414</v>
      </c>
    </row>
    <row r="327" spans="1:16" x14ac:dyDescent="0.3">
      <c r="C327" s="3" t="s">
        <v>413</v>
      </c>
      <c r="H327" s="3">
        <v>24035</v>
      </c>
      <c r="I327" s="3">
        <v>108</v>
      </c>
      <c r="J327" s="3">
        <v>108</v>
      </c>
      <c r="L327" s="3">
        <v>22619</v>
      </c>
      <c r="M327" s="3">
        <v>1200</v>
      </c>
      <c r="P327" s="3" t="s">
        <v>415</v>
      </c>
    </row>
    <row r="328" spans="1:16" x14ac:dyDescent="0.3">
      <c r="A328" s="5"/>
      <c r="C328" s="3" t="s">
        <v>416</v>
      </c>
      <c r="E328" s="26"/>
      <c r="H328" s="3">
        <v>5745</v>
      </c>
      <c r="I328" s="3">
        <v>27</v>
      </c>
      <c r="J328" s="3">
        <v>27</v>
      </c>
      <c r="L328" s="3">
        <v>5391</v>
      </c>
      <c r="M328" s="3">
        <v>300</v>
      </c>
      <c r="O328" s="5"/>
      <c r="P328" s="3" t="s">
        <v>417</v>
      </c>
    </row>
    <row r="329" spans="1:16" x14ac:dyDescent="0.3">
      <c r="C329" s="3" t="s">
        <v>419</v>
      </c>
      <c r="E329" s="26"/>
      <c r="H329" s="3">
        <v>7819</v>
      </c>
      <c r="I329" s="3">
        <v>27</v>
      </c>
      <c r="J329" s="3">
        <v>27</v>
      </c>
      <c r="L329" s="3">
        <v>7465</v>
      </c>
      <c r="M329" s="3">
        <v>300</v>
      </c>
      <c r="P329" s="3" t="s">
        <v>418</v>
      </c>
    </row>
    <row r="330" spans="1:16" x14ac:dyDescent="0.3">
      <c r="C330" s="3" t="s">
        <v>419</v>
      </c>
      <c r="E330" s="26"/>
      <c r="H330" s="3">
        <v>5741</v>
      </c>
      <c r="I330" s="3">
        <v>27</v>
      </c>
      <c r="J330" s="3">
        <v>27</v>
      </c>
      <c r="L330" s="3">
        <v>5387</v>
      </c>
      <c r="M330" s="3">
        <v>300</v>
      </c>
      <c r="P330" s="3" t="s">
        <v>420</v>
      </c>
    </row>
    <row r="331" spans="1:16" x14ac:dyDescent="0.3">
      <c r="C331" s="3" t="s">
        <v>424</v>
      </c>
      <c r="E331" s="26"/>
      <c r="H331" s="3">
        <v>7998</v>
      </c>
      <c r="I331" s="3">
        <v>27</v>
      </c>
      <c r="J331" s="3">
        <v>27</v>
      </c>
      <c r="L331" s="3">
        <v>7644</v>
      </c>
      <c r="M331" s="3">
        <v>300</v>
      </c>
      <c r="P331" s="3" t="s">
        <v>421</v>
      </c>
    </row>
    <row r="332" spans="1:16" x14ac:dyDescent="0.3">
      <c r="C332" s="3" t="s">
        <v>424</v>
      </c>
      <c r="E332" s="26"/>
      <c r="H332" s="3">
        <v>6446</v>
      </c>
      <c r="I332" s="3">
        <v>27</v>
      </c>
      <c r="J332" s="3">
        <v>27</v>
      </c>
      <c r="L332" s="3">
        <v>6092</v>
      </c>
      <c r="M332" s="3">
        <v>300</v>
      </c>
      <c r="P332" s="3" t="s">
        <v>423</v>
      </c>
    </row>
    <row r="333" spans="1:16" x14ac:dyDescent="0.3">
      <c r="E333" s="26"/>
      <c r="H333" s="4">
        <f>SUM(H318:H332)</f>
        <v>176482</v>
      </c>
      <c r="I333" s="4"/>
      <c r="J333" s="4"/>
      <c r="K333" s="4"/>
      <c r="L333" s="4">
        <f>SUM(L318:L332)</f>
        <v>166216</v>
      </c>
      <c r="M333" s="4">
        <f>SUM(M318:M332)</f>
        <v>8700</v>
      </c>
    </row>
    <row r="334" spans="1:16" x14ac:dyDescent="0.3">
      <c r="E334" s="26"/>
      <c r="H334" s="33"/>
    </row>
    <row r="335" spans="1:16" x14ac:dyDescent="0.3">
      <c r="A335" s="5">
        <v>44778</v>
      </c>
      <c r="B335" s="69" t="s">
        <v>425</v>
      </c>
      <c r="C335" s="3" t="s">
        <v>426</v>
      </c>
      <c r="D335" s="3">
        <v>1</v>
      </c>
      <c r="E335" s="3" t="s">
        <v>54</v>
      </c>
      <c r="F335" s="3" t="s">
        <v>26</v>
      </c>
      <c r="G335" s="3" t="s">
        <v>10</v>
      </c>
      <c r="H335" s="4">
        <v>8480</v>
      </c>
      <c r="I335" s="3">
        <v>54</v>
      </c>
      <c r="J335" s="3">
        <v>54</v>
      </c>
      <c r="L335" s="3">
        <v>3934</v>
      </c>
      <c r="M335" s="3">
        <v>600</v>
      </c>
      <c r="N335" s="62">
        <v>44779</v>
      </c>
      <c r="O335" s="27">
        <v>44781</v>
      </c>
      <c r="P335" s="3" t="s">
        <v>428</v>
      </c>
    </row>
    <row r="336" spans="1:16" x14ac:dyDescent="0.3">
      <c r="A336" s="5"/>
      <c r="B336" s="29"/>
      <c r="L336" s="3">
        <v>3838</v>
      </c>
      <c r="N336" s="55" t="s">
        <v>440</v>
      </c>
      <c r="O336" s="8"/>
      <c r="P336" s="3" t="s">
        <v>427</v>
      </c>
    </row>
    <row r="337" spans="1:16" x14ac:dyDescent="0.3">
      <c r="A337" s="5"/>
      <c r="B337" s="29"/>
      <c r="L337" s="4">
        <f>SUM(L335:L336)</f>
        <v>7772</v>
      </c>
      <c r="N337" s="55"/>
    </row>
    <row r="339" spans="1:16" s="4" customFormat="1" x14ac:dyDescent="0.3">
      <c r="A339" s="5">
        <v>44779</v>
      </c>
      <c r="B339" s="69" t="s">
        <v>429</v>
      </c>
      <c r="C339" s="3" t="s">
        <v>430</v>
      </c>
      <c r="D339" s="3">
        <v>1</v>
      </c>
      <c r="E339" s="3" t="s">
        <v>54</v>
      </c>
      <c r="F339" s="3" t="s">
        <v>26</v>
      </c>
      <c r="G339" s="3" t="s">
        <v>10</v>
      </c>
      <c r="H339" s="3">
        <v>4420</v>
      </c>
      <c r="I339" s="3">
        <v>27</v>
      </c>
      <c r="J339" s="3">
        <v>27</v>
      </c>
      <c r="K339" s="3"/>
      <c r="L339" s="3">
        <v>4066</v>
      </c>
      <c r="M339" s="3">
        <v>300</v>
      </c>
      <c r="N339" s="62" t="s">
        <v>449</v>
      </c>
      <c r="O339" s="27">
        <v>44783</v>
      </c>
      <c r="P339" s="4" t="s">
        <v>431</v>
      </c>
    </row>
    <row r="340" spans="1:16" x14ac:dyDescent="0.3">
      <c r="C340" s="3" t="s">
        <v>409</v>
      </c>
      <c r="H340" s="3">
        <v>5741</v>
      </c>
      <c r="I340" s="3">
        <v>27</v>
      </c>
      <c r="J340" s="3">
        <v>27</v>
      </c>
      <c r="L340" s="3">
        <v>5387</v>
      </c>
      <c r="M340" s="3">
        <v>300</v>
      </c>
      <c r="P340" s="3" t="s">
        <v>432</v>
      </c>
    </row>
    <row r="341" spans="1:16" x14ac:dyDescent="0.3">
      <c r="A341" s="5"/>
      <c r="C341" s="3" t="s">
        <v>434</v>
      </c>
      <c r="H341" s="3">
        <v>17171</v>
      </c>
      <c r="I341" s="3">
        <v>108</v>
      </c>
      <c r="J341" s="3">
        <v>108</v>
      </c>
      <c r="L341" s="3">
        <v>15755</v>
      </c>
      <c r="M341" s="3">
        <v>1200</v>
      </c>
      <c r="N341" s="55"/>
      <c r="O341" s="8"/>
      <c r="P341" s="3" t="s">
        <v>433</v>
      </c>
    </row>
    <row r="342" spans="1:16" x14ac:dyDescent="0.3">
      <c r="H342" s="4">
        <f>SUM(H339:H341)</f>
        <v>27332</v>
      </c>
      <c r="I342" s="4"/>
      <c r="J342" s="4"/>
      <c r="K342" s="4"/>
      <c r="L342" s="4">
        <f>SUM(L339:L341)</f>
        <v>25208</v>
      </c>
    </row>
    <row r="343" spans="1:16" x14ac:dyDescent="0.3">
      <c r="A343" s="5"/>
      <c r="N343" s="55"/>
      <c r="O343" s="8"/>
    </row>
    <row r="344" spans="1:16" x14ac:dyDescent="0.3">
      <c r="A344" s="5">
        <v>44779</v>
      </c>
      <c r="B344" s="69" t="s">
        <v>435</v>
      </c>
      <c r="C344" s="3" t="s">
        <v>262</v>
      </c>
      <c r="D344" s="3">
        <v>1</v>
      </c>
      <c r="E344" s="3" t="s">
        <v>60</v>
      </c>
      <c r="F344" s="3" t="s">
        <v>7</v>
      </c>
      <c r="G344" s="3" t="s">
        <v>10</v>
      </c>
      <c r="H344" s="3">
        <v>185347</v>
      </c>
      <c r="I344" s="3">
        <v>108</v>
      </c>
      <c r="J344" s="3">
        <v>108</v>
      </c>
      <c r="L344" s="3">
        <v>183931</v>
      </c>
      <c r="M344" s="3">
        <v>1200</v>
      </c>
      <c r="N344" s="62">
        <v>44783</v>
      </c>
      <c r="O344" s="3" t="s">
        <v>448</v>
      </c>
      <c r="P344" s="3" t="s">
        <v>436</v>
      </c>
    </row>
    <row r="345" spans="1:16" x14ac:dyDescent="0.3">
      <c r="A345" s="5"/>
      <c r="C345" s="3" t="s">
        <v>437</v>
      </c>
      <c r="H345" s="3">
        <v>190590</v>
      </c>
      <c r="I345" s="3">
        <v>108</v>
      </c>
      <c r="J345" s="3">
        <v>108</v>
      </c>
      <c r="L345" s="3">
        <v>189174</v>
      </c>
      <c r="M345" s="3">
        <v>1200</v>
      </c>
      <c r="N345" s="38"/>
      <c r="O345" s="3" t="s">
        <v>447</v>
      </c>
      <c r="P345" s="3" t="s">
        <v>438</v>
      </c>
    </row>
    <row r="346" spans="1:16" x14ac:dyDescent="0.3">
      <c r="H346" s="4">
        <f>SUM(H344:H345)</f>
        <v>375937</v>
      </c>
      <c r="L346" s="4">
        <f>SUM(L344:L345)</f>
        <v>373105</v>
      </c>
    </row>
    <row r="348" spans="1:16" x14ac:dyDescent="0.3">
      <c r="A348" s="5">
        <v>44779</v>
      </c>
      <c r="B348" s="69" t="s">
        <v>441</v>
      </c>
      <c r="C348" s="3" t="s">
        <v>64</v>
      </c>
      <c r="D348" s="3">
        <v>1</v>
      </c>
      <c r="E348" s="3" t="s">
        <v>54</v>
      </c>
      <c r="F348" s="3" t="s">
        <v>26</v>
      </c>
      <c r="G348" s="3" t="s">
        <v>10</v>
      </c>
      <c r="H348" s="4">
        <v>365453</v>
      </c>
      <c r="I348" s="3">
        <f>M348*9%</f>
        <v>225</v>
      </c>
      <c r="J348" s="3">
        <v>225</v>
      </c>
      <c r="L348" s="4">
        <v>362503</v>
      </c>
      <c r="M348" s="3">
        <v>2500</v>
      </c>
      <c r="N348" s="25" t="s">
        <v>449</v>
      </c>
      <c r="O348" s="27">
        <v>44781</v>
      </c>
      <c r="P348" s="3" t="s">
        <v>439</v>
      </c>
    </row>
    <row r="350" spans="1:16" x14ac:dyDescent="0.3">
      <c r="C350" s="10"/>
    </row>
    <row r="351" spans="1:16" x14ac:dyDescent="0.3">
      <c r="A351" s="5">
        <v>44781</v>
      </c>
      <c r="B351" s="69" t="s">
        <v>442</v>
      </c>
      <c r="C351" s="3" t="s">
        <v>443</v>
      </c>
      <c r="D351" s="3">
        <v>1</v>
      </c>
      <c r="E351" s="3" t="s">
        <v>54</v>
      </c>
      <c r="F351" s="3" t="s">
        <v>24</v>
      </c>
      <c r="G351" s="25" t="s">
        <v>444</v>
      </c>
      <c r="H351" s="4">
        <v>5680</v>
      </c>
      <c r="I351" s="3">
        <v>90</v>
      </c>
      <c r="J351" s="3">
        <v>90</v>
      </c>
      <c r="L351" s="4">
        <v>4500</v>
      </c>
      <c r="M351" s="3">
        <v>1000</v>
      </c>
      <c r="N351" s="62">
        <v>44790</v>
      </c>
      <c r="O351" s="27">
        <v>44782</v>
      </c>
    </row>
    <row r="352" spans="1:16" x14ac:dyDescent="0.3">
      <c r="H352" s="4"/>
      <c r="L352" s="4"/>
    </row>
    <row r="353" spans="1:16" x14ac:dyDescent="0.3">
      <c r="A353" s="5">
        <v>44783</v>
      </c>
      <c r="B353" s="69" t="s">
        <v>445</v>
      </c>
      <c r="C353" s="3" t="s">
        <v>443</v>
      </c>
      <c r="D353" s="3">
        <v>1</v>
      </c>
      <c r="E353" s="3" t="s">
        <v>54</v>
      </c>
      <c r="F353" s="3" t="s">
        <v>26</v>
      </c>
      <c r="G353" s="3" t="s">
        <v>10</v>
      </c>
      <c r="H353" s="4">
        <v>1535</v>
      </c>
      <c r="I353" s="3">
        <v>0</v>
      </c>
      <c r="J353" s="3">
        <v>0</v>
      </c>
      <c r="L353" s="4">
        <f>5469-3934</f>
        <v>1535</v>
      </c>
      <c r="M353" s="3">
        <v>0</v>
      </c>
      <c r="N353" s="62">
        <v>44785</v>
      </c>
      <c r="O353" s="27">
        <v>44789</v>
      </c>
      <c r="P353" s="3" t="s">
        <v>446</v>
      </c>
    </row>
    <row r="354" spans="1:16" x14ac:dyDescent="0.3">
      <c r="A354" s="5"/>
      <c r="H354" s="4"/>
      <c r="L354" s="4"/>
    </row>
    <row r="355" spans="1:16" x14ac:dyDescent="0.3">
      <c r="A355" s="5">
        <v>44786</v>
      </c>
      <c r="B355" s="69" t="s">
        <v>450</v>
      </c>
      <c r="C355" s="3" t="s">
        <v>297</v>
      </c>
      <c r="D355" s="3">
        <v>2</v>
      </c>
      <c r="F355" s="3" t="s">
        <v>26</v>
      </c>
      <c r="G355" s="3" t="s">
        <v>10</v>
      </c>
      <c r="H355" s="4">
        <v>256278</v>
      </c>
      <c r="I355" s="3">
        <v>189</v>
      </c>
      <c r="J355" s="3">
        <v>189</v>
      </c>
      <c r="L355" s="4">
        <v>253800</v>
      </c>
      <c r="M355" s="3">
        <v>2100</v>
      </c>
      <c r="N355" s="62">
        <v>44789</v>
      </c>
      <c r="O355" s="27">
        <v>44789</v>
      </c>
      <c r="P355" s="3" t="s">
        <v>451</v>
      </c>
    </row>
    <row r="356" spans="1:16" x14ac:dyDescent="0.3">
      <c r="A356" s="5"/>
      <c r="L356" s="4"/>
    </row>
    <row r="357" spans="1:16" x14ac:dyDescent="0.3">
      <c r="A357" s="5">
        <v>44787</v>
      </c>
      <c r="B357" s="69" t="s">
        <v>455</v>
      </c>
      <c r="C357" s="3" t="s">
        <v>452</v>
      </c>
      <c r="D357" s="3">
        <v>2</v>
      </c>
      <c r="E357" s="3" t="s">
        <v>54</v>
      </c>
      <c r="F357" s="3" t="s">
        <v>26</v>
      </c>
      <c r="G357" s="3" t="s">
        <v>10</v>
      </c>
      <c r="H357" s="4">
        <v>32078</v>
      </c>
      <c r="I357" s="3">
        <f>M357*9%</f>
        <v>108</v>
      </c>
      <c r="J357" s="3">
        <f>I357</f>
        <v>108</v>
      </c>
      <c r="L357" s="3">
        <v>12638</v>
      </c>
      <c r="M357" s="3">
        <v>1200</v>
      </c>
      <c r="N357" s="62">
        <v>44790</v>
      </c>
      <c r="O357" s="27">
        <v>44789</v>
      </c>
      <c r="P357" s="3" t="s">
        <v>454</v>
      </c>
    </row>
    <row r="358" spans="1:16" x14ac:dyDescent="0.3">
      <c r="A358" s="5"/>
      <c r="L358" s="3">
        <v>18024</v>
      </c>
      <c r="P358" s="3" t="s">
        <v>453</v>
      </c>
    </row>
    <row r="359" spans="1:16" x14ac:dyDescent="0.3">
      <c r="L359" s="4">
        <f>SUM(L357:L358)</f>
        <v>30662</v>
      </c>
    </row>
    <row r="360" spans="1:16" x14ac:dyDescent="0.3">
      <c r="A360" s="5"/>
      <c r="N360" s="38"/>
      <c r="O360" s="5"/>
    </row>
    <row r="361" spans="1:16" x14ac:dyDescent="0.3">
      <c r="A361" s="5">
        <v>44789</v>
      </c>
      <c r="B361" s="69" t="s">
        <v>456</v>
      </c>
      <c r="C361" s="3" t="s">
        <v>457</v>
      </c>
      <c r="D361" s="3">
        <v>1</v>
      </c>
      <c r="E361" s="3" t="s">
        <v>54</v>
      </c>
      <c r="F361" s="3" t="s">
        <v>26</v>
      </c>
      <c r="G361" s="3" t="s">
        <v>10</v>
      </c>
      <c r="H361" s="4">
        <f>10133-2701</f>
        <v>7432</v>
      </c>
      <c r="I361" s="3">
        <v>54</v>
      </c>
      <c r="J361" s="3">
        <v>54</v>
      </c>
      <c r="L361" s="4">
        <f>9425-2701</f>
        <v>6724</v>
      </c>
      <c r="M361" s="3">
        <v>600</v>
      </c>
      <c r="N361" s="63">
        <v>44790</v>
      </c>
      <c r="O361" s="27">
        <v>44789</v>
      </c>
      <c r="P361" s="3" t="s">
        <v>458</v>
      </c>
    </row>
    <row r="362" spans="1:16" x14ac:dyDescent="0.3">
      <c r="P362" s="3" t="s">
        <v>459</v>
      </c>
    </row>
    <row r="364" spans="1:16" x14ac:dyDescent="0.3">
      <c r="A364" s="5">
        <v>44790</v>
      </c>
      <c r="B364" s="69" t="s">
        <v>460</v>
      </c>
      <c r="C364" s="3" t="s">
        <v>155</v>
      </c>
      <c r="D364" s="3">
        <v>1</v>
      </c>
      <c r="E364" s="3" t="s">
        <v>54</v>
      </c>
      <c r="F364" s="3" t="s">
        <v>26</v>
      </c>
      <c r="G364" s="3" t="s">
        <v>10</v>
      </c>
      <c r="H364" s="3">
        <v>2360</v>
      </c>
      <c r="I364" s="3">
        <f>M364*9%</f>
        <v>162</v>
      </c>
      <c r="J364" s="3">
        <v>162</v>
      </c>
      <c r="L364" s="3">
        <v>2006</v>
      </c>
      <c r="M364" s="3">
        <v>1800</v>
      </c>
      <c r="N364" s="47">
        <v>44797</v>
      </c>
      <c r="O364" s="15">
        <v>44795</v>
      </c>
      <c r="P364" s="3" t="s">
        <v>461</v>
      </c>
    </row>
    <row r="365" spans="1:16" x14ac:dyDescent="0.3">
      <c r="A365" s="5"/>
      <c r="C365" s="3" t="s">
        <v>465</v>
      </c>
      <c r="H365" s="3">
        <v>3188</v>
      </c>
      <c r="L365" s="3">
        <v>2834</v>
      </c>
      <c r="N365" s="38"/>
      <c r="O365" s="5"/>
      <c r="P365" s="3" t="s">
        <v>462</v>
      </c>
    </row>
    <row r="366" spans="1:16" x14ac:dyDescent="0.3">
      <c r="A366" s="5"/>
      <c r="C366" s="3" t="s">
        <v>466</v>
      </c>
      <c r="H366" s="3">
        <v>4230</v>
      </c>
      <c r="L366" s="3">
        <v>3522</v>
      </c>
      <c r="N366" s="38"/>
      <c r="O366" s="5"/>
      <c r="P366" s="3" t="s">
        <v>464</v>
      </c>
    </row>
    <row r="367" spans="1:16" x14ac:dyDescent="0.3">
      <c r="A367" s="5"/>
      <c r="H367" s="3">
        <v>4269</v>
      </c>
      <c r="L367" s="3">
        <v>3561</v>
      </c>
      <c r="N367" s="38"/>
      <c r="O367" s="5"/>
      <c r="P367" s="3" t="s">
        <v>463</v>
      </c>
    </row>
    <row r="368" spans="1:16" x14ac:dyDescent="0.3">
      <c r="A368" s="5"/>
      <c r="H368" s="4">
        <f>SUM(H364:H367)</f>
        <v>14047</v>
      </c>
      <c r="L368" s="4">
        <f>SUM(L364:L367)</f>
        <v>11923</v>
      </c>
      <c r="N368" s="38"/>
      <c r="O368" s="5"/>
    </row>
    <row r="369" spans="1:17" x14ac:dyDescent="0.3">
      <c r="A369" s="5"/>
      <c r="N369" s="38"/>
      <c r="O369" s="5"/>
    </row>
    <row r="370" spans="1:17" x14ac:dyDescent="0.3">
      <c r="A370" s="5">
        <v>44792</v>
      </c>
      <c r="B370" s="69" t="s">
        <v>468</v>
      </c>
      <c r="C370" s="3" t="s">
        <v>469</v>
      </c>
      <c r="D370" s="3">
        <v>4</v>
      </c>
      <c r="E370" s="4">
        <v>477134</v>
      </c>
      <c r="F370" s="3" t="s">
        <v>14</v>
      </c>
      <c r="G370" s="3" t="s">
        <v>11</v>
      </c>
      <c r="H370" s="4">
        <v>571428</v>
      </c>
      <c r="I370" s="3">
        <v>13606</v>
      </c>
      <c r="J370" s="3">
        <v>13606</v>
      </c>
      <c r="L370" s="3">
        <v>50659.26</v>
      </c>
      <c r="M370" s="3">
        <v>67082</v>
      </c>
      <c r="N370" s="38" t="s">
        <v>470</v>
      </c>
      <c r="O370" s="15">
        <v>44796</v>
      </c>
      <c r="P370" s="3" t="s">
        <v>475</v>
      </c>
      <c r="Q370" s="5"/>
    </row>
    <row r="371" spans="1:17" x14ac:dyDescent="0.3">
      <c r="A371" s="5"/>
      <c r="E371" s="3">
        <v>67082</v>
      </c>
      <c r="G371" s="43" t="s">
        <v>258</v>
      </c>
      <c r="H371" s="43">
        <v>28572</v>
      </c>
      <c r="L371" s="3">
        <v>573.91</v>
      </c>
      <c r="N371" s="38" t="s">
        <v>471</v>
      </c>
      <c r="O371" s="5"/>
      <c r="P371" s="3" t="s">
        <v>476</v>
      </c>
    </row>
    <row r="372" spans="1:17" x14ac:dyDescent="0.3">
      <c r="A372" s="5"/>
      <c r="E372" s="4">
        <f>SUM(E370:E371)</f>
        <v>544216</v>
      </c>
      <c r="K372" s="34"/>
      <c r="L372" s="3">
        <v>425900</v>
      </c>
      <c r="N372" s="38" t="s">
        <v>474</v>
      </c>
      <c r="O372" s="5"/>
      <c r="P372" s="3" t="s">
        <v>477</v>
      </c>
    </row>
    <row r="373" spans="1:17" x14ac:dyDescent="0.3">
      <c r="A373" s="5"/>
      <c r="E373" s="3">
        <v>13606</v>
      </c>
      <c r="K373" s="34"/>
      <c r="L373" s="4">
        <v>477134</v>
      </c>
      <c r="N373" s="38"/>
      <c r="O373" s="5"/>
    </row>
    <row r="374" spans="1:17" x14ac:dyDescent="0.3">
      <c r="A374" s="5"/>
      <c r="E374" s="3">
        <f>E373</f>
        <v>13606</v>
      </c>
      <c r="K374" s="34"/>
      <c r="L374" s="4"/>
      <c r="N374" s="38"/>
      <c r="O374" s="5"/>
    </row>
    <row r="375" spans="1:17" x14ac:dyDescent="0.3">
      <c r="A375" s="5"/>
      <c r="E375" s="4">
        <f>SUM(E372:E374)</f>
        <v>571428</v>
      </c>
      <c r="K375" s="34"/>
      <c r="L375" s="4"/>
      <c r="N375" s="38"/>
      <c r="O375" s="5"/>
    </row>
    <row r="376" spans="1:17" x14ac:dyDescent="0.3">
      <c r="A376" s="5"/>
      <c r="E376" s="3">
        <v>28572</v>
      </c>
      <c r="K376" s="34"/>
      <c r="L376" s="4"/>
      <c r="N376" s="38"/>
      <c r="O376" s="5"/>
    </row>
    <row r="377" spans="1:17" x14ac:dyDescent="0.3">
      <c r="A377" s="5"/>
      <c r="E377" s="4">
        <f>SUM(E375:E376)</f>
        <v>600000</v>
      </c>
      <c r="K377" s="34"/>
      <c r="L377" s="4"/>
      <c r="N377" s="38"/>
      <c r="O377" s="5"/>
    </row>
    <row r="378" spans="1:17" x14ac:dyDescent="0.3">
      <c r="A378" s="5"/>
      <c r="K378" s="34"/>
      <c r="L378" s="4"/>
      <c r="N378" s="38"/>
      <c r="O378" s="5"/>
    </row>
    <row r="379" spans="1:17" x14ac:dyDescent="0.3">
      <c r="A379" s="5"/>
      <c r="K379" s="34"/>
      <c r="L379" s="4"/>
      <c r="N379" s="38"/>
      <c r="O379" s="5"/>
    </row>
    <row r="380" spans="1:17" x14ac:dyDescent="0.3">
      <c r="A380" s="5">
        <v>44795</v>
      </c>
      <c r="B380" s="69" t="s">
        <v>473</v>
      </c>
      <c r="C380" s="3" t="s">
        <v>47</v>
      </c>
      <c r="D380" s="3">
        <v>6</v>
      </c>
      <c r="F380" s="3" t="s">
        <v>14</v>
      </c>
      <c r="G380" s="3" t="s">
        <v>10</v>
      </c>
      <c r="H380" s="4">
        <f>(81800*6)</f>
        <v>490800</v>
      </c>
      <c r="I380" s="3">
        <v>11686</v>
      </c>
      <c r="J380" s="3">
        <v>11686</v>
      </c>
      <c r="L380" s="3">
        <v>53165</v>
      </c>
      <c r="M380" s="4">
        <v>35564</v>
      </c>
      <c r="N380" s="25" t="s">
        <v>480</v>
      </c>
      <c r="O380" s="69" t="s">
        <v>481</v>
      </c>
      <c r="P380" s="3" t="s">
        <v>478</v>
      </c>
    </row>
    <row r="381" spans="1:17" x14ac:dyDescent="0.3">
      <c r="A381" s="5"/>
      <c r="C381" s="3" t="s">
        <v>513</v>
      </c>
      <c r="G381" s="3" t="s">
        <v>10</v>
      </c>
      <c r="L381" s="3">
        <v>31299</v>
      </c>
      <c r="N381" s="25" t="s">
        <v>501</v>
      </c>
      <c r="O381" s="3" t="s">
        <v>626</v>
      </c>
      <c r="P381" s="3" t="s">
        <v>479</v>
      </c>
    </row>
    <row r="382" spans="1:17" x14ac:dyDescent="0.3">
      <c r="A382" s="5"/>
      <c r="G382" s="3" t="s">
        <v>20</v>
      </c>
      <c r="L382" s="3">
        <v>347400</v>
      </c>
      <c r="N382" s="25" t="s">
        <v>559</v>
      </c>
      <c r="O382" s="3" t="s">
        <v>630</v>
      </c>
    </row>
    <row r="383" spans="1:17" x14ac:dyDescent="0.3">
      <c r="A383" s="5"/>
      <c r="G383" s="3" t="s">
        <v>10</v>
      </c>
      <c r="L383" s="4">
        <f>SUM(L380:L382)</f>
        <v>431864</v>
      </c>
      <c r="N383" s="25" t="s">
        <v>558</v>
      </c>
      <c r="P383" s="3" t="s">
        <v>521</v>
      </c>
    </row>
    <row r="384" spans="1:17" x14ac:dyDescent="0.3">
      <c r="A384" s="5"/>
      <c r="N384" s="25" t="s">
        <v>575</v>
      </c>
      <c r="O384" s="5" t="s">
        <v>527</v>
      </c>
    </row>
    <row r="385" spans="1:16" x14ac:dyDescent="0.3">
      <c r="A385" s="5"/>
      <c r="L385" s="4"/>
      <c r="N385" s="25" t="s">
        <v>519</v>
      </c>
    </row>
    <row r="386" spans="1:16" x14ac:dyDescent="0.3">
      <c r="A386" s="5"/>
      <c r="L386" s="4"/>
    </row>
    <row r="387" spans="1:16" x14ac:dyDescent="0.3">
      <c r="A387" s="35"/>
      <c r="B387" s="36"/>
    </row>
    <row r="388" spans="1:16" x14ac:dyDescent="0.3">
      <c r="A388" s="5">
        <v>44797</v>
      </c>
      <c r="B388" s="69" t="s">
        <v>483</v>
      </c>
      <c r="C388" s="3" t="s">
        <v>27</v>
      </c>
      <c r="D388" s="3">
        <v>3</v>
      </c>
      <c r="F388" s="3" t="s">
        <v>7</v>
      </c>
      <c r="G388" s="3" t="s">
        <v>10</v>
      </c>
      <c r="H388" s="3">
        <f>653000+287400</f>
        <v>940400</v>
      </c>
      <c r="I388" s="3">
        <v>718</v>
      </c>
      <c r="J388" s="3">
        <v>718</v>
      </c>
      <c r="L388" s="3">
        <f>652336+278657</f>
        <v>930993</v>
      </c>
      <c r="M388" s="3">
        <v>7971</v>
      </c>
      <c r="N388" s="25">
        <f>287400+653000</f>
        <v>940400</v>
      </c>
      <c r="O388" s="3" t="s">
        <v>489</v>
      </c>
      <c r="P388" s="3" t="s">
        <v>485</v>
      </c>
    </row>
    <row r="389" spans="1:16" x14ac:dyDescent="0.3">
      <c r="C389" s="3" t="s">
        <v>484</v>
      </c>
      <c r="N389" s="25" t="s">
        <v>487</v>
      </c>
      <c r="O389" s="3" t="s">
        <v>490</v>
      </c>
      <c r="P389" s="3" t="s">
        <v>486</v>
      </c>
    </row>
    <row r="390" spans="1:16" x14ac:dyDescent="0.3">
      <c r="A390" s="5"/>
      <c r="C390" s="3" t="s">
        <v>207</v>
      </c>
      <c r="N390" s="38"/>
      <c r="O390" s="3" t="s">
        <v>490</v>
      </c>
    </row>
    <row r="392" spans="1:16" x14ac:dyDescent="0.3">
      <c r="A392" s="5">
        <v>44798</v>
      </c>
      <c r="B392" s="69" t="s">
        <v>488</v>
      </c>
      <c r="C392" s="3" t="s">
        <v>494</v>
      </c>
      <c r="D392" s="3">
        <v>2</v>
      </c>
      <c r="E392" s="3" t="s">
        <v>54</v>
      </c>
      <c r="F392" s="3" t="s">
        <v>9</v>
      </c>
      <c r="G392" s="3" t="s">
        <v>20</v>
      </c>
      <c r="H392" s="4">
        <v>22609</v>
      </c>
      <c r="I392" s="3">
        <v>539</v>
      </c>
      <c r="J392" s="3">
        <v>539</v>
      </c>
      <c r="L392" s="3">
        <v>5081</v>
      </c>
      <c r="M392" s="3">
        <v>2000</v>
      </c>
      <c r="N392" s="47">
        <v>44799</v>
      </c>
      <c r="O392" s="15">
        <v>44799</v>
      </c>
    </row>
    <row r="393" spans="1:16" x14ac:dyDescent="0.3">
      <c r="A393" s="5"/>
      <c r="L393" s="3">
        <v>14450</v>
      </c>
      <c r="N393" s="38"/>
      <c r="O393" s="5"/>
    </row>
    <row r="394" spans="1:16" x14ac:dyDescent="0.3">
      <c r="L394" s="4">
        <f>SUM(L392:L393)</f>
        <v>19531</v>
      </c>
    </row>
    <row r="396" spans="1:16" s="4" customFormat="1" x14ac:dyDescent="0.3">
      <c r="A396" s="5">
        <v>44798</v>
      </c>
      <c r="B396" s="3" t="s">
        <v>491</v>
      </c>
      <c r="C396" s="3" t="s">
        <v>492</v>
      </c>
      <c r="D396" s="3">
        <v>1</v>
      </c>
      <c r="E396" s="3" t="s">
        <v>367</v>
      </c>
      <c r="F396" s="3" t="s">
        <v>26</v>
      </c>
      <c r="G396" s="3" t="s">
        <v>10</v>
      </c>
      <c r="H396" s="4">
        <v>55015</v>
      </c>
      <c r="I396" s="3">
        <v>68</v>
      </c>
      <c r="J396" s="3">
        <v>68</v>
      </c>
      <c r="K396" s="3"/>
      <c r="L396" s="4">
        <v>54129</v>
      </c>
      <c r="M396" s="3">
        <v>750</v>
      </c>
      <c r="N396" s="47">
        <v>44802</v>
      </c>
      <c r="O396" s="15">
        <v>44803</v>
      </c>
      <c r="P396" s="3" t="s">
        <v>493</v>
      </c>
    </row>
    <row r="397" spans="1:16" x14ac:dyDescent="0.3">
      <c r="L397" s="4"/>
      <c r="N397" s="25" t="s">
        <v>30</v>
      </c>
    </row>
    <row r="398" spans="1:16" x14ac:dyDescent="0.3">
      <c r="L398" s="4"/>
    </row>
    <row r="399" spans="1:16" x14ac:dyDescent="0.3">
      <c r="A399" s="5">
        <v>44800</v>
      </c>
      <c r="B399" s="3" t="s">
        <v>497</v>
      </c>
      <c r="C399" s="3" t="s">
        <v>496</v>
      </c>
      <c r="D399" s="3">
        <v>1</v>
      </c>
      <c r="E399" s="3" t="s">
        <v>54</v>
      </c>
      <c r="F399" s="3" t="s">
        <v>26</v>
      </c>
      <c r="G399" s="3" t="s">
        <v>10</v>
      </c>
      <c r="H399" s="3">
        <v>40817</v>
      </c>
      <c r="I399" s="3">
        <f>M399*9%</f>
        <v>225</v>
      </c>
      <c r="J399" s="3">
        <f>225</f>
        <v>225</v>
      </c>
      <c r="L399" s="3">
        <v>37867</v>
      </c>
      <c r="M399" s="3">
        <v>2500</v>
      </c>
      <c r="N399" s="47">
        <v>44802</v>
      </c>
      <c r="O399" s="15">
        <v>44803</v>
      </c>
      <c r="P399" s="3" t="s">
        <v>495</v>
      </c>
    </row>
    <row r="400" spans="1:16" x14ac:dyDescent="0.3">
      <c r="C400" s="3" t="s">
        <v>498</v>
      </c>
      <c r="D400" s="3">
        <v>1</v>
      </c>
      <c r="H400" s="3">
        <v>4376</v>
      </c>
      <c r="I400" s="3">
        <v>27</v>
      </c>
      <c r="J400" s="3">
        <v>27</v>
      </c>
      <c r="L400" s="3">
        <v>4022</v>
      </c>
      <c r="M400" s="3">
        <v>300</v>
      </c>
      <c r="P400" s="3" t="s">
        <v>499</v>
      </c>
    </row>
    <row r="401" spans="1:16" x14ac:dyDescent="0.3">
      <c r="A401" s="5"/>
      <c r="C401" s="3" t="s">
        <v>509</v>
      </c>
      <c r="H401" s="3">
        <v>6893</v>
      </c>
      <c r="I401" s="3">
        <v>27</v>
      </c>
      <c r="J401" s="3">
        <v>27</v>
      </c>
      <c r="L401" s="3">
        <v>6539</v>
      </c>
      <c r="M401" s="3">
        <v>300</v>
      </c>
      <c r="P401" s="3" t="s">
        <v>500</v>
      </c>
    </row>
    <row r="402" spans="1:16" x14ac:dyDescent="0.3">
      <c r="H402" s="4">
        <f>SUM(H399:H401)</f>
        <v>52086</v>
      </c>
      <c r="L402" s="4">
        <f>SUM(L399:L401)</f>
        <v>48428</v>
      </c>
    </row>
    <row r="403" spans="1:16" x14ac:dyDescent="0.3">
      <c r="A403" s="5"/>
      <c r="N403" s="38"/>
    </row>
    <row r="404" spans="1:16" x14ac:dyDescent="0.3">
      <c r="A404" s="5">
        <v>44801</v>
      </c>
      <c r="B404" s="3" t="s">
        <v>502</v>
      </c>
      <c r="C404" s="3" t="s">
        <v>503</v>
      </c>
      <c r="D404" s="3">
        <v>1</v>
      </c>
      <c r="E404" s="3" t="s">
        <v>60</v>
      </c>
      <c r="F404" s="3" t="s">
        <v>26</v>
      </c>
      <c r="G404" s="3" t="s">
        <v>10</v>
      </c>
      <c r="H404" s="3">
        <v>13694</v>
      </c>
      <c r="I404" s="3">
        <v>45</v>
      </c>
      <c r="J404" s="3">
        <v>45</v>
      </c>
      <c r="L404" s="3">
        <v>13104</v>
      </c>
      <c r="M404" s="3">
        <v>500</v>
      </c>
      <c r="N404" s="47">
        <v>44802</v>
      </c>
      <c r="O404" s="15">
        <v>44803</v>
      </c>
      <c r="P404" s="3" t="s">
        <v>507</v>
      </c>
    </row>
    <row r="406" spans="1:16" x14ac:dyDescent="0.3">
      <c r="A406" s="5"/>
      <c r="N406" s="38"/>
    </row>
    <row r="407" spans="1:16" x14ac:dyDescent="0.3">
      <c r="A407" s="5">
        <v>44801</v>
      </c>
      <c r="B407" s="3" t="s">
        <v>504</v>
      </c>
      <c r="C407" s="3" t="s">
        <v>505</v>
      </c>
      <c r="D407" s="3">
        <v>1</v>
      </c>
      <c r="E407" s="3" t="s">
        <v>367</v>
      </c>
      <c r="F407" s="3" t="s">
        <v>26</v>
      </c>
      <c r="G407" s="3" t="s">
        <v>10</v>
      </c>
      <c r="H407" s="3">
        <v>287158</v>
      </c>
      <c r="I407" s="3">
        <v>270</v>
      </c>
      <c r="J407" s="3">
        <v>270</v>
      </c>
      <c r="L407" s="3">
        <v>283618</v>
      </c>
      <c r="M407" s="3">
        <v>3000</v>
      </c>
      <c r="N407" s="38">
        <v>44804</v>
      </c>
      <c r="O407" s="15">
        <v>44806</v>
      </c>
      <c r="P407" s="3" t="s">
        <v>506</v>
      </c>
    </row>
    <row r="408" spans="1:16" x14ac:dyDescent="0.3">
      <c r="L408" s="4"/>
      <c r="N408" s="25" t="s">
        <v>30</v>
      </c>
    </row>
    <row r="410" spans="1:16" x14ac:dyDescent="0.3">
      <c r="A410" s="5"/>
      <c r="N410" s="38"/>
      <c r="O410" s="5"/>
    </row>
    <row r="411" spans="1:16" x14ac:dyDescent="0.3">
      <c r="A411" s="5">
        <v>44802</v>
      </c>
      <c r="B411" s="3" t="s">
        <v>508</v>
      </c>
      <c r="C411" s="3" t="s">
        <v>509</v>
      </c>
      <c r="D411" s="3">
        <v>2</v>
      </c>
      <c r="E411" s="3" t="s">
        <v>54</v>
      </c>
      <c r="F411" s="3" t="s">
        <v>26</v>
      </c>
      <c r="G411" s="3" t="s">
        <v>10</v>
      </c>
      <c r="H411" s="3">
        <v>6715</v>
      </c>
      <c r="I411" s="3">
        <v>27</v>
      </c>
      <c r="J411" s="3">
        <v>27</v>
      </c>
      <c r="L411" s="3">
        <v>6361</v>
      </c>
      <c r="M411" s="3">
        <v>300</v>
      </c>
      <c r="N411" s="38">
        <v>44809</v>
      </c>
      <c r="O411" s="15">
        <v>44806</v>
      </c>
      <c r="P411" s="3" t="s">
        <v>510</v>
      </c>
    </row>
    <row r="412" spans="1:16" x14ac:dyDescent="0.3">
      <c r="H412" s="3">
        <v>4812</v>
      </c>
      <c r="I412" s="3">
        <v>27</v>
      </c>
      <c r="J412" s="3">
        <v>27</v>
      </c>
      <c r="L412" s="3">
        <v>4458</v>
      </c>
      <c r="M412" s="3">
        <v>300</v>
      </c>
      <c r="P412" s="3" t="s">
        <v>511</v>
      </c>
    </row>
    <row r="413" spans="1:16" x14ac:dyDescent="0.3">
      <c r="H413" s="4">
        <f>SUM(H411:H412)</f>
        <v>11527</v>
      </c>
      <c r="L413" s="4">
        <f>SUM(L411:L412)</f>
        <v>10819</v>
      </c>
    </row>
    <row r="415" spans="1:16" s="10" customFormat="1" x14ac:dyDescent="0.3">
      <c r="A415" s="9">
        <v>44803</v>
      </c>
      <c r="B415" s="10" t="s">
        <v>514</v>
      </c>
      <c r="C415" s="10" t="s">
        <v>309</v>
      </c>
      <c r="D415" s="10">
        <v>6</v>
      </c>
      <c r="F415" s="10" t="s">
        <v>14</v>
      </c>
      <c r="G415" s="10" t="s">
        <v>20</v>
      </c>
      <c r="H415" s="10">
        <v>268800</v>
      </c>
      <c r="I415" s="10">
        <v>6720</v>
      </c>
      <c r="J415" s="10">
        <v>6720</v>
      </c>
      <c r="L415" s="10">
        <v>282240</v>
      </c>
      <c r="N415" s="64"/>
      <c r="O415" s="9"/>
    </row>
    <row r="416" spans="1:16" x14ac:dyDescent="0.3">
      <c r="H416" s="4"/>
      <c r="I416" s="4"/>
      <c r="J416" s="4"/>
      <c r="K416" s="4"/>
      <c r="L416" s="4"/>
    </row>
    <row r="417" spans="1:16" s="10" customFormat="1" x14ac:dyDescent="0.3">
      <c r="A417" s="9">
        <v>44803</v>
      </c>
      <c r="B417" s="10" t="s">
        <v>515</v>
      </c>
      <c r="C417" s="10" t="s">
        <v>42</v>
      </c>
      <c r="D417" s="10">
        <v>1</v>
      </c>
      <c r="E417" s="10" t="s">
        <v>43</v>
      </c>
      <c r="F417" s="10" t="s">
        <v>24</v>
      </c>
      <c r="G417" s="10" t="s">
        <v>11</v>
      </c>
      <c r="H417" s="17">
        <v>83005</v>
      </c>
      <c r="I417" s="17"/>
      <c r="J417" s="17"/>
      <c r="K417" s="17"/>
      <c r="L417" s="17">
        <v>83005</v>
      </c>
      <c r="N417" s="64">
        <v>44803</v>
      </c>
      <c r="O417" s="9">
        <v>44804</v>
      </c>
    </row>
    <row r="419" spans="1:16" x14ac:dyDescent="0.3">
      <c r="A419" s="5">
        <v>44804</v>
      </c>
      <c r="B419" s="3" t="s">
        <v>516</v>
      </c>
      <c r="C419" s="3" t="s">
        <v>309</v>
      </c>
      <c r="D419" s="3">
        <v>4</v>
      </c>
      <c r="F419" s="3" t="s">
        <v>14</v>
      </c>
      <c r="G419" s="3" t="s">
        <v>20</v>
      </c>
      <c r="H419" s="3">
        <v>214540</v>
      </c>
      <c r="I419" s="3">
        <v>5109</v>
      </c>
      <c r="J419" s="3">
        <v>5109</v>
      </c>
      <c r="L419" s="3">
        <v>188600</v>
      </c>
      <c r="M419" s="3">
        <v>15722</v>
      </c>
      <c r="N419" s="38" t="s">
        <v>557</v>
      </c>
      <c r="O419" s="5" t="s">
        <v>520</v>
      </c>
    </row>
    <row r="420" spans="1:16" x14ac:dyDescent="0.3">
      <c r="N420" s="25" t="s">
        <v>602</v>
      </c>
    </row>
    <row r="422" spans="1:16" x14ac:dyDescent="0.3">
      <c r="A422" s="5">
        <v>44804</v>
      </c>
      <c r="B422" s="3" t="s">
        <v>518</v>
      </c>
      <c r="C422" s="3" t="s">
        <v>517</v>
      </c>
      <c r="D422" s="3">
        <v>2</v>
      </c>
      <c r="E422" s="3" t="s">
        <v>367</v>
      </c>
      <c r="F422" s="3" t="s">
        <v>22</v>
      </c>
      <c r="G422" s="3" t="s">
        <v>50</v>
      </c>
      <c r="H422" s="3">
        <v>11420</v>
      </c>
      <c r="I422" s="3">
        <v>360</v>
      </c>
      <c r="J422" s="3">
        <v>360</v>
      </c>
      <c r="L422" s="4">
        <v>6700</v>
      </c>
      <c r="M422" s="3">
        <v>4000</v>
      </c>
      <c r="N422" s="25" t="s">
        <v>543</v>
      </c>
      <c r="O422" s="5">
        <v>44804</v>
      </c>
    </row>
    <row r="424" spans="1:16" x14ac:dyDescent="0.3">
      <c r="A424" s="5">
        <v>44807</v>
      </c>
      <c r="B424" s="3" t="s">
        <v>522</v>
      </c>
      <c r="C424" s="3" t="s">
        <v>523</v>
      </c>
      <c r="D424" s="3">
        <v>4</v>
      </c>
      <c r="F424" s="3" t="s">
        <v>7</v>
      </c>
      <c r="G424" s="3" t="s">
        <v>10</v>
      </c>
      <c r="H424" s="4">
        <v>442664</v>
      </c>
      <c r="I424" s="3">
        <v>360</v>
      </c>
      <c r="J424" s="3">
        <v>360</v>
      </c>
      <c r="L424" s="4">
        <v>437944</v>
      </c>
      <c r="M424" s="3">
        <v>4000</v>
      </c>
      <c r="N424" s="38">
        <v>44809</v>
      </c>
      <c r="O424" s="5">
        <v>44809</v>
      </c>
      <c r="P424" s="3" t="s">
        <v>524</v>
      </c>
    </row>
    <row r="425" spans="1:16" x14ac:dyDescent="0.3">
      <c r="H425" s="3">
        <v>84335</v>
      </c>
      <c r="I425" s="3">
        <v>90</v>
      </c>
      <c r="J425" s="3">
        <v>90</v>
      </c>
      <c r="L425" s="3">
        <v>83155</v>
      </c>
      <c r="M425" s="3">
        <v>1000</v>
      </c>
      <c r="N425" s="25" t="s">
        <v>618</v>
      </c>
      <c r="O425" s="3" t="s">
        <v>621</v>
      </c>
      <c r="P425" s="3" t="s">
        <v>604</v>
      </c>
    </row>
    <row r="426" spans="1:16" x14ac:dyDescent="0.3">
      <c r="H426" s="3">
        <f>SUM(H424:H425)</f>
        <v>526999</v>
      </c>
      <c r="I426" s="3">
        <f>SUM(I424:I425)</f>
        <v>450</v>
      </c>
      <c r="J426" s="3">
        <f>SUM(J424:J425)</f>
        <v>450</v>
      </c>
      <c r="L426" s="4">
        <f>SUM(L424:L425)</f>
        <v>521099</v>
      </c>
      <c r="M426" s="3">
        <f>SUM(M424:M425)</f>
        <v>5000</v>
      </c>
      <c r="N426" s="25" t="s">
        <v>619</v>
      </c>
    </row>
    <row r="427" spans="1:16" x14ac:dyDescent="0.3">
      <c r="L427" s="34"/>
    </row>
    <row r="428" spans="1:16" x14ac:dyDescent="0.3">
      <c r="A428" s="5">
        <v>44809</v>
      </c>
      <c r="B428" s="3" t="s">
        <v>525</v>
      </c>
      <c r="C428" s="3" t="s">
        <v>544</v>
      </c>
      <c r="D428" s="3">
        <v>2</v>
      </c>
      <c r="F428" s="3" t="s">
        <v>26</v>
      </c>
      <c r="G428" s="3" t="s">
        <v>10</v>
      </c>
      <c r="H428" s="3">
        <v>66662</v>
      </c>
      <c r="I428" s="3">
        <f>M428*9%</f>
        <v>72</v>
      </c>
      <c r="J428" s="3">
        <f>I428</f>
        <v>72</v>
      </c>
      <c r="L428" s="3">
        <v>65718</v>
      </c>
      <c r="M428" s="3">
        <v>800</v>
      </c>
      <c r="N428" s="38" t="s">
        <v>545</v>
      </c>
      <c r="O428" s="5">
        <v>44812</v>
      </c>
      <c r="P428" s="3" t="s">
        <v>526</v>
      </c>
    </row>
    <row r="430" spans="1:16" x14ac:dyDescent="0.3">
      <c r="A430" s="5">
        <v>44810</v>
      </c>
      <c r="B430" s="3" t="s">
        <v>528</v>
      </c>
      <c r="C430" s="3" t="s">
        <v>529</v>
      </c>
      <c r="D430" s="3">
        <v>2</v>
      </c>
      <c r="E430" s="4">
        <v>222070</v>
      </c>
      <c r="F430" s="3" t="s">
        <v>40</v>
      </c>
      <c r="G430" s="3" t="s">
        <v>11</v>
      </c>
      <c r="H430" s="4">
        <v>248405</v>
      </c>
      <c r="I430" s="3">
        <v>2009</v>
      </c>
      <c r="J430" s="3">
        <v>2009</v>
      </c>
      <c r="L430" s="3">
        <v>91197</v>
      </c>
      <c r="M430" s="3">
        <v>22317</v>
      </c>
      <c r="N430" s="38" t="s">
        <v>530</v>
      </c>
      <c r="O430" s="5">
        <v>44819</v>
      </c>
    </row>
    <row r="431" spans="1:16" x14ac:dyDescent="0.3">
      <c r="C431" s="3" t="s">
        <v>304</v>
      </c>
      <c r="E431" s="3">
        <v>22317</v>
      </c>
      <c r="G431" s="43" t="s">
        <v>258</v>
      </c>
      <c r="H431" s="43">
        <v>12421</v>
      </c>
      <c r="L431" s="3">
        <v>65092</v>
      </c>
      <c r="N431" s="38" t="s">
        <v>535</v>
      </c>
    </row>
    <row r="432" spans="1:16" x14ac:dyDescent="0.3">
      <c r="E432" s="4">
        <f>SUM(E430:E431)</f>
        <v>244387</v>
      </c>
      <c r="G432" s="3" t="s">
        <v>534</v>
      </c>
      <c r="H432" s="3">
        <f>SUM(H430:H431)</f>
        <v>260826</v>
      </c>
      <c r="L432" s="3">
        <v>65781</v>
      </c>
      <c r="N432" s="38" t="s">
        <v>538</v>
      </c>
    </row>
    <row r="433" spans="1:16" x14ac:dyDescent="0.3">
      <c r="A433" s="5"/>
      <c r="E433" s="3">
        <v>2009</v>
      </c>
      <c r="L433" s="4">
        <f>SUM(L430:L432)</f>
        <v>222070</v>
      </c>
      <c r="N433" s="38" t="s">
        <v>556</v>
      </c>
    </row>
    <row r="434" spans="1:16" x14ac:dyDescent="0.3">
      <c r="A434" s="5"/>
      <c r="E434" s="3">
        <f>E433</f>
        <v>2009</v>
      </c>
      <c r="N434" s="38"/>
    </row>
    <row r="435" spans="1:16" x14ac:dyDescent="0.3">
      <c r="A435" s="5"/>
      <c r="E435" s="4">
        <f>SUM(E432:E434)</f>
        <v>248405</v>
      </c>
      <c r="F435" s="3">
        <f>E435/2</f>
        <v>124202.5</v>
      </c>
      <c r="M435" s="34"/>
      <c r="N435" s="65"/>
    </row>
    <row r="436" spans="1:16" x14ac:dyDescent="0.3">
      <c r="E436" s="3">
        <v>12421</v>
      </c>
      <c r="F436" s="3">
        <f>E436/2</f>
        <v>6210.5</v>
      </c>
    </row>
    <row r="437" spans="1:16" x14ac:dyDescent="0.3">
      <c r="E437" s="4">
        <f>SUM(E435:E436)</f>
        <v>260826</v>
      </c>
    </row>
    <row r="439" spans="1:16" x14ac:dyDescent="0.3">
      <c r="A439" s="5"/>
      <c r="N439" s="38"/>
    </row>
    <row r="440" spans="1:16" x14ac:dyDescent="0.3">
      <c r="A440" s="5">
        <v>44810</v>
      </c>
      <c r="B440" s="3" t="s">
        <v>533</v>
      </c>
      <c r="C440" s="3" t="s">
        <v>452</v>
      </c>
      <c r="D440" s="3">
        <v>2</v>
      </c>
      <c r="E440" s="3" t="s">
        <v>54</v>
      </c>
      <c r="F440" s="3" t="s">
        <v>26</v>
      </c>
      <c r="G440" s="3" t="s">
        <v>10</v>
      </c>
      <c r="H440" s="4">
        <v>21493</v>
      </c>
      <c r="I440" s="3">
        <f>M440*9%</f>
        <v>108</v>
      </c>
      <c r="J440" s="3">
        <f>I440</f>
        <v>108</v>
      </c>
      <c r="L440" s="3">
        <v>10084</v>
      </c>
      <c r="M440" s="3">
        <v>1200</v>
      </c>
      <c r="N440" s="38">
        <v>44812</v>
      </c>
      <c r="O440" s="5">
        <v>44812</v>
      </c>
      <c r="P440" s="3" t="s">
        <v>532</v>
      </c>
    </row>
    <row r="441" spans="1:16" x14ac:dyDescent="0.3">
      <c r="A441" s="5"/>
      <c r="L441" s="3">
        <v>9993</v>
      </c>
      <c r="N441" s="38"/>
      <c r="P441" s="3" t="s">
        <v>531</v>
      </c>
    </row>
    <row r="442" spans="1:16" x14ac:dyDescent="0.3">
      <c r="A442" s="5"/>
      <c r="L442" s="4">
        <f>SUM(L440:L441)</f>
        <v>20077</v>
      </c>
    </row>
    <row r="443" spans="1:16" x14ac:dyDescent="0.3">
      <c r="A443" s="5"/>
      <c r="N443" s="38"/>
    </row>
    <row r="444" spans="1:16" x14ac:dyDescent="0.3">
      <c r="A444" s="5">
        <v>44812</v>
      </c>
      <c r="B444" s="3" t="s">
        <v>536</v>
      </c>
      <c r="C444" s="3" t="s">
        <v>537</v>
      </c>
      <c r="D444" s="3">
        <v>1</v>
      </c>
      <c r="F444" s="3" t="s">
        <v>26</v>
      </c>
      <c r="G444" s="3" t="s">
        <v>10</v>
      </c>
      <c r="H444" s="4">
        <v>227990</v>
      </c>
      <c r="I444" s="3">
        <f>M444*9%</f>
        <v>270</v>
      </c>
      <c r="J444" s="3">
        <f>I444</f>
        <v>270</v>
      </c>
      <c r="L444" s="4">
        <v>224450</v>
      </c>
      <c r="M444" s="3">
        <v>3000</v>
      </c>
      <c r="N444" s="38">
        <v>44813</v>
      </c>
      <c r="O444" s="5">
        <v>44812</v>
      </c>
      <c r="P444" s="3" t="s">
        <v>539</v>
      </c>
    </row>
    <row r="445" spans="1:16" x14ac:dyDescent="0.3">
      <c r="A445" s="5"/>
      <c r="N445" s="66"/>
    </row>
    <row r="446" spans="1:16" x14ac:dyDescent="0.3">
      <c r="A446" s="5">
        <v>44812</v>
      </c>
      <c r="B446" s="3" t="s">
        <v>540</v>
      </c>
      <c r="C446" s="3" t="s">
        <v>3520</v>
      </c>
      <c r="D446" s="3">
        <v>1</v>
      </c>
      <c r="F446" s="3" t="s">
        <v>26</v>
      </c>
      <c r="G446" s="3" t="s">
        <v>10</v>
      </c>
      <c r="H446" s="4">
        <f>L448+118</f>
        <v>12856</v>
      </c>
      <c r="I446" s="3">
        <v>9</v>
      </c>
      <c r="J446" s="3">
        <v>9</v>
      </c>
      <c r="L446" s="3">
        <v>3975</v>
      </c>
      <c r="M446" s="3">
        <v>100</v>
      </c>
      <c r="N446" s="38">
        <v>44818</v>
      </c>
      <c r="O446" s="5">
        <v>44812</v>
      </c>
      <c r="P446" s="3" t="s">
        <v>542</v>
      </c>
    </row>
    <row r="447" spans="1:16" x14ac:dyDescent="0.3">
      <c r="L447" s="3">
        <v>8763</v>
      </c>
      <c r="P447" s="3" t="s">
        <v>541</v>
      </c>
    </row>
    <row r="448" spans="1:16" x14ac:dyDescent="0.3">
      <c r="A448" s="5"/>
      <c r="H448" s="4"/>
      <c r="L448" s="4">
        <f>SUM(L446:L447)</f>
        <v>12738</v>
      </c>
      <c r="N448" s="38"/>
    </row>
    <row r="450" spans="1:16" x14ac:dyDescent="0.3">
      <c r="A450" s="5">
        <v>44816</v>
      </c>
      <c r="B450" s="3" t="s">
        <v>546</v>
      </c>
      <c r="C450" s="3" t="s">
        <v>452</v>
      </c>
      <c r="D450" s="3">
        <v>2</v>
      </c>
      <c r="E450" s="3" t="s">
        <v>54</v>
      </c>
      <c r="F450" s="3" t="s">
        <v>547</v>
      </c>
      <c r="G450" s="3" t="s">
        <v>20</v>
      </c>
      <c r="H450" s="3">
        <v>5774</v>
      </c>
      <c r="I450" s="3">
        <v>138</v>
      </c>
      <c r="J450" s="3">
        <v>138</v>
      </c>
      <c r="L450" s="4">
        <v>4498</v>
      </c>
      <c r="M450" s="3">
        <v>1000</v>
      </c>
      <c r="N450" s="38">
        <v>44817</v>
      </c>
      <c r="O450" s="5">
        <v>44817</v>
      </c>
      <c r="P450" s="3" t="s">
        <v>548</v>
      </c>
    </row>
    <row r="452" spans="1:16" x14ac:dyDescent="0.3">
      <c r="A452" s="5">
        <v>44817</v>
      </c>
      <c r="B452" s="3" t="s">
        <v>551</v>
      </c>
      <c r="C452" s="3" t="s">
        <v>457</v>
      </c>
      <c r="D452" s="3">
        <v>1</v>
      </c>
      <c r="E452" s="3" t="s">
        <v>54</v>
      </c>
      <c r="F452" s="3" t="s">
        <v>26</v>
      </c>
      <c r="G452" s="3" t="s">
        <v>10</v>
      </c>
      <c r="H452" s="4">
        <v>10803</v>
      </c>
      <c r="I452" s="3">
        <v>54</v>
      </c>
      <c r="J452" s="3">
        <v>54</v>
      </c>
      <c r="L452" s="3">
        <v>5110</v>
      </c>
      <c r="M452" s="3">
        <v>600</v>
      </c>
      <c r="N452" s="38">
        <v>44818</v>
      </c>
      <c r="O452" s="5">
        <v>44818</v>
      </c>
      <c r="P452" s="3" t="s">
        <v>550</v>
      </c>
    </row>
    <row r="453" spans="1:16" x14ac:dyDescent="0.3">
      <c r="L453" s="3">
        <v>4985</v>
      </c>
      <c r="P453" s="3" t="s">
        <v>549</v>
      </c>
    </row>
    <row r="454" spans="1:16" x14ac:dyDescent="0.3">
      <c r="L454" s="4">
        <f>SUM(L452:L453)</f>
        <v>10095</v>
      </c>
    </row>
    <row r="456" spans="1:16" x14ac:dyDescent="0.3">
      <c r="A456" s="5">
        <v>44817</v>
      </c>
      <c r="B456" s="3" t="s">
        <v>552</v>
      </c>
      <c r="C456" s="3" t="s">
        <v>560</v>
      </c>
      <c r="D456" s="3">
        <v>6</v>
      </c>
      <c r="F456" s="3" t="s">
        <v>59</v>
      </c>
      <c r="G456" s="3" t="s">
        <v>10</v>
      </c>
      <c r="H456" s="3">
        <v>3000</v>
      </c>
      <c r="I456" s="3">
        <v>72</v>
      </c>
      <c r="J456" s="3">
        <v>72</v>
      </c>
      <c r="L456" s="3">
        <f>55842-53166</f>
        <v>2676</v>
      </c>
      <c r="M456" s="3">
        <v>180</v>
      </c>
      <c r="N456" s="25" t="s">
        <v>561</v>
      </c>
      <c r="O456" s="5" t="s">
        <v>527</v>
      </c>
      <c r="P456" s="3" t="s">
        <v>521</v>
      </c>
    </row>
    <row r="457" spans="1:16" x14ac:dyDescent="0.3">
      <c r="N457" s="25" t="s">
        <v>562</v>
      </c>
    </row>
    <row r="459" spans="1:16" x14ac:dyDescent="0.3">
      <c r="A459" s="5">
        <v>44819</v>
      </c>
      <c r="B459" s="3" t="s">
        <v>555</v>
      </c>
      <c r="C459" s="3" t="s">
        <v>563</v>
      </c>
      <c r="D459" s="3">
        <v>1</v>
      </c>
      <c r="F459" s="3" t="s">
        <v>26</v>
      </c>
      <c r="G459" s="3" t="s">
        <v>10</v>
      </c>
      <c r="H459" s="4">
        <v>165500</v>
      </c>
      <c r="I459" s="3">
        <v>101</v>
      </c>
      <c r="J459" s="3">
        <v>101</v>
      </c>
      <c r="L459" s="4">
        <v>164182</v>
      </c>
      <c r="M459" s="3">
        <v>1116</v>
      </c>
      <c r="N459" s="38">
        <v>44823</v>
      </c>
      <c r="O459" s="5">
        <v>44820</v>
      </c>
      <c r="P459" s="3" t="s">
        <v>564</v>
      </c>
    </row>
    <row r="461" spans="1:16" x14ac:dyDescent="0.3">
      <c r="A461" s="5">
        <v>44819</v>
      </c>
      <c r="B461" s="3" t="s">
        <v>567</v>
      </c>
      <c r="C461" s="3" t="s">
        <v>49</v>
      </c>
      <c r="D461" s="3">
        <v>4</v>
      </c>
      <c r="F461" s="3" t="s">
        <v>7</v>
      </c>
      <c r="G461" s="3" t="s">
        <v>10</v>
      </c>
      <c r="H461" s="3">
        <v>27332</v>
      </c>
      <c r="I461" s="3">
        <v>421</v>
      </c>
      <c r="J461" s="3">
        <v>421</v>
      </c>
      <c r="L461" s="3">
        <v>24068</v>
      </c>
      <c r="M461" s="3">
        <v>4668</v>
      </c>
      <c r="N461" s="38">
        <v>44819</v>
      </c>
      <c r="O461" s="5">
        <v>44820</v>
      </c>
      <c r="P461" s="3" t="s">
        <v>566</v>
      </c>
    </row>
    <row r="462" spans="1:16" x14ac:dyDescent="0.3">
      <c r="H462" s="3">
        <v>28688</v>
      </c>
      <c r="L462" s="3">
        <v>26442</v>
      </c>
      <c r="P462" s="3" t="s">
        <v>565</v>
      </c>
    </row>
    <row r="463" spans="1:16" x14ac:dyDescent="0.3">
      <c r="H463" s="4">
        <f>SUM(H461:H462)</f>
        <v>56020</v>
      </c>
      <c r="L463" s="4">
        <f>SUM(L461:L462)</f>
        <v>50510</v>
      </c>
    </row>
    <row r="465" spans="1:16" x14ac:dyDescent="0.3">
      <c r="A465" s="5">
        <v>44819</v>
      </c>
      <c r="B465" s="3" t="s">
        <v>570</v>
      </c>
      <c r="C465" s="3" t="s">
        <v>452</v>
      </c>
      <c r="D465" s="3">
        <v>1</v>
      </c>
      <c r="E465" s="3" t="s">
        <v>54</v>
      </c>
      <c r="F465" s="3" t="s">
        <v>26</v>
      </c>
      <c r="G465" s="3" t="s">
        <v>10</v>
      </c>
      <c r="H465" s="3">
        <v>1036</v>
      </c>
      <c r="I465" s="3">
        <v>378</v>
      </c>
      <c r="J465" s="3">
        <v>378</v>
      </c>
      <c r="L465" s="3">
        <v>800</v>
      </c>
      <c r="M465" s="3">
        <v>4200</v>
      </c>
      <c r="N465" s="38">
        <v>44820</v>
      </c>
      <c r="O465" s="5">
        <v>44820</v>
      </c>
      <c r="P465" s="3" t="s">
        <v>554</v>
      </c>
    </row>
    <row r="466" spans="1:16" x14ac:dyDescent="0.3">
      <c r="A466" s="5"/>
      <c r="C466" s="3" t="s">
        <v>568</v>
      </c>
      <c r="D466" s="3">
        <v>4</v>
      </c>
      <c r="H466" s="3">
        <v>86383</v>
      </c>
      <c r="L466" s="3">
        <v>81663</v>
      </c>
      <c r="P466" s="3" t="s">
        <v>569</v>
      </c>
    </row>
    <row r="467" spans="1:16" x14ac:dyDescent="0.3">
      <c r="A467" s="5"/>
      <c r="H467" s="4">
        <f>SUM(H465:H466)</f>
        <v>87419</v>
      </c>
      <c r="L467" s="4">
        <f>SUM(L465:L466)</f>
        <v>82463</v>
      </c>
    </row>
    <row r="468" spans="1:16" x14ac:dyDescent="0.3">
      <c r="O468" s="5"/>
    </row>
    <row r="469" spans="1:16" x14ac:dyDescent="0.3">
      <c r="A469" s="5">
        <v>44820</v>
      </c>
      <c r="B469" s="3" t="s">
        <v>571</v>
      </c>
      <c r="C469" s="3" t="s">
        <v>553</v>
      </c>
      <c r="D469" s="3">
        <v>4</v>
      </c>
      <c r="E469" s="3" t="s">
        <v>54</v>
      </c>
      <c r="F469" s="3" t="s">
        <v>22</v>
      </c>
      <c r="G469" s="3" t="s">
        <v>50</v>
      </c>
      <c r="H469" s="4">
        <f>6636*4</f>
        <v>26544</v>
      </c>
      <c r="I469" s="3">
        <v>77</v>
      </c>
      <c r="J469" s="3">
        <v>77</v>
      </c>
      <c r="L469" s="4">
        <f>6386*4</f>
        <v>25544</v>
      </c>
      <c r="M469" s="3">
        <v>846</v>
      </c>
      <c r="N469" s="38">
        <v>44824</v>
      </c>
      <c r="O469" s="5">
        <v>44821</v>
      </c>
    </row>
    <row r="471" spans="1:16" x14ac:dyDescent="0.3">
      <c r="A471" s="5">
        <v>44824</v>
      </c>
      <c r="B471" s="3" t="s">
        <v>572</v>
      </c>
      <c r="C471" s="3" t="s">
        <v>452</v>
      </c>
      <c r="D471" s="3">
        <v>2</v>
      </c>
      <c r="E471" s="3" t="s">
        <v>54</v>
      </c>
      <c r="F471" s="3" t="s">
        <v>26</v>
      </c>
      <c r="G471" s="3" t="s">
        <v>10</v>
      </c>
      <c r="H471" s="4">
        <v>23883</v>
      </c>
      <c r="I471" s="3">
        <f>M471*9%</f>
        <v>144</v>
      </c>
      <c r="J471" s="3">
        <f>I471</f>
        <v>144</v>
      </c>
      <c r="L471" s="3">
        <v>10266</v>
      </c>
      <c r="M471" s="3">
        <f>1200+400</f>
        <v>1600</v>
      </c>
      <c r="N471" s="38">
        <v>44827</v>
      </c>
      <c r="O471" s="5">
        <v>44829</v>
      </c>
      <c r="P471" s="3" t="s">
        <v>574</v>
      </c>
    </row>
    <row r="472" spans="1:16" x14ac:dyDescent="0.3">
      <c r="L472" s="3">
        <v>10129</v>
      </c>
      <c r="P472" s="3" t="s">
        <v>573</v>
      </c>
    </row>
    <row r="473" spans="1:16" x14ac:dyDescent="0.3">
      <c r="L473" s="3">
        <v>800</v>
      </c>
      <c r="P473" s="3" t="s">
        <v>580</v>
      </c>
    </row>
    <row r="474" spans="1:16" x14ac:dyDescent="0.3">
      <c r="L474" s="3">
        <v>800</v>
      </c>
      <c r="P474" s="3" t="s">
        <v>581</v>
      </c>
    </row>
    <row r="475" spans="1:16" x14ac:dyDescent="0.3">
      <c r="H475" s="4"/>
      <c r="L475" s="4">
        <f>SUM(L471:L474)</f>
        <v>21995</v>
      </c>
    </row>
    <row r="476" spans="1:16" x14ac:dyDescent="0.3">
      <c r="G476" s="34"/>
    </row>
    <row r="477" spans="1:16" x14ac:dyDescent="0.3">
      <c r="A477" s="5"/>
      <c r="H477" s="4"/>
      <c r="O477" s="5"/>
    </row>
    <row r="478" spans="1:16" x14ac:dyDescent="0.3">
      <c r="A478" s="5">
        <v>44828</v>
      </c>
      <c r="B478" s="3" t="s">
        <v>576</v>
      </c>
      <c r="C478" s="3" t="s">
        <v>452</v>
      </c>
      <c r="D478" s="3">
        <v>2</v>
      </c>
      <c r="E478" s="3" t="s">
        <v>54</v>
      </c>
      <c r="F478" s="3" t="s">
        <v>547</v>
      </c>
      <c r="G478" s="3" t="s">
        <v>20</v>
      </c>
      <c r="H478" s="3">
        <v>12627</v>
      </c>
      <c r="I478" s="3">
        <v>301</v>
      </c>
      <c r="J478" s="3">
        <v>301</v>
      </c>
      <c r="L478" s="3">
        <v>4895</v>
      </c>
      <c r="M478" s="3">
        <v>2000</v>
      </c>
      <c r="N478" s="38">
        <v>44830</v>
      </c>
      <c r="O478" s="5">
        <v>44829</v>
      </c>
      <c r="P478" s="3" t="s">
        <v>579</v>
      </c>
    </row>
    <row r="479" spans="1:16" x14ac:dyDescent="0.3">
      <c r="H479" s="4"/>
      <c r="L479" s="3">
        <v>5130</v>
      </c>
      <c r="O479" s="4"/>
      <c r="P479" s="3" t="s">
        <v>578</v>
      </c>
    </row>
    <row r="480" spans="1:16" x14ac:dyDescent="0.3">
      <c r="H480" s="4"/>
      <c r="L480" s="4">
        <f>SUM(L478:L479)</f>
        <v>10025</v>
      </c>
    </row>
    <row r="481" spans="1:16" x14ac:dyDescent="0.3">
      <c r="A481" s="5"/>
      <c r="C481" s="37"/>
      <c r="H481" s="4"/>
      <c r="O481" s="5"/>
    </row>
    <row r="482" spans="1:16" s="10" customFormat="1" x14ac:dyDescent="0.3">
      <c r="A482" s="9">
        <v>44828</v>
      </c>
      <c r="B482" s="10" t="s">
        <v>617</v>
      </c>
      <c r="C482" s="10" t="s">
        <v>577</v>
      </c>
      <c r="D482" s="10">
        <v>1</v>
      </c>
      <c r="F482" s="10" t="s">
        <v>26</v>
      </c>
      <c r="G482" s="10" t="s">
        <v>10</v>
      </c>
      <c r="H482" s="10">
        <v>103350</v>
      </c>
      <c r="K482" s="10">
        <v>940</v>
      </c>
      <c r="L482" s="10">
        <v>97192</v>
      </c>
      <c r="M482" s="10">
        <v>5218</v>
      </c>
      <c r="N482" s="70">
        <v>12857</v>
      </c>
      <c r="P482" s="10" t="s">
        <v>620</v>
      </c>
    </row>
    <row r="483" spans="1:16" x14ac:dyDescent="0.3">
      <c r="H483" s="3" t="s">
        <v>588</v>
      </c>
      <c r="L483" s="4"/>
      <c r="N483" s="25">
        <f>N482-L482</f>
        <v>-84335</v>
      </c>
    </row>
    <row r="484" spans="1:16" x14ac:dyDescent="0.3">
      <c r="L484" s="4"/>
    </row>
    <row r="485" spans="1:16" ht="26.4" x14ac:dyDescent="0.3">
      <c r="A485" s="5">
        <v>44830</v>
      </c>
      <c r="B485" s="3" t="s">
        <v>583</v>
      </c>
      <c r="C485" s="3" t="s">
        <v>584</v>
      </c>
      <c r="D485" s="3">
        <v>1</v>
      </c>
      <c r="E485" s="3" t="s">
        <v>54</v>
      </c>
      <c r="F485" s="3" t="s">
        <v>26</v>
      </c>
      <c r="G485" s="3" t="s">
        <v>10</v>
      </c>
      <c r="H485" s="4">
        <v>36880</v>
      </c>
      <c r="I485" s="3">
        <f>M485*9%</f>
        <v>108</v>
      </c>
      <c r="J485" s="3">
        <f>I485</f>
        <v>108</v>
      </c>
      <c r="L485" s="3">
        <v>8427</v>
      </c>
      <c r="M485" s="3">
        <v>1200</v>
      </c>
      <c r="N485" s="38">
        <v>44832</v>
      </c>
      <c r="O485" s="38" t="s">
        <v>622</v>
      </c>
      <c r="P485" s="3" t="s">
        <v>582</v>
      </c>
    </row>
    <row r="486" spans="1:16" x14ac:dyDescent="0.3">
      <c r="L486" s="3">
        <v>12300</v>
      </c>
      <c r="O486" s="3" t="s">
        <v>620</v>
      </c>
      <c r="P486" s="3" t="s">
        <v>585</v>
      </c>
    </row>
    <row r="487" spans="1:16" x14ac:dyDescent="0.3">
      <c r="C487" s="3" t="s">
        <v>603</v>
      </c>
      <c r="L487" s="3">
        <v>7866</v>
      </c>
      <c r="O487" s="3" t="s">
        <v>623</v>
      </c>
      <c r="P487" s="3" t="s">
        <v>586</v>
      </c>
    </row>
    <row r="488" spans="1:16" x14ac:dyDescent="0.3">
      <c r="L488" s="3">
        <v>6871</v>
      </c>
      <c r="P488" s="3" t="s">
        <v>587</v>
      </c>
    </row>
    <row r="489" spans="1:16" x14ac:dyDescent="0.3">
      <c r="A489" s="5"/>
      <c r="H489" s="4"/>
      <c r="L489" s="4">
        <f>SUM(L485:L488)</f>
        <v>35464</v>
      </c>
      <c r="O489" s="5"/>
    </row>
    <row r="492" spans="1:16" x14ac:dyDescent="0.3">
      <c r="A492" s="5">
        <v>44830</v>
      </c>
      <c r="B492" s="3" t="s">
        <v>589</v>
      </c>
      <c r="C492" s="3" t="s">
        <v>366</v>
      </c>
      <c r="D492" s="3">
        <v>1</v>
      </c>
      <c r="E492" s="3" t="s">
        <v>367</v>
      </c>
      <c r="F492" s="3" t="s">
        <v>26</v>
      </c>
      <c r="G492" s="3" t="s">
        <v>10</v>
      </c>
      <c r="H492" s="4">
        <v>49023</v>
      </c>
      <c r="I492" s="3">
        <f>M492*9%</f>
        <v>180</v>
      </c>
      <c r="J492" s="3">
        <v>180</v>
      </c>
      <c r="L492" s="4">
        <v>46663</v>
      </c>
      <c r="M492" s="3">
        <v>2000</v>
      </c>
      <c r="N492" s="47" t="s">
        <v>616</v>
      </c>
      <c r="O492" s="5">
        <v>44836</v>
      </c>
      <c r="P492" s="3" t="s">
        <v>590</v>
      </c>
    </row>
    <row r="493" spans="1:16" x14ac:dyDescent="0.3">
      <c r="L493" s="4"/>
    </row>
    <row r="495" spans="1:16" x14ac:dyDescent="0.3">
      <c r="A495" s="5">
        <v>44832</v>
      </c>
      <c r="B495" s="3" t="s">
        <v>591</v>
      </c>
      <c r="C495" s="3" t="s">
        <v>457</v>
      </c>
      <c r="D495" s="3">
        <v>1</v>
      </c>
      <c r="E495" s="3" t="s">
        <v>54</v>
      </c>
      <c r="F495" s="3" t="s">
        <v>26</v>
      </c>
      <c r="G495" s="3" t="s">
        <v>10</v>
      </c>
      <c r="H495" s="4">
        <v>71133</v>
      </c>
      <c r="I495" s="3">
        <f>M495*9%</f>
        <v>225</v>
      </c>
      <c r="J495" s="3">
        <f>I495</f>
        <v>225</v>
      </c>
      <c r="L495" s="3">
        <v>7330</v>
      </c>
      <c r="M495" s="3">
        <v>2500</v>
      </c>
      <c r="N495" s="38" t="s">
        <v>646</v>
      </c>
      <c r="O495" s="5">
        <v>44836</v>
      </c>
      <c r="P495" s="3" t="s">
        <v>593</v>
      </c>
    </row>
    <row r="496" spans="1:16" x14ac:dyDescent="0.3">
      <c r="L496" s="3">
        <v>6924</v>
      </c>
      <c r="P496" s="3" t="s">
        <v>592</v>
      </c>
    </row>
    <row r="497" spans="1:16" x14ac:dyDescent="0.3">
      <c r="C497" s="3" t="s">
        <v>596</v>
      </c>
      <c r="F497" s="21"/>
      <c r="L497" s="3">
        <v>3855</v>
      </c>
      <c r="P497" s="3" t="s">
        <v>595</v>
      </c>
    </row>
    <row r="498" spans="1:16" x14ac:dyDescent="0.3">
      <c r="L498" s="3">
        <v>3759</v>
      </c>
      <c r="P498" s="3" t="s">
        <v>594</v>
      </c>
    </row>
    <row r="499" spans="1:16" x14ac:dyDescent="0.3">
      <c r="C499" s="3" t="s">
        <v>597</v>
      </c>
      <c r="F499" s="21"/>
      <c r="L499" s="3">
        <v>28515</v>
      </c>
      <c r="P499" s="3" t="s">
        <v>598</v>
      </c>
    </row>
    <row r="500" spans="1:16" x14ac:dyDescent="0.3">
      <c r="C500" s="3" t="s">
        <v>606</v>
      </c>
      <c r="F500" s="21"/>
      <c r="L500" s="3">
        <v>17800</v>
      </c>
      <c r="P500" s="3" t="s">
        <v>607</v>
      </c>
    </row>
    <row r="501" spans="1:16" x14ac:dyDescent="0.3">
      <c r="L501" s="4">
        <f>SUM(L495:L500)</f>
        <v>68183</v>
      </c>
    </row>
    <row r="504" spans="1:16" x14ac:dyDescent="0.3">
      <c r="A504" s="5">
        <v>44833</v>
      </c>
      <c r="B504" s="3" t="s">
        <v>600</v>
      </c>
      <c r="C504" s="3" t="s">
        <v>624</v>
      </c>
      <c r="D504" s="3">
        <v>1</v>
      </c>
      <c r="E504" s="3" t="s">
        <v>60</v>
      </c>
      <c r="F504" s="3" t="s">
        <v>26</v>
      </c>
      <c r="G504" s="3" t="s">
        <v>10</v>
      </c>
      <c r="H504" s="4">
        <v>58766</v>
      </c>
      <c r="I504" s="3">
        <f>M504*9%</f>
        <v>180</v>
      </c>
      <c r="J504" s="3">
        <f>I504</f>
        <v>180</v>
      </c>
      <c r="L504" s="4">
        <v>56406</v>
      </c>
      <c r="M504" s="3">
        <v>2000</v>
      </c>
      <c r="N504" s="25" t="s">
        <v>645</v>
      </c>
      <c r="O504" s="5">
        <v>44836</v>
      </c>
      <c r="P504" s="3" t="s">
        <v>599</v>
      </c>
    </row>
    <row r="506" spans="1:16" x14ac:dyDescent="0.3">
      <c r="A506" s="5">
        <v>44833</v>
      </c>
      <c r="B506" s="3" t="s">
        <v>608</v>
      </c>
      <c r="C506" s="3" t="s">
        <v>601</v>
      </c>
      <c r="D506" s="3">
        <v>1</v>
      </c>
      <c r="E506" s="3" t="s">
        <v>54</v>
      </c>
      <c r="F506" s="3" t="s">
        <v>22</v>
      </c>
      <c r="G506" s="3" t="s">
        <v>50</v>
      </c>
      <c r="H506" s="3">
        <v>9406</v>
      </c>
      <c r="I506" s="3">
        <f>M506*9%</f>
        <v>225</v>
      </c>
      <c r="J506" s="3">
        <f>I506</f>
        <v>225</v>
      </c>
      <c r="L506" s="3">
        <v>6456</v>
      </c>
      <c r="M506" s="3">
        <v>2500</v>
      </c>
      <c r="N506" s="38" t="s">
        <v>646</v>
      </c>
      <c r="O506" s="5">
        <v>44833</v>
      </c>
    </row>
    <row r="508" spans="1:16" x14ac:dyDescent="0.3">
      <c r="A508" s="5">
        <v>44834</v>
      </c>
      <c r="B508" s="3" t="s">
        <v>609</v>
      </c>
      <c r="C508" s="3" t="s">
        <v>605</v>
      </c>
      <c r="D508" s="3">
        <v>2</v>
      </c>
      <c r="E508" s="3" t="s">
        <v>60</v>
      </c>
      <c r="F508" s="3" t="s">
        <v>22</v>
      </c>
      <c r="G508" s="3" t="s">
        <v>50</v>
      </c>
      <c r="H508" s="4">
        <v>18200</v>
      </c>
      <c r="I508" s="3">
        <v>450</v>
      </c>
      <c r="J508" s="3">
        <v>450</v>
      </c>
      <c r="L508" s="4">
        <v>12300</v>
      </c>
      <c r="M508" s="3">
        <v>5000</v>
      </c>
      <c r="N508" s="25" t="s">
        <v>645</v>
      </c>
      <c r="O508" s="5">
        <v>44834</v>
      </c>
    </row>
    <row r="510" spans="1:16" x14ac:dyDescent="0.3">
      <c r="A510" s="5">
        <v>44835</v>
      </c>
      <c r="B510" s="3" t="s">
        <v>612</v>
      </c>
      <c r="C510" s="3" t="s">
        <v>610</v>
      </c>
      <c r="D510" s="3">
        <v>1</v>
      </c>
      <c r="E510" s="3" t="s">
        <v>54</v>
      </c>
      <c r="F510" s="3" t="s">
        <v>24</v>
      </c>
      <c r="G510" s="3" t="s">
        <v>611</v>
      </c>
      <c r="H510" s="4">
        <v>9020</v>
      </c>
      <c r="I510" s="3">
        <v>90</v>
      </c>
      <c r="J510" s="3">
        <v>90</v>
      </c>
      <c r="L510" s="4">
        <v>7840</v>
      </c>
      <c r="M510" s="3">
        <v>1000</v>
      </c>
      <c r="N510" s="38" t="s">
        <v>646</v>
      </c>
      <c r="O510" s="5">
        <v>44835</v>
      </c>
    </row>
    <row r="512" spans="1:16" x14ac:dyDescent="0.3">
      <c r="A512" s="5">
        <v>44835</v>
      </c>
      <c r="B512" s="3" t="s">
        <v>613</v>
      </c>
      <c r="C512" s="3" t="s">
        <v>614</v>
      </c>
      <c r="D512" s="3">
        <v>5</v>
      </c>
      <c r="E512" s="3" t="s">
        <v>13</v>
      </c>
      <c r="F512" s="3" t="s">
        <v>14</v>
      </c>
      <c r="G512" s="3" t="s">
        <v>20</v>
      </c>
      <c r="H512" s="3">
        <v>228500</v>
      </c>
      <c r="I512" s="3">
        <v>5441</v>
      </c>
      <c r="J512" s="3">
        <v>5441</v>
      </c>
      <c r="L512" s="3">
        <v>193700</v>
      </c>
      <c r="M512" s="3">
        <v>23918</v>
      </c>
      <c r="N512" s="25" t="s">
        <v>625</v>
      </c>
      <c r="O512" s="3" t="s">
        <v>631</v>
      </c>
    </row>
    <row r="513" spans="1:16" x14ac:dyDescent="0.3">
      <c r="I513" s="34"/>
      <c r="N513" s="25" t="s">
        <v>743</v>
      </c>
      <c r="O513" s="3" t="s">
        <v>744</v>
      </c>
    </row>
    <row r="514" spans="1:16" x14ac:dyDescent="0.3">
      <c r="N514" s="25" t="s">
        <v>827</v>
      </c>
      <c r="O514" s="3" t="s">
        <v>838</v>
      </c>
    </row>
    <row r="516" spans="1:16" x14ac:dyDescent="0.3">
      <c r="A516" s="5">
        <v>44836</v>
      </c>
      <c r="B516" s="3" t="s">
        <v>627</v>
      </c>
      <c r="C516" s="3" t="s">
        <v>628</v>
      </c>
      <c r="D516" s="3">
        <v>1</v>
      </c>
      <c r="E516" s="3" t="s">
        <v>54</v>
      </c>
      <c r="F516" s="3" t="s">
        <v>26</v>
      </c>
      <c r="G516" s="3" t="s">
        <v>10</v>
      </c>
      <c r="H516" s="4">
        <v>562097</v>
      </c>
      <c r="I516" s="3">
        <f>M516*9%</f>
        <v>225</v>
      </c>
      <c r="J516" s="3">
        <f>I516</f>
        <v>225</v>
      </c>
      <c r="L516" s="4">
        <v>559147</v>
      </c>
      <c r="M516" s="3">
        <v>2500</v>
      </c>
      <c r="N516" s="38" t="s">
        <v>646</v>
      </c>
      <c r="O516" s="3" t="s">
        <v>643</v>
      </c>
      <c r="P516" s="3" t="s">
        <v>629</v>
      </c>
    </row>
    <row r="517" spans="1:16" x14ac:dyDescent="0.3">
      <c r="A517" s="5"/>
      <c r="H517" s="4"/>
      <c r="L517" s="4"/>
      <c r="O517" s="3" t="s">
        <v>644</v>
      </c>
    </row>
    <row r="518" spans="1:16" ht="52.8" x14ac:dyDescent="0.3">
      <c r="A518" s="5"/>
      <c r="O518" s="25" t="s">
        <v>642</v>
      </c>
    </row>
    <row r="519" spans="1:16" x14ac:dyDescent="0.3">
      <c r="A519" s="5"/>
    </row>
    <row r="520" spans="1:16" s="10" customFormat="1" ht="26.4" x14ac:dyDescent="0.3">
      <c r="A520" s="9">
        <v>44837</v>
      </c>
      <c r="B520" s="10" t="s">
        <v>632</v>
      </c>
      <c r="C520" s="10" t="s">
        <v>633</v>
      </c>
      <c r="D520" s="10">
        <v>2</v>
      </c>
      <c r="F520" s="10" t="s">
        <v>26</v>
      </c>
      <c r="G520" s="10" t="s">
        <v>10</v>
      </c>
      <c r="H520" s="10">
        <f>5400+5400+6744+5744</f>
        <v>23288</v>
      </c>
      <c r="L520" s="10">
        <f>5400+5400+6744+5744</f>
        <v>23288</v>
      </c>
      <c r="N520" s="70"/>
      <c r="O520" s="70" t="s">
        <v>647</v>
      </c>
      <c r="P520" s="39" t="s">
        <v>634</v>
      </c>
    </row>
    <row r="521" spans="1:16" s="10" customFormat="1" x14ac:dyDescent="0.3">
      <c r="A521" s="9"/>
      <c r="N521" s="70"/>
      <c r="P521" s="39" t="s">
        <v>635</v>
      </c>
    </row>
    <row r="522" spans="1:16" s="10" customFormat="1" x14ac:dyDescent="0.3">
      <c r="A522" s="9"/>
      <c r="N522" s="70"/>
      <c r="P522" s="39" t="s">
        <v>636</v>
      </c>
    </row>
    <row r="523" spans="1:16" s="10" customFormat="1" x14ac:dyDescent="0.3">
      <c r="A523" s="9"/>
      <c r="N523" s="70"/>
      <c r="P523" s="39" t="s">
        <v>637</v>
      </c>
    </row>
    <row r="524" spans="1:16" s="10" customFormat="1" x14ac:dyDescent="0.3">
      <c r="A524" s="9"/>
      <c r="N524" s="70"/>
    </row>
    <row r="525" spans="1:16" x14ac:dyDescent="0.3">
      <c r="A525" s="5">
        <v>44837</v>
      </c>
      <c r="B525" s="3" t="s">
        <v>638</v>
      </c>
      <c r="C525" s="3" t="s">
        <v>49</v>
      </c>
      <c r="D525" s="3">
        <v>2</v>
      </c>
      <c r="F525" s="3" t="s">
        <v>26</v>
      </c>
      <c r="G525" s="3" t="s">
        <v>10</v>
      </c>
      <c r="H525" s="4">
        <v>14152</v>
      </c>
      <c r="I525" s="3">
        <v>735</v>
      </c>
      <c r="J525" s="3">
        <v>735</v>
      </c>
      <c r="L525" s="4">
        <f>4278+236</f>
        <v>4514</v>
      </c>
      <c r="M525" s="3">
        <v>8168</v>
      </c>
      <c r="N525" s="25" t="s">
        <v>639</v>
      </c>
      <c r="O525" s="3" t="s">
        <v>641</v>
      </c>
      <c r="P525" s="3" t="s">
        <v>640</v>
      </c>
    </row>
    <row r="526" spans="1:16" x14ac:dyDescent="0.3">
      <c r="A526" s="5"/>
    </row>
    <row r="527" spans="1:16" x14ac:dyDescent="0.3">
      <c r="A527" s="5">
        <v>44837</v>
      </c>
      <c r="B527" s="69" t="s">
        <v>648</v>
      </c>
      <c r="C527" s="3" t="s">
        <v>615</v>
      </c>
      <c r="D527" s="3">
        <v>2</v>
      </c>
      <c r="E527" s="3" t="s">
        <v>54</v>
      </c>
      <c r="F527" s="3" t="s">
        <v>9</v>
      </c>
      <c r="G527" s="3" t="s">
        <v>20</v>
      </c>
      <c r="H527" s="4">
        <v>14798</v>
      </c>
      <c r="I527" s="3">
        <v>353</v>
      </c>
      <c r="J527" s="3">
        <v>353</v>
      </c>
      <c r="L527" s="3">
        <v>5271</v>
      </c>
      <c r="M527" s="3">
        <v>2500</v>
      </c>
      <c r="N527" s="25" t="s">
        <v>687</v>
      </c>
      <c r="O527" s="5">
        <v>44840</v>
      </c>
    </row>
    <row r="528" spans="1:16" x14ac:dyDescent="0.3">
      <c r="L528" s="3">
        <v>6321</v>
      </c>
    </row>
    <row r="529" spans="1:16" x14ac:dyDescent="0.3">
      <c r="L529" s="4">
        <f>SUM(L527:L528)</f>
        <v>11592</v>
      </c>
    </row>
    <row r="530" spans="1:16" x14ac:dyDescent="0.3">
      <c r="L530" s="4"/>
    </row>
    <row r="531" spans="1:16" x14ac:dyDescent="0.3">
      <c r="A531" s="5">
        <v>44838</v>
      </c>
      <c r="B531" s="3" t="s">
        <v>651</v>
      </c>
      <c r="C531" s="3" t="s">
        <v>46</v>
      </c>
      <c r="D531" s="3">
        <v>1</v>
      </c>
      <c r="F531" s="3" t="s">
        <v>26</v>
      </c>
      <c r="G531" s="3" t="s">
        <v>10</v>
      </c>
      <c r="H531" s="4">
        <v>114244</v>
      </c>
      <c r="I531" s="3">
        <v>90</v>
      </c>
      <c r="J531" s="3">
        <v>90</v>
      </c>
      <c r="L531" s="4">
        <v>113064</v>
      </c>
      <c r="M531" s="3">
        <v>1000</v>
      </c>
      <c r="N531" s="38">
        <v>44838</v>
      </c>
      <c r="O531" s="5">
        <v>44840</v>
      </c>
      <c r="P531" s="3" t="s">
        <v>649</v>
      </c>
    </row>
    <row r="532" spans="1:16" x14ac:dyDescent="0.3">
      <c r="A532" s="5"/>
    </row>
    <row r="533" spans="1:16" x14ac:dyDescent="0.3">
      <c r="A533" s="5">
        <v>44838</v>
      </c>
      <c r="B533" s="3" t="s">
        <v>654</v>
      </c>
      <c r="C533" s="3" t="s">
        <v>652</v>
      </c>
      <c r="D533" s="3">
        <v>2</v>
      </c>
      <c r="E533" s="3" t="s">
        <v>54</v>
      </c>
      <c r="F533" s="3" t="s">
        <v>26</v>
      </c>
      <c r="G533" s="3" t="s">
        <v>10</v>
      </c>
      <c r="H533" s="4">
        <v>59434</v>
      </c>
      <c r="I533" s="3">
        <f>M533*9%</f>
        <v>432</v>
      </c>
      <c r="J533" s="3">
        <f>I533</f>
        <v>432</v>
      </c>
      <c r="L533" s="3">
        <v>14243</v>
      </c>
      <c r="M533" s="3">
        <v>4800</v>
      </c>
      <c r="N533" s="25" t="s">
        <v>687</v>
      </c>
      <c r="O533" s="3" t="s">
        <v>669</v>
      </c>
      <c r="P533" s="3" t="s">
        <v>650</v>
      </c>
    </row>
    <row r="534" spans="1:16" x14ac:dyDescent="0.3">
      <c r="A534" s="5"/>
      <c r="C534" s="3" t="s">
        <v>655</v>
      </c>
      <c r="L534" s="3">
        <v>13847</v>
      </c>
      <c r="O534" s="3" t="s">
        <v>688</v>
      </c>
      <c r="P534" s="3" t="s">
        <v>653</v>
      </c>
    </row>
    <row r="535" spans="1:16" x14ac:dyDescent="0.3">
      <c r="A535" s="5"/>
      <c r="C535" s="3" t="s">
        <v>678</v>
      </c>
      <c r="L535" s="3">
        <v>500</v>
      </c>
      <c r="O535" s="31">
        <v>2978</v>
      </c>
      <c r="P535" s="3" t="s">
        <v>658</v>
      </c>
    </row>
    <row r="536" spans="1:16" s="10" customFormat="1" x14ac:dyDescent="0.3">
      <c r="A536" s="9"/>
      <c r="L536" s="3">
        <v>500</v>
      </c>
      <c r="N536" s="70"/>
      <c r="P536" s="3" t="s">
        <v>659</v>
      </c>
    </row>
    <row r="537" spans="1:16" s="10" customFormat="1" x14ac:dyDescent="0.3">
      <c r="A537" s="9"/>
      <c r="L537" s="3">
        <v>236</v>
      </c>
      <c r="N537" s="70"/>
      <c r="P537" s="3" t="s">
        <v>661</v>
      </c>
    </row>
    <row r="538" spans="1:16" s="10" customFormat="1" x14ac:dyDescent="0.3">
      <c r="A538" s="9"/>
      <c r="H538" s="4"/>
      <c r="I538" s="3"/>
      <c r="J538" s="3"/>
      <c r="K538" s="3"/>
      <c r="L538" s="3">
        <f>1200+1200</f>
        <v>2400</v>
      </c>
      <c r="M538" s="3"/>
      <c r="N538" s="70"/>
      <c r="P538" s="3" t="s">
        <v>656</v>
      </c>
    </row>
    <row r="539" spans="1:16" s="10" customFormat="1" x14ac:dyDescent="0.3">
      <c r="A539" s="9"/>
      <c r="H539" s="4"/>
      <c r="I539" s="3"/>
      <c r="J539" s="3"/>
      <c r="K539" s="3"/>
      <c r="L539" s="3">
        <v>818</v>
      </c>
      <c r="M539" s="3"/>
      <c r="N539" s="70"/>
      <c r="P539" s="40" t="s">
        <v>657</v>
      </c>
    </row>
    <row r="540" spans="1:16" s="10" customFormat="1" x14ac:dyDescent="0.3">
      <c r="A540" s="9"/>
      <c r="H540" s="4"/>
      <c r="I540" s="3"/>
      <c r="J540" s="3"/>
      <c r="K540" s="3"/>
      <c r="L540" s="3">
        <f>11528+1200</f>
        <v>12728</v>
      </c>
      <c r="M540" s="3"/>
      <c r="N540" s="70"/>
      <c r="P540" s="41" t="s">
        <v>660</v>
      </c>
    </row>
    <row r="541" spans="1:16" s="10" customFormat="1" x14ac:dyDescent="0.3">
      <c r="A541" s="9"/>
      <c r="H541" s="4"/>
      <c r="I541" s="3"/>
      <c r="J541" s="3"/>
      <c r="K541" s="3"/>
      <c r="L541" s="3">
        <f>2760*2</f>
        <v>5520</v>
      </c>
      <c r="M541" s="3"/>
      <c r="N541" s="70"/>
      <c r="P541" s="41"/>
    </row>
    <row r="542" spans="1:16" s="10" customFormat="1" x14ac:dyDescent="0.3">
      <c r="A542" s="9"/>
      <c r="H542" s="4"/>
      <c r="I542" s="3"/>
      <c r="J542" s="3"/>
      <c r="K542" s="3"/>
      <c r="L542" s="3">
        <v>2978</v>
      </c>
      <c r="M542" s="3"/>
      <c r="N542" s="70"/>
      <c r="O542" s="17"/>
      <c r="P542" s="41"/>
    </row>
    <row r="543" spans="1:16" s="10" customFormat="1" x14ac:dyDescent="0.3">
      <c r="A543" s="9"/>
      <c r="L543" s="4">
        <f>SUM(L533:L542)</f>
        <v>53770</v>
      </c>
      <c r="N543" s="70"/>
    </row>
    <row r="546" spans="1:16" x14ac:dyDescent="0.3">
      <c r="A546" s="5">
        <v>44841</v>
      </c>
      <c r="B546" s="3" t="s">
        <v>666</v>
      </c>
      <c r="C546" s="3" t="s">
        <v>668</v>
      </c>
      <c r="D546" s="3">
        <v>2</v>
      </c>
      <c r="E546" s="3" t="s">
        <v>667</v>
      </c>
      <c r="F546" s="3" t="s">
        <v>26</v>
      </c>
      <c r="G546" s="3" t="s">
        <v>10</v>
      </c>
      <c r="H546" s="4">
        <v>95668</v>
      </c>
      <c r="I546" s="3">
        <v>90</v>
      </c>
      <c r="J546" s="3">
        <v>90</v>
      </c>
      <c r="L546" s="3">
        <v>55594</v>
      </c>
      <c r="M546" s="3">
        <v>1000</v>
      </c>
      <c r="N546" s="25" t="s">
        <v>670</v>
      </c>
      <c r="O546" s="5">
        <v>44841</v>
      </c>
      <c r="P546" s="3" t="s">
        <v>662</v>
      </c>
    </row>
    <row r="547" spans="1:16" x14ac:dyDescent="0.3">
      <c r="L547" s="3">
        <v>14398</v>
      </c>
      <c r="N547" s="25" t="s">
        <v>671</v>
      </c>
      <c r="P547" s="3" t="s">
        <v>663</v>
      </c>
    </row>
    <row r="548" spans="1:16" x14ac:dyDescent="0.3">
      <c r="L548" s="3">
        <v>11500</v>
      </c>
      <c r="P548" s="3" t="s">
        <v>664</v>
      </c>
    </row>
    <row r="549" spans="1:16" x14ac:dyDescent="0.3">
      <c r="L549" s="3">
        <v>12996</v>
      </c>
      <c r="P549" s="3" t="s">
        <v>665</v>
      </c>
    </row>
    <row r="550" spans="1:16" x14ac:dyDescent="0.3">
      <c r="L550" s="4">
        <f>SUM(L546:L549)</f>
        <v>94488</v>
      </c>
    </row>
    <row r="552" spans="1:16" s="42" customFormat="1" x14ac:dyDescent="0.3">
      <c r="A552" s="9">
        <v>44843</v>
      </c>
      <c r="B552" s="10" t="s">
        <v>763</v>
      </c>
      <c r="C552" s="10" t="s">
        <v>771</v>
      </c>
      <c r="D552" s="10"/>
      <c r="E552" s="10"/>
      <c r="F552" s="10" t="s">
        <v>26</v>
      </c>
      <c r="G552" s="10" t="s">
        <v>10</v>
      </c>
      <c r="H552" s="10">
        <v>208732</v>
      </c>
      <c r="I552" s="10"/>
      <c r="J552" s="10"/>
      <c r="K552" s="10"/>
      <c r="L552" s="10">
        <v>208732</v>
      </c>
      <c r="M552" s="10"/>
      <c r="N552" s="70"/>
      <c r="O552" s="70"/>
      <c r="P552" s="42" t="s">
        <v>794</v>
      </c>
    </row>
    <row r="553" spans="1:16" x14ac:dyDescent="0.3">
      <c r="C553" s="3" t="s">
        <v>789</v>
      </c>
    </row>
    <row r="555" spans="1:16" x14ac:dyDescent="0.3">
      <c r="A555" s="5">
        <v>44843</v>
      </c>
      <c r="B555" s="3" t="s">
        <v>672</v>
      </c>
      <c r="C555" s="3" t="s">
        <v>100</v>
      </c>
      <c r="D555" s="3">
        <v>1</v>
      </c>
      <c r="F555" s="3" t="s">
        <v>26</v>
      </c>
      <c r="G555" s="3" t="s">
        <v>10</v>
      </c>
      <c r="H555" s="4">
        <v>287874</v>
      </c>
      <c r="I555" s="3">
        <v>731</v>
      </c>
      <c r="J555" s="3">
        <v>731</v>
      </c>
      <c r="L555" s="4">
        <v>278289</v>
      </c>
      <c r="M555" s="3">
        <v>8123</v>
      </c>
      <c r="N555" s="25" t="s">
        <v>674</v>
      </c>
      <c r="O555" s="3" t="s">
        <v>682</v>
      </c>
      <c r="P555" s="3" t="s">
        <v>673</v>
      </c>
    </row>
    <row r="556" spans="1:16" ht="26.4" x14ac:dyDescent="0.3">
      <c r="N556" s="25" t="s">
        <v>791</v>
      </c>
      <c r="O556" s="3" t="s">
        <v>790</v>
      </c>
    </row>
    <row r="558" spans="1:16" x14ac:dyDescent="0.3">
      <c r="A558" s="5">
        <v>44844</v>
      </c>
      <c r="B558" s="3" t="s">
        <v>675</v>
      </c>
      <c r="C558" s="3" t="s">
        <v>756</v>
      </c>
      <c r="D558" s="3">
        <v>1</v>
      </c>
      <c r="E558" s="3" t="s">
        <v>60</v>
      </c>
      <c r="F558" s="3" t="s">
        <v>24</v>
      </c>
      <c r="G558" s="3" t="s">
        <v>10</v>
      </c>
      <c r="H558" s="3">
        <v>34861</v>
      </c>
      <c r="I558" s="3">
        <v>540</v>
      </c>
      <c r="J558" s="3">
        <v>540</v>
      </c>
      <c r="L558" s="3">
        <v>27781</v>
      </c>
      <c r="M558" s="3">
        <v>6000</v>
      </c>
      <c r="N558" s="38">
        <v>44844</v>
      </c>
      <c r="O558" s="5">
        <v>44844</v>
      </c>
      <c r="P558" s="3" t="s">
        <v>677</v>
      </c>
    </row>
    <row r="559" spans="1:16" x14ac:dyDescent="0.3">
      <c r="C559" s="43" t="s">
        <v>724</v>
      </c>
      <c r="G559" s="44" t="s">
        <v>676</v>
      </c>
      <c r="H559" s="44">
        <v>1744</v>
      </c>
    </row>
    <row r="560" spans="1:16" x14ac:dyDescent="0.3">
      <c r="H560" s="4">
        <f>SUM(H558:H559)</f>
        <v>36605</v>
      </c>
    </row>
    <row r="562" spans="1:16" x14ac:dyDescent="0.3">
      <c r="A562" s="5">
        <v>44845</v>
      </c>
      <c r="B562" s="3" t="s">
        <v>679</v>
      </c>
      <c r="C562" s="3" t="s">
        <v>680</v>
      </c>
      <c r="D562" s="3">
        <v>1</v>
      </c>
      <c r="E562" s="3" t="s">
        <v>54</v>
      </c>
      <c r="F562" s="3" t="s">
        <v>9</v>
      </c>
      <c r="G562" s="3" t="s">
        <v>20</v>
      </c>
      <c r="H562" s="4">
        <v>14531</v>
      </c>
      <c r="I562" s="3">
        <v>346</v>
      </c>
      <c r="J562" s="3">
        <v>346</v>
      </c>
      <c r="L562" s="3">
        <v>5602</v>
      </c>
      <c r="M562" s="3">
        <v>2500</v>
      </c>
      <c r="N562" s="38">
        <v>44847</v>
      </c>
      <c r="O562" s="5">
        <v>44847</v>
      </c>
      <c r="P562" s="3" t="s">
        <v>681</v>
      </c>
    </row>
    <row r="563" spans="1:16" x14ac:dyDescent="0.3">
      <c r="L563" s="3">
        <v>5737</v>
      </c>
    </row>
    <row r="564" spans="1:16" x14ac:dyDescent="0.3">
      <c r="L564" s="4">
        <f>SUM(L562:L563)</f>
        <v>11339</v>
      </c>
    </row>
    <row r="566" spans="1:16" x14ac:dyDescent="0.3">
      <c r="A566" s="5">
        <v>44845</v>
      </c>
      <c r="B566" s="3" t="s">
        <v>692</v>
      </c>
      <c r="C566" s="3" t="s">
        <v>683</v>
      </c>
      <c r="D566" s="3">
        <v>1</v>
      </c>
      <c r="E566" s="3" t="s">
        <v>54</v>
      </c>
      <c r="F566" s="3" t="s">
        <v>26</v>
      </c>
      <c r="G566" s="3" t="s">
        <v>10</v>
      </c>
      <c r="H566" s="4">
        <v>14339</v>
      </c>
      <c r="I566" s="3">
        <v>27</v>
      </c>
      <c r="J566" s="3">
        <v>27</v>
      </c>
      <c r="L566" s="4">
        <v>13985</v>
      </c>
      <c r="M566" s="3">
        <v>300</v>
      </c>
      <c r="N566" s="38">
        <v>44851</v>
      </c>
      <c r="O566" s="5">
        <v>44847</v>
      </c>
      <c r="P566" s="3" t="s">
        <v>691</v>
      </c>
    </row>
    <row r="568" spans="1:16" x14ac:dyDescent="0.3">
      <c r="A568" s="5">
        <v>44846</v>
      </c>
      <c r="B568" s="3" t="s">
        <v>693</v>
      </c>
      <c r="C568" s="3" t="s">
        <v>684</v>
      </c>
      <c r="D568" s="3">
        <v>1</v>
      </c>
      <c r="F568" s="3" t="s">
        <v>26</v>
      </c>
      <c r="G568" s="3" t="s">
        <v>10</v>
      </c>
      <c r="H568" s="4">
        <v>168565</v>
      </c>
      <c r="I568" s="3">
        <v>90</v>
      </c>
      <c r="J568" s="3">
        <v>90</v>
      </c>
      <c r="L568" s="4">
        <v>167385</v>
      </c>
      <c r="M568" s="3">
        <v>1000</v>
      </c>
      <c r="N568" s="25" t="s">
        <v>686</v>
      </c>
      <c r="O568" s="3" t="s">
        <v>689</v>
      </c>
      <c r="P568" s="3" t="s">
        <v>685</v>
      </c>
    </row>
    <row r="569" spans="1:16" x14ac:dyDescent="0.3">
      <c r="N569" s="25" t="s">
        <v>690</v>
      </c>
    </row>
    <row r="570" spans="1:16" x14ac:dyDescent="0.3">
      <c r="N570" s="25" t="s">
        <v>694</v>
      </c>
    </row>
    <row r="571" spans="1:16" x14ac:dyDescent="0.3">
      <c r="N571" s="25" t="s">
        <v>713</v>
      </c>
    </row>
    <row r="573" spans="1:16" ht="26.4" x14ac:dyDescent="0.3">
      <c r="A573" s="5">
        <v>44851</v>
      </c>
      <c r="B573" s="3" t="s">
        <v>695</v>
      </c>
      <c r="C573" s="3" t="s">
        <v>47</v>
      </c>
      <c r="D573" s="3">
        <v>2</v>
      </c>
      <c r="F573" s="3" t="s">
        <v>22</v>
      </c>
      <c r="G573" s="3" t="s">
        <v>50</v>
      </c>
      <c r="H573" s="3">
        <v>8260</v>
      </c>
      <c r="I573" s="3">
        <v>394</v>
      </c>
      <c r="J573" s="3">
        <v>394</v>
      </c>
      <c r="L573" s="3">
        <v>3100</v>
      </c>
      <c r="M573" s="3">
        <v>4372</v>
      </c>
      <c r="N573" s="25" t="s">
        <v>696</v>
      </c>
      <c r="O573" s="3" t="s">
        <v>697</v>
      </c>
    </row>
    <row r="576" spans="1:16" x14ac:dyDescent="0.3">
      <c r="A576" s="5">
        <v>44852</v>
      </c>
      <c r="B576" s="3" t="s">
        <v>698</v>
      </c>
      <c r="C576" s="3" t="s">
        <v>560</v>
      </c>
      <c r="D576" s="3">
        <v>6</v>
      </c>
      <c r="F576" s="3" t="s">
        <v>14</v>
      </c>
      <c r="G576" s="3" t="s">
        <v>10</v>
      </c>
      <c r="H576" s="3">
        <v>7350</v>
      </c>
      <c r="I576" s="3">
        <v>175</v>
      </c>
      <c r="J576" s="3">
        <v>175</v>
      </c>
      <c r="L576" s="3">
        <f>37299-31296</f>
        <v>6003</v>
      </c>
      <c r="M576" s="3">
        <v>997</v>
      </c>
      <c r="N576" s="25" t="s">
        <v>561</v>
      </c>
      <c r="O576" s="3" t="s">
        <v>699</v>
      </c>
      <c r="P576" s="3" t="s">
        <v>700</v>
      </c>
    </row>
    <row r="577" spans="1:16" x14ac:dyDescent="0.3">
      <c r="N577" s="25" t="s">
        <v>562</v>
      </c>
    </row>
    <row r="578" spans="1:16" ht="26.4" x14ac:dyDescent="0.3">
      <c r="N578" s="25" t="s">
        <v>696</v>
      </c>
    </row>
    <row r="580" spans="1:16" x14ac:dyDescent="0.3">
      <c r="A580" s="5">
        <v>44854</v>
      </c>
      <c r="B580" s="3" t="s">
        <v>701</v>
      </c>
      <c r="C580" s="3" t="s">
        <v>702</v>
      </c>
      <c r="D580" s="3">
        <v>2</v>
      </c>
      <c r="E580" s="86">
        <v>427705</v>
      </c>
      <c r="F580" s="3" t="s">
        <v>14</v>
      </c>
      <c r="G580" s="3" t="s">
        <v>10</v>
      </c>
      <c r="H580" s="3">
        <f>535238</f>
        <v>535238</v>
      </c>
      <c r="I580" s="3">
        <v>12744</v>
      </c>
      <c r="J580" s="3">
        <v>12744</v>
      </c>
      <c r="L580" s="3">
        <v>29925</v>
      </c>
      <c r="M580" s="3">
        <v>82045</v>
      </c>
      <c r="N580" s="25" t="s">
        <v>718</v>
      </c>
      <c r="O580" s="3" t="s">
        <v>716</v>
      </c>
      <c r="P580" s="3" t="s">
        <v>708</v>
      </c>
    </row>
    <row r="581" spans="1:16" x14ac:dyDescent="0.3">
      <c r="A581" s="5"/>
      <c r="C581" s="43" t="s">
        <v>722</v>
      </c>
      <c r="E581" s="86">
        <f>84145-2100</f>
        <v>82045</v>
      </c>
      <c r="G581" s="44" t="s">
        <v>723</v>
      </c>
      <c r="H581" s="44">
        <v>26762</v>
      </c>
      <c r="L581" s="3">
        <v>7930</v>
      </c>
      <c r="N581" s="25" t="s">
        <v>720</v>
      </c>
      <c r="O581" s="3">
        <f>257143+5366</f>
        <v>262509</v>
      </c>
      <c r="P581" s="3" t="s">
        <v>706</v>
      </c>
    </row>
    <row r="582" spans="1:16" x14ac:dyDescent="0.3">
      <c r="A582" s="5"/>
      <c r="E582" s="20">
        <f>SUM(E580:E581)</f>
        <v>509750</v>
      </c>
      <c r="G582" s="3" t="s">
        <v>10</v>
      </c>
      <c r="H582" s="4">
        <f>SUM(H580:H581)</f>
        <v>562000</v>
      </c>
      <c r="L582" s="3">
        <v>7930</v>
      </c>
      <c r="O582" s="3" t="s">
        <v>725</v>
      </c>
      <c r="P582" s="3" t="s">
        <v>707</v>
      </c>
    </row>
    <row r="583" spans="1:16" x14ac:dyDescent="0.3">
      <c r="A583" s="5"/>
      <c r="E583" s="86">
        <v>12744</v>
      </c>
      <c r="G583" s="3" t="s">
        <v>10</v>
      </c>
      <c r="L583" s="3">
        <v>32918</v>
      </c>
      <c r="O583" s="3" t="s">
        <v>749</v>
      </c>
      <c r="P583" s="3" t="s">
        <v>705</v>
      </c>
    </row>
    <row r="584" spans="1:16" x14ac:dyDescent="0.3">
      <c r="A584" s="5"/>
      <c r="C584" s="34"/>
      <c r="E584" s="86">
        <f>E583</f>
        <v>12744</v>
      </c>
      <c r="G584" s="3" t="s">
        <v>10</v>
      </c>
      <c r="L584" s="3">
        <v>23040</v>
      </c>
      <c r="P584" s="3" t="s">
        <v>704</v>
      </c>
    </row>
    <row r="585" spans="1:16" x14ac:dyDescent="0.3">
      <c r="A585" s="5"/>
      <c r="E585" s="20">
        <f>SUM(E582:E584)</f>
        <v>535238</v>
      </c>
      <c r="G585" s="3" t="s">
        <v>10</v>
      </c>
      <c r="L585" s="3">
        <v>61353</v>
      </c>
      <c r="P585" s="3" t="s">
        <v>703</v>
      </c>
    </row>
    <row r="586" spans="1:16" x14ac:dyDescent="0.3">
      <c r="A586" s="5"/>
      <c r="E586" s="87">
        <v>26762</v>
      </c>
      <c r="L586" s="4">
        <f>SUM(L580:L585)</f>
        <v>163096</v>
      </c>
    </row>
    <row r="587" spans="1:16" x14ac:dyDescent="0.3">
      <c r="E587" s="20">
        <f>SUM(E585:E586)</f>
        <v>562000</v>
      </c>
      <c r="G587" s="3" t="s">
        <v>721</v>
      </c>
      <c r="L587" s="4">
        <v>262509</v>
      </c>
    </row>
    <row r="588" spans="1:16" x14ac:dyDescent="0.3">
      <c r="E588" s="45"/>
      <c r="G588" s="3" t="s">
        <v>751</v>
      </c>
      <c r="L588" s="4">
        <v>2100</v>
      </c>
    </row>
    <row r="589" spans="1:16" x14ac:dyDescent="0.3">
      <c r="L589" s="3">
        <f>SUM(L586:L588)</f>
        <v>427705</v>
      </c>
    </row>
    <row r="591" spans="1:16" x14ac:dyDescent="0.3">
      <c r="A591" s="5">
        <v>44855</v>
      </c>
      <c r="B591" s="3" t="s">
        <v>709</v>
      </c>
      <c r="C591" s="3" t="s">
        <v>710</v>
      </c>
      <c r="D591" s="3">
        <v>6</v>
      </c>
      <c r="F591" s="3" t="s">
        <v>14</v>
      </c>
      <c r="G591" s="3" t="s">
        <v>20</v>
      </c>
      <c r="H591" s="3">
        <f>35000*6</f>
        <v>210000</v>
      </c>
      <c r="I591" s="3">
        <v>5000</v>
      </c>
      <c r="J591" s="3">
        <v>5000</v>
      </c>
      <c r="L591" s="3">
        <f>30600*6</f>
        <v>183600</v>
      </c>
      <c r="M591" s="3">
        <v>16400</v>
      </c>
      <c r="N591" s="25" t="s">
        <v>745</v>
      </c>
      <c r="O591" s="3" t="s">
        <v>717</v>
      </c>
    </row>
    <row r="592" spans="1:16" x14ac:dyDescent="0.3">
      <c r="C592" s="3" t="s">
        <v>711</v>
      </c>
      <c r="N592" s="25" t="s">
        <v>715</v>
      </c>
      <c r="O592" s="3" t="s">
        <v>746</v>
      </c>
    </row>
    <row r="593" spans="1:16" x14ac:dyDescent="0.3">
      <c r="C593" s="3" t="s">
        <v>712</v>
      </c>
      <c r="N593" s="25" t="s">
        <v>714</v>
      </c>
    </row>
    <row r="594" spans="1:16" x14ac:dyDescent="0.3">
      <c r="N594" s="25" t="s">
        <v>719</v>
      </c>
    </row>
    <row r="596" spans="1:16" x14ac:dyDescent="0.3">
      <c r="A596" s="5">
        <v>44861</v>
      </c>
      <c r="B596" s="3" t="s">
        <v>729</v>
      </c>
      <c r="C596" s="3" t="s">
        <v>730</v>
      </c>
      <c r="D596" s="3">
        <v>1</v>
      </c>
      <c r="E596" s="3" t="s">
        <v>54</v>
      </c>
      <c r="F596" s="3" t="s">
        <v>26</v>
      </c>
      <c r="G596" s="3" t="s">
        <v>10</v>
      </c>
      <c r="H596" s="4">
        <v>24524</v>
      </c>
      <c r="I596" s="3">
        <f>M596*9%</f>
        <v>54</v>
      </c>
      <c r="J596" s="3">
        <f>I596</f>
        <v>54</v>
      </c>
      <c r="L596" s="3">
        <v>8770</v>
      </c>
      <c r="M596" s="3">
        <v>600</v>
      </c>
      <c r="N596" s="38">
        <v>44863</v>
      </c>
      <c r="O596" s="5">
        <v>44865</v>
      </c>
      <c r="P596" s="3" t="s">
        <v>728</v>
      </c>
    </row>
    <row r="597" spans="1:16" x14ac:dyDescent="0.3">
      <c r="L597" s="3">
        <v>15046</v>
      </c>
      <c r="P597" s="3" t="s">
        <v>731</v>
      </c>
    </row>
    <row r="598" spans="1:16" x14ac:dyDescent="0.3">
      <c r="L598" s="4">
        <f>SUM(L596:L597)</f>
        <v>23816</v>
      </c>
    </row>
    <row r="599" spans="1:16" x14ac:dyDescent="0.3">
      <c r="A599" s="5"/>
    </row>
    <row r="601" spans="1:16" x14ac:dyDescent="0.3">
      <c r="A601" s="5">
        <v>44861</v>
      </c>
      <c r="B601" s="3" t="s">
        <v>733</v>
      </c>
      <c r="C601" s="3" t="s">
        <v>3521</v>
      </c>
      <c r="D601" s="3">
        <v>4</v>
      </c>
      <c r="F601" s="3" t="s">
        <v>7</v>
      </c>
      <c r="G601" s="3" t="s">
        <v>10</v>
      </c>
      <c r="H601" s="4">
        <v>58984</v>
      </c>
      <c r="I601" s="3">
        <v>45</v>
      </c>
      <c r="J601" s="3">
        <v>45</v>
      </c>
      <c r="L601" s="3">
        <v>24068</v>
      </c>
      <c r="M601" s="3">
        <v>500</v>
      </c>
      <c r="N601" s="38">
        <v>44894</v>
      </c>
      <c r="O601" s="5" t="s">
        <v>774</v>
      </c>
      <c r="P601" s="3" t="s">
        <v>727</v>
      </c>
    </row>
    <row r="602" spans="1:16" x14ac:dyDescent="0.3">
      <c r="L602" s="3">
        <v>29360</v>
      </c>
      <c r="O602" s="3" t="s">
        <v>775</v>
      </c>
      <c r="P602" s="3" t="s">
        <v>726</v>
      </c>
    </row>
    <row r="603" spans="1:16" x14ac:dyDescent="0.3">
      <c r="L603" s="3">
        <v>15766</v>
      </c>
      <c r="P603" s="3" t="s">
        <v>755</v>
      </c>
    </row>
    <row r="604" spans="1:16" x14ac:dyDescent="0.3">
      <c r="L604" s="3">
        <f>-(5400*2)</f>
        <v>-10800</v>
      </c>
    </row>
    <row r="605" spans="1:16" x14ac:dyDescent="0.3">
      <c r="L605" s="4">
        <f>SUM(L601:L604)</f>
        <v>58394</v>
      </c>
    </row>
    <row r="606" spans="1:16" x14ac:dyDescent="0.3">
      <c r="A606" s="5"/>
    </row>
    <row r="607" spans="1:16" x14ac:dyDescent="0.3">
      <c r="A607" s="5">
        <v>44864</v>
      </c>
      <c r="B607" s="3" t="s">
        <v>739</v>
      </c>
      <c r="C607" s="3" t="s">
        <v>740</v>
      </c>
      <c r="D607" s="3">
        <v>1</v>
      </c>
      <c r="E607" s="3" t="s">
        <v>54</v>
      </c>
      <c r="F607" s="3" t="s">
        <v>26</v>
      </c>
      <c r="G607" s="3" t="s">
        <v>10</v>
      </c>
      <c r="H607" s="4">
        <v>10200</v>
      </c>
      <c r="I607" s="3">
        <f>M607*9%</f>
        <v>54</v>
      </c>
      <c r="J607" s="3">
        <f>I607</f>
        <v>54</v>
      </c>
      <c r="L607" s="3">
        <v>4304</v>
      </c>
      <c r="M607" s="3">
        <v>600</v>
      </c>
      <c r="N607" s="38">
        <v>44865</v>
      </c>
      <c r="O607" s="5">
        <v>44865</v>
      </c>
      <c r="P607" s="3" t="s">
        <v>742</v>
      </c>
    </row>
    <row r="608" spans="1:16" x14ac:dyDescent="0.3">
      <c r="A608" s="5"/>
      <c r="L608" s="3">
        <v>5188</v>
      </c>
      <c r="P608" s="3" t="s">
        <v>741</v>
      </c>
    </row>
    <row r="609" spans="1:16" x14ac:dyDescent="0.3">
      <c r="A609" s="5"/>
      <c r="L609" s="4">
        <f>SUM(L607:L608)</f>
        <v>9492</v>
      </c>
    </row>
    <row r="611" spans="1:16" x14ac:dyDescent="0.3">
      <c r="A611" s="5">
        <v>44864</v>
      </c>
      <c r="B611" s="3" t="s">
        <v>753</v>
      </c>
      <c r="C611" s="3" t="s">
        <v>732</v>
      </c>
      <c r="D611" s="3">
        <v>2</v>
      </c>
      <c r="E611" s="3" t="s">
        <v>43</v>
      </c>
      <c r="F611" s="3" t="s">
        <v>14</v>
      </c>
      <c r="G611" s="3" t="s">
        <v>10</v>
      </c>
      <c r="H611" s="3">
        <v>271000</v>
      </c>
      <c r="I611" s="3">
        <v>6453</v>
      </c>
      <c r="J611" s="3">
        <v>6453</v>
      </c>
      <c r="L611" s="3">
        <v>8720</v>
      </c>
      <c r="M611" s="3">
        <v>46111</v>
      </c>
      <c r="N611" s="25" t="s">
        <v>747</v>
      </c>
      <c r="O611" s="69" t="s">
        <v>760</v>
      </c>
      <c r="P611" s="3" t="s">
        <v>734</v>
      </c>
    </row>
    <row r="612" spans="1:16" x14ac:dyDescent="0.3">
      <c r="A612" s="5"/>
      <c r="G612" s="3" t="s">
        <v>10</v>
      </c>
      <c r="L612" s="3">
        <v>28692</v>
      </c>
      <c r="N612" s="25" t="s">
        <v>754</v>
      </c>
      <c r="O612" s="69" t="s">
        <v>761</v>
      </c>
      <c r="P612" s="3" t="s">
        <v>757</v>
      </c>
    </row>
    <row r="613" spans="1:16" x14ac:dyDescent="0.3">
      <c r="A613" s="5"/>
      <c r="G613" s="3" t="s">
        <v>10</v>
      </c>
      <c r="L613" s="3">
        <v>14392</v>
      </c>
      <c r="O613" s="69" t="s">
        <v>780</v>
      </c>
      <c r="P613" s="3" t="s">
        <v>758</v>
      </c>
    </row>
    <row r="614" spans="1:16" x14ac:dyDescent="0.3">
      <c r="A614" s="5"/>
      <c r="G614" s="3" t="s">
        <v>10</v>
      </c>
      <c r="L614" s="3">
        <v>29989</v>
      </c>
      <c r="O614" s="3" t="s">
        <v>836</v>
      </c>
      <c r="P614" s="3" t="s">
        <v>759</v>
      </c>
    </row>
    <row r="615" spans="1:16" x14ac:dyDescent="0.3">
      <c r="A615" s="5"/>
      <c r="G615" s="3" t="s">
        <v>10</v>
      </c>
      <c r="L615" s="3">
        <v>11825</v>
      </c>
      <c r="P615" s="3" t="s">
        <v>735</v>
      </c>
    </row>
    <row r="616" spans="1:16" x14ac:dyDescent="0.3">
      <c r="A616" s="5"/>
      <c r="G616" s="3" t="s">
        <v>10</v>
      </c>
      <c r="L616" s="3">
        <v>9562</v>
      </c>
      <c r="P616" s="3" t="s">
        <v>736</v>
      </c>
    </row>
    <row r="617" spans="1:16" x14ac:dyDescent="0.3">
      <c r="A617" s="5"/>
      <c r="G617" s="3" t="s">
        <v>10</v>
      </c>
      <c r="L617" s="3">
        <v>20778</v>
      </c>
      <c r="P617" s="3" t="s">
        <v>737</v>
      </c>
    </row>
    <row r="618" spans="1:16" x14ac:dyDescent="0.3">
      <c r="A618" s="5"/>
      <c r="G618" s="3" t="s">
        <v>10</v>
      </c>
      <c r="L618" s="3">
        <v>16351</v>
      </c>
      <c r="P618" s="3" t="s">
        <v>738</v>
      </c>
    </row>
    <row r="619" spans="1:16" x14ac:dyDescent="0.3">
      <c r="A619" s="5"/>
      <c r="G619" s="3" t="s">
        <v>748</v>
      </c>
      <c r="L619" s="3">
        <v>22500</v>
      </c>
    </row>
    <row r="620" spans="1:16" x14ac:dyDescent="0.3">
      <c r="A620" s="5"/>
      <c r="G620" s="3" t="s">
        <v>11</v>
      </c>
      <c r="L620" s="3">
        <v>18505</v>
      </c>
      <c r="P620" s="3" t="s">
        <v>778</v>
      </c>
    </row>
    <row r="621" spans="1:16" x14ac:dyDescent="0.3">
      <c r="A621" s="5"/>
      <c r="G621" s="3" t="s">
        <v>11</v>
      </c>
      <c r="L621" s="3">
        <v>28229</v>
      </c>
      <c r="P621" s="3" t="s">
        <v>779</v>
      </c>
    </row>
    <row r="622" spans="1:16" x14ac:dyDescent="0.3">
      <c r="A622" s="5"/>
      <c r="G622" s="3" t="s">
        <v>788</v>
      </c>
      <c r="L622" s="3">
        <v>8600</v>
      </c>
    </row>
    <row r="623" spans="1:16" x14ac:dyDescent="0.3">
      <c r="A623" s="5"/>
      <c r="G623" s="3" t="s">
        <v>10</v>
      </c>
      <c r="L623" s="17">
        <v>-8720</v>
      </c>
      <c r="P623" s="10" t="s">
        <v>795</v>
      </c>
    </row>
    <row r="624" spans="1:16" x14ac:dyDescent="0.3">
      <c r="A624" s="5"/>
      <c r="G624" s="3" t="s">
        <v>837</v>
      </c>
      <c r="L624" s="46">
        <v>2560</v>
      </c>
    </row>
    <row r="625" spans="1:16" x14ac:dyDescent="0.3">
      <c r="A625" s="5"/>
      <c r="L625" s="4">
        <f>SUM(L611:L624)</f>
        <v>211983</v>
      </c>
    </row>
    <row r="626" spans="1:16" x14ac:dyDescent="0.3">
      <c r="A626" s="5"/>
      <c r="L626" s="4"/>
    </row>
    <row r="627" spans="1:16" s="10" customFormat="1" ht="39.6" x14ac:dyDescent="0.3">
      <c r="A627" s="9">
        <v>44865</v>
      </c>
      <c r="B627" s="10" t="s">
        <v>773</v>
      </c>
      <c r="C627" s="10" t="s">
        <v>740</v>
      </c>
      <c r="D627" s="10">
        <v>1</v>
      </c>
      <c r="E627" s="10" t="s">
        <v>54</v>
      </c>
      <c r="F627" s="10" t="s">
        <v>26</v>
      </c>
      <c r="G627" s="10" t="s">
        <v>10</v>
      </c>
      <c r="H627" s="10">
        <v>4304</v>
      </c>
      <c r="L627" s="10">
        <v>4304</v>
      </c>
      <c r="N627" s="70" t="s">
        <v>765</v>
      </c>
      <c r="O627" s="70" t="s">
        <v>767</v>
      </c>
      <c r="P627" s="39" t="s">
        <v>764</v>
      </c>
    </row>
    <row r="628" spans="1:16" ht="26.4" x14ac:dyDescent="0.3">
      <c r="A628" s="5"/>
      <c r="L628" s="4"/>
      <c r="O628" s="70" t="s">
        <v>770</v>
      </c>
    </row>
    <row r="629" spans="1:16" x14ac:dyDescent="0.3">
      <c r="A629" s="5"/>
      <c r="L629" s="4"/>
    </row>
    <row r="630" spans="1:16" ht="39.6" x14ac:dyDescent="0.3">
      <c r="A630" s="5">
        <v>44865</v>
      </c>
      <c r="B630" s="69" t="s">
        <v>766</v>
      </c>
      <c r="C630" s="3" t="s">
        <v>740</v>
      </c>
      <c r="D630" s="3">
        <v>1</v>
      </c>
      <c r="E630" s="3" t="s">
        <v>54</v>
      </c>
      <c r="F630" s="3" t="s">
        <v>26</v>
      </c>
      <c r="G630" s="3" t="s">
        <v>10</v>
      </c>
      <c r="H630" s="4">
        <v>3399</v>
      </c>
      <c r="I630" s="3">
        <f>M630*9%</f>
        <v>54</v>
      </c>
      <c r="J630" s="3">
        <f>I630</f>
        <v>54</v>
      </c>
      <c r="L630" s="3">
        <v>2691</v>
      </c>
      <c r="M630" s="3">
        <v>600</v>
      </c>
      <c r="N630" s="25" t="s">
        <v>792</v>
      </c>
      <c r="O630" s="25" t="s">
        <v>762</v>
      </c>
      <c r="P630" s="3" t="s">
        <v>750</v>
      </c>
    </row>
    <row r="631" spans="1:16" s="69" customFormat="1" x14ac:dyDescent="0.3">
      <c r="A631" s="15"/>
      <c r="H631" s="16"/>
      <c r="N631" s="30"/>
      <c r="O631" s="15"/>
    </row>
    <row r="632" spans="1:16" s="69" customFormat="1" ht="39.6" x14ac:dyDescent="0.3">
      <c r="A632" s="15">
        <v>44866</v>
      </c>
      <c r="B632" s="3" t="s">
        <v>772</v>
      </c>
      <c r="C632" s="69" t="s">
        <v>300</v>
      </c>
      <c r="D632" s="69">
        <v>3</v>
      </c>
      <c r="F632" s="69" t="s">
        <v>26</v>
      </c>
      <c r="G632" s="69" t="s">
        <v>10</v>
      </c>
      <c r="H632" s="16">
        <v>6500</v>
      </c>
      <c r="I632" s="69">
        <v>41</v>
      </c>
      <c r="J632" s="69">
        <v>41</v>
      </c>
      <c r="L632" s="16">
        <v>5963</v>
      </c>
      <c r="M632" s="69">
        <v>455</v>
      </c>
      <c r="N632" s="25" t="s">
        <v>885</v>
      </c>
      <c r="O632" s="25" t="s">
        <v>768</v>
      </c>
      <c r="P632" s="69" t="s">
        <v>752</v>
      </c>
    </row>
    <row r="633" spans="1:16" s="69" customFormat="1" x14ac:dyDescent="0.3">
      <c r="A633" s="15"/>
      <c r="H633" s="16"/>
      <c r="N633" s="30"/>
      <c r="O633" s="15" t="s">
        <v>769</v>
      </c>
    </row>
    <row r="634" spans="1:16" s="69" customFormat="1" x14ac:dyDescent="0.3">
      <c r="A634" s="15"/>
      <c r="H634" s="16"/>
      <c r="N634" s="30"/>
      <c r="O634" s="15"/>
    </row>
    <row r="635" spans="1:16" s="69" customFormat="1" ht="26.4" x14ac:dyDescent="0.3">
      <c r="A635" s="15">
        <v>44869</v>
      </c>
      <c r="B635" s="69" t="s">
        <v>776</v>
      </c>
      <c r="C635" s="69" t="s">
        <v>457</v>
      </c>
      <c r="D635" s="69">
        <v>1</v>
      </c>
      <c r="E635" s="3" t="s">
        <v>54</v>
      </c>
      <c r="F635" s="69" t="s">
        <v>9</v>
      </c>
      <c r="G635" s="69" t="s">
        <v>20</v>
      </c>
      <c r="H635" s="16">
        <v>5212</v>
      </c>
      <c r="I635" s="69">
        <v>125</v>
      </c>
      <c r="J635" s="69">
        <v>125</v>
      </c>
      <c r="L635" s="16">
        <v>3712</v>
      </c>
      <c r="M635" s="69">
        <v>1250</v>
      </c>
      <c r="N635" s="25" t="s">
        <v>793</v>
      </c>
      <c r="O635" s="15">
        <v>44869</v>
      </c>
      <c r="P635" s="69" t="s">
        <v>777</v>
      </c>
    </row>
    <row r="636" spans="1:16" s="69" customFormat="1" x14ac:dyDescent="0.3">
      <c r="A636" s="15"/>
      <c r="H636" s="16"/>
      <c r="N636" s="30">
        <f>5212-905</f>
        <v>4307</v>
      </c>
      <c r="O636" s="15"/>
    </row>
    <row r="637" spans="1:16" s="69" customFormat="1" x14ac:dyDescent="0.3">
      <c r="A637" s="15"/>
      <c r="H637" s="16"/>
      <c r="N637" s="30" t="s">
        <v>804</v>
      </c>
      <c r="O637" s="15"/>
    </row>
    <row r="638" spans="1:16" s="69" customFormat="1" x14ac:dyDescent="0.3">
      <c r="A638" s="15"/>
      <c r="H638" s="16"/>
      <c r="N638" s="30"/>
      <c r="O638" s="15"/>
    </row>
    <row r="639" spans="1:16" s="69" customFormat="1" x14ac:dyDescent="0.3">
      <c r="A639" s="15">
        <v>44870</v>
      </c>
      <c r="B639" s="69" t="s">
        <v>781</v>
      </c>
      <c r="C639" s="69" t="s">
        <v>787</v>
      </c>
      <c r="D639" s="69">
        <v>4</v>
      </c>
      <c r="E639" s="69" t="s">
        <v>13</v>
      </c>
      <c r="F639" s="69" t="s">
        <v>26</v>
      </c>
      <c r="G639" s="69" t="s">
        <v>10</v>
      </c>
      <c r="H639" s="16">
        <v>217436</v>
      </c>
      <c r="I639" s="69">
        <f>M639*9%</f>
        <v>1350</v>
      </c>
      <c r="J639" s="69">
        <f>I639</f>
        <v>1350</v>
      </c>
      <c r="L639" s="69">
        <v>96259</v>
      </c>
      <c r="M639" s="69">
        <v>15000</v>
      </c>
      <c r="N639" s="25" t="s">
        <v>785</v>
      </c>
      <c r="O639" s="5">
        <v>44872</v>
      </c>
      <c r="P639" s="69" t="s">
        <v>782</v>
      </c>
    </row>
    <row r="640" spans="1:16" s="69" customFormat="1" x14ac:dyDescent="0.3">
      <c r="A640" s="15"/>
      <c r="H640" s="16"/>
      <c r="L640" s="69">
        <v>74345</v>
      </c>
      <c r="N640" s="30" t="s">
        <v>786</v>
      </c>
      <c r="O640" s="15"/>
      <c r="P640" s="69" t="s">
        <v>783</v>
      </c>
    </row>
    <row r="641" spans="1:16" s="69" customFormat="1" x14ac:dyDescent="0.3">
      <c r="A641" s="15"/>
      <c r="H641" s="16"/>
      <c r="L641" s="69">
        <v>29132</v>
      </c>
      <c r="N641" s="30"/>
      <c r="O641" s="15"/>
      <c r="P641" s="69" t="s">
        <v>784</v>
      </c>
    </row>
    <row r="642" spans="1:16" s="69" customFormat="1" x14ac:dyDescent="0.3">
      <c r="A642" s="15"/>
      <c r="H642" s="16"/>
      <c r="L642" s="16">
        <f>SUM(L639:L641)</f>
        <v>199736</v>
      </c>
      <c r="N642" s="30"/>
      <c r="O642" s="15"/>
    </row>
    <row r="643" spans="1:16" s="69" customFormat="1" x14ac:dyDescent="0.3">
      <c r="A643" s="15"/>
      <c r="H643" s="16"/>
      <c r="L643" s="16"/>
      <c r="N643" s="30"/>
      <c r="O643" s="15"/>
    </row>
    <row r="644" spans="1:16" s="69" customFormat="1" x14ac:dyDescent="0.3">
      <c r="A644" s="15">
        <v>44872</v>
      </c>
      <c r="B644" s="69" t="s">
        <v>798</v>
      </c>
      <c r="C644" s="69" t="s">
        <v>799</v>
      </c>
      <c r="D644" s="69">
        <v>2</v>
      </c>
      <c r="E644" s="3" t="s">
        <v>54</v>
      </c>
      <c r="F644" s="69" t="s">
        <v>26</v>
      </c>
      <c r="G644" s="69" t="s">
        <v>10</v>
      </c>
      <c r="H644" s="16">
        <v>57455</v>
      </c>
      <c r="I644" s="69">
        <v>356</v>
      </c>
      <c r="J644" s="69">
        <f>I644</f>
        <v>356</v>
      </c>
      <c r="L644" s="69">
        <v>7940</v>
      </c>
      <c r="M644" s="69">
        <f>1200+600+600+1250+300</f>
        <v>3950</v>
      </c>
      <c r="N644" s="47">
        <v>44879</v>
      </c>
      <c r="O644" s="5" t="s">
        <v>806</v>
      </c>
      <c r="P644" s="69" t="s">
        <v>797</v>
      </c>
    </row>
    <row r="645" spans="1:16" s="69" customFormat="1" x14ac:dyDescent="0.3">
      <c r="A645" s="15"/>
      <c r="C645" s="69" t="s">
        <v>803</v>
      </c>
      <c r="H645" s="16"/>
      <c r="L645" s="69">
        <v>10864</v>
      </c>
      <c r="N645" s="30"/>
      <c r="O645" s="5" t="s">
        <v>801</v>
      </c>
      <c r="P645" s="69" t="s">
        <v>796</v>
      </c>
    </row>
    <row r="646" spans="1:16" s="69" customFormat="1" ht="26.4" x14ac:dyDescent="0.3">
      <c r="A646" s="15"/>
      <c r="G646" s="69" t="s">
        <v>807</v>
      </c>
      <c r="H646" s="16"/>
      <c r="L646" s="69">
        <v>300</v>
      </c>
      <c r="N646" s="30"/>
      <c r="O646" s="47" t="s">
        <v>800</v>
      </c>
    </row>
    <row r="647" spans="1:16" s="69" customFormat="1" x14ac:dyDescent="0.3">
      <c r="A647" s="15"/>
      <c r="G647" s="69" t="s">
        <v>807</v>
      </c>
      <c r="H647" s="16"/>
      <c r="L647" s="69">
        <v>300</v>
      </c>
      <c r="N647" s="30"/>
      <c r="O647" s="15" t="s">
        <v>825</v>
      </c>
    </row>
    <row r="648" spans="1:16" s="69" customFormat="1" x14ac:dyDescent="0.3">
      <c r="A648" s="15"/>
      <c r="H648" s="16"/>
      <c r="L648" s="69">
        <v>10293</v>
      </c>
      <c r="N648" s="30"/>
      <c r="O648" s="15"/>
      <c r="P648" s="69" t="s">
        <v>802</v>
      </c>
    </row>
    <row r="649" spans="1:16" s="69" customFormat="1" x14ac:dyDescent="0.3">
      <c r="A649" s="15"/>
      <c r="F649" s="69">
        <f>5368+354</f>
        <v>5722</v>
      </c>
      <c r="G649" s="69">
        <f>5530+354</f>
        <v>5884</v>
      </c>
      <c r="H649" s="16"/>
      <c r="L649" s="69">
        <v>14696</v>
      </c>
      <c r="N649" s="30"/>
      <c r="O649" s="15"/>
      <c r="P649" s="69" t="s">
        <v>805</v>
      </c>
    </row>
    <row r="650" spans="1:16" s="69" customFormat="1" x14ac:dyDescent="0.3">
      <c r="A650" s="15"/>
      <c r="C650" s="69" t="s">
        <v>808</v>
      </c>
      <c r="H650" s="16"/>
      <c r="L650" s="69">
        <v>7200</v>
      </c>
      <c r="N650" s="30"/>
      <c r="O650" s="15"/>
      <c r="P650" s="69" t="s">
        <v>809</v>
      </c>
    </row>
    <row r="651" spans="1:16" s="69" customFormat="1" x14ac:dyDescent="0.3">
      <c r="A651" s="15"/>
      <c r="C651" s="69" t="s">
        <v>811</v>
      </c>
      <c r="H651" s="16"/>
      <c r="L651" s="69">
        <v>1200</v>
      </c>
      <c r="N651" s="30"/>
      <c r="O651" s="15"/>
      <c r="P651" s="69" t="s">
        <v>810</v>
      </c>
    </row>
    <row r="652" spans="1:16" s="69" customFormat="1" x14ac:dyDescent="0.3">
      <c r="A652" s="15"/>
      <c r="H652" s="16"/>
      <c r="L652" s="16">
        <f>SUM(L644:L651)</f>
        <v>52793</v>
      </c>
      <c r="N652" s="30"/>
      <c r="O652" s="15"/>
    </row>
    <row r="653" spans="1:16" s="69" customFormat="1" x14ac:dyDescent="0.3">
      <c r="A653" s="15"/>
      <c r="H653" s="16"/>
      <c r="L653" s="16"/>
      <c r="N653" s="30"/>
      <c r="O653" s="15"/>
    </row>
    <row r="654" spans="1:16" s="69" customFormat="1" x14ac:dyDescent="0.3">
      <c r="A654" s="15">
        <v>44877</v>
      </c>
      <c r="B654" s="69" t="s">
        <v>812</v>
      </c>
      <c r="C654" s="69" t="s">
        <v>31</v>
      </c>
      <c r="D654" s="69">
        <v>1</v>
      </c>
      <c r="F654" s="69" t="s">
        <v>26</v>
      </c>
      <c r="G654" s="69" t="s">
        <v>10</v>
      </c>
      <c r="H654" s="16">
        <v>9984</v>
      </c>
      <c r="I654" s="69">
        <v>90</v>
      </c>
      <c r="J654" s="69">
        <v>90</v>
      </c>
      <c r="L654" s="69">
        <v>4083</v>
      </c>
      <c r="M654" s="69">
        <v>1000</v>
      </c>
      <c r="N654" s="38">
        <v>44880</v>
      </c>
      <c r="O654" s="5">
        <v>44879</v>
      </c>
      <c r="P654" s="69" t="s">
        <v>813</v>
      </c>
    </row>
    <row r="655" spans="1:16" s="69" customFormat="1" x14ac:dyDescent="0.3">
      <c r="A655" s="15"/>
      <c r="H655" s="16"/>
      <c r="L655" s="69">
        <v>4721</v>
      </c>
      <c r="N655" s="30"/>
      <c r="O655" s="15"/>
      <c r="P655" s="69" t="s">
        <v>814</v>
      </c>
    </row>
    <row r="656" spans="1:16" s="69" customFormat="1" x14ac:dyDescent="0.3">
      <c r="A656" s="15"/>
      <c r="H656" s="16"/>
      <c r="L656" s="16">
        <f>SUM(L654:L655)</f>
        <v>8804</v>
      </c>
      <c r="N656" s="30"/>
      <c r="O656" s="15"/>
    </row>
    <row r="657" spans="1:16" s="69" customFormat="1" x14ac:dyDescent="0.3">
      <c r="A657" s="15"/>
      <c r="H657" s="16"/>
      <c r="L657" s="16"/>
      <c r="N657" s="30"/>
      <c r="O657" s="15"/>
    </row>
    <row r="658" spans="1:16" s="69" customFormat="1" x14ac:dyDescent="0.3">
      <c r="A658" s="15"/>
      <c r="H658" s="16"/>
      <c r="L658" s="16"/>
      <c r="N658" s="30"/>
      <c r="O658" s="15"/>
    </row>
    <row r="659" spans="1:16" s="69" customFormat="1" x14ac:dyDescent="0.3">
      <c r="A659" s="15">
        <v>44877</v>
      </c>
      <c r="B659" s="3" t="s">
        <v>815</v>
      </c>
      <c r="C659" s="69" t="s">
        <v>443</v>
      </c>
      <c r="D659" s="69">
        <v>1</v>
      </c>
      <c r="E659" s="3" t="s">
        <v>54</v>
      </c>
      <c r="F659" s="69" t="s">
        <v>26</v>
      </c>
      <c r="G659" s="69" t="s">
        <v>10</v>
      </c>
      <c r="H659" s="16">
        <v>12293</v>
      </c>
      <c r="I659" s="69">
        <f>M659*9%</f>
        <v>54</v>
      </c>
      <c r="J659" s="69">
        <f>I659</f>
        <v>54</v>
      </c>
      <c r="L659" s="69">
        <v>7626</v>
      </c>
      <c r="M659" s="69">
        <v>600</v>
      </c>
      <c r="N659" s="38">
        <v>44880</v>
      </c>
      <c r="O659" s="5">
        <v>44879</v>
      </c>
      <c r="P659" s="69" t="s">
        <v>817</v>
      </c>
    </row>
    <row r="660" spans="1:16" s="69" customFormat="1" x14ac:dyDescent="0.3">
      <c r="A660" s="15"/>
      <c r="H660" s="16"/>
      <c r="L660" s="69">
        <v>3959</v>
      </c>
      <c r="N660" s="30"/>
      <c r="O660" s="15"/>
      <c r="P660" s="69" t="s">
        <v>816</v>
      </c>
    </row>
    <row r="661" spans="1:16" s="69" customFormat="1" x14ac:dyDescent="0.3">
      <c r="A661" s="15"/>
      <c r="H661" s="16"/>
      <c r="L661" s="16">
        <f>SUM(L659:L660)</f>
        <v>11585</v>
      </c>
      <c r="N661" s="30"/>
      <c r="O661" s="15"/>
    </row>
    <row r="662" spans="1:16" s="69" customFormat="1" x14ac:dyDescent="0.3">
      <c r="A662" s="15"/>
      <c r="H662" s="16"/>
      <c r="L662" s="16"/>
      <c r="N662" s="30"/>
      <c r="O662" s="15"/>
    </row>
    <row r="663" spans="1:16" s="69" customFormat="1" x14ac:dyDescent="0.3">
      <c r="A663" s="15">
        <v>44877</v>
      </c>
      <c r="B663" s="69" t="s">
        <v>818</v>
      </c>
      <c r="C663" s="69" t="s">
        <v>822</v>
      </c>
      <c r="D663" s="69">
        <v>2</v>
      </c>
      <c r="F663" s="69" t="s">
        <v>14</v>
      </c>
      <c r="G663" s="69" t="s">
        <v>10</v>
      </c>
      <c r="H663" s="16">
        <v>290028</v>
      </c>
      <c r="I663" s="69">
        <v>6906</v>
      </c>
      <c r="J663" s="69">
        <v>6906</v>
      </c>
      <c r="L663" s="69">
        <v>148732</v>
      </c>
      <c r="M663" s="16">
        <v>36575</v>
      </c>
      <c r="N663" s="30" t="s">
        <v>824</v>
      </c>
      <c r="O663" s="3" t="s">
        <v>839</v>
      </c>
    </row>
    <row r="664" spans="1:16" s="69" customFormat="1" x14ac:dyDescent="0.3">
      <c r="A664" s="15"/>
      <c r="G664" s="69" t="s">
        <v>823</v>
      </c>
      <c r="H664" s="16"/>
      <c r="L664" s="69">
        <v>85261</v>
      </c>
      <c r="N664" s="25" t="s">
        <v>863</v>
      </c>
      <c r="O664" s="15" t="s">
        <v>870</v>
      </c>
    </row>
    <row r="665" spans="1:16" s="69" customFormat="1" x14ac:dyDescent="0.3">
      <c r="A665" s="15"/>
      <c r="G665" s="48" t="s">
        <v>258</v>
      </c>
      <c r="H665" s="48">
        <v>14502</v>
      </c>
      <c r="L665" s="69">
        <v>5648</v>
      </c>
      <c r="N665" s="30" t="s">
        <v>1686</v>
      </c>
      <c r="O665" s="15" t="s">
        <v>872</v>
      </c>
    </row>
    <row r="666" spans="1:16" s="69" customFormat="1" x14ac:dyDescent="0.3">
      <c r="A666" s="15"/>
      <c r="H666" s="16">
        <v>304330</v>
      </c>
      <c r="L666" s="16">
        <f>SUM(L663:L665)</f>
        <v>239641</v>
      </c>
      <c r="N666" s="30"/>
      <c r="O666" s="15"/>
    </row>
    <row r="667" spans="1:16" s="69" customFormat="1" x14ac:dyDescent="0.3">
      <c r="A667" s="15"/>
      <c r="H667" s="16"/>
      <c r="L667" s="16"/>
      <c r="N667" s="30"/>
      <c r="O667" s="15"/>
    </row>
    <row r="668" spans="1:16" s="69" customFormat="1" x14ac:dyDescent="0.3">
      <c r="A668" s="15">
        <v>44878</v>
      </c>
      <c r="B668" s="69" t="s">
        <v>821</v>
      </c>
      <c r="C668" s="69" t="s">
        <v>826</v>
      </c>
      <c r="D668" s="69">
        <v>1</v>
      </c>
      <c r="F668" s="69" t="s">
        <v>26</v>
      </c>
      <c r="G668" s="69" t="s">
        <v>10</v>
      </c>
      <c r="H668" s="16">
        <v>12794</v>
      </c>
      <c r="I668" s="69">
        <f>M668*9%</f>
        <v>72</v>
      </c>
      <c r="J668" s="69">
        <f>I668</f>
        <v>72</v>
      </c>
      <c r="L668" s="69">
        <v>6340</v>
      </c>
      <c r="M668" s="69">
        <v>800</v>
      </c>
      <c r="N668" s="38">
        <v>44878</v>
      </c>
      <c r="O668" s="5">
        <v>44879</v>
      </c>
      <c r="P668" s="69" t="s">
        <v>819</v>
      </c>
    </row>
    <row r="669" spans="1:16" s="69" customFormat="1" x14ac:dyDescent="0.3">
      <c r="A669" s="15"/>
      <c r="H669" s="16"/>
      <c r="L669" s="69">
        <v>5510</v>
      </c>
      <c r="N669" s="30"/>
      <c r="O669" s="15"/>
      <c r="P669" s="69" t="s">
        <v>820</v>
      </c>
    </row>
    <row r="670" spans="1:16" s="69" customFormat="1" x14ac:dyDescent="0.3">
      <c r="A670" s="15"/>
      <c r="H670" s="16"/>
      <c r="L670" s="16">
        <f>SUM(L668:L669)</f>
        <v>11850</v>
      </c>
      <c r="N670" s="30"/>
      <c r="O670" s="15"/>
    </row>
    <row r="671" spans="1:16" s="69" customFormat="1" x14ac:dyDescent="0.3">
      <c r="A671" s="15"/>
      <c r="H671" s="16"/>
      <c r="L671" s="16"/>
      <c r="N671" s="30"/>
      <c r="O671" s="15"/>
    </row>
    <row r="672" spans="1:16" s="69" customFormat="1" x14ac:dyDescent="0.3">
      <c r="A672" s="15">
        <v>44879</v>
      </c>
      <c r="B672" s="3" t="s">
        <v>828</v>
      </c>
      <c r="C672" s="69" t="s">
        <v>452</v>
      </c>
      <c r="D672" s="69">
        <v>2</v>
      </c>
      <c r="E672" s="3" t="s">
        <v>54</v>
      </c>
      <c r="F672" s="69" t="s">
        <v>26</v>
      </c>
      <c r="G672" s="69" t="s">
        <v>10</v>
      </c>
      <c r="H672" s="16">
        <v>31518</v>
      </c>
      <c r="I672" s="69">
        <f>M672*9%</f>
        <v>108</v>
      </c>
      <c r="J672" s="69">
        <f>I672</f>
        <v>108</v>
      </c>
      <c r="L672" s="69">
        <v>18396</v>
      </c>
      <c r="M672" s="69">
        <f>600+300+300</f>
        <v>1200</v>
      </c>
      <c r="N672" s="25" t="s">
        <v>867</v>
      </c>
      <c r="O672" s="5">
        <v>44881</v>
      </c>
      <c r="P672" s="69" t="s">
        <v>831</v>
      </c>
    </row>
    <row r="673" spans="1:16" s="69" customFormat="1" x14ac:dyDescent="0.3">
      <c r="A673" s="15"/>
      <c r="H673" s="16"/>
      <c r="L673" s="69">
        <v>5853</v>
      </c>
      <c r="N673" s="30"/>
      <c r="O673" s="15"/>
      <c r="P673" s="69" t="s">
        <v>829</v>
      </c>
    </row>
    <row r="674" spans="1:16" s="69" customFormat="1" x14ac:dyDescent="0.3">
      <c r="A674" s="15"/>
      <c r="H674" s="16"/>
      <c r="L674" s="69">
        <v>5853</v>
      </c>
      <c r="N674" s="30"/>
      <c r="O674" s="15"/>
      <c r="P674" s="69" t="s">
        <v>830</v>
      </c>
    </row>
    <row r="675" spans="1:16" s="69" customFormat="1" x14ac:dyDescent="0.3">
      <c r="A675" s="15"/>
      <c r="H675" s="16"/>
      <c r="L675" s="16">
        <f>SUM(L672:L674)</f>
        <v>30102</v>
      </c>
      <c r="N675" s="30"/>
      <c r="O675" s="15"/>
    </row>
    <row r="676" spans="1:16" s="69" customFormat="1" x14ac:dyDescent="0.3">
      <c r="A676" s="15"/>
      <c r="H676" s="16"/>
      <c r="L676" s="16"/>
      <c r="N676" s="30"/>
      <c r="O676" s="15"/>
    </row>
    <row r="677" spans="1:16" s="69" customFormat="1" x14ac:dyDescent="0.3">
      <c r="A677" s="15">
        <v>44881</v>
      </c>
      <c r="B677" s="69" t="s">
        <v>832</v>
      </c>
      <c r="C677" s="69" t="s">
        <v>833</v>
      </c>
      <c r="D677" s="69">
        <v>2</v>
      </c>
      <c r="F677" s="69" t="s">
        <v>26</v>
      </c>
      <c r="G677" s="69" t="s">
        <v>10</v>
      </c>
      <c r="H677" s="16">
        <v>10000</v>
      </c>
      <c r="I677" s="69">
        <v>128</v>
      </c>
      <c r="J677" s="69">
        <v>128</v>
      </c>
      <c r="L677" s="16">
        <v>8025</v>
      </c>
      <c r="M677" s="69">
        <v>1419</v>
      </c>
      <c r="N677" s="25" t="s">
        <v>840</v>
      </c>
      <c r="O677" s="5">
        <v>44881</v>
      </c>
      <c r="P677" s="69" t="s">
        <v>835</v>
      </c>
    </row>
    <row r="678" spans="1:16" s="69" customFormat="1" x14ac:dyDescent="0.3">
      <c r="A678" s="15"/>
      <c r="C678" s="69" t="s">
        <v>834</v>
      </c>
      <c r="H678" s="16"/>
      <c r="L678" s="16">
        <v>300</v>
      </c>
      <c r="N678" s="30"/>
      <c r="O678" s="15"/>
    </row>
    <row r="679" spans="1:16" s="69" customFormat="1" x14ac:dyDescent="0.3">
      <c r="A679" s="15"/>
      <c r="H679" s="16"/>
      <c r="L679" s="16">
        <f>SUM(L677:L678)</f>
        <v>8325</v>
      </c>
      <c r="N679" s="30"/>
      <c r="O679" s="15"/>
    </row>
    <row r="680" spans="1:16" s="69" customFormat="1" x14ac:dyDescent="0.3">
      <c r="A680" s="15"/>
      <c r="H680" s="16"/>
      <c r="L680" s="16"/>
      <c r="N680" s="30"/>
      <c r="O680" s="15"/>
    </row>
    <row r="681" spans="1:16" s="69" customFormat="1" x14ac:dyDescent="0.3">
      <c r="A681" s="15">
        <v>44886</v>
      </c>
      <c r="B681" s="69" t="s">
        <v>841</v>
      </c>
      <c r="C681" s="69" t="s">
        <v>452</v>
      </c>
      <c r="D681" s="69">
        <v>2</v>
      </c>
      <c r="E681" s="3" t="s">
        <v>54</v>
      </c>
      <c r="F681" s="69" t="s">
        <v>9</v>
      </c>
      <c r="G681" s="69" t="s">
        <v>20</v>
      </c>
      <c r="H681" s="16">
        <v>15881</v>
      </c>
      <c r="I681" s="69">
        <v>379</v>
      </c>
      <c r="J681" s="69">
        <v>379</v>
      </c>
      <c r="L681" s="69">
        <v>6636</v>
      </c>
      <c r="M681" s="69">
        <v>2500</v>
      </c>
      <c r="N681" s="25" t="s">
        <v>867</v>
      </c>
      <c r="O681" s="5">
        <v>44886</v>
      </c>
      <c r="P681" s="69" t="s">
        <v>846</v>
      </c>
    </row>
    <row r="682" spans="1:16" s="69" customFormat="1" x14ac:dyDescent="0.3">
      <c r="A682" s="15"/>
      <c r="G682" s="48"/>
      <c r="H682" s="48"/>
      <c r="L682" s="69">
        <v>5987</v>
      </c>
      <c r="N682" s="30"/>
      <c r="O682" s="15"/>
      <c r="P682" s="69" t="s">
        <v>845</v>
      </c>
    </row>
    <row r="683" spans="1:16" s="69" customFormat="1" x14ac:dyDescent="0.3">
      <c r="A683" s="15"/>
      <c r="H683" s="16"/>
      <c r="L683" s="16">
        <f>SUM(L681:L682)</f>
        <v>12623</v>
      </c>
      <c r="N683" s="30"/>
      <c r="O683" s="15"/>
    </row>
    <row r="684" spans="1:16" s="69" customFormat="1" x14ac:dyDescent="0.3">
      <c r="A684" s="15"/>
      <c r="H684" s="16"/>
      <c r="L684" s="16"/>
      <c r="N684" s="30"/>
      <c r="O684" s="15"/>
    </row>
    <row r="685" spans="1:16" s="69" customFormat="1" x14ac:dyDescent="0.3">
      <c r="A685" s="15">
        <v>44886</v>
      </c>
      <c r="B685" s="69" t="s">
        <v>844</v>
      </c>
      <c r="C685" s="69" t="s">
        <v>847</v>
      </c>
      <c r="D685" s="69">
        <v>2</v>
      </c>
      <c r="F685" s="69" t="s">
        <v>848</v>
      </c>
      <c r="G685" s="69" t="s">
        <v>10</v>
      </c>
      <c r="H685" s="16">
        <v>113000</v>
      </c>
      <c r="I685" s="69">
        <v>2691</v>
      </c>
      <c r="J685" s="69">
        <f>I685</f>
        <v>2691</v>
      </c>
      <c r="L685" s="69">
        <v>16452</v>
      </c>
      <c r="M685" s="69">
        <v>11354</v>
      </c>
      <c r="N685" s="25" t="s">
        <v>865</v>
      </c>
      <c r="O685" s="3" t="s">
        <v>864</v>
      </c>
      <c r="P685" s="69" t="s">
        <v>850</v>
      </c>
    </row>
    <row r="686" spans="1:16" s="69" customFormat="1" x14ac:dyDescent="0.3">
      <c r="A686" s="15"/>
      <c r="G686" s="69" t="s">
        <v>10</v>
      </c>
      <c r="H686" s="16"/>
      <c r="L686" s="69">
        <v>14762</v>
      </c>
      <c r="N686" s="25" t="s">
        <v>909</v>
      </c>
      <c r="O686" s="3" t="s">
        <v>886</v>
      </c>
      <c r="P686" s="69" t="s">
        <v>849</v>
      </c>
    </row>
    <row r="687" spans="1:16" s="69" customFormat="1" x14ac:dyDescent="0.3">
      <c r="A687" s="15"/>
      <c r="G687" s="69" t="s">
        <v>20</v>
      </c>
      <c r="H687" s="16"/>
      <c r="L687" s="69">
        <v>65050</v>
      </c>
      <c r="N687" s="30"/>
      <c r="O687" s="3" t="s">
        <v>927</v>
      </c>
    </row>
    <row r="688" spans="1:16" s="69" customFormat="1" x14ac:dyDescent="0.3">
      <c r="A688" s="15"/>
      <c r="H688" s="16"/>
      <c r="L688" s="16">
        <f>SUM(L685:L687)</f>
        <v>96264</v>
      </c>
      <c r="N688" s="30"/>
      <c r="O688" s="15"/>
    </row>
    <row r="689" spans="1:16" s="69" customFormat="1" x14ac:dyDescent="0.3">
      <c r="A689" s="15"/>
      <c r="H689" s="16"/>
      <c r="L689" s="16"/>
      <c r="N689" s="30"/>
      <c r="O689" s="15"/>
    </row>
    <row r="690" spans="1:16" s="69" customFormat="1" x14ac:dyDescent="0.3">
      <c r="A690" s="15">
        <v>44886</v>
      </c>
      <c r="B690" s="69" t="s">
        <v>851</v>
      </c>
      <c r="C690" s="69" t="s">
        <v>63</v>
      </c>
      <c r="D690" s="69">
        <v>1</v>
      </c>
      <c r="F690" s="69" t="s">
        <v>22</v>
      </c>
      <c r="G690" s="69" t="s">
        <v>50</v>
      </c>
      <c r="H690" s="16">
        <v>5410</v>
      </c>
      <c r="I690" s="69">
        <v>180</v>
      </c>
      <c r="J690" s="69">
        <v>180</v>
      </c>
      <c r="L690" s="16">
        <v>3050</v>
      </c>
      <c r="M690" s="69">
        <v>2000</v>
      </c>
      <c r="N690" s="25" t="s">
        <v>855</v>
      </c>
      <c r="O690" s="3" t="s">
        <v>860</v>
      </c>
      <c r="P690" s="69" t="s">
        <v>866</v>
      </c>
    </row>
    <row r="691" spans="1:16" s="69" customFormat="1" x14ac:dyDescent="0.3">
      <c r="A691" s="15"/>
      <c r="H691" s="16"/>
      <c r="L691" s="16"/>
      <c r="N691" s="30"/>
      <c r="O691" s="15"/>
    </row>
    <row r="692" spans="1:16" s="69" customFormat="1" x14ac:dyDescent="0.3">
      <c r="A692" s="15"/>
      <c r="H692" s="16"/>
      <c r="L692" s="16"/>
      <c r="N692" s="30"/>
      <c r="O692" s="15"/>
    </row>
    <row r="693" spans="1:16" s="69" customFormat="1" x14ac:dyDescent="0.3">
      <c r="A693" s="15">
        <v>44887</v>
      </c>
      <c r="B693" s="69" t="s">
        <v>852</v>
      </c>
      <c r="C693" s="69" t="s">
        <v>842</v>
      </c>
      <c r="D693" s="69">
        <v>4</v>
      </c>
      <c r="F693" s="69" t="s">
        <v>14</v>
      </c>
      <c r="G693" s="69" t="s">
        <v>843</v>
      </c>
      <c r="H693" s="16">
        <v>223400</v>
      </c>
      <c r="I693" s="69">
        <v>5319</v>
      </c>
      <c r="J693" s="69">
        <v>5319</v>
      </c>
      <c r="L693" s="69">
        <v>64487</v>
      </c>
      <c r="M693" s="69">
        <v>20586</v>
      </c>
      <c r="N693" s="25" t="s">
        <v>858</v>
      </c>
      <c r="O693" s="3" t="s">
        <v>903</v>
      </c>
    </row>
    <row r="694" spans="1:16" s="69" customFormat="1" x14ac:dyDescent="0.3">
      <c r="A694" s="15"/>
      <c r="G694" s="48" t="s">
        <v>258</v>
      </c>
      <c r="H694" s="48">
        <v>11170</v>
      </c>
      <c r="L694" s="69">
        <v>127689</v>
      </c>
      <c r="N694" s="30" t="s">
        <v>859</v>
      </c>
      <c r="O694" s="15" t="s">
        <v>876</v>
      </c>
    </row>
    <row r="695" spans="1:16" s="69" customFormat="1" x14ac:dyDescent="0.3">
      <c r="A695" s="15"/>
      <c r="H695" s="16">
        <f>SUM(H693:H694)</f>
        <v>234570</v>
      </c>
      <c r="L695" s="16">
        <f>SUM(L693:L694)</f>
        <v>192176</v>
      </c>
      <c r="N695" s="30"/>
      <c r="O695" s="15"/>
    </row>
    <row r="696" spans="1:16" s="69" customFormat="1" x14ac:dyDescent="0.3">
      <c r="A696" s="15"/>
      <c r="H696" s="16"/>
      <c r="L696" s="16"/>
      <c r="N696" s="30"/>
      <c r="O696" s="15"/>
    </row>
    <row r="697" spans="1:16" s="69" customFormat="1" x14ac:dyDescent="0.3">
      <c r="A697" s="15">
        <v>44887</v>
      </c>
      <c r="B697" s="3" t="s">
        <v>853</v>
      </c>
      <c r="C697" s="69" t="s">
        <v>787</v>
      </c>
      <c r="D697" s="69">
        <v>4</v>
      </c>
      <c r="F697" s="69" t="s">
        <v>8</v>
      </c>
      <c r="G697" s="69" t="s">
        <v>57</v>
      </c>
      <c r="H697" s="16">
        <v>5664</v>
      </c>
      <c r="I697" s="69">
        <v>133</v>
      </c>
      <c r="J697" s="69">
        <v>133</v>
      </c>
      <c r="L697" s="16">
        <v>3931</v>
      </c>
      <c r="M697" s="69">
        <v>1467</v>
      </c>
      <c r="N697" s="38">
        <v>44887</v>
      </c>
      <c r="O697" s="15">
        <v>44888</v>
      </c>
    </row>
    <row r="698" spans="1:16" s="69" customFormat="1" x14ac:dyDescent="0.3">
      <c r="A698" s="15"/>
      <c r="H698" s="16"/>
      <c r="L698" s="16"/>
      <c r="N698" s="30"/>
      <c r="O698" s="15"/>
    </row>
    <row r="700" spans="1:16" s="69" customFormat="1" x14ac:dyDescent="0.3">
      <c r="A700" s="15">
        <v>44887</v>
      </c>
      <c r="B700" s="3" t="s">
        <v>856</v>
      </c>
      <c r="C700" s="3" t="s">
        <v>143</v>
      </c>
      <c r="D700" s="3">
        <v>1</v>
      </c>
      <c r="E700" s="3" t="s">
        <v>60</v>
      </c>
      <c r="F700" s="3" t="s">
        <v>26</v>
      </c>
      <c r="G700" s="3" t="s">
        <v>10</v>
      </c>
      <c r="H700" s="16">
        <v>183341</v>
      </c>
      <c r="I700" s="69">
        <v>225</v>
      </c>
      <c r="J700" s="69">
        <v>225</v>
      </c>
      <c r="L700" s="16">
        <v>180391</v>
      </c>
      <c r="M700" s="69">
        <v>2500</v>
      </c>
      <c r="N700" s="38">
        <v>44888</v>
      </c>
      <c r="O700" s="5">
        <v>44889</v>
      </c>
      <c r="P700" s="69" t="s">
        <v>857</v>
      </c>
    </row>
    <row r="701" spans="1:16" s="69" customFormat="1" x14ac:dyDescent="0.3">
      <c r="A701" s="15"/>
      <c r="H701" s="16"/>
      <c r="L701" s="16"/>
      <c r="N701" s="30"/>
      <c r="O701" s="15"/>
    </row>
    <row r="704" spans="1:16" s="69" customFormat="1" x14ac:dyDescent="0.3">
      <c r="A704" s="5">
        <v>44887</v>
      </c>
      <c r="B704" s="3" t="s">
        <v>862</v>
      </c>
      <c r="C704" s="3" t="s">
        <v>702</v>
      </c>
      <c r="D704" s="3">
        <v>2</v>
      </c>
      <c r="F704" s="69" t="s">
        <v>14</v>
      </c>
      <c r="G704" s="69" t="s">
        <v>854</v>
      </c>
      <c r="H704" s="69">
        <v>20095</v>
      </c>
      <c r="I704" s="69">
        <v>479</v>
      </c>
      <c r="J704" s="69">
        <v>479</v>
      </c>
      <c r="L704" s="69">
        <v>13330</v>
      </c>
      <c r="M704" s="69">
        <v>4642</v>
      </c>
      <c r="N704" s="25" t="s">
        <v>861</v>
      </c>
      <c r="O704" s="3" t="s">
        <v>868</v>
      </c>
    </row>
    <row r="705" spans="1:16" s="69" customFormat="1" x14ac:dyDescent="0.3">
      <c r="A705" s="15"/>
      <c r="G705" s="69" t="s">
        <v>873</v>
      </c>
      <c r="L705" s="69">
        <f>588.82+276.4+9.67+276.4+9.67+0.87+0.87+0.87+0.87</f>
        <v>1164.4399999999996</v>
      </c>
      <c r="N705" s="30" t="s">
        <v>869</v>
      </c>
      <c r="O705" s="15" t="s">
        <v>874</v>
      </c>
    </row>
    <row r="706" spans="1:16" s="69" customFormat="1" x14ac:dyDescent="0.3">
      <c r="A706" s="15"/>
      <c r="G706" s="48" t="s">
        <v>258</v>
      </c>
      <c r="H706" s="48">
        <v>1005</v>
      </c>
      <c r="L706" s="16"/>
      <c r="N706" s="30"/>
      <c r="O706" s="15"/>
    </row>
    <row r="707" spans="1:16" s="69" customFormat="1" x14ac:dyDescent="0.3">
      <c r="A707" s="15"/>
      <c r="H707" s="16">
        <f>20100+1000</f>
        <v>21100</v>
      </c>
      <c r="L707" s="16">
        <v>14495</v>
      </c>
      <c r="N707" s="30"/>
      <c r="O707" s="15"/>
    </row>
    <row r="708" spans="1:16" s="69" customFormat="1" x14ac:dyDescent="0.3">
      <c r="A708" s="15"/>
      <c r="H708" s="16"/>
      <c r="L708" s="16"/>
      <c r="N708" s="30"/>
      <c r="O708" s="15"/>
    </row>
    <row r="709" spans="1:16" s="69" customFormat="1" x14ac:dyDescent="0.3">
      <c r="A709" s="15">
        <v>44893</v>
      </c>
      <c r="B709" s="3" t="s">
        <v>871</v>
      </c>
      <c r="C709" s="69" t="s">
        <v>787</v>
      </c>
      <c r="D709" s="69">
        <v>4</v>
      </c>
      <c r="F709" s="69" t="s">
        <v>22</v>
      </c>
      <c r="G709" s="69" t="s">
        <v>50</v>
      </c>
      <c r="H709" s="16">
        <v>28120</v>
      </c>
      <c r="I709" s="69">
        <v>252</v>
      </c>
      <c r="J709" s="69">
        <v>252</v>
      </c>
      <c r="L709" s="16">
        <v>24816</v>
      </c>
      <c r="M709" s="69">
        <v>2800</v>
      </c>
      <c r="N709" s="47">
        <v>44894</v>
      </c>
      <c r="O709" s="15">
        <v>44893</v>
      </c>
    </row>
    <row r="710" spans="1:16" s="69" customFormat="1" x14ac:dyDescent="0.3">
      <c r="A710" s="15"/>
      <c r="H710" s="16"/>
      <c r="L710" s="16"/>
      <c r="N710" s="30"/>
      <c r="O710" s="15"/>
    </row>
    <row r="711" spans="1:16" s="69" customFormat="1" x14ac:dyDescent="0.3">
      <c r="A711" s="15">
        <v>44895</v>
      </c>
      <c r="B711" s="3" t="s">
        <v>875</v>
      </c>
      <c r="C711" s="69" t="s">
        <v>25</v>
      </c>
      <c r="D711" s="69">
        <v>1</v>
      </c>
      <c r="F711" s="69" t="s">
        <v>22</v>
      </c>
      <c r="G711" s="69" t="s">
        <v>359</v>
      </c>
      <c r="H711" s="16">
        <v>6600</v>
      </c>
      <c r="I711" s="69">
        <v>294</v>
      </c>
      <c r="J711" s="69">
        <f>I711</f>
        <v>294</v>
      </c>
      <c r="L711" s="16">
        <f>1869+885</f>
        <v>2754</v>
      </c>
      <c r="M711" s="69">
        <v>3258</v>
      </c>
      <c r="N711" s="25" t="s">
        <v>885</v>
      </c>
      <c r="O711" s="15">
        <v>44895</v>
      </c>
    </row>
    <row r="712" spans="1:16" s="69" customFormat="1" x14ac:dyDescent="0.3">
      <c r="A712" s="15"/>
      <c r="H712" s="16"/>
      <c r="L712" s="16"/>
      <c r="N712" s="30"/>
      <c r="O712" s="15"/>
    </row>
    <row r="713" spans="1:16" s="69" customFormat="1" x14ac:dyDescent="0.3">
      <c r="A713" s="15">
        <v>44896</v>
      </c>
      <c r="B713" s="3" t="s">
        <v>877</v>
      </c>
      <c r="C713" s="69" t="s">
        <v>457</v>
      </c>
      <c r="D713" s="69">
        <v>1</v>
      </c>
      <c r="E713" s="3" t="s">
        <v>54</v>
      </c>
      <c r="F713" s="69" t="s">
        <v>26</v>
      </c>
      <c r="G713" s="69" t="s">
        <v>10</v>
      </c>
      <c r="H713" s="16">
        <v>18481</v>
      </c>
      <c r="I713" s="69">
        <v>54</v>
      </c>
      <c r="J713" s="69">
        <v>54</v>
      </c>
      <c r="L713" s="69">
        <v>8770</v>
      </c>
      <c r="M713" s="69">
        <v>600</v>
      </c>
      <c r="N713" s="38">
        <v>44902</v>
      </c>
      <c r="O713" s="5">
        <v>44898</v>
      </c>
      <c r="P713" s="69" t="s">
        <v>879</v>
      </c>
    </row>
    <row r="714" spans="1:16" s="69" customFormat="1" x14ac:dyDescent="0.3">
      <c r="A714" s="15"/>
      <c r="H714" s="16"/>
      <c r="L714" s="69">
        <v>9003</v>
      </c>
      <c r="N714" s="30"/>
      <c r="O714" s="15"/>
      <c r="P714" s="69" t="s">
        <v>878</v>
      </c>
    </row>
    <row r="715" spans="1:16" s="69" customFormat="1" x14ac:dyDescent="0.3">
      <c r="A715" s="15"/>
      <c r="H715" s="16"/>
      <c r="L715" s="16">
        <f>SUM(L713:L714)</f>
        <v>17773</v>
      </c>
      <c r="N715" s="30"/>
      <c r="O715" s="15"/>
    </row>
    <row r="716" spans="1:16" s="69" customFormat="1" x14ac:dyDescent="0.3">
      <c r="A716" s="15"/>
      <c r="H716" s="16"/>
      <c r="L716" s="16"/>
      <c r="N716" s="30"/>
      <c r="O716" s="15"/>
    </row>
    <row r="717" spans="1:16" s="69" customFormat="1" x14ac:dyDescent="0.3">
      <c r="A717" s="15">
        <v>44897</v>
      </c>
      <c r="B717" s="3" t="s">
        <v>880</v>
      </c>
      <c r="C717" s="69" t="s">
        <v>23</v>
      </c>
      <c r="D717" s="69">
        <v>3</v>
      </c>
      <c r="F717" s="69" t="s">
        <v>26</v>
      </c>
      <c r="G717" s="69" t="s">
        <v>10</v>
      </c>
      <c r="H717" s="69">
        <v>7944</v>
      </c>
      <c r="I717" s="69">
        <v>221</v>
      </c>
      <c r="J717" s="69">
        <v>221</v>
      </c>
      <c r="L717" s="69">
        <v>6241</v>
      </c>
      <c r="M717" s="69">
        <v>2450</v>
      </c>
      <c r="N717" s="25" t="s">
        <v>885</v>
      </c>
      <c r="O717" s="5">
        <v>44898</v>
      </c>
      <c r="P717" s="69" t="s">
        <v>884</v>
      </c>
    </row>
    <row r="718" spans="1:16" s="69" customFormat="1" x14ac:dyDescent="0.3">
      <c r="A718" s="15"/>
      <c r="H718" s="69">
        <v>12900</v>
      </c>
      <c r="L718" s="69">
        <v>11717</v>
      </c>
      <c r="N718" s="30"/>
      <c r="O718" s="15"/>
      <c r="P718" s="69" t="s">
        <v>881</v>
      </c>
    </row>
    <row r="719" spans="1:16" s="69" customFormat="1" x14ac:dyDescent="0.3">
      <c r="A719" s="15"/>
      <c r="G719" s="69" t="s">
        <v>882</v>
      </c>
      <c r="H719" s="69">
        <v>306</v>
      </c>
      <c r="L719" s="69">
        <v>300</v>
      </c>
      <c r="N719" s="30" t="s">
        <v>943</v>
      </c>
      <c r="O719" s="15" t="s">
        <v>883</v>
      </c>
    </row>
    <row r="720" spans="1:16" s="69" customFormat="1" x14ac:dyDescent="0.3">
      <c r="A720" s="15"/>
      <c r="H720" s="16">
        <f>SUM(H717:H719)</f>
        <v>21150</v>
      </c>
      <c r="L720" s="16">
        <f>SUM(L717:L719)</f>
        <v>18258</v>
      </c>
      <c r="N720" s="30"/>
      <c r="O720" s="15"/>
    </row>
    <row r="721" spans="1:16" s="69" customFormat="1" x14ac:dyDescent="0.3">
      <c r="A721" s="15"/>
      <c r="H721" s="16"/>
      <c r="L721" s="16"/>
      <c r="N721" s="30"/>
      <c r="O721" s="15"/>
    </row>
    <row r="722" spans="1:16" s="69" customFormat="1" x14ac:dyDescent="0.3">
      <c r="A722" s="15">
        <v>44902</v>
      </c>
      <c r="B722" s="3" t="s">
        <v>887</v>
      </c>
      <c r="C722" s="69" t="s">
        <v>457</v>
      </c>
      <c r="D722" s="69">
        <v>1</v>
      </c>
      <c r="E722" s="3" t="s">
        <v>54</v>
      </c>
      <c r="F722" s="69" t="s">
        <v>26</v>
      </c>
      <c r="G722" s="69" t="s">
        <v>10</v>
      </c>
      <c r="H722" s="16">
        <v>35758</v>
      </c>
      <c r="I722" s="69">
        <f>M722*9%</f>
        <v>108</v>
      </c>
      <c r="J722" s="69">
        <f>I722</f>
        <v>108</v>
      </c>
      <c r="L722" s="69">
        <v>8385</v>
      </c>
      <c r="M722" s="69">
        <v>1200</v>
      </c>
      <c r="N722" s="38">
        <v>44904</v>
      </c>
      <c r="O722" s="5" t="s">
        <v>904</v>
      </c>
      <c r="P722" s="69" t="s">
        <v>889</v>
      </c>
    </row>
    <row r="723" spans="1:16" s="69" customFormat="1" x14ac:dyDescent="0.3">
      <c r="A723" s="15"/>
      <c r="H723" s="16"/>
      <c r="L723" s="69">
        <v>14006</v>
      </c>
      <c r="N723" s="30"/>
      <c r="O723" s="15" t="s">
        <v>905</v>
      </c>
      <c r="P723" s="69" t="s">
        <v>888</v>
      </c>
    </row>
    <row r="724" spans="1:16" s="69" customFormat="1" x14ac:dyDescent="0.3">
      <c r="A724" s="15"/>
      <c r="C724" s="69" t="s">
        <v>892</v>
      </c>
      <c r="H724" s="16"/>
      <c r="L724" s="69">
        <v>5771</v>
      </c>
      <c r="N724" s="30"/>
      <c r="O724" s="15"/>
      <c r="P724" s="69" t="s">
        <v>891</v>
      </c>
    </row>
    <row r="725" spans="1:16" s="69" customFormat="1" x14ac:dyDescent="0.3">
      <c r="A725" s="15"/>
      <c r="H725" s="16"/>
      <c r="L725" s="69">
        <v>6180</v>
      </c>
      <c r="N725" s="30"/>
      <c r="O725" s="15"/>
      <c r="P725" s="69" t="s">
        <v>890</v>
      </c>
    </row>
    <row r="726" spans="1:16" s="69" customFormat="1" x14ac:dyDescent="0.3">
      <c r="A726" s="15"/>
      <c r="H726" s="16"/>
      <c r="L726" s="16">
        <f>SUM(L722:L725)</f>
        <v>34342</v>
      </c>
      <c r="N726" s="30"/>
      <c r="O726" s="15"/>
    </row>
    <row r="727" spans="1:16" s="69" customFormat="1" x14ac:dyDescent="0.3">
      <c r="A727" s="15"/>
      <c r="H727" s="16"/>
      <c r="L727" s="16"/>
      <c r="N727" s="30"/>
      <c r="O727" s="15"/>
    </row>
    <row r="728" spans="1:16" s="50" customFormat="1" x14ac:dyDescent="0.3">
      <c r="A728" s="49">
        <v>44903</v>
      </c>
      <c r="B728" s="50" t="s">
        <v>893</v>
      </c>
      <c r="C728" s="50" t="s">
        <v>23</v>
      </c>
      <c r="D728" s="50">
        <v>3</v>
      </c>
      <c r="F728" s="50" t="s">
        <v>26</v>
      </c>
      <c r="G728" s="50" t="s">
        <v>10</v>
      </c>
      <c r="H728" s="51">
        <v>6852</v>
      </c>
      <c r="L728" s="50">
        <v>788</v>
      </c>
      <c r="N728" s="67">
        <v>44903</v>
      </c>
      <c r="O728" s="49" t="s">
        <v>917</v>
      </c>
      <c r="P728" s="50" t="s">
        <v>894</v>
      </c>
    </row>
    <row r="729" spans="1:16" s="50" customFormat="1" x14ac:dyDescent="0.3">
      <c r="A729" s="49"/>
      <c r="H729" s="51"/>
      <c r="L729" s="50">
        <v>788</v>
      </c>
      <c r="N729" s="68"/>
      <c r="O729" s="49"/>
      <c r="P729" s="50" t="s">
        <v>895</v>
      </c>
    </row>
    <row r="730" spans="1:16" s="50" customFormat="1" x14ac:dyDescent="0.3">
      <c r="A730" s="49"/>
      <c r="H730" s="51"/>
      <c r="L730" s="50">
        <v>788</v>
      </c>
      <c r="N730" s="68"/>
      <c r="O730" s="49"/>
      <c r="P730" s="50" t="s">
        <v>896</v>
      </c>
    </row>
    <row r="731" spans="1:16" s="50" customFormat="1" x14ac:dyDescent="0.3">
      <c r="A731" s="49"/>
      <c r="H731" s="51"/>
      <c r="L731" s="50">
        <v>1496</v>
      </c>
      <c r="N731" s="68"/>
      <c r="O731" s="49"/>
      <c r="P731" s="50" t="s">
        <v>897</v>
      </c>
    </row>
    <row r="732" spans="1:16" s="50" customFormat="1" x14ac:dyDescent="0.3">
      <c r="A732" s="49"/>
      <c r="H732" s="51"/>
      <c r="L732" s="50">
        <v>1496</v>
      </c>
      <c r="N732" s="68"/>
      <c r="O732" s="49"/>
      <c r="P732" s="50" t="s">
        <v>898</v>
      </c>
    </row>
    <row r="733" spans="1:16" s="50" customFormat="1" x14ac:dyDescent="0.3">
      <c r="A733" s="49"/>
      <c r="H733" s="51"/>
      <c r="L733" s="50">
        <v>1496</v>
      </c>
      <c r="N733" s="68"/>
      <c r="O733" s="49"/>
      <c r="P733" s="50" t="s">
        <v>899</v>
      </c>
    </row>
    <row r="734" spans="1:16" s="50" customFormat="1" x14ac:dyDescent="0.3">
      <c r="A734" s="49"/>
      <c r="H734" s="51"/>
      <c r="L734" s="51">
        <f>SUM(L728:L733)</f>
        <v>6852</v>
      </c>
      <c r="N734" s="68"/>
      <c r="O734" s="49"/>
    </row>
    <row r="735" spans="1:16" s="69" customFormat="1" x14ac:dyDescent="0.3">
      <c r="A735" s="15"/>
      <c r="H735" s="16"/>
      <c r="L735" s="16"/>
      <c r="N735" s="30"/>
      <c r="O735" s="15"/>
    </row>
    <row r="736" spans="1:16" s="69" customFormat="1" x14ac:dyDescent="0.3">
      <c r="A736" s="15">
        <v>44903</v>
      </c>
      <c r="B736" s="3" t="s">
        <v>900</v>
      </c>
      <c r="C736" s="69" t="s">
        <v>901</v>
      </c>
      <c r="D736" s="69">
        <v>1</v>
      </c>
      <c r="E736" s="3" t="s">
        <v>54</v>
      </c>
      <c r="F736" s="69" t="s">
        <v>24</v>
      </c>
      <c r="G736" s="30" t="s">
        <v>902</v>
      </c>
      <c r="H736" s="16">
        <v>7476</v>
      </c>
      <c r="I736" s="69">
        <v>113</v>
      </c>
      <c r="J736" s="69">
        <v>113</v>
      </c>
      <c r="L736" s="16">
        <v>6000</v>
      </c>
      <c r="M736" s="69">
        <v>1250</v>
      </c>
      <c r="N736" s="47">
        <v>44915</v>
      </c>
      <c r="O736" s="5">
        <v>44904</v>
      </c>
    </row>
    <row r="737" spans="1:16" s="69" customFormat="1" x14ac:dyDescent="0.3">
      <c r="A737" s="15"/>
      <c r="H737" s="16"/>
      <c r="L737" s="16"/>
      <c r="N737" s="30"/>
      <c r="O737" s="15"/>
    </row>
    <row r="738" spans="1:16" s="69" customFormat="1" x14ac:dyDescent="0.3">
      <c r="A738" s="15"/>
      <c r="H738" s="16"/>
      <c r="L738" s="16"/>
      <c r="N738" s="30"/>
      <c r="O738" s="15"/>
    </row>
    <row r="739" spans="1:16" s="69" customFormat="1" x14ac:dyDescent="0.3">
      <c r="A739" s="15">
        <v>44905</v>
      </c>
      <c r="B739" s="3" t="s">
        <v>906</v>
      </c>
      <c r="C739" s="69" t="s">
        <v>509</v>
      </c>
      <c r="D739" s="69">
        <v>1</v>
      </c>
      <c r="E739" s="3" t="s">
        <v>54</v>
      </c>
      <c r="F739" s="69" t="s">
        <v>26</v>
      </c>
      <c r="G739" s="30" t="s">
        <v>10</v>
      </c>
      <c r="H739" s="16">
        <v>57356</v>
      </c>
      <c r="I739" s="69">
        <f>M739*9%</f>
        <v>216</v>
      </c>
      <c r="J739" s="69">
        <f>I739</f>
        <v>216</v>
      </c>
      <c r="L739" s="69">
        <v>5332</v>
      </c>
      <c r="M739" s="69">
        <f>600+1800</f>
        <v>2400</v>
      </c>
      <c r="N739" s="38" t="s">
        <v>920</v>
      </c>
      <c r="O739" s="5" t="s">
        <v>912</v>
      </c>
      <c r="P739" s="69" t="s">
        <v>907</v>
      </c>
    </row>
    <row r="740" spans="1:16" s="69" customFormat="1" x14ac:dyDescent="0.3">
      <c r="A740" s="15"/>
      <c r="H740" s="16"/>
      <c r="L740" s="69">
        <v>6907</v>
      </c>
      <c r="N740" s="30"/>
      <c r="O740" s="5" t="s">
        <v>918</v>
      </c>
      <c r="P740" s="69" t="s">
        <v>908</v>
      </c>
    </row>
    <row r="741" spans="1:16" s="69" customFormat="1" x14ac:dyDescent="0.3">
      <c r="A741" s="15"/>
      <c r="C741" s="69" t="s">
        <v>914</v>
      </c>
      <c r="D741" s="69">
        <v>3</v>
      </c>
      <c r="H741" s="16"/>
      <c r="L741" s="69">
        <v>22343</v>
      </c>
      <c r="N741" s="30"/>
      <c r="O741" s="15"/>
      <c r="P741" s="69" t="s">
        <v>911</v>
      </c>
    </row>
    <row r="742" spans="1:16" s="69" customFormat="1" x14ac:dyDescent="0.3">
      <c r="A742" s="15"/>
      <c r="H742" s="16"/>
      <c r="L742" s="69">
        <v>7224</v>
      </c>
      <c r="N742" s="30"/>
      <c r="O742" s="15"/>
      <c r="P742" s="69" t="s">
        <v>913</v>
      </c>
    </row>
    <row r="743" spans="1:16" s="69" customFormat="1" x14ac:dyDescent="0.3">
      <c r="A743" s="15"/>
      <c r="H743" s="16"/>
      <c r="L743" s="69">
        <v>12718</v>
      </c>
      <c r="N743" s="30"/>
      <c r="O743" s="15"/>
      <c r="P743" s="69" t="s">
        <v>910</v>
      </c>
    </row>
    <row r="744" spans="1:16" s="69" customFormat="1" x14ac:dyDescent="0.3">
      <c r="A744" s="15"/>
      <c r="H744" s="16"/>
      <c r="L744" s="16">
        <f>SUM(L739:L743)</f>
        <v>54524</v>
      </c>
      <c r="N744" s="30"/>
      <c r="O744" s="15"/>
    </row>
    <row r="745" spans="1:16" s="69" customFormat="1" x14ac:dyDescent="0.3">
      <c r="A745" s="15"/>
      <c r="H745" s="16"/>
      <c r="L745" s="16"/>
      <c r="N745" s="30"/>
      <c r="O745" s="15"/>
    </row>
    <row r="746" spans="1:16" s="69" customFormat="1" x14ac:dyDescent="0.3">
      <c r="A746" s="15">
        <v>44907</v>
      </c>
      <c r="B746" s="3" t="s">
        <v>915</v>
      </c>
      <c r="C746" s="69" t="s">
        <v>457</v>
      </c>
      <c r="D746" s="69">
        <v>1</v>
      </c>
      <c r="E746" s="3" t="s">
        <v>54</v>
      </c>
      <c r="F746" s="69" t="s">
        <v>9</v>
      </c>
      <c r="G746" s="69" t="s">
        <v>20</v>
      </c>
      <c r="H746" s="16">
        <v>14829</v>
      </c>
      <c r="I746" s="69">
        <v>354</v>
      </c>
      <c r="J746" s="69">
        <f>I746</f>
        <v>354</v>
      </c>
      <c r="L746" s="69">
        <v>3360</v>
      </c>
      <c r="M746" s="69">
        <f>1250*2</f>
        <v>2500</v>
      </c>
      <c r="N746" s="38" t="s">
        <v>920</v>
      </c>
      <c r="O746" s="5">
        <v>44908</v>
      </c>
      <c r="P746" s="69" t="s">
        <v>916</v>
      </c>
    </row>
    <row r="747" spans="1:16" s="69" customFormat="1" x14ac:dyDescent="0.3">
      <c r="A747" s="15"/>
      <c r="H747" s="16"/>
      <c r="L747" s="69">
        <v>8261</v>
      </c>
      <c r="N747" s="30"/>
      <c r="O747" s="15"/>
      <c r="P747" s="30" t="s">
        <v>919</v>
      </c>
    </row>
    <row r="748" spans="1:16" s="69" customFormat="1" x14ac:dyDescent="0.3">
      <c r="A748" s="15"/>
      <c r="H748" s="16"/>
      <c r="L748" s="16">
        <f>SUM(L746:L747)</f>
        <v>11621</v>
      </c>
      <c r="N748" s="30"/>
      <c r="O748" s="15"/>
    </row>
    <row r="749" spans="1:16" s="69" customFormat="1" x14ac:dyDescent="0.3">
      <c r="A749" s="15"/>
      <c r="H749" s="16"/>
      <c r="L749" s="16"/>
      <c r="N749" s="30"/>
      <c r="O749" s="15"/>
    </row>
    <row r="750" spans="1:16" s="69" customFormat="1" x14ac:dyDescent="0.3">
      <c r="A750" s="15">
        <v>44914</v>
      </c>
      <c r="B750" s="3" t="s">
        <v>921</v>
      </c>
      <c r="C750" s="69" t="s">
        <v>21</v>
      </c>
      <c r="D750" s="69">
        <v>4</v>
      </c>
      <c r="F750" s="69" t="s">
        <v>26</v>
      </c>
      <c r="G750" s="69" t="s">
        <v>10</v>
      </c>
      <c r="H750" s="16">
        <v>18971</v>
      </c>
      <c r="I750" s="69">
        <v>45</v>
      </c>
      <c r="J750" s="69">
        <v>45</v>
      </c>
      <c r="L750" s="69">
        <v>9605</v>
      </c>
      <c r="M750" s="69">
        <v>500</v>
      </c>
      <c r="N750" s="47">
        <v>44915</v>
      </c>
      <c r="O750" s="15">
        <v>44917</v>
      </c>
      <c r="P750" s="69" t="s">
        <v>923</v>
      </c>
    </row>
    <row r="751" spans="1:16" s="69" customFormat="1" x14ac:dyDescent="0.3">
      <c r="A751" s="15"/>
      <c r="H751" s="16"/>
      <c r="L751" s="69">
        <v>8776</v>
      </c>
      <c r="N751" s="30"/>
      <c r="O751" s="15"/>
      <c r="P751" s="69" t="s">
        <v>922</v>
      </c>
    </row>
    <row r="752" spans="1:16" s="69" customFormat="1" x14ac:dyDescent="0.3">
      <c r="A752" s="15"/>
      <c r="H752" s="16"/>
      <c r="L752" s="16">
        <f>SUM(L750:L751)</f>
        <v>18381</v>
      </c>
      <c r="N752" s="30"/>
      <c r="O752" s="15"/>
    </row>
    <row r="753" spans="1:16" s="69" customFormat="1" x14ac:dyDescent="0.3">
      <c r="A753" s="15"/>
      <c r="H753" s="16"/>
      <c r="L753" s="16"/>
      <c r="N753" s="30"/>
      <c r="O753" s="15"/>
    </row>
    <row r="754" spans="1:16" s="69" customFormat="1" x14ac:dyDescent="0.3">
      <c r="A754" s="15">
        <v>44915</v>
      </c>
      <c r="B754" s="3" t="s">
        <v>926</v>
      </c>
      <c r="C754" s="69" t="s">
        <v>924</v>
      </c>
      <c r="D754" s="3">
        <v>1</v>
      </c>
      <c r="E754" s="3" t="s">
        <v>60</v>
      </c>
      <c r="F754" s="3" t="s">
        <v>26</v>
      </c>
      <c r="G754" s="3" t="s">
        <v>10</v>
      </c>
      <c r="H754" s="16">
        <v>198731</v>
      </c>
      <c r="I754" s="69">
        <f>M754*9%</f>
        <v>225</v>
      </c>
      <c r="J754" s="69">
        <f>I754</f>
        <v>225</v>
      </c>
      <c r="L754" s="16">
        <v>195781</v>
      </c>
      <c r="M754" s="69">
        <v>2500</v>
      </c>
      <c r="N754" s="47">
        <v>44915</v>
      </c>
      <c r="O754" s="15">
        <v>44917</v>
      </c>
      <c r="P754" s="69" t="s">
        <v>925</v>
      </c>
    </row>
    <row r="755" spans="1:16" s="69" customFormat="1" x14ac:dyDescent="0.3">
      <c r="A755" s="15"/>
      <c r="H755" s="16"/>
      <c r="L755" s="16"/>
      <c r="N755" s="30"/>
      <c r="O755" s="15"/>
    </row>
    <row r="756" spans="1:16" s="69" customFormat="1" x14ac:dyDescent="0.3">
      <c r="A756" s="15">
        <v>44918</v>
      </c>
      <c r="B756" s="69" t="s">
        <v>928</v>
      </c>
      <c r="C756" s="69" t="s">
        <v>929</v>
      </c>
      <c r="D756" s="69">
        <v>2</v>
      </c>
      <c r="F756" s="69" t="s">
        <v>14</v>
      </c>
      <c r="G756" s="69" t="s">
        <v>10</v>
      </c>
      <c r="H756" s="16">
        <v>1000</v>
      </c>
      <c r="I756" s="69">
        <v>24</v>
      </c>
      <c r="J756" s="69">
        <v>24</v>
      </c>
      <c r="L756" s="16">
        <v>800</v>
      </c>
      <c r="M756" s="69">
        <v>152</v>
      </c>
      <c r="N756" s="25" t="s">
        <v>996</v>
      </c>
      <c r="O756" s="15">
        <v>44921</v>
      </c>
      <c r="P756" s="69" t="s">
        <v>930</v>
      </c>
    </row>
    <row r="757" spans="1:16" s="69" customFormat="1" x14ac:dyDescent="0.3">
      <c r="A757" s="15"/>
      <c r="H757" s="16"/>
      <c r="L757" s="16"/>
      <c r="N757" s="30"/>
      <c r="O757" s="15"/>
    </row>
    <row r="758" spans="1:16" s="69" customFormat="1" x14ac:dyDescent="0.3">
      <c r="A758" s="15">
        <v>44919</v>
      </c>
      <c r="B758" s="3" t="s">
        <v>931</v>
      </c>
      <c r="C758" s="69" t="s">
        <v>932</v>
      </c>
      <c r="D758" s="69">
        <v>2</v>
      </c>
      <c r="E758" s="3" t="s">
        <v>54</v>
      </c>
      <c r="F758" s="69" t="s">
        <v>26</v>
      </c>
      <c r="G758" s="30" t="s">
        <v>10</v>
      </c>
      <c r="H758" s="16">
        <v>20966</v>
      </c>
      <c r="I758" s="69">
        <f>M758*9%</f>
        <v>108</v>
      </c>
      <c r="J758" s="69">
        <f>I758</f>
        <v>108</v>
      </c>
      <c r="L758" s="69">
        <v>8135</v>
      </c>
      <c r="M758" s="69">
        <v>1200</v>
      </c>
      <c r="N758" s="47">
        <v>44925</v>
      </c>
      <c r="O758" s="15">
        <v>44921</v>
      </c>
      <c r="P758" s="69" t="s">
        <v>934</v>
      </c>
    </row>
    <row r="759" spans="1:16" s="69" customFormat="1" x14ac:dyDescent="0.3">
      <c r="A759" s="15"/>
      <c r="H759" s="16"/>
      <c r="L759" s="69">
        <v>11415</v>
      </c>
      <c r="N759" s="30"/>
      <c r="O759" s="15"/>
      <c r="P759" s="69" t="s">
        <v>933</v>
      </c>
    </row>
    <row r="760" spans="1:16" s="69" customFormat="1" x14ac:dyDescent="0.3">
      <c r="A760" s="15"/>
      <c r="H760" s="16"/>
      <c r="L760" s="16">
        <f>SUM(L758:L759)</f>
        <v>19550</v>
      </c>
      <c r="N760" s="30"/>
      <c r="O760" s="15"/>
    </row>
    <row r="761" spans="1:16" s="69" customFormat="1" x14ac:dyDescent="0.3">
      <c r="A761" s="15"/>
      <c r="H761" s="16"/>
      <c r="L761" s="16"/>
      <c r="N761" s="30"/>
      <c r="O761" s="15"/>
    </row>
    <row r="762" spans="1:16" s="69" customFormat="1" x14ac:dyDescent="0.3">
      <c r="A762" s="15">
        <v>44923</v>
      </c>
      <c r="B762" s="69" t="s">
        <v>935</v>
      </c>
      <c r="C762" s="69" t="s">
        <v>3519</v>
      </c>
      <c r="D762" s="69">
        <v>2</v>
      </c>
      <c r="F762" s="69" t="s">
        <v>26</v>
      </c>
      <c r="G762" s="69" t="s">
        <v>10</v>
      </c>
      <c r="H762" s="16">
        <v>19904</v>
      </c>
      <c r="I762" s="69">
        <f>M762*9%</f>
        <v>18</v>
      </c>
      <c r="J762" s="69">
        <v>18</v>
      </c>
      <c r="L762" s="69">
        <v>8691</v>
      </c>
      <c r="M762" s="69">
        <v>200</v>
      </c>
      <c r="N762" s="47">
        <v>44924</v>
      </c>
      <c r="O762" s="15">
        <v>44924</v>
      </c>
      <c r="P762" s="69" t="s">
        <v>937</v>
      </c>
    </row>
    <row r="763" spans="1:16" s="69" customFormat="1" x14ac:dyDescent="0.3">
      <c r="A763" s="15"/>
      <c r="H763" s="16"/>
      <c r="L763" s="69">
        <v>10977</v>
      </c>
      <c r="N763" s="30" t="s">
        <v>940</v>
      </c>
      <c r="O763" s="15"/>
      <c r="P763" s="69" t="s">
        <v>936</v>
      </c>
    </row>
    <row r="764" spans="1:16" s="69" customFormat="1" x14ac:dyDescent="0.3">
      <c r="A764" s="15"/>
      <c r="H764" s="16"/>
      <c r="L764" s="16">
        <f>SUM(L762:L763)</f>
        <v>19668</v>
      </c>
      <c r="N764" s="30"/>
      <c r="O764" s="15"/>
    </row>
    <row r="765" spans="1:16" s="69" customFormat="1" x14ac:dyDescent="0.3">
      <c r="A765" s="15"/>
      <c r="H765" s="16"/>
      <c r="L765" s="16"/>
      <c r="N765" s="30"/>
      <c r="O765" s="15"/>
    </row>
    <row r="766" spans="1:16" s="69" customFormat="1" x14ac:dyDescent="0.3">
      <c r="A766" s="15">
        <v>44923</v>
      </c>
      <c r="B766" s="69" t="s">
        <v>938</v>
      </c>
      <c r="C766" s="69" t="s">
        <v>3522</v>
      </c>
      <c r="D766" s="69">
        <v>2</v>
      </c>
      <c r="F766" s="69" t="s">
        <v>24</v>
      </c>
      <c r="G766" s="69" t="s">
        <v>11</v>
      </c>
      <c r="H766" s="16">
        <v>11884</v>
      </c>
      <c r="I766" s="69">
        <f>M766*9%</f>
        <v>135</v>
      </c>
      <c r="J766" s="69">
        <f>I766</f>
        <v>135</v>
      </c>
      <c r="L766" s="16">
        <v>10114</v>
      </c>
      <c r="M766" s="69">
        <v>1500</v>
      </c>
      <c r="N766" s="47">
        <v>44945</v>
      </c>
      <c r="O766" s="15">
        <v>44924</v>
      </c>
      <c r="P766" s="69" t="s">
        <v>939</v>
      </c>
    </row>
    <row r="767" spans="1:16" s="69" customFormat="1" x14ac:dyDescent="0.3">
      <c r="A767" s="15"/>
      <c r="H767" s="16"/>
      <c r="L767" s="16"/>
      <c r="N767" s="30"/>
      <c r="O767" s="15"/>
    </row>
    <row r="768" spans="1:16" s="69" customFormat="1" x14ac:dyDescent="0.3">
      <c r="A768" s="15">
        <v>44928</v>
      </c>
      <c r="B768" s="69" t="s">
        <v>941</v>
      </c>
      <c r="C768" s="69" t="s">
        <v>942</v>
      </c>
      <c r="D768" s="69">
        <v>2</v>
      </c>
      <c r="F768" s="69" t="s">
        <v>22</v>
      </c>
      <c r="G768" s="69" t="s">
        <v>50</v>
      </c>
      <c r="H768" s="16">
        <v>35140</v>
      </c>
      <c r="I768" s="69">
        <f>M768*9%</f>
        <v>360</v>
      </c>
      <c r="J768" s="69">
        <f>I768</f>
        <v>360</v>
      </c>
      <c r="L768" s="16">
        <f>30420</f>
        <v>30420</v>
      </c>
      <c r="M768" s="69">
        <v>4000</v>
      </c>
      <c r="N768" s="47" t="s">
        <v>1087</v>
      </c>
      <c r="O768" s="3" t="s">
        <v>957</v>
      </c>
    </row>
    <row r="769" spans="1:16" s="69" customFormat="1" x14ac:dyDescent="0.3">
      <c r="A769" s="15"/>
      <c r="H769" s="16"/>
      <c r="L769" s="16"/>
      <c r="N769" s="30" t="s">
        <v>1088</v>
      </c>
      <c r="O769" s="15"/>
    </row>
    <row r="770" spans="1:16" s="69" customFormat="1" x14ac:dyDescent="0.3">
      <c r="A770" s="15"/>
      <c r="H770" s="16"/>
      <c r="L770" s="16"/>
      <c r="N770" s="30"/>
      <c r="O770" s="15"/>
    </row>
    <row r="771" spans="1:16" s="69" customFormat="1" x14ac:dyDescent="0.3">
      <c r="A771" s="15">
        <v>44929</v>
      </c>
      <c r="B771" s="3" t="s">
        <v>944</v>
      </c>
      <c r="C771" s="69" t="s">
        <v>443</v>
      </c>
      <c r="D771" s="69">
        <v>1</v>
      </c>
      <c r="E771" s="3" t="s">
        <v>54</v>
      </c>
      <c r="F771" s="69" t="s">
        <v>26</v>
      </c>
      <c r="G771" s="69" t="s">
        <v>10</v>
      </c>
      <c r="H771" s="16">
        <v>30547</v>
      </c>
      <c r="I771" s="69">
        <f>M771*9%</f>
        <v>135</v>
      </c>
      <c r="J771" s="69">
        <f>I771</f>
        <v>135</v>
      </c>
      <c r="L771" s="69">
        <v>4464</v>
      </c>
      <c r="M771" s="69">
        <f>600+600+300</f>
        <v>1500</v>
      </c>
      <c r="N771" s="38">
        <v>44935</v>
      </c>
      <c r="O771" s="5">
        <v>44935</v>
      </c>
      <c r="P771" s="69" t="s">
        <v>946</v>
      </c>
    </row>
    <row r="772" spans="1:16" s="69" customFormat="1" x14ac:dyDescent="0.3">
      <c r="A772" s="15"/>
      <c r="H772" s="16"/>
      <c r="L772" s="69">
        <v>7723</v>
      </c>
      <c r="N772" s="30"/>
      <c r="O772" s="15"/>
      <c r="P772" s="69" t="s">
        <v>945</v>
      </c>
    </row>
    <row r="773" spans="1:16" s="69" customFormat="1" x14ac:dyDescent="0.3">
      <c r="A773" s="15"/>
      <c r="C773" s="69" t="s">
        <v>950</v>
      </c>
      <c r="H773" s="16"/>
      <c r="L773" s="69">
        <v>7259</v>
      </c>
      <c r="N773" s="30"/>
      <c r="O773" s="15"/>
      <c r="P773" s="69" t="s">
        <v>951</v>
      </c>
    </row>
    <row r="774" spans="1:16" s="69" customFormat="1" x14ac:dyDescent="0.3">
      <c r="A774" s="15"/>
      <c r="H774" s="16"/>
      <c r="L774" s="69">
        <v>8831</v>
      </c>
      <c r="N774" s="30"/>
      <c r="O774" s="15"/>
      <c r="P774" s="69" t="s">
        <v>952</v>
      </c>
    </row>
    <row r="775" spans="1:16" s="69" customFormat="1" x14ac:dyDescent="0.3">
      <c r="A775" s="15"/>
      <c r="H775" s="16"/>
      <c r="L775" s="69">
        <v>250</v>
      </c>
      <c r="N775" s="30"/>
      <c r="O775" s="15"/>
      <c r="P775" s="69" t="s">
        <v>954</v>
      </c>
    </row>
    <row r="776" spans="1:16" s="69" customFormat="1" x14ac:dyDescent="0.3">
      <c r="A776" s="15"/>
      <c r="C776" s="69" t="s">
        <v>953</v>
      </c>
      <c r="H776" s="16"/>
      <c r="L776" s="69">
        <v>250</v>
      </c>
      <c r="N776" s="30"/>
      <c r="O776" s="15"/>
      <c r="P776" s="69" t="s">
        <v>955</v>
      </c>
    </row>
    <row r="777" spans="1:16" s="69" customFormat="1" x14ac:dyDescent="0.3">
      <c r="A777" s="15"/>
      <c r="H777" s="16"/>
      <c r="L777" s="16">
        <f>SUM(L771:L776)</f>
        <v>28777</v>
      </c>
      <c r="N777" s="30"/>
      <c r="O777" s="15"/>
    </row>
    <row r="778" spans="1:16" s="69" customFormat="1" x14ac:dyDescent="0.3">
      <c r="A778" s="15"/>
      <c r="H778" s="16"/>
      <c r="N778" s="30"/>
      <c r="O778" s="15"/>
    </row>
    <row r="779" spans="1:16" s="69" customFormat="1" x14ac:dyDescent="0.3">
      <c r="A779" s="15"/>
      <c r="H779" s="16"/>
      <c r="L779" s="16"/>
      <c r="N779" s="30"/>
      <c r="O779" s="15"/>
    </row>
    <row r="780" spans="1:16" s="69" customFormat="1" x14ac:dyDescent="0.3">
      <c r="A780" s="15"/>
      <c r="H780" s="16"/>
      <c r="L780" s="16"/>
      <c r="N780" s="30"/>
      <c r="O780" s="15"/>
    </row>
    <row r="781" spans="1:16" s="69" customFormat="1" x14ac:dyDescent="0.3">
      <c r="A781" s="15">
        <v>44929</v>
      </c>
      <c r="B781" s="3" t="s">
        <v>947</v>
      </c>
      <c r="C781" s="69" t="s">
        <v>948</v>
      </c>
      <c r="D781" s="69">
        <v>1</v>
      </c>
      <c r="E781" s="69" t="s">
        <v>61</v>
      </c>
      <c r="F781" s="69" t="s">
        <v>24</v>
      </c>
      <c r="G781" s="69" t="s">
        <v>949</v>
      </c>
      <c r="H781" s="16">
        <v>6976</v>
      </c>
      <c r="I781" s="69">
        <v>113</v>
      </c>
      <c r="J781" s="69">
        <f>I781</f>
        <v>113</v>
      </c>
      <c r="L781" s="16">
        <v>5500</v>
      </c>
      <c r="M781" s="69">
        <v>1250</v>
      </c>
      <c r="N781" s="38">
        <v>44936</v>
      </c>
      <c r="O781" s="5">
        <v>44929</v>
      </c>
    </row>
    <row r="782" spans="1:16" s="69" customFormat="1" x14ac:dyDescent="0.3">
      <c r="A782" s="15"/>
      <c r="H782" s="16"/>
      <c r="L782" s="16"/>
      <c r="N782" s="30"/>
      <c r="O782" s="15"/>
    </row>
    <row r="783" spans="1:16" ht="39.6" x14ac:dyDescent="0.3">
      <c r="A783" s="5">
        <v>44935</v>
      </c>
      <c r="B783" s="3" t="s">
        <v>956</v>
      </c>
      <c r="C783" s="3" t="s">
        <v>47</v>
      </c>
      <c r="D783" s="3">
        <v>7</v>
      </c>
      <c r="F783" s="3" t="s">
        <v>9</v>
      </c>
      <c r="G783" s="3" t="s">
        <v>20</v>
      </c>
      <c r="H783" s="4">
        <v>42616</v>
      </c>
      <c r="I783" s="3">
        <v>1015</v>
      </c>
      <c r="J783" s="3">
        <v>1015</v>
      </c>
      <c r="L783" s="4">
        <v>34500</v>
      </c>
      <c r="M783" s="3">
        <v>6086</v>
      </c>
      <c r="N783" s="25" t="s">
        <v>961</v>
      </c>
      <c r="O783" s="15">
        <v>44951</v>
      </c>
    </row>
    <row r="784" spans="1:16" x14ac:dyDescent="0.3">
      <c r="N784" s="25">
        <f>10278+12248+15590+4500</f>
        <v>42616</v>
      </c>
    </row>
    <row r="787" spans="1:16" x14ac:dyDescent="0.3">
      <c r="A787" s="5">
        <v>44936</v>
      </c>
      <c r="B787" s="3" t="s">
        <v>958</v>
      </c>
      <c r="C787" s="3" t="s">
        <v>967</v>
      </c>
      <c r="D787" s="3">
        <v>2</v>
      </c>
      <c r="F787" s="3" t="s">
        <v>9</v>
      </c>
      <c r="G787" s="3" t="s">
        <v>20</v>
      </c>
      <c r="H787" s="4">
        <v>10974</v>
      </c>
      <c r="I787" s="3">
        <v>262</v>
      </c>
      <c r="J787" s="3">
        <v>262</v>
      </c>
      <c r="L787" s="4">
        <v>9450</v>
      </c>
      <c r="M787" s="3">
        <v>1000</v>
      </c>
      <c r="N787" s="5" t="s">
        <v>976</v>
      </c>
      <c r="O787" s="5">
        <v>44939</v>
      </c>
    </row>
    <row r="789" spans="1:16" x14ac:dyDescent="0.3">
      <c r="A789" s="5">
        <v>44936</v>
      </c>
      <c r="B789" s="3" t="s">
        <v>959</v>
      </c>
      <c r="C789" s="3" t="s">
        <v>143</v>
      </c>
      <c r="D789" s="3">
        <v>1</v>
      </c>
      <c r="E789" s="1" t="s">
        <v>60</v>
      </c>
      <c r="F789" s="3" t="s">
        <v>960</v>
      </c>
      <c r="G789" s="3" t="s">
        <v>960</v>
      </c>
      <c r="H789" s="4">
        <v>8030</v>
      </c>
      <c r="I789" s="3">
        <v>90</v>
      </c>
      <c r="J789" s="3">
        <v>90</v>
      </c>
      <c r="L789" s="4">
        <v>6850</v>
      </c>
      <c r="M789" s="3">
        <v>1000</v>
      </c>
      <c r="N789" s="38">
        <v>44938</v>
      </c>
      <c r="O789" s="5">
        <v>44936</v>
      </c>
      <c r="P789" s="52">
        <v>20230110142525</v>
      </c>
    </row>
    <row r="791" spans="1:16" x14ac:dyDescent="0.3">
      <c r="A791" s="5">
        <v>44937</v>
      </c>
      <c r="B791" s="3" t="s">
        <v>962</v>
      </c>
      <c r="C791" s="3" t="s">
        <v>680</v>
      </c>
      <c r="D791" s="3">
        <v>1</v>
      </c>
      <c r="E791" s="3" t="s">
        <v>54</v>
      </c>
      <c r="F791" s="3" t="s">
        <v>9</v>
      </c>
      <c r="G791" s="3" t="s">
        <v>20</v>
      </c>
      <c r="H791" s="4">
        <v>6441</v>
      </c>
      <c r="I791" s="3">
        <v>154</v>
      </c>
      <c r="J791" s="3">
        <v>154</v>
      </c>
      <c r="L791" s="4">
        <v>4883</v>
      </c>
      <c r="M791" s="3">
        <v>1250</v>
      </c>
      <c r="N791" s="38">
        <v>44938</v>
      </c>
      <c r="O791" s="5">
        <v>44938</v>
      </c>
      <c r="P791" s="3" t="s">
        <v>963</v>
      </c>
    </row>
    <row r="793" spans="1:16" x14ac:dyDescent="0.3">
      <c r="A793" s="5">
        <v>44938</v>
      </c>
      <c r="B793" s="3" t="s">
        <v>964</v>
      </c>
      <c r="C793" s="3" t="s">
        <v>965</v>
      </c>
      <c r="D793" s="3">
        <v>1</v>
      </c>
      <c r="E793" s="3" t="s">
        <v>54</v>
      </c>
      <c r="F793" s="3" t="s">
        <v>26</v>
      </c>
      <c r="G793" s="3" t="s">
        <v>10</v>
      </c>
      <c r="H793" s="4">
        <v>64706</v>
      </c>
      <c r="I793" s="3">
        <f>M793*9%</f>
        <v>351</v>
      </c>
      <c r="J793" s="3">
        <f>I793</f>
        <v>351</v>
      </c>
      <c r="L793" s="3">
        <v>4515</v>
      </c>
      <c r="M793" s="3">
        <f>300*13</f>
        <v>3900</v>
      </c>
      <c r="N793" s="25" t="s">
        <v>1012</v>
      </c>
      <c r="O793" s="3" t="s">
        <v>991</v>
      </c>
      <c r="P793" s="3" t="s">
        <v>966</v>
      </c>
    </row>
    <row r="794" spans="1:16" x14ac:dyDescent="0.3">
      <c r="C794" s="3" t="s">
        <v>419</v>
      </c>
      <c r="G794" s="3" t="s">
        <v>10</v>
      </c>
      <c r="L794" s="3">
        <v>7270</v>
      </c>
      <c r="O794" s="3" t="s">
        <v>992</v>
      </c>
      <c r="P794" s="3" t="s">
        <v>968</v>
      </c>
    </row>
    <row r="795" spans="1:16" x14ac:dyDescent="0.3">
      <c r="C795" s="3" t="s">
        <v>969</v>
      </c>
      <c r="G795" s="3" t="s">
        <v>10</v>
      </c>
      <c r="L795" s="3">
        <v>3536</v>
      </c>
      <c r="O795" s="3" t="s">
        <v>1003</v>
      </c>
      <c r="P795" s="3" t="s">
        <v>970</v>
      </c>
    </row>
    <row r="796" spans="1:16" x14ac:dyDescent="0.3">
      <c r="C796" s="3" t="s">
        <v>969</v>
      </c>
      <c r="G796" s="3" t="s">
        <v>10</v>
      </c>
      <c r="L796" s="3">
        <v>2214</v>
      </c>
      <c r="P796" s="3" t="s">
        <v>971</v>
      </c>
    </row>
    <row r="797" spans="1:16" x14ac:dyDescent="0.3">
      <c r="C797" s="3" t="s">
        <v>969</v>
      </c>
      <c r="F797" s="3" t="s">
        <v>973</v>
      </c>
      <c r="G797" s="3" t="s">
        <v>972</v>
      </c>
      <c r="L797" s="3">
        <v>1000</v>
      </c>
      <c r="O797" s="3" t="s">
        <v>974</v>
      </c>
    </row>
    <row r="798" spans="1:16" x14ac:dyDescent="0.3">
      <c r="C798" s="3" t="s">
        <v>950</v>
      </c>
      <c r="G798" s="3" t="s">
        <v>10</v>
      </c>
      <c r="L798" s="3">
        <v>6050</v>
      </c>
      <c r="P798" s="3" t="s">
        <v>975</v>
      </c>
    </row>
    <row r="799" spans="1:16" x14ac:dyDescent="0.3">
      <c r="C799" s="3" t="s">
        <v>950</v>
      </c>
      <c r="F799" s="3" t="s">
        <v>973</v>
      </c>
      <c r="G799" s="3" t="s">
        <v>10</v>
      </c>
      <c r="L799" s="3">
        <v>1059</v>
      </c>
      <c r="P799" s="3" t="s">
        <v>980</v>
      </c>
    </row>
    <row r="800" spans="1:16" x14ac:dyDescent="0.3">
      <c r="C800" s="3" t="s">
        <v>977</v>
      </c>
      <c r="G800" s="3" t="s">
        <v>10</v>
      </c>
      <c r="L800" s="3">
        <v>6064</v>
      </c>
      <c r="P800" s="3" t="s">
        <v>978</v>
      </c>
    </row>
    <row r="801" spans="1:16" x14ac:dyDescent="0.3">
      <c r="C801" s="3" t="s">
        <v>977</v>
      </c>
      <c r="G801" s="3" t="s">
        <v>10</v>
      </c>
      <c r="L801" s="3">
        <v>2071</v>
      </c>
      <c r="P801" s="3" t="s">
        <v>979</v>
      </c>
    </row>
    <row r="802" spans="1:16" x14ac:dyDescent="0.3">
      <c r="C802" s="3" t="s">
        <v>982</v>
      </c>
      <c r="G802" s="3" t="s">
        <v>10</v>
      </c>
      <c r="L802" s="3">
        <v>14615</v>
      </c>
      <c r="P802" s="3" t="s">
        <v>981</v>
      </c>
    </row>
    <row r="803" spans="1:16" x14ac:dyDescent="0.3">
      <c r="C803" s="3" t="s">
        <v>982</v>
      </c>
      <c r="G803" s="3" t="s">
        <v>10</v>
      </c>
      <c r="L803" s="3">
        <v>9030</v>
      </c>
      <c r="P803" s="3" t="s">
        <v>983</v>
      </c>
    </row>
    <row r="804" spans="1:16" x14ac:dyDescent="0.3">
      <c r="C804" s="3" t="s">
        <v>982</v>
      </c>
      <c r="F804" s="3" t="s">
        <v>984</v>
      </c>
      <c r="G804" s="3" t="s">
        <v>10</v>
      </c>
      <c r="L804" s="3">
        <v>500</v>
      </c>
      <c r="P804" s="3" t="s">
        <v>990</v>
      </c>
    </row>
    <row r="805" spans="1:16" x14ac:dyDescent="0.3">
      <c r="C805" s="3" t="s">
        <v>982</v>
      </c>
      <c r="F805" s="3" t="s">
        <v>985</v>
      </c>
      <c r="G805" s="3" t="s">
        <v>10</v>
      </c>
      <c r="L805" s="3">
        <v>2118</v>
      </c>
      <c r="P805" s="3" t="s">
        <v>1002</v>
      </c>
    </row>
    <row r="806" spans="1:16" x14ac:dyDescent="0.3">
      <c r="L806" s="4">
        <f>SUM(L793:L805)</f>
        <v>60042</v>
      </c>
    </row>
    <row r="809" spans="1:16" x14ac:dyDescent="0.3">
      <c r="A809" s="5">
        <v>44942</v>
      </c>
      <c r="B809" s="3" t="s">
        <v>986</v>
      </c>
      <c r="C809" s="3" t="s">
        <v>987</v>
      </c>
      <c r="D809" s="3">
        <v>1</v>
      </c>
      <c r="E809" s="3" t="s">
        <v>54</v>
      </c>
      <c r="F809" s="3" t="s">
        <v>24</v>
      </c>
      <c r="G809" s="3" t="s">
        <v>988</v>
      </c>
      <c r="H809" s="4">
        <v>7076</v>
      </c>
      <c r="I809" s="3">
        <v>113</v>
      </c>
      <c r="J809" s="3">
        <v>113</v>
      </c>
      <c r="L809" s="4">
        <v>5600</v>
      </c>
      <c r="M809" s="3">
        <v>1250</v>
      </c>
      <c r="N809" s="25" t="s">
        <v>1012</v>
      </c>
      <c r="O809" s="25" t="s">
        <v>989</v>
      </c>
    </row>
    <row r="812" spans="1:16" ht="26.4" x14ac:dyDescent="0.3">
      <c r="A812" s="5">
        <v>44943</v>
      </c>
      <c r="B812" s="3" t="s">
        <v>993</v>
      </c>
      <c r="C812" s="3" t="s">
        <v>452</v>
      </c>
      <c r="D812" s="3">
        <v>2</v>
      </c>
      <c r="E812" s="3" t="s">
        <v>54</v>
      </c>
      <c r="F812" s="3" t="s">
        <v>26</v>
      </c>
      <c r="G812" s="3" t="s">
        <v>10</v>
      </c>
      <c r="H812" s="4">
        <v>16620</v>
      </c>
      <c r="I812" s="3">
        <f>M812*9%</f>
        <v>90</v>
      </c>
      <c r="J812" s="3">
        <f>I812</f>
        <v>90</v>
      </c>
      <c r="L812" s="3">
        <v>14640</v>
      </c>
      <c r="M812" s="3">
        <v>1000</v>
      </c>
      <c r="N812" s="25">
        <f>16620-11167</f>
        <v>5453</v>
      </c>
      <c r="O812" s="30" t="s">
        <v>1011</v>
      </c>
      <c r="P812" s="3" t="s">
        <v>995</v>
      </c>
    </row>
    <row r="813" spans="1:16" ht="26.4" x14ac:dyDescent="0.3">
      <c r="A813" s="5"/>
      <c r="G813" s="3" t="s">
        <v>973</v>
      </c>
      <c r="H813" s="4"/>
      <c r="L813" s="3">
        <v>300</v>
      </c>
      <c r="N813" s="25" t="s">
        <v>1041</v>
      </c>
      <c r="O813" s="30" t="s">
        <v>1010</v>
      </c>
    </row>
    <row r="814" spans="1:16" x14ac:dyDescent="0.3">
      <c r="G814" s="3" t="s">
        <v>994</v>
      </c>
      <c r="L814" s="3">
        <v>500</v>
      </c>
      <c r="O814" s="3" t="s">
        <v>1039</v>
      </c>
    </row>
    <row r="815" spans="1:16" x14ac:dyDescent="0.3">
      <c r="L815" s="4">
        <f>SUM(L812:L814)</f>
        <v>15440</v>
      </c>
    </row>
    <row r="816" spans="1:16" x14ac:dyDescent="0.3">
      <c r="L816" s="4"/>
    </row>
    <row r="817" spans="1:16" s="10" customFormat="1" x14ac:dyDescent="0.3">
      <c r="A817" s="9">
        <v>44943</v>
      </c>
      <c r="B817" s="10" t="s">
        <v>1004</v>
      </c>
      <c r="C817" s="10" t="s">
        <v>55</v>
      </c>
      <c r="D817" s="10">
        <v>2</v>
      </c>
      <c r="E817" s="10" t="s">
        <v>54</v>
      </c>
      <c r="F817" s="10" t="s">
        <v>26</v>
      </c>
      <c r="G817" s="10" t="s">
        <v>10</v>
      </c>
      <c r="H817" s="10">
        <f>590</f>
        <v>590</v>
      </c>
      <c r="L817" s="17">
        <f>11167</f>
        <v>11167</v>
      </c>
      <c r="N817" s="70"/>
      <c r="P817" s="10" t="s">
        <v>1005</v>
      </c>
    </row>
    <row r="818" spans="1:16" s="10" customFormat="1" x14ac:dyDescent="0.3">
      <c r="H818" s="10">
        <v>498</v>
      </c>
      <c r="L818" s="17"/>
      <c r="N818" s="70"/>
      <c r="P818" s="10" t="s">
        <v>1006</v>
      </c>
    </row>
    <row r="819" spans="1:16" s="10" customFormat="1" x14ac:dyDescent="0.3">
      <c r="H819" s="10">
        <v>498</v>
      </c>
      <c r="L819" s="17"/>
      <c r="N819" s="70"/>
      <c r="P819" s="10" t="s">
        <v>1007</v>
      </c>
    </row>
    <row r="820" spans="1:16" s="10" customFormat="1" x14ac:dyDescent="0.3">
      <c r="H820" s="10">
        <v>3534</v>
      </c>
      <c r="L820" s="17"/>
      <c r="N820" s="70"/>
      <c r="P820" s="10" t="s">
        <v>1008</v>
      </c>
    </row>
    <row r="821" spans="1:16" s="10" customFormat="1" x14ac:dyDescent="0.3">
      <c r="H821" s="10">
        <v>6047</v>
      </c>
      <c r="L821" s="17"/>
      <c r="N821" s="70"/>
      <c r="P821" s="10" t="s">
        <v>1009</v>
      </c>
    </row>
    <row r="822" spans="1:16" s="10" customFormat="1" x14ac:dyDescent="0.3">
      <c r="H822" s="17">
        <f>SUM(H817:H821)</f>
        <v>11167</v>
      </c>
      <c r="L822" s="17"/>
      <c r="N822" s="70"/>
    </row>
    <row r="823" spans="1:16" x14ac:dyDescent="0.3">
      <c r="L823" s="4"/>
    </row>
    <row r="824" spans="1:16" x14ac:dyDescent="0.3">
      <c r="L824" s="4"/>
    </row>
    <row r="825" spans="1:16" x14ac:dyDescent="0.3">
      <c r="A825" s="5">
        <v>44944</v>
      </c>
      <c r="B825" s="3" t="s">
        <v>997</v>
      </c>
      <c r="C825" s="3" t="s">
        <v>998</v>
      </c>
      <c r="D825" s="3">
        <v>7</v>
      </c>
      <c r="E825" s="3">
        <f>34831+10643</f>
        <v>45474</v>
      </c>
      <c r="F825" s="3" t="s">
        <v>14</v>
      </c>
      <c r="G825" s="3" t="s">
        <v>20</v>
      </c>
      <c r="H825" s="4">
        <f>615264+10643</f>
        <v>625907</v>
      </c>
      <c r="K825" s="3">
        <v>29805</v>
      </c>
      <c r="L825" s="4">
        <f>497670+7000</f>
        <v>504670</v>
      </c>
      <c r="M825" s="3">
        <v>91432</v>
      </c>
      <c r="N825" s="25" t="s">
        <v>999</v>
      </c>
      <c r="O825" s="25" t="s">
        <v>1001</v>
      </c>
      <c r="P825" s="3">
        <f>193510+193510+193413+34831</f>
        <v>615264</v>
      </c>
    </row>
    <row r="826" spans="1:16" x14ac:dyDescent="0.3">
      <c r="N826" s="25" t="s">
        <v>1000</v>
      </c>
      <c r="O826" s="25" t="s">
        <v>1013</v>
      </c>
    </row>
    <row r="827" spans="1:16" x14ac:dyDescent="0.3">
      <c r="N827" s="25" t="s">
        <v>1024</v>
      </c>
      <c r="O827" s="25" t="s">
        <v>1052</v>
      </c>
    </row>
    <row r="828" spans="1:16" x14ac:dyDescent="0.3">
      <c r="E828" s="1"/>
      <c r="N828" s="25" t="s">
        <v>1040</v>
      </c>
      <c r="O828" s="3" t="s">
        <v>1077</v>
      </c>
    </row>
    <row r="829" spans="1:16" x14ac:dyDescent="0.3">
      <c r="E829" s="1"/>
      <c r="N829" s="25" t="s">
        <v>1086</v>
      </c>
    </row>
    <row r="830" spans="1:16" x14ac:dyDescent="0.3">
      <c r="E830" s="1"/>
    </row>
    <row r="831" spans="1:16" x14ac:dyDescent="0.3">
      <c r="A831" s="5">
        <v>44949</v>
      </c>
      <c r="B831" s="69" t="s">
        <v>1015</v>
      </c>
      <c r="C831" s="3" t="s">
        <v>1014</v>
      </c>
      <c r="E831" s="1" t="s">
        <v>60</v>
      </c>
      <c r="F831" s="3" t="s">
        <v>7</v>
      </c>
      <c r="G831" s="3" t="s">
        <v>10</v>
      </c>
      <c r="H831" s="4">
        <v>19199</v>
      </c>
      <c r="I831" s="3">
        <f>M831*9%</f>
        <v>126</v>
      </c>
      <c r="J831" s="3">
        <f>I831</f>
        <v>126</v>
      </c>
      <c r="L831" s="3">
        <v>7080</v>
      </c>
      <c r="M831" s="3">
        <v>1400</v>
      </c>
      <c r="N831" s="38">
        <v>44953</v>
      </c>
      <c r="O831" s="15">
        <v>44951</v>
      </c>
      <c r="P831" s="3" t="s">
        <v>1017</v>
      </c>
    </row>
    <row r="832" spans="1:16" x14ac:dyDescent="0.3">
      <c r="E832" s="1"/>
      <c r="L832" s="3">
        <v>10467</v>
      </c>
      <c r="P832" s="3" t="s">
        <v>1016</v>
      </c>
    </row>
    <row r="833" spans="1:16" x14ac:dyDescent="0.3">
      <c r="L833" s="4">
        <f>SUM(L831:L832)</f>
        <v>17547</v>
      </c>
    </row>
    <row r="836" spans="1:16" x14ac:dyDescent="0.3">
      <c r="A836" s="5">
        <v>44949</v>
      </c>
      <c r="B836" s="69" t="s">
        <v>1018</v>
      </c>
      <c r="C836" s="3" t="s">
        <v>64</v>
      </c>
      <c r="D836" s="3">
        <v>4</v>
      </c>
      <c r="E836" s="3" t="s">
        <v>54</v>
      </c>
      <c r="F836" s="3" t="s">
        <v>26</v>
      </c>
      <c r="G836" s="3" t="s">
        <v>10</v>
      </c>
      <c r="H836" s="4">
        <v>78760</v>
      </c>
      <c r="I836" s="3">
        <f>M836*9%</f>
        <v>378</v>
      </c>
      <c r="J836" s="3">
        <f>I836</f>
        <v>378</v>
      </c>
      <c r="L836" s="3">
        <v>7771</v>
      </c>
      <c r="M836" s="3">
        <f>350*12</f>
        <v>4200</v>
      </c>
      <c r="N836" s="25" t="s">
        <v>1041</v>
      </c>
      <c r="O836" s="15">
        <v>44951</v>
      </c>
      <c r="P836" s="3" t="s">
        <v>1019</v>
      </c>
    </row>
    <row r="837" spans="1:16" x14ac:dyDescent="0.3">
      <c r="C837" s="3" t="s">
        <v>424</v>
      </c>
      <c r="L837" s="3">
        <v>4008</v>
      </c>
      <c r="P837" s="3" t="s">
        <v>1020</v>
      </c>
    </row>
    <row r="838" spans="1:16" x14ac:dyDescent="0.3">
      <c r="C838" s="3" t="s">
        <v>1022</v>
      </c>
      <c r="L838" s="3">
        <v>6463</v>
      </c>
      <c r="P838" s="3" t="s">
        <v>1021</v>
      </c>
    </row>
    <row r="839" spans="1:16" x14ac:dyDescent="0.3">
      <c r="C839" s="3" t="s">
        <v>1022</v>
      </c>
      <c r="L839" s="3">
        <v>18071</v>
      </c>
      <c r="P839" s="3" t="s">
        <v>1023</v>
      </c>
    </row>
    <row r="840" spans="1:16" x14ac:dyDescent="0.3">
      <c r="C840" s="3" t="s">
        <v>1027</v>
      </c>
      <c r="L840" s="3">
        <v>9737</v>
      </c>
      <c r="P840" s="3" t="s">
        <v>1029</v>
      </c>
    </row>
    <row r="841" spans="1:16" x14ac:dyDescent="0.3">
      <c r="C841" s="3" t="s">
        <v>1027</v>
      </c>
      <c r="L841" s="3">
        <v>9738</v>
      </c>
      <c r="P841" s="3" t="s">
        <v>1028</v>
      </c>
    </row>
    <row r="842" spans="1:16" x14ac:dyDescent="0.3">
      <c r="C842" s="3" t="s">
        <v>1034</v>
      </c>
      <c r="L842" s="3">
        <v>9323</v>
      </c>
      <c r="P842" s="3" t="s">
        <v>1035</v>
      </c>
    </row>
    <row r="843" spans="1:16" x14ac:dyDescent="0.3">
      <c r="C843" s="3" t="s">
        <v>1036</v>
      </c>
      <c r="L843" s="3">
        <v>4319</v>
      </c>
      <c r="P843" s="3" t="s">
        <v>1037</v>
      </c>
    </row>
    <row r="844" spans="1:16" x14ac:dyDescent="0.3">
      <c r="C844" s="3" t="s">
        <v>977</v>
      </c>
      <c r="L844" s="3">
        <v>4374</v>
      </c>
      <c r="P844" s="3" t="s">
        <v>1038</v>
      </c>
    </row>
    <row r="845" spans="1:16" x14ac:dyDescent="0.3">
      <c r="L845" s="4">
        <f>SUM(L836:L844)</f>
        <v>73804</v>
      </c>
    </row>
    <row r="847" spans="1:16" x14ac:dyDescent="0.3">
      <c r="A847" s="5">
        <v>44951</v>
      </c>
      <c r="B847" s="69" t="s">
        <v>1025</v>
      </c>
      <c r="C847" s="3" t="s">
        <v>1030</v>
      </c>
      <c r="D847" s="3">
        <v>2</v>
      </c>
      <c r="E847" s="3" t="s">
        <v>54</v>
      </c>
      <c r="F847" s="3" t="s">
        <v>9</v>
      </c>
      <c r="G847" s="3" t="s">
        <v>20</v>
      </c>
      <c r="H847" s="4">
        <v>17134</v>
      </c>
      <c r="I847" s="3">
        <v>408</v>
      </c>
      <c r="J847" s="3">
        <v>408</v>
      </c>
      <c r="L847" s="3">
        <v>5228</v>
      </c>
      <c r="M847" s="3">
        <v>2500</v>
      </c>
      <c r="N847" s="25" t="s">
        <v>1041</v>
      </c>
      <c r="O847" s="5">
        <v>44951</v>
      </c>
      <c r="P847" s="25" t="s">
        <v>1026</v>
      </c>
    </row>
    <row r="848" spans="1:16" x14ac:dyDescent="0.3">
      <c r="C848" s="3" t="s">
        <v>584</v>
      </c>
      <c r="L848" s="3">
        <v>8590</v>
      </c>
    </row>
    <row r="849" spans="1:16" x14ac:dyDescent="0.3">
      <c r="L849" s="4">
        <f>SUM(L847:L848)</f>
        <v>13818</v>
      </c>
    </row>
    <row r="851" spans="1:16" x14ac:dyDescent="0.3">
      <c r="A851" s="5">
        <v>44951</v>
      </c>
      <c r="B851" s="69" t="s">
        <v>1031</v>
      </c>
      <c r="C851" s="3" t="s">
        <v>1032</v>
      </c>
      <c r="D851" s="3">
        <v>2</v>
      </c>
      <c r="E851" s="3" t="s">
        <v>54</v>
      </c>
      <c r="F851" s="3" t="s">
        <v>24</v>
      </c>
      <c r="G851" s="3" t="s">
        <v>1033</v>
      </c>
      <c r="H851" s="4">
        <v>26060</v>
      </c>
      <c r="I851" s="3">
        <f>M851*9%</f>
        <v>450</v>
      </c>
      <c r="J851" s="3">
        <f>I851</f>
        <v>450</v>
      </c>
      <c r="L851" s="4">
        <v>20160</v>
      </c>
      <c r="M851" s="3">
        <f>1250*2*2</f>
        <v>5000</v>
      </c>
      <c r="N851" s="25" t="s">
        <v>1041</v>
      </c>
      <c r="O851" s="5">
        <v>44951</v>
      </c>
    </row>
    <row r="854" spans="1:16" x14ac:dyDescent="0.3">
      <c r="A854" s="5">
        <v>44954</v>
      </c>
      <c r="B854" s="3" t="s">
        <v>1042</v>
      </c>
      <c r="C854" s="3" t="s">
        <v>1043</v>
      </c>
      <c r="D854" s="3">
        <v>5</v>
      </c>
      <c r="E854" s="3" t="s">
        <v>54</v>
      </c>
      <c r="F854" s="3" t="s">
        <v>26</v>
      </c>
      <c r="G854" s="3" t="s">
        <v>10</v>
      </c>
      <c r="H854" s="4">
        <f>SUM(I854:M859)</f>
        <v>68313</v>
      </c>
      <c r="I854" s="3">
        <v>410</v>
      </c>
      <c r="J854" s="3">
        <v>410</v>
      </c>
      <c r="L854" s="3">
        <v>20902</v>
      </c>
      <c r="M854" s="3">
        <f>350*13</f>
        <v>4550</v>
      </c>
      <c r="N854" s="25" t="s">
        <v>1065</v>
      </c>
      <c r="O854" s="5">
        <v>44959</v>
      </c>
      <c r="P854" s="3" t="s">
        <v>1046</v>
      </c>
    </row>
    <row r="855" spans="1:16" x14ac:dyDescent="0.3">
      <c r="C855" s="3" t="s">
        <v>1048</v>
      </c>
      <c r="L855" s="3">
        <v>12006</v>
      </c>
      <c r="P855" s="3" t="s">
        <v>1047</v>
      </c>
    </row>
    <row r="856" spans="1:16" x14ac:dyDescent="0.3">
      <c r="C856" s="3" t="s">
        <v>1044</v>
      </c>
      <c r="L856" s="3">
        <v>14214</v>
      </c>
      <c r="P856" s="3" t="s">
        <v>1045</v>
      </c>
    </row>
    <row r="857" spans="1:16" x14ac:dyDescent="0.3">
      <c r="C857" s="3" t="s">
        <v>1054</v>
      </c>
      <c r="L857" s="3">
        <v>250</v>
      </c>
      <c r="P857" s="3" t="s">
        <v>1062</v>
      </c>
    </row>
    <row r="858" spans="1:16" x14ac:dyDescent="0.3">
      <c r="C858" s="3" t="s">
        <v>1064</v>
      </c>
      <c r="L858" s="3">
        <v>7259</v>
      </c>
      <c r="P858" s="3" t="s">
        <v>1060</v>
      </c>
    </row>
    <row r="859" spans="1:16" x14ac:dyDescent="0.3">
      <c r="C859" s="3" t="s">
        <v>1059</v>
      </c>
      <c r="L859" s="3">
        <v>8312</v>
      </c>
      <c r="P859" s="3" t="s">
        <v>1061</v>
      </c>
    </row>
    <row r="860" spans="1:16" x14ac:dyDescent="0.3">
      <c r="L860" s="4">
        <f>SUM(L854:L859)</f>
        <v>62943</v>
      </c>
    </row>
    <row r="862" spans="1:16" x14ac:dyDescent="0.3">
      <c r="A862" s="5">
        <v>44956</v>
      </c>
      <c r="B862" s="3" t="s">
        <v>1049</v>
      </c>
      <c r="C862" s="3" t="s">
        <v>1050</v>
      </c>
      <c r="D862" s="3">
        <v>2</v>
      </c>
      <c r="E862" s="3" t="s">
        <v>54</v>
      </c>
      <c r="F862" s="3" t="s">
        <v>24</v>
      </c>
      <c r="G862" s="3" t="s">
        <v>1051</v>
      </c>
      <c r="H862" s="4">
        <f>SUM(I862:M862)</f>
        <v>31860</v>
      </c>
      <c r="I862" s="3">
        <f>M862*9%</f>
        <v>450</v>
      </c>
      <c r="J862" s="3">
        <f>I862</f>
        <v>450</v>
      </c>
      <c r="L862" s="4">
        <v>25960</v>
      </c>
      <c r="M862" s="3">
        <f>1250*4</f>
        <v>5000</v>
      </c>
      <c r="N862" s="25" t="s">
        <v>1065</v>
      </c>
      <c r="O862" s="5">
        <v>44956</v>
      </c>
    </row>
    <row r="863" spans="1:16" x14ac:dyDescent="0.3">
      <c r="A863" s="5"/>
      <c r="C863" s="3" t="s">
        <v>1063</v>
      </c>
      <c r="O863" s="5"/>
    </row>
    <row r="866" spans="1:17" ht="26.4" x14ac:dyDescent="0.3">
      <c r="A866" s="5">
        <v>44958</v>
      </c>
      <c r="B866" s="3" t="s">
        <v>1074</v>
      </c>
      <c r="C866" s="72" t="s">
        <v>1141</v>
      </c>
      <c r="D866" s="3">
        <v>1</v>
      </c>
      <c r="E866" s="3" t="s">
        <v>54</v>
      </c>
      <c r="F866" s="3" t="s">
        <v>9</v>
      </c>
      <c r="G866" s="4" t="s">
        <v>1053</v>
      </c>
      <c r="H866" s="4">
        <v>48608</v>
      </c>
      <c r="I866" s="3">
        <v>1158</v>
      </c>
      <c r="J866" s="3">
        <f>I866</f>
        <v>1158</v>
      </c>
      <c r="L866" s="29">
        <v>13650</v>
      </c>
      <c r="M866" s="3">
        <f>1250*6</f>
        <v>7500</v>
      </c>
      <c r="N866" s="38">
        <v>44979</v>
      </c>
      <c r="O866" s="25" t="s">
        <v>1146</v>
      </c>
    </row>
    <row r="867" spans="1:17" x14ac:dyDescent="0.3">
      <c r="C867" s="72" t="s">
        <v>969</v>
      </c>
      <c r="F867" s="33"/>
      <c r="G867" s="3" t="s">
        <v>1134</v>
      </c>
      <c r="L867" s="29">
        <v>2867</v>
      </c>
      <c r="N867" s="3"/>
      <c r="O867" s="25" t="s">
        <v>1145</v>
      </c>
      <c r="P867" s="3" t="s">
        <v>1136</v>
      </c>
    </row>
    <row r="868" spans="1:17" x14ac:dyDescent="0.3">
      <c r="C868" s="72" t="s">
        <v>424</v>
      </c>
      <c r="F868" s="33"/>
      <c r="G868" s="3" t="s">
        <v>20</v>
      </c>
      <c r="L868" s="29">
        <v>7350</v>
      </c>
      <c r="N868" s="3"/>
      <c r="O868" s="25" t="s">
        <v>1147</v>
      </c>
    </row>
    <row r="869" spans="1:17" ht="26.4" x14ac:dyDescent="0.3">
      <c r="C869" s="72" t="s">
        <v>424</v>
      </c>
      <c r="F869" s="33"/>
      <c r="G869" s="3" t="s">
        <v>1134</v>
      </c>
      <c r="L869" s="29">
        <v>11566</v>
      </c>
      <c r="N869" s="3"/>
      <c r="O869" s="25" t="s">
        <v>1172</v>
      </c>
      <c r="P869" s="3" t="s">
        <v>1137</v>
      </c>
    </row>
    <row r="870" spans="1:17" x14ac:dyDescent="0.3">
      <c r="C870" s="72" t="s">
        <v>969</v>
      </c>
      <c r="F870" s="33"/>
      <c r="G870" s="3" t="s">
        <v>1134</v>
      </c>
      <c r="L870" s="29">
        <v>3359</v>
      </c>
      <c r="N870" s="3"/>
      <c r="O870" s="25"/>
      <c r="P870" s="3" t="s">
        <v>1135</v>
      </c>
    </row>
    <row r="871" spans="1:17" x14ac:dyDescent="0.3">
      <c r="L871" s="4">
        <f>SUM(L866:L870)</f>
        <v>38792</v>
      </c>
    </row>
    <row r="872" spans="1:17" x14ac:dyDescent="0.3">
      <c r="F872" s="33"/>
      <c r="G872" s="4"/>
      <c r="N872" s="3"/>
      <c r="O872" s="25"/>
    </row>
    <row r="873" spans="1:17" x14ac:dyDescent="0.3">
      <c r="A873" s="5"/>
      <c r="E873" s="43" t="s">
        <v>56</v>
      </c>
    </row>
    <row r="874" spans="1:17" x14ac:dyDescent="0.3">
      <c r="A874" s="5">
        <v>44958</v>
      </c>
      <c r="B874" s="3" t="s">
        <v>1075</v>
      </c>
      <c r="C874" s="3" t="s">
        <v>1058</v>
      </c>
      <c r="D874" s="3">
        <v>3</v>
      </c>
      <c r="E874" s="75">
        <v>3500</v>
      </c>
      <c r="F874" s="3" t="s">
        <v>40</v>
      </c>
      <c r="G874" s="3" t="s">
        <v>11</v>
      </c>
      <c r="H874" s="3">
        <v>73482</v>
      </c>
      <c r="I874" s="3">
        <v>819</v>
      </c>
      <c r="J874" s="3">
        <v>819</v>
      </c>
      <c r="L874" s="3">
        <v>59244</v>
      </c>
      <c r="M874" s="3">
        <v>9100</v>
      </c>
      <c r="N874" s="25" t="s">
        <v>1066</v>
      </c>
      <c r="O874" s="25" t="s">
        <v>1082</v>
      </c>
      <c r="P874" s="3" t="s">
        <v>1078</v>
      </c>
      <c r="Q874" s="3">
        <v>41953</v>
      </c>
    </row>
    <row r="875" spans="1:17" x14ac:dyDescent="0.3">
      <c r="B875" s="3" t="s">
        <v>1076</v>
      </c>
      <c r="C875" s="3" t="s">
        <v>1057</v>
      </c>
      <c r="E875" s="75">
        <v>1764</v>
      </c>
      <c r="H875" s="3">
        <v>37037</v>
      </c>
      <c r="I875" s="3">
        <v>411</v>
      </c>
      <c r="J875" s="3">
        <v>411</v>
      </c>
      <c r="L875" s="3">
        <v>29885</v>
      </c>
      <c r="M875" s="3">
        <v>4566</v>
      </c>
      <c r="N875" s="25" t="s">
        <v>1055</v>
      </c>
      <c r="P875" s="3" t="s">
        <v>1079</v>
      </c>
      <c r="Q875" s="3">
        <v>16763</v>
      </c>
    </row>
    <row r="876" spans="1:17" x14ac:dyDescent="0.3">
      <c r="B876" s="3" t="s">
        <v>1073</v>
      </c>
      <c r="C876" s="3" t="s">
        <v>1056</v>
      </c>
      <c r="E876" s="75">
        <v>3500</v>
      </c>
      <c r="F876" s="43"/>
      <c r="H876" s="3">
        <v>73482</v>
      </c>
      <c r="I876" s="3">
        <v>819</v>
      </c>
      <c r="J876" s="3">
        <v>819</v>
      </c>
      <c r="L876" s="3">
        <v>59244</v>
      </c>
      <c r="M876" s="3">
        <v>9100</v>
      </c>
      <c r="N876" s="25" t="s">
        <v>1081</v>
      </c>
      <c r="P876" s="3" t="s">
        <v>1080</v>
      </c>
      <c r="Q876" s="3">
        <v>89656</v>
      </c>
    </row>
    <row r="877" spans="1:17" x14ac:dyDescent="0.3">
      <c r="C877" s="43"/>
      <c r="E877" s="43">
        <f>SUM(E874:E876)</f>
        <v>8764</v>
      </c>
      <c r="H877" s="4">
        <f>SUM(H874:H876)</f>
        <v>184001</v>
      </c>
      <c r="L877" s="4">
        <f>SUM(L874:L876)</f>
        <v>148373</v>
      </c>
    </row>
    <row r="879" spans="1:17" x14ac:dyDescent="0.3">
      <c r="A879" s="5">
        <v>44962</v>
      </c>
      <c r="B879" s="3" t="s">
        <v>1085</v>
      </c>
      <c r="C879" s="3" t="s">
        <v>1067</v>
      </c>
      <c r="D879" s="3">
        <v>2</v>
      </c>
      <c r="E879" s="3" t="s">
        <v>54</v>
      </c>
      <c r="F879" s="3" t="s">
        <v>26</v>
      </c>
      <c r="G879" s="3" t="s">
        <v>10</v>
      </c>
      <c r="H879" s="4">
        <v>58295</v>
      </c>
      <c r="I879" s="3">
        <v>347</v>
      </c>
      <c r="J879" s="3">
        <f>I879</f>
        <v>347</v>
      </c>
      <c r="L879" s="3">
        <v>10089</v>
      </c>
      <c r="M879" s="3">
        <f>350*11</f>
        <v>3850</v>
      </c>
      <c r="N879" s="25" t="s">
        <v>1121</v>
      </c>
      <c r="O879" s="25" t="s">
        <v>1099</v>
      </c>
      <c r="P879" s="3" t="s">
        <v>1068</v>
      </c>
    </row>
    <row r="880" spans="1:17" x14ac:dyDescent="0.3">
      <c r="A880" s="5"/>
      <c r="L880" s="3">
        <v>16062</v>
      </c>
      <c r="O880" s="71" t="s">
        <v>1112</v>
      </c>
      <c r="P880" s="3" t="s">
        <v>1069</v>
      </c>
    </row>
    <row r="881" spans="1:16" x14ac:dyDescent="0.3">
      <c r="A881" s="5"/>
      <c r="C881" s="3" t="s">
        <v>1070</v>
      </c>
      <c r="L881" s="3">
        <v>4517</v>
      </c>
      <c r="O881" s="71"/>
      <c r="P881" s="3" t="s">
        <v>1071</v>
      </c>
    </row>
    <row r="882" spans="1:16" x14ac:dyDescent="0.3">
      <c r="A882" s="5"/>
      <c r="L882" s="3">
        <v>4550</v>
      </c>
      <c r="P882" s="3" t="s">
        <v>1072</v>
      </c>
    </row>
    <row r="883" spans="1:16" x14ac:dyDescent="0.3">
      <c r="A883" s="5"/>
      <c r="C883" s="3" t="s">
        <v>1093</v>
      </c>
      <c r="L883" s="3">
        <f>118*2</f>
        <v>236</v>
      </c>
    </row>
    <row r="884" spans="1:16" x14ac:dyDescent="0.3">
      <c r="C884" s="3" t="s">
        <v>1098</v>
      </c>
      <c r="L884" s="3">
        <v>8144</v>
      </c>
      <c r="P884" s="3" t="s">
        <v>1094</v>
      </c>
    </row>
    <row r="885" spans="1:16" x14ac:dyDescent="0.3">
      <c r="C885" s="3" t="s">
        <v>1064</v>
      </c>
      <c r="L885" s="3">
        <v>8403</v>
      </c>
      <c r="P885" s="3" t="s">
        <v>1095</v>
      </c>
    </row>
    <row r="886" spans="1:16" s="10" customFormat="1" x14ac:dyDescent="0.3">
      <c r="A886" s="9"/>
      <c r="C886" s="29" t="s">
        <v>1089</v>
      </c>
      <c r="L886" s="71">
        <v>1500</v>
      </c>
      <c r="N886" s="70"/>
      <c r="P886" s="10" t="s">
        <v>1107</v>
      </c>
    </row>
    <row r="887" spans="1:16" x14ac:dyDescent="0.3">
      <c r="C887" s="29" t="s">
        <v>1096</v>
      </c>
      <c r="L887" s="71">
        <v>250</v>
      </c>
      <c r="P887" s="3" t="s">
        <v>1102</v>
      </c>
    </row>
    <row r="888" spans="1:16" x14ac:dyDescent="0.3">
      <c r="A888" s="5"/>
      <c r="L888" s="4">
        <f>SUM(L879:L887)</f>
        <v>53751</v>
      </c>
    </row>
    <row r="889" spans="1:16" x14ac:dyDescent="0.3">
      <c r="A889" s="5"/>
    </row>
    <row r="890" spans="1:16" x14ac:dyDescent="0.3">
      <c r="A890" s="5">
        <v>44965</v>
      </c>
      <c r="B890" s="3" t="s">
        <v>1090</v>
      </c>
      <c r="C890" s="3" t="s">
        <v>176</v>
      </c>
      <c r="D890" s="3">
        <v>1</v>
      </c>
      <c r="F890" s="3" t="s">
        <v>26</v>
      </c>
      <c r="G890" s="3" t="s">
        <v>10</v>
      </c>
      <c r="H890" s="4">
        <v>4512</v>
      </c>
      <c r="I890" s="3">
        <f>M890*9%</f>
        <v>27</v>
      </c>
      <c r="J890" s="3">
        <f>I890</f>
        <v>27</v>
      </c>
      <c r="L890" s="3">
        <v>1949</v>
      </c>
      <c r="M890" s="3">
        <v>300</v>
      </c>
      <c r="N890" s="25" t="s">
        <v>1104</v>
      </c>
      <c r="O890" s="5">
        <v>44966</v>
      </c>
      <c r="P890" s="3" t="s">
        <v>1084</v>
      </c>
    </row>
    <row r="891" spans="1:16" x14ac:dyDescent="0.3">
      <c r="A891" s="5"/>
      <c r="L891" s="3">
        <v>2209</v>
      </c>
      <c r="P891" s="3" t="s">
        <v>1083</v>
      </c>
    </row>
    <row r="892" spans="1:16" x14ac:dyDescent="0.3">
      <c r="A892" s="5"/>
      <c r="L892" s="4">
        <f>SUM(L890:L891)</f>
        <v>4158</v>
      </c>
    </row>
    <row r="893" spans="1:16" x14ac:dyDescent="0.3">
      <c r="A893" s="5"/>
    </row>
    <row r="894" spans="1:16" x14ac:dyDescent="0.3">
      <c r="A894" s="5">
        <v>44966</v>
      </c>
      <c r="B894" s="3" t="s">
        <v>1097</v>
      </c>
      <c r="C894" s="3" t="s">
        <v>155</v>
      </c>
      <c r="D894" s="3">
        <v>1</v>
      </c>
      <c r="E894" s="3" t="s">
        <v>54</v>
      </c>
      <c r="F894" s="3" t="s">
        <v>1091</v>
      </c>
      <c r="G894" s="3" t="s">
        <v>1092</v>
      </c>
      <c r="H894" s="4">
        <v>3580</v>
      </c>
      <c r="I894" s="3">
        <v>90</v>
      </c>
      <c r="J894" s="3">
        <v>90</v>
      </c>
      <c r="L894" s="4">
        <v>2400</v>
      </c>
      <c r="M894" s="3">
        <v>1000</v>
      </c>
      <c r="N894" s="25" t="s">
        <v>1121</v>
      </c>
      <c r="O894" s="5">
        <v>44966</v>
      </c>
    </row>
    <row r="895" spans="1:16" x14ac:dyDescent="0.3">
      <c r="A895" s="5"/>
      <c r="H895" s="4"/>
      <c r="L895" s="4"/>
    </row>
    <row r="896" spans="1:16" x14ac:dyDescent="0.3">
      <c r="A896" s="5">
        <v>44966</v>
      </c>
      <c r="B896" s="3" t="s">
        <v>1100</v>
      </c>
      <c r="C896" s="3" t="s">
        <v>484</v>
      </c>
      <c r="D896" s="3">
        <v>1</v>
      </c>
      <c r="F896" s="3" t="s">
        <v>26</v>
      </c>
      <c r="G896" s="3" t="s">
        <v>10</v>
      </c>
      <c r="H896" s="4">
        <v>50500</v>
      </c>
      <c r="I896" s="3">
        <v>96</v>
      </c>
      <c r="J896" s="3">
        <v>96</v>
      </c>
      <c r="L896" s="4">
        <v>49250</v>
      </c>
      <c r="M896" s="3">
        <v>1058</v>
      </c>
      <c r="N896" s="38">
        <v>44967</v>
      </c>
      <c r="O896" s="38">
        <v>44970</v>
      </c>
      <c r="P896" s="3" t="s">
        <v>1101</v>
      </c>
    </row>
    <row r="899" spans="1:16" x14ac:dyDescent="0.3">
      <c r="A899" s="5">
        <v>44967</v>
      </c>
      <c r="B899" s="3" t="s">
        <v>1103</v>
      </c>
      <c r="C899" s="3" t="s">
        <v>42</v>
      </c>
      <c r="D899" s="3">
        <v>2</v>
      </c>
      <c r="E899" s="1" t="s">
        <v>43</v>
      </c>
      <c r="F899" s="1" t="s">
        <v>14</v>
      </c>
      <c r="G899" s="3" t="s">
        <v>11</v>
      </c>
      <c r="H899" s="4">
        <v>115000</v>
      </c>
      <c r="I899" s="3">
        <v>2739</v>
      </c>
      <c r="J899" s="3">
        <v>2739</v>
      </c>
      <c r="L899" s="3">
        <v>39736</v>
      </c>
      <c r="M899" s="3">
        <v>31978</v>
      </c>
      <c r="N899" s="47">
        <v>44609</v>
      </c>
      <c r="O899" s="5">
        <v>44977</v>
      </c>
    </row>
    <row r="900" spans="1:16" x14ac:dyDescent="0.3">
      <c r="G900" s="3" t="s">
        <v>162</v>
      </c>
      <c r="L900" s="3">
        <f>817.2*2</f>
        <v>1634.4</v>
      </c>
      <c r="O900" s="5">
        <v>44965</v>
      </c>
    </row>
    <row r="901" spans="1:16" x14ac:dyDescent="0.3">
      <c r="G901" s="3" t="s">
        <v>1105</v>
      </c>
      <c r="L901" s="3">
        <v>7500</v>
      </c>
      <c r="O901" s="5">
        <v>44967</v>
      </c>
    </row>
    <row r="902" spans="1:16" x14ac:dyDescent="0.3">
      <c r="G902" s="3" t="s">
        <v>1106</v>
      </c>
      <c r="L902" s="3">
        <v>26210</v>
      </c>
      <c r="O902" s="3" t="s">
        <v>1198</v>
      </c>
    </row>
    <row r="903" spans="1:16" x14ac:dyDescent="0.3">
      <c r="G903" s="3" t="s">
        <v>1122</v>
      </c>
      <c r="L903" s="3">
        <v>2464</v>
      </c>
    </row>
    <row r="904" spans="1:16" x14ac:dyDescent="0.3">
      <c r="L904" s="4">
        <f>SUM(L899:L903)</f>
        <v>77544.399999999994</v>
      </c>
    </row>
    <row r="906" spans="1:16" x14ac:dyDescent="0.3">
      <c r="A906" s="5">
        <v>44967</v>
      </c>
      <c r="B906" s="3" t="s">
        <v>1108</v>
      </c>
      <c r="C906" s="3" t="s">
        <v>1109</v>
      </c>
      <c r="D906" s="3">
        <v>3</v>
      </c>
      <c r="F906" s="3" t="s">
        <v>26</v>
      </c>
      <c r="G906" s="3" t="s">
        <v>10</v>
      </c>
      <c r="H906" s="3">
        <v>17154</v>
      </c>
      <c r="I906" s="3">
        <v>229</v>
      </c>
      <c r="J906" s="3">
        <f>I906</f>
        <v>229</v>
      </c>
      <c r="L906" s="3">
        <v>15652</v>
      </c>
      <c r="M906" s="3">
        <v>2546</v>
      </c>
      <c r="N906" s="38">
        <v>44971</v>
      </c>
      <c r="O906" s="38">
        <v>44970</v>
      </c>
      <c r="P906" s="3" t="s">
        <v>1110</v>
      </c>
    </row>
    <row r="907" spans="1:16" x14ac:dyDescent="0.3">
      <c r="H907" s="3">
        <v>17190</v>
      </c>
      <c r="L907" s="3">
        <v>15688</v>
      </c>
      <c r="P907" s="3" t="s">
        <v>1111</v>
      </c>
    </row>
    <row r="908" spans="1:16" x14ac:dyDescent="0.3">
      <c r="H908" s="4">
        <f>SUM(H906:H907)</f>
        <v>34344</v>
      </c>
      <c r="L908" s="4">
        <f>SUM(L906:L907)</f>
        <v>31340</v>
      </c>
    </row>
    <row r="912" spans="1:16" ht="26.4" x14ac:dyDescent="0.3">
      <c r="A912" s="5">
        <v>44970</v>
      </c>
      <c r="B912" s="3" t="s">
        <v>1113</v>
      </c>
      <c r="C912" s="3" t="s">
        <v>17</v>
      </c>
      <c r="D912" s="3">
        <v>1</v>
      </c>
      <c r="F912" s="3" t="s">
        <v>26</v>
      </c>
      <c r="G912" s="3" t="s">
        <v>10</v>
      </c>
      <c r="H912" s="3">
        <v>708</v>
      </c>
      <c r="I912" s="3">
        <v>192</v>
      </c>
      <c r="J912" s="3">
        <v>192</v>
      </c>
      <c r="L912" s="3">
        <v>118</v>
      </c>
      <c r="M912" s="3">
        <v>2132</v>
      </c>
      <c r="N912" s="25" t="s">
        <v>1175</v>
      </c>
      <c r="O912" s="25" t="s">
        <v>1139</v>
      </c>
    </row>
    <row r="913" spans="1:16" x14ac:dyDescent="0.3">
      <c r="H913" s="3">
        <v>1875</v>
      </c>
      <c r="L913" s="3">
        <v>1462</v>
      </c>
      <c r="N913" s="25" t="s">
        <v>1143</v>
      </c>
      <c r="O913" s="3" t="s">
        <v>1114</v>
      </c>
    </row>
    <row r="914" spans="1:16" x14ac:dyDescent="0.3">
      <c r="H914" s="3">
        <v>4250</v>
      </c>
      <c r="L914" s="3">
        <v>3697</v>
      </c>
      <c r="N914" s="25">
        <f>H917-3499-1140</f>
        <v>11207</v>
      </c>
      <c r="O914" s="3" t="s">
        <v>1118</v>
      </c>
      <c r="P914" s="3" t="s">
        <v>1115</v>
      </c>
    </row>
    <row r="915" spans="1:16" x14ac:dyDescent="0.3">
      <c r="H915" s="3">
        <f>7028+100</f>
        <v>7128</v>
      </c>
      <c r="L915" s="3">
        <v>6581</v>
      </c>
      <c r="O915" s="25"/>
      <c r="P915" s="3" t="s">
        <v>1116</v>
      </c>
    </row>
    <row r="916" spans="1:16" ht="26.4" x14ac:dyDescent="0.3">
      <c r="H916" s="3">
        <f>1472+413</f>
        <v>1885</v>
      </c>
      <c r="L916" s="3">
        <v>1472</v>
      </c>
      <c r="O916" s="25" t="s">
        <v>1120</v>
      </c>
    </row>
    <row r="917" spans="1:16" x14ac:dyDescent="0.3">
      <c r="H917" s="4">
        <f>SUM(H912:H916)</f>
        <v>15846</v>
      </c>
      <c r="L917" s="4">
        <f>SUM(L912:L916)</f>
        <v>13330</v>
      </c>
    </row>
    <row r="918" spans="1:16" x14ac:dyDescent="0.3">
      <c r="H918" s="4"/>
      <c r="L918" s="4"/>
    </row>
    <row r="919" spans="1:16" s="10" customFormat="1" x14ac:dyDescent="0.3">
      <c r="A919" s="9">
        <v>44971</v>
      </c>
      <c r="B919" s="10" t="s">
        <v>1117</v>
      </c>
      <c r="C919" s="10" t="s">
        <v>17</v>
      </c>
      <c r="D919" s="10">
        <v>1</v>
      </c>
      <c r="F919" s="10" t="s">
        <v>26</v>
      </c>
      <c r="G919" s="10" t="s">
        <v>10</v>
      </c>
      <c r="H919" s="10">
        <v>3499</v>
      </c>
      <c r="L919" s="10">
        <v>3499</v>
      </c>
      <c r="N919" s="70"/>
      <c r="P919" s="10" t="s">
        <v>1119</v>
      </c>
    </row>
    <row r="920" spans="1:16" x14ac:dyDescent="0.3">
      <c r="G920" s="3" t="s">
        <v>162</v>
      </c>
      <c r="H920" s="3">
        <v>1140</v>
      </c>
      <c r="L920" s="3">
        <v>1140</v>
      </c>
      <c r="N920" s="25" t="s">
        <v>1142</v>
      </c>
    </row>
    <row r="921" spans="1:16" x14ac:dyDescent="0.3">
      <c r="H921" s="17">
        <f>SUM(H919:H920)</f>
        <v>4639</v>
      </c>
      <c r="L921" s="17">
        <f>SUM(L919:L920)</f>
        <v>4639</v>
      </c>
    </row>
    <row r="924" spans="1:16" x14ac:dyDescent="0.3">
      <c r="A924" s="5">
        <v>44973</v>
      </c>
      <c r="B924" s="3" t="s">
        <v>1123</v>
      </c>
      <c r="C924" s="3" t="s">
        <v>51</v>
      </c>
      <c r="D924" s="3">
        <v>3</v>
      </c>
      <c r="F924" s="3" t="s">
        <v>26</v>
      </c>
      <c r="G924" s="3" t="s">
        <v>10</v>
      </c>
      <c r="H924" s="4">
        <v>44098</v>
      </c>
      <c r="I924" s="3">
        <f>M924*9%</f>
        <v>180</v>
      </c>
      <c r="J924" s="3">
        <f>I924</f>
        <v>180</v>
      </c>
      <c r="L924" s="3">
        <v>24898</v>
      </c>
      <c r="M924" s="3">
        <v>2000</v>
      </c>
      <c r="N924" s="25" t="s">
        <v>1144</v>
      </c>
      <c r="O924" s="38">
        <v>44612</v>
      </c>
      <c r="P924" s="3" t="s">
        <v>1124</v>
      </c>
    </row>
    <row r="925" spans="1:16" x14ac:dyDescent="0.3">
      <c r="L925" s="3">
        <v>16840</v>
      </c>
      <c r="P925" s="3" t="s">
        <v>1125</v>
      </c>
    </row>
    <row r="926" spans="1:16" x14ac:dyDescent="0.3">
      <c r="L926" s="4">
        <f>SUM(L924:L925)</f>
        <v>41738</v>
      </c>
    </row>
    <row r="928" spans="1:16" x14ac:dyDescent="0.3">
      <c r="A928" s="5">
        <v>44973</v>
      </c>
      <c r="B928" s="3" t="s">
        <v>1126</v>
      </c>
      <c r="C928" s="3" t="s">
        <v>1127</v>
      </c>
      <c r="D928" s="3">
        <v>1</v>
      </c>
      <c r="E928" s="3" t="s">
        <v>54</v>
      </c>
      <c r="F928" s="3" t="s">
        <v>26</v>
      </c>
      <c r="G928" s="3" t="s">
        <v>10</v>
      </c>
      <c r="H928" s="4">
        <v>95845</v>
      </c>
      <c r="I928" s="3">
        <f>M928*9%</f>
        <v>441</v>
      </c>
      <c r="J928" s="3">
        <f>I928</f>
        <v>441</v>
      </c>
      <c r="L928" s="3">
        <v>10636</v>
      </c>
      <c r="M928" s="3">
        <f>350*14</f>
        <v>4900</v>
      </c>
      <c r="N928" s="38">
        <v>44987</v>
      </c>
      <c r="O928" s="25" t="s">
        <v>1140</v>
      </c>
      <c r="P928" s="3" t="s">
        <v>1128</v>
      </c>
    </row>
    <row r="929" spans="1:16" x14ac:dyDescent="0.3">
      <c r="C929" s="3" t="s">
        <v>1130</v>
      </c>
      <c r="L929" s="3">
        <v>6084</v>
      </c>
      <c r="O929" s="3" t="s">
        <v>1176</v>
      </c>
      <c r="P929" s="3" t="s">
        <v>1129</v>
      </c>
    </row>
    <row r="930" spans="1:16" x14ac:dyDescent="0.3">
      <c r="C930" s="3" t="s">
        <v>1131</v>
      </c>
      <c r="G930" s="3" t="s">
        <v>1132</v>
      </c>
      <c r="L930" s="3">
        <v>1000</v>
      </c>
      <c r="O930" s="3" t="s">
        <v>1133</v>
      </c>
    </row>
    <row r="931" spans="1:16" x14ac:dyDescent="0.3">
      <c r="C931" s="3" t="s">
        <v>1154</v>
      </c>
      <c r="G931" s="3" t="s">
        <v>10</v>
      </c>
      <c r="L931" s="3">
        <v>3667</v>
      </c>
      <c r="O931" s="25"/>
      <c r="P931" s="3" t="s">
        <v>1152</v>
      </c>
    </row>
    <row r="932" spans="1:16" x14ac:dyDescent="0.3">
      <c r="C932" s="3" t="s">
        <v>1151</v>
      </c>
      <c r="L932" s="3">
        <v>5179</v>
      </c>
      <c r="P932" s="3" t="s">
        <v>1153</v>
      </c>
    </row>
    <row r="933" spans="1:16" x14ac:dyDescent="0.3">
      <c r="C933" s="3" t="s">
        <v>1155</v>
      </c>
      <c r="L933" s="3">
        <v>14528</v>
      </c>
      <c r="P933" s="3" t="s">
        <v>1156</v>
      </c>
    </row>
    <row r="934" spans="1:16" x14ac:dyDescent="0.3">
      <c r="C934" s="3" t="s">
        <v>1157</v>
      </c>
      <c r="L934" s="3">
        <v>3904</v>
      </c>
      <c r="P934" s="3" t="s">
        <v>1159</v>
      </c>
    </row>
    <row r="935" spans="1:16" x14ac:dyDescent="0.3">
      <c r="C935" s="3" t="s">
        <v>1160</v>
      </c>
      <c r="L935" s="3">
        <v>5933</v>
      </c>
      <c r="P935" s="3" t="s">
        <v>1158</v>
      </c>
    </row>
    <row r="936" spans="1:16" x14ac:dyDescent="0.3">
      <c r="C936" s="3" t="s">
        <v>1165</v>
      </c>
      <c r="L936" s="3">
        <v>24411</v>
      </c>
      <c r="P936" s="3" t="s">
        <v>1166</v>
      </c>
    </row>
    <row r="937" spans="1:16" x14ac:dyDescent="0.3">
      <c r="C937" s="3" t="s">
        <v>1167</v>
      </c>
      <c r="L937" s="3">
        <v>2118</v>
      </c>
      <c r="P937" s="3" t="s">
        <v>1168</v>
      </c>
    </row>
    <row r="938" spans="1:16" x14ac:dyDescent="0.3">
      <c r="C938" s="3" t="s">
        <v>1171</v>
      </c>
      <c r="L938" s="3">
        <v>5369</v>
      </c>
      <c r="P938" s="3" t="s">
        <v>1169</v>
      </c>
    </row>
    <row r="939" spans="1:16" x14ac:dyDescent="0.3">
      <c r="C939" s="3" t="s">
        <v>1171</v>
      </c>
      <c r="L939" s="3">
        <v>7234</v>
      </c>
      <c r="P939" s="3" t="s">
        <v>1170</v>
      </c>
    </row>
    <row r="940" spans="1:16" x14ac:dyDescent="0.3">
      <c r="L940" s="4">
        <f>SUM(L928:L939)</f>
        <v>90063</v>
      </c>
    </row>
    <row r="943" spans="1:16" x14ac:dyDescent="0.3">
      <c r="A943" s="5">
        <v>44977</v>
      </c>
      <c r="B943" s="3" t="s">
        <v>1148</v>
      </c>
      <c r="C943" s="3" t="s">
        <v>176</v>
      </c>
      <c r="D943" s="3">
        <v>3</v>
      </c>
      <c r="F943" s="3" t="s">
        <v>26</v>
      </c>
      <c r="G943" s="3" t="s">
        <v>10</v>
      </c>
      <c r="H943" s="4">
        <v>27110</v>
      </c>
      <c r="I943" s="3">
        <v>190</v>
      </c>
      <c r="J943" s="3">
        <v>190</v>
      </c>
      <c r="L943" s="3">
        <v>11941</v>
      </c>
      <c r="M943" s="3">
        <v>2101</v>
      </c>
      <c r="N943" s="38">
        <v>44993</v>
      </c>
      <c r="O943" s="25" t="s">
        <v>1173</v>
      </c>
      <c r="P943" s="3" t="s">
        <v>1150</v>
      </c>
    </row>
    <row r="944" spans="1:16" x14ac:dyDescent="0.3">
      <c r="L944" s="3">
        <v>12688</v>
      </c>
      <c r="P944" s="3" t="s">
        <v>1149</v>
      </c>
    </row>
    <row r="945" spans="1:16" x14ac:dyDescent="0.3">
      <c r="L945" s="4">
        <f>SUM(L943:L944)</f>
        <v>24629</v>
      </c>
    </row>
    <row r="946" spans="1:16" x14ac:dyDescent="0.3">
      <c r="L946" s="4"/>
    </row>
    <row r="947" spans="1:16" x14ac:dyDescent="0.3">
      <c r="A947" s="5">
        <v>44985</v>
      </c>
      <c r="B947" s="3" t="s">
        <v>1177</v>
      </c>
      <c r="C947" s="3" t="s">
        <v>1138</v>
      </c>
      <c r="E947" s="3" t="s">
        <v>54</v>
      </c>
      <c r="F947" s="3" t="s">
        <v>547</v>
      </c>
      <c r="G947" s="4" t="s">
        <v>1134</v>
      </c>
      <c r="H947" s="3">
        <v>10805</v>
      </c>
      <c r="I947" s="3">
        <v>258</v>
      </c>
      <c r="J947" s="3">
        <v>258</v>
      </c>
      <c r="L947" s="3">
        <v>2897</v>
      </c>
      <c r="M947" s="3">
        <v>2500</v>
      </c>
      <c r="N947" s="38">
        <v>44989</v>
      </c>
      <c r="O947" s="25" t="s">
        <v>1197</v>
      </c>
      <c r="P947" s="3" t="s">
        <v>1182</v>
      </c>
    </row>
    <row r="948" spans="1:16" x14ac:dyDescent="0.3">
      <c r="C948" s="3" t="s">
        <v>1174</v>
      </c>
      <c r="L948" s="3">
        <v>4892</v>
      </c>
      <c r="P948" s="3" t="s">
        <v>1183</v>
      </c>
    </row>
    <row r="949" spans="1:16" x14ac:dyDescent="0.3">
      <c r="L949" s="4">
        <f>SUM(L947:L948)</f>
        <v>7789</v>
      </c>
    </row>
    <row r="952" spans="1:16" x14ac:dyDescent="0.3">
      <c r="A952" s="5">
        <v>44986</v>
      </c>
      <c r="B952" s="3" t="s">
        <v>1180</v>
      </c>
      <c r="C952" s="3" t="s">
        <v>1178</v>
      </c>
      <c r="D952" s="3">
        <v>1</v>
      </c>
      <c r="E952" s="3" t="s">
        <v>60</v>
      </c>
      <c r="F952" s="3" t="s">
        <v>26</v>
      </c>
      <c r="G952" s="3" t="s">
        <v>10</v>
      </c>
      <c r="H952" s="4">
        <v>145912</v>
      </c>
      <c r="I952" s="3">
        <v>108</v>
      </c>
      <c r="J952" s="3">
        <v>108</v>
      </c>
      <c r="L952" s="4">
        <v>144496</v>
      </c>
      <c r="M952" s="3">
        <v>1200</v>
      </c>
      <c r="N952" s="38">
        <v>44991</v>
      </c>
      <c r="O952" s="38">
        <v>44988</v>
      </c>
      <c r="P952" s="3" t="s">
        <v>1179</v>
      </c>
    </row>
    <row r="953" spans="1:16" x14ac:dyDescent="0.3">
      <c r="A953" s="5"/>
    </row>
    <row r="954" spans="1:16" x14ac:dyDescent="0.3">
      <c r="A954" s="5">
        <v>44988</v>
      </c>
      <c r="B954" s="3" t="s">
        <v>1181</v>
      </c>
      <c r="C954" s="3" t="s">
        <v>1216</v>
      </c>
      <c r="D954" s="3">
        <v>1</v>
      </c>
      <c r="E954" s="3" t="s">
        <v>1217</v>
      </c>
      <c r="F954" s="3" t="s">
        <v>22</v>
      </c>
      <c r="G954" s="3" t="s">
        <v>10</v>
      </c>
      <c r="H954" s="4">
        <v>8780</v>
      </c>
      <c r="I954" s="3">
        <v>90</v>
      </c>
      <c r="J954" s="3">
        <v>90</v>
      </c>
      <c r="L954" s="4">
        <v>7600</v>
      </c>
      <c r="M954" s="3">
        <v>1000</v>
      </c>
      <c r="N954" s="38">
        <v>44998</v>
      </c>
      <c r="O954" s="38">
        <v>44992</v>
      </c>
      <c r="P954" s="3" t="s">
        <v>1186</v>
      </c>
    </row>
    <row r="955" spans="1:16" x14ac:dyDescent="0.3">
      <c r="A955" s="5"/>
    </row>
    <row r="956" spans="1:16" x14ac:dyDescent="0.3">
      <c r="A956" s="5">
        <v>44991</v>
      </c>
      <c r="B956" s="3" t="s">
        <v>1184</v>
      </c>
      <c r="C956" s="3" t="s">
        <v>1216</v>
      </c>
      <c r="D956" s="3">
        <v>2</v>
      </c>
      <c r="E956" s="3" t="s">
        <v>1217</v>
      </c>
      <c r="F956" s="3" t="s">
        <v>26</v>
      </c>
      <c r="G956" s="3" t="s">
        <v>10</v>
      </c>
      <c r="H956" s="4">
        <v>61861</v>
      </c>
      <c r="I956" s="3">
        <v>90</v>
      </c>
      <c r="J956" s="3">
        <v>90</v>
      </c>
      <c r="L956" s="4">
        <v>60681</v>
      </c>
      <c r="M956" s="3">
        <v>1000</v>
      </c>
      <c r="N956" s="38">
        <v>44998</v>
      </c>
      <c r="O956" s="38">
        <v>44992</v>
      </c>
      <c r="P956" s="3" t="s">
        <v>1185</v>
      </c>
    </row>
    <row r="957" spans="1:16" x14ac:dyDescent="0.3">
      <c r="A957" s="5"/>
    </row>
    <row r="958" spans="1:16" x14ac:dyDescent="0.3">
      <c r="A958" s="5">
        <v>44992</v>
      </c>
      <c r="B958" s="3" t="s">
        <v>1187</v>
      </c>
      <c r="C958" s="3" t="s">
        <v>100</v>
      </c>
      <c r="D958" s="3">
        <v>1</v>
      </c>
      <c r="F958" s="3" t="s">
        <v>26</v>
      </c>
      <c r="G958" s="3" t="s">
        <v>10</v>
      </c>
      <c r="H958" s="4">
        <v>140797</v>
      </c>
      <c r="I958" s="3">
        <f>270</f>
        <v>270</v>
      </c>
      <c r="J958" s="3">
        <v>270</v>
      </c>
      <c r="L958" s="4">
        <v>137257</v>
      </c>
      <c r="M958" s="3">
        <v>3000</v>
      </c>
      <c r="N958" s="5">
        <v>44996</v>
      </c>
      <c r="O958" s="38">
        <v>44993</v>
      </c>
      <c r="P958" s="3" t="s">
        <v>1188</v>
      </c>
    </row>
    <row r="960" spans="1:16" x14ac:dyDescent="0.3">
      <c r="A960" s="5">
        <v>44992</v>
      </c>
      <c r="B960" s="3" t="s">
        <v>1189</v>
      </c>
      <c r="C960" s="3" t="s">
        <v>1190</v>
      </c>
      <c r="D960" s="3">
        <v>3</v>
      </c>
      <c r="E960" s="3" t="s">
        <v>54</v>
      </c>
      <c r="F960" s="3" t="s">
        <v>26</v>
      </c>
      <c r="G960" s="3" t="s">
        <v>10</v>
      </c>
      <c r="H960" s="4">
        <v>35567</v>
      </c>
      <c r="I960" s="3">
        <f>M960*9%</f>
        <v>189</v>
      </c>
      <c r="J960" s="3">
        <f>I960</f>
        <v>189</v>
      </c>
      <c r="L960" s="3">
        <v>14724</v>
      </c>
      <c r="M960" s="3">
        <f>350*6</f>
        <v>2100</v>
      </c>
      <c r="N960" s="38">
        <v>45000</v>
      </c>
      <c r="O960" s="5">
        <v>44996</v>
      </c>
      <c r="P960" s="3" t="s">
        <v>1191</v>
      </c>
    </row>
    <row r="961" spans="1:16" x14ac:dyDescent="0.3">
      <c r="A961" s="5"/>
      <c r="L961" s="3">
        <v>4330</v>
      </c>
      <c r="P961" s="3" t="s">
        <v>1192</v>
      </c>
    </row>
    <row r="962" spans="1:16" x14ac:dyDescent="0.3">
      <c r="A962" s="5"/>
      <c r="L962" s="3">
        <v>14035</v>
      </c>
      <c r="P962" s="3" t="s">
        <v>1193</v>
      </c>
    </row>
    <row r="963" spans="1:16" x14ac:dyDescent="0.3">
      <c r="L963" s="4">
        <f>SUM(L960:L962)</f>
        <v>33089</v>
      </c>
    </row>
    <row r="964" spans="1:16" x14ac:dyDescent="0.3">
      <c r="A964" s="5"/>
      <c r="L964" s="4"/>
    </row>
    <row r="965" spans="1:16" x14ac:dyDescent="0.3">
      <c r="A965" s="5">
        <v>44992</v>
      </c>
      <c r="B965" s="3" t="s">
        <v>1195</v>
      </c>
      <c r="C965" s="3" t="s">
        <v>1196</v>
      </c>
      <c r="D965" s="3">
        <v>1</v>
      </c>
      <c r="E965" s="3" t="s">
        <v>60</v>
      </c>
      <c r="F965" s="3" t="s">
        <v>26</v>
      </c>
      <c r="G965" s="3" t="s">
        <v>10</v>
      </c>
      <c r="H965" s="4">
        <v>139789</v>
      </c>
      <c r="I965" s="3">
        <f>M965*9%</f>
        <v>333</v>
      </c>
      <c r="J965" s="3">
        <f>I965</f>
        <v>333</v>
      </c>
      <c r="L965" s="3">
        <v>110805</v>
      </c>
      <c r="M965" s="3">
        <f>1200+500+1000+1000</f>
        <v>3700</v>
      </c>
      <c r="N965" s="25" t="s">
        <v>1251</v>
      </c>
      <c r="O965" s="5" t="s">
        <v>1227</v>
      </c>
      <c r="P965" s="3" t="s">
        <v>1194</v>
      </c>
    </row>
    <row r="966" spans="1:16" x14ac:dyDescent="0.3">
      <c r="L966" s="3">
        <v>10918</v>
      </c>
      <c r="N966" s="25" t="s">
        <v>1250</v>
      </c>
      <c r="P966" s="3" t="s">
        <v>1207</v>
      </c>
    </row>
    <row r="967" spans="1:16" x14ac:dyDescent="0.3">
      <c r="F967" s="3" t="s">
        <v>1223</v>
      </c>
      <c r="L967" s="3">
        <v>6850</v>
      </c>
      <c r="O967" s="5">
        <v>44999</v>
      </c>
    </row>
    <row r="968" spans="1:16" x14ac:dyDescent="0.3">
      <c r="L968" s="3">
        <v>6850</v>
      </c>
      <c r="O968" s="5" t="s">
        <v>1242</v>
      </c>
    </row>
    <row r="969" spans="1:16" x14ac:dyDescent="0.3">
      <c r="L969" s="4">
        <f>SUM(L965:L968)</f>
        <v>135423</v>
      </c>
    </row>
    <row r="970" spans="1:16" x14ac:dyDescent="0.3">
      <c r="L970" s="4"/>
    </row>
    <row r="971" spans="1:16" x14ac:dyDescent="0.3">
      <c r="A971" s="5">
        <v>44994</v>
      </c>
      <c r="B971" s="3" t="s">
        <v>1199</v>
      </c>
      <c r="C971" s="3" t="s">
        <v>3519</v>
      </c>
      <c r="D971" s="3">
        <v>4</v>
      </c>
      <c r="F971" s="3" t="s">
        <v>26</v>
      </c>
      <c r="G971" s="3" t="s">
        <v>10</v>
      </c>
      <c r="H971" s="3">
        <v>21325</v>
      </c>
      <c r="I971" s="3">
        <v>151</v>
      </c>
      <c r="J971" s="3">
        <v>151</v>
      </c>
      <c r="L971" s="3">
        <v>20348</v>
      </c>
      <c r="M971" s="3">
        <v>1667</v>
      </c>
      <c r="N971" s="38">
        <v>45002</v>
      </c>
      <c r="O971" s="5">
        <v>44996</v>
      </c>
      <c r="P971" s="3" t="s">
        <v>1200</v>
      </c>
    </row>
    <row r="972" spans="1:16" x14ac:dyDescent="0.3">
      <c r="H972" s="3">
        <v>21540</v>
      </c>
      <c r="L972" s="3">
        <v>20548</v>
      </c>
      <c r="P972" s="3" t="s">
        <v>1201</v>
      </c>
    </row>
    <row r="973" spans="1:16" x14ac:dyDescent="0.3">
      <c r="H973" s="4">
        <f>SUM(H971:H972)</f>
        <v>42865</v>
      </c>
      <c r="L973" s="4">
        <f>SUM(L971:L972)</f>
        <v>40896</v>
      </c>
    </row>
    <row r="974" spans="1:16" x14ac:dyDescent="0.3">
      <c r="N974" s="53"/>
    </row>
    <row r="975" spans="1:16" x14ac:dyDescent="0.3">
      <c r="A975" s="5">
        <v>44994</v>
      </c>
      <c r="B975" s="3" t="s">
        <v>1204</v>
      </c>
      <c r="C975" s="3" t="s">
        <v>484</v>
      </c>
      <c r="D975" s="3">
        <v>2</v>
      </c>
      <c r="F975" s="3" t="s">
        <v>26</v>
      </c>
      <c r="G975" s="3" t="s">
        <v>10</v>
      </c>
      <c r="H975" s="4">
        <f>20940+3050</f>
        <v>23990</v>
      </c>
      <c r="I975" s="3">
        <v>216</v>
      </c>
      <c r="J975" s="3">
        <f>I975</f>
        <v>216</v>
      </c>
      <c r="L975" s="3">
        <v>5854</v>
      </c>
      <c r="M975" s="3">
        <v>2401</v>
      </c>
      <c r="N975" s="25" t="s">
        <v>1688</v>
      </c>
      <c r="O975" s="5">
        <v>44996</v>
      </c>
      <c r="P975" s="3" t="s">
        <v>1202</v>
      </c>
    </row>
    <row r="976" spans="1:16" x14ac:dyDescent="0.3">
      <c r="A976" s="5"/>
      <c r="L976" s="3">
        <v>13433</v>
      </c>
      <c r="N976" s="25" t="s">
        <v>1228</v>
      </c>
      <c r="O976" s="3" t="s">
        <v>1236</v>
      </c>
      <c r="P976" s="3" t="s">
        <v>1203</v>
      </c>
    </row>
    <row r="977" spans="1:16" x14ac:dyDescent="0.3">
      <c r="A977" s="5"/>
      <c r="L977" s="3">
        <v>1870</v>
      </c>
    </row>
    <row r="978" spans="1:16" x14ac:dyDescent="0.3">
      <c r="A978" s="5"/>
      <c r="L978" s="4">
        <f>SUM(L975:L977)</f>
        <v>21157</v>
      </c>
    </row>
    <row r="979" spans="1:16" x14ac:dyDescent="0.3">
      <c r="A979" s="5"/>
      <c r="L979" s="4"/>
    </row>
    <row r="980" spans="1:16" x14ac:dyDescent="0.3">
      <c r="A980" s="5">
        <v>44994</v>
      </c>
      <c r="B980" s="3" t="s">
        <v>1205</v>
      </c>
      <c r="C980" s="3" t="s">
        <v>1206</v>
      </c>
      <c r="D980" s="3">
        <v>1</v>
      </c>
      <c r="F980" s="3" t="s">
        <v>22</v>
      </c>
      <c r="G980" s="3" t="s">
        <v>10</v>
      </c>
      <c r="H980" s="4">
        <f>8780+2280</f>
        <v>11060</v>
      </c>
      <c r="I980" s="3">
        <f>M980*9%</f>
        <v>180</v>
      </c>
      <c r="J980" s="3">
        <f>I980</f>
        <v>180</v>
      </c>
      <c r="L980" s="4">
        <v>8700</v>
      </c>
      <c r="M980" s="3">
        <v>2000</v>
      </c>
      <c r="N980" s="25" t="s">
        <v>1219</v>
      </c>
      <c r="O980" s="5">
        <v>44996</v>
      </c>
      <c r="P980" s="3" t="s">
        <v>1208</v>
      </c>
    </row>
    <row r="981" spans="1:16" x14ac:dyDescent="0.3">
      <c r="A981" s="5"/>
      <c r="N981" s="25" t="s">
        <v>1257</v>
      </c>
    </row>
    <row r="982" spans="1:16" x14ac:dyDescent="0.3">
      <c r="A982" s="5"/>
    </row>
    <row r="983" spans="1:16" x14ac:dyDescent="0.3">
      <c r="A983" s="5">
        <v>44996</v>
      </c>
      <c r="B983" s="3" t="s">
        <v>1209</v>
      </c>
      <c r="C983" s="3" t="s">
        <v>1210</v>
      </c>
      <c r="D983" s="3">
        <v>5</v>
      </c>
      <c r="F983" s="3" t="s">
        <v>26</v>
      </c>
      <c r="G983" s="3" t="s">
        <v>10</v>
      </c>
      <c r="H983" s="4">
        <v>48528</v>
      </c>
      <c r="I983" s="3">
        <f>M983*9%</f>
        <v>270</v>
      </c>
      <c r="J983" s="3">
        <f>I983</f>
        <v>270</v>
      </c>
      <c r="L983" s="3">
        <v>21858</v>
      </c>
      <c r="M983" s="3">
        <v>3000</v>
      </c>
      <c r="N983" s="25" t="s">
        <v>1218</v>
      </c>
      <c r="O983" s="25">
        <f>44988-6552</f>
        <v>38436</v>
      </c>
      <c r="P983" s="3" t="s">
        <v>1211</v>
      </c>
    </row>
    <row r="984" spans="1:16" x14ac:dyDescent="0.3">
      <c r="A984" s="5"/>
      <c r="L984" s="3">
        <v>4427</v>
      </c>
      <c r="O984" s="3" t="s">
        <v>1252</v>
      </c>
      <c r="P984" s="3" t="s">
        <v>1212</v>
      </c>
    </row>
    <row r="985" spans="1:16" ht="26.4" x14ac:dyDescent="0.3">
      <c r="A985" s="5"/>
      <c r="L985" s="3">
        <v>18703</v>
      </c>
      <c r="O985" s="25" t="s">
        <v>1235</v>
      </c>
      <c r="P985" s="3" t="s">
        <v>1213</v>
      </c>
    </row>
    <row r="986" spans="1:16" x14ac:dyDescent="0.3">
      <c r="A986" s="5"/>
      <c r="L986" s="4">
        <f>SUM(L983:L985)</f>
        <v>44988</v>
      </c>
    </row>
    <row r="987" spans="1:16" x14ac:dyDescent="0.3">
      <c r="A987" s="5"/>
    </row>
    <row r="988" spans="1:16" x14ac:dyDescent="0.3">
      <c r="A988" s="5">
        <v>44998</v>
      </c>
      <c r="B988" s="3" t="s">
        <v>1214</v>
      </c>
      <c r="C988" s="3" t="s">
        <v>1206</v>
      </c>
      <c r="D988" s="3">
        <v>1</v>
      </c>
      <c r="F988" s="3" t="s">
        <v>26</v>
      </c>
      <c r="G988" s="3" t="s">
        <v>10</v>
      </c>
      <c r="H988" s="4">
        <v>27657</v>
      </c>
      <c r="I988" s="3">
        <f>M988*9%</f>
        <v>108</v>
      </c>
      <c r="J988" s="3">
        <f>I988</f>
        <v>108</v>
      </c>
      <c r="L988" s="4">
        <v>26241</v>
      </c>
      <c r="M988" s="3">
        <v>1200</v>
      </c>
      <c r="N988" s="38">
        <v>45006</v>
      </c>
      <c r="O988" s="38">
        <v>45002</v>
      </c>
      <c r="P988" s="3" t="s">
        <v>1215</v>
      </c>
    </row>
    <row r="989" spans="1:16" s="69" customFormat="1" x14ac:dyDescent="0.3">
      <c r="A989" s="15"/>
      <c r="H989" s="16"/>
      <c r="L989" s="16"/>
      <c r="N989" s="30"/>
      <c r="O989" s="47"/>
    </row>
    <row r="990" spans="1:16" s="50" customFormat="1" ht="26.4" x14ac:dyDescent="0.3">
      <c r="A990" s="49">
        <v>44998</v>
      </c>
      <c r="B990" s="50" t="s">
        <v>1243</v>
      </c>
      <c r="C990" s="50" t="s">
        <v>1244</v>
      </c>
      <c r="D990" s="50">
        <v>1</v>
      </c>
      <c r="F990" s="50" t="s">
        <v>26</v>
      </c>
      <c r="G990" s="50" t="s">
        <v>10</v>
      </c>
      <c r="H990" s="51">
        <v>6552</v>
      </c>
      <c r="L990" s="51">
        <v>6552</v>
      </c>
      <c r="N990" s="68" t="s">
        <v>1247</v>
      </c>
      <c r="O990" s="67"/>
      <c r="P990" s="50" t="s">
        <v>1246</v>
      </c>
    </row>
    <row r="991" spans="1:16" s="69" customFormat="1" x14ac:dyDescent="0.3">
      <c r="A991" s="15"/>
      <c r="C991" s="50" t="s">
        <v>1245</v>
      </c>
      <c r="H991" s="16"/>
      <c r="L991" s="16"/>
      <c r="N991" s="30"/>
      <c r="O991" s="47"/>
    </row>
    <row r="992" spans="1:16" s="69" customFormat="1" x14ac:dyDescent="0.3">
      <c r="A992" s="15"/>
      <c r="N992" s="30"/>
    </row>
    <row r="993" spans="1:16" ht="26.4" x14ac:dyDescent="0.3">
      <c r="A993" s="5">
        <v>44999</v>
      </c>
      <c r="B993" s="3" t="s">
        <v>1220</v>
      </c>
      <c r="C993" s="25" t="s">
        <v>1222</v>
      </c>
      <c r="D993" s="3">
        <v>2</v>
      </c>
      <c r="E993" s="3" t="s">
        <v>1221</v>
      </c>
      <c r="F993" s="3" t="s">
        <v>24</v>
      </c>
      <c r="G993" s="3" t="s">
        <v>11</v>
      </c>
      <c r="H993" s="4">
        <v>93559</v>
      </c>
      <c r="I993" s="3">
        <v>900</v>
      </c>
      <c r="J993" s="3">
        <v>900</v>
      </c>
      <c r="L993" s="4">
        <v>81759</v>
      </c>
      <c r="M993" s="3">
        <v>10000</v>
      </c>
      <c r="N993" s="25" t="s">
        <v>1253</v>
      </c>
      <c r="O993" s="3" t="s">
        <v>1226</v>
      </c>
    </row>
    <row r="994" spans="1:16" x14ac:dyDescent="0.3">
      <c r="A994" s="5"/>
      <c r="E994" s="43" t="s">
        <v>1224</v>
      </c>
    </row>
    <row r="995" spans="1:16" x14ac:dyDescent="0.3">
      <c r="A995" s="5"/>
      <c r="C995" s="4" t="s">
        <v>1225</v>
      </c>
      <c r="E995" s="4">
        <f>H993+4678</f>
        <v>98237</v>
      </c>
    </row>
    <row r="996" spans="1:16" x14ac:dyDescent="0.3">
      <c r="A996" s="5"/>
      <c r="C996" s="4"/>
      <c r="E996" s="4"/>
    </row>
    <row r="997" spans="1:16" x14ac:dyDescent="0.3">
      <c r="A997" s="5"/>
    </row>
    <row r="998" spans="1:16" ht="26.4" x14ac:dyDescent="0.3">
      <c r="A998" s="5">
        <v>45001</v>
      </c>
      <c r="B998" s="3" t="s">
        <v>1229</v>
      </c>
      <c r="C998" s="3" t="s">
        <v>17</v>
      </c>
      <c r="D998" s="3">
        <v>1</v>
      </c>
      <c r="F998" s="3" t="s">
        <v>24</v>
      </c>
      <c r="G998" s="3" t="s">
        <v>10</v>
      </c>
      <c r="H998" s="3">
        <v>5885</v>
      </c>
      <c r="I998" s="3">
        <v>136</v>
      </c>
      <c r="J998" s="3">
        <v>136</v>
      </c>
      <c r="K998" s="25"/>
      <c r="L998" s="25">
        <v>5295</v>
      </c>
      <c r="M998" s="25">
        <v>1505</v>
      </c>
      <c r="N998" s="25" t="s">
        <v>1268</v>
      </c>
      <c r="O998" s="38">
        <v>45002</v>
      </c>
    </row>
    <row r="999" spans="1:16" ht="26.4" x14ac:dyDescent="0.3">
      <c r="A999" s="5"/>
      <c r="G999" s="3" t="s">
        <v>11</v>
      </c>
      <c r="H999" s="3">
        <v>18030</v>
      </c>
      <c r="K999" s="25"/>
      <c r="L999" s="25">
        <f>3070+13773</f>
        <v>16843</v>
      </c>
      <c r="M999" s="25"/>
      <c r="O999" s="25" t="s">
        <v>1254</v>
      </c>
    </row>
    <row r="1000" spans="1:16" x14ac:dyDescent="0.3">
      <c r="A1000" s="5"/>
      <c r="H1000" s="4">
        <f>SUM(H998:H999)</f>
        <v>23915</v>
      </c>
      <c r="L1000" s="4">
        <f>SUM(L998:L999)</f>
        <v>22138</v>
      </c>
      <c r="O1000" s="25"/>
    </row>
    <row r="1001" spans="1:16" x14ac:dyDescent="0.3">
      <c r="A1001" s="5"/>
    </row>
    <row r="1002" spans="1:16" x14ac:dyDescent="0.3">
      <c r="A1002" s="5">
        <v>45003</v>
      </c>
      <c r="B1002" s="3" t="s">
        <v>1237</v>
      </c>
      <c r="C1002" s="3" t="s">
        <v>1238</v>
      </c>
      <c r="D1002" s="3">
        <v>1</v>
      </c>
      <c r="F1002" s="3" t="s">
        <v>14</v>
      </c>
      <c r="G1002" s="3" t="s">
        <v>162</v>
      </c>
      <c r="H1002" s="3">
        <f>8070</f>
        <v>8070</v>
      </c>
      <c r="I1002" s="3">
        <v>1581</v>
      </c>
      <c r="J1002" s="3">
        <v>1581</v>
      </c>
      <c r="L1002" s="3">
        <v>3107</v>
      </c>
      <c r="M1002" s="3">
        <v>12549</v>
      </c>
      <c r="N1002" s="38">
        <v>45004</v>
      </c>
      <c r="O1002" s="3" t="s">
        <v>1240</v>
      </c>
    </row>
    <row r="1003" spans="1:16" x14ac:dyDescent="0.3">
      <c r="A1003" s="5"/>
      <c r="G1003" s="3" t="s">
        <v>10</v>
      </c>
      <c r="H1003" s="3">
        <v>48000</v>
      </c>
      <c r="L1003" s="3">
        <v>3308</v>
      </c>
      <c r="O1003" s="3" t="s">
        <v>1262</v>
      </c>
      <c r="P1003" s="3" t="s">
        <v>1239</v>
      </c>
    </row>
    <row r="1004" spans="1:16" x14ac:dyDescent="0.3">
      <c r="A1004" s="5"/>
      <c r="G1004" s="3" t="s">
        <v>11</v>
      </c>
      <c r="H1004" s="3">
        <v>10300</v>
      </c>
      <c r="L1004" s="3">
        <v>39781</v>
      </c>
      <c r="O1004" s="3" t="s">
        <v>1241</v>
      </c>
      <c r="P1004" s="3" t="s">
        <v>1249</v>
      </c>
    </row>
    <row r="1005" spans="1:16" x14ac:dyDescent="0.3">
      <c r="A1005" s="5"/>
      <c r="L1005" s="3">
        <v>4463</v>
      </c>
      <c r="O1005" s="3" t="s">
        <v>1255</v>
      </c>
    </row>
    <row r="1006" spans="1:16" x14ac:dyDescent="0.3">
      <c r="A1006" s="5"/>
      <c r="H1006" s="4">
        <f>SUM(H1002:H1005)</f>
        <v>66370</v>
      </c>
      <c r="I1006" s="4"/>
      <c r="L1006" s="4">
        <f>SUM(L1002:L1005)</f>
        <v>50659</v>
      </c>
    </row>
    <row r="1007" spans="1:16" x14ac:dyDescent="0.3">
      <c r="A1007" s="5"/>
    </row>
    <row r="1008" spans="1:16" x14ac:dyDescent="0.3">
      <c r="A1008" s="5">
        <v>45003</v>
      </c>
      <c r="B1008" s="3" t="s">
        <v>1248</v>
      </c>
      <c r="C1008" s="3" t="s">
        <v>1206</v>
      </c>
      <c r="D1008" s="3">
        <v>1</v>
      </c>
      <c r="F1008" s="3" t="s">
        <v>8</v>
      </c>
      <c r="G1008" s="3" t="s">
        <v>57</v>
      </c>
      <c r="H1008" s="4">
        <v>11905</v>
      </c>
      <c r="I1008" s="3">
        <v>278</v>
      </c>
      <c r="J1008" s="3">
        <v>278</v>
      </c>
      <c r="L1008" s="4">
        <v>8263</v>
      </c>
      <c r="M1008" s="3">
        <v>3086</v>
      </c>
      <c r="N1008" s="38">
        <v>45006</v>
      </c>
      <c r="O1008" s="38">
        <v>45005</v>
      </c>
      <c r="P1008" s="3">
        <v>9889477</v>
      </c>
    </row>
    <row r="1009" spans="1:16" x14ac:dyDescent="0.3">
      <c r="A1009" s="5"/>
    </row>
    <row r="1010" spans="1:16" x14ac:dyDescent="0.3">
      <c r="A1010" s="5">
        <v>45005</v>
      </c>
      <c r="B1010" s="3" t="s">
        <v>1256</v>
      </c>
      <c r="C1010" s="3" t="s">
        <v>207</v>
      </c>
      <c r="D1010" s="3">
        <v>1</v>
      </c>
      <c r="F1010" s="3" t="s">
        <v>26</v>
      </c>
      <c r="G1010" s="3" t="s">
        <v>10</v>
      </c>
      <c r="H1010" s="4">
        <v>85100</v>
      </c>
      <c r="I1010" s="3">
        <v>101</v>
      </c>
      <c r="J1010" s="3">
        <v>101</v>
      </c>
      <c r="L1010" s="4">
        <v>83778</v>
      </c>
      <c r="M1010" s="3">
        <v>1120</v>
      </c>
      <c r="N1010" s="47">
        <v>45008</v>
      </c>
      <c r="O1010" s="25">
        <f>83778-1583</f>
        <v>82195</v>
      </c>
    </row>
    <row r="1011" spans="1:16" ht="52.8" x14ac:dyDescent="0.3">
      <c r="A1011" s="5"/>
      <c r="H1011" s="4"/>
      <c r="L1011" s="4"/>
      <c r="O1011" s="25" t="s">
        <v>1261</v>
      </c>
    </row>
    <row r="1012" spans="1:16" x14ac:dyDescent="0.3">
      <c r="A1012" s="5"/>
    </row>
    <row r="1013" spans="1:16" customFormat="1" ht="26.4" x14ac:dyDescent="0.3">
      <c r="A1013" s="49">
        <v>45006</v>
      </c>
      <c r="B1013" s="50" t="s">
        <v>1258</v>
      </c>
      <c r="C1013" s="50" t="s">
        <v>1210</v>
      </c>
      <c r="D1013" s="50">
        <v>1</v>
      </c>
      <c r="E1013" s="50"/>
      <c r="F1013" s="50" t="s">
        <v>26</v>
      </c>
      <c r="G1013" s="50" t="s">
        <v>10</v>
      </c>
      <c r="H1013" s="51">
        <f>774+809</f>
        <v>1583</v>
      </c>
      <c r="I1013" s="50">
        <f>M1013*9%</f>
        <v>63</v>
      </c>
      <c r="J1013" s="50">
        <f>I1013</f>
        <v>63</v>
      </c>
      <c r="K1013" s="50"/>
      <c r="L1013" s="51">
        <f>H1013-M1013-I1013-J1013</f>
        <v>757</v>
      </c>
      <c r="M1013" s="50">
        <v>700</v>
      </c>
      <c r="N1013" s="68" t="s">
        <v>1266</v>
      </c>
      <c r="O1013" s="70" t="s">
        <v>1267</v>
      </c>
      <c r="P1013" s="67" t="s">
        <v>1259</v>
      </c>
    </row>
    <row r="1014" spans="1:16" customFormat="1" ht="14.4" x14ac:dyDescent="0.3">
      <c r="A1014" s="15"/>
      <c r="B1014" s="69"/>
      <c r="C1014" s="50" t="s">
        <v>1260</v>
      </c>
      <c r="D1014" s="69"/>
      <c r="E1014" s="69"/>
      <c r="F1014" s="69"/>
      <c r="G1014" s="69"/>
      <c r="H1014" s="16"/>
      <c r="I1014" s="69"/>
      <c r="J1014" s="69"/>
      <c r="K1014" s="69"/>
      <c r="L1014" s="16"/>
      <c r="M1014" s="69"/>
      <c r="N1014" s="30"/>
      <c r="O1014" s="47"/>
    </row>
    <row r="1015" spans="1:16" x14ac:dyDescent="0.3">
      <c r="A1015" s="5"/>
    </row>
    <row r="1016" spans="1:16" ht="39.6" x14ac:dyDescent="0.3">
      <c r="A1016" s="5">
        <v>45007</v>
      </c>
      <c r="B1016" s="3" t="s">
        <v>1263</v>
      </c>
      <c r="C1016" s="3" t="s">
        <v>1264</v>
      </c>
      <c r="D1016" s="3">
        <v>1</v>
      </c>
      <c r="E1016" s="3" t="s">
        <v>54</v>
      </c>
      <c r="F1016" s="3" t="s">
        <v>26</v>
      </c>
      <c r="G1016" s="3" t="s">
        <v>10</v>
      </c>
      <c r="H1016" s="4">
        <v>181204</v>
      </c>
      <c r="I1016" s="3">
        <v>437</v>
      </c>
      <c r="J1016" s="3">
        <f>I1016</f>
        <v>437</v>
      </c>
      <c r="L1016" s="3">
        <v>5678</v>
      </c>
      <c r="M1016" s="3">
        <f>350+2500+1000+1000</f>
        <v>4850</v>
      </c>
      <c r="N1016" s="38">
        <v>45012</v>
      </c>
      <c r="O1016" s="30" t="s">
        <v>1276</v>
      </c>
      <c r="P1016" s="3" t="s">
        <v>1265</v>
      </c>
    </row>
    <row r="1017" spans="1:16" x14ac:dyDescent="0.3">
      <c r="A1017" s="5"/>
      <c r="H1017" s="4"/>
      <c r="O1017" s="25" t="s">
        <v>1285</v>
      </c>
    </row>
    <row r="1018" spans="1:16" x14ac:dyDescent="0.3">
      <c r="A1018" s="5"/>
      <c r="C1018" s="3" t="s">
        <v>1269</v>
      </c>
      <c r="G1018" s="3" t="s">
        <v>10</v>
      </c>
      <c r="L1018" s="3">
        <v>156102</v>
      </c>
      <c r="O1018" s="3" t="s">
        <v>1270</v>
      </c>
      <c r="P1018" s="3" t="s">
        <v>1271</v>
      </c>
    </row>
    <row r="1019" spans="1:16" x14ac:dyDescent="0.3">
      <c r="A1019" s="5"/>
      <c r="G1019" s="3" t="s">
        <v>1223</v>
      </c>
      <c r="L1019" s="3">
        <v>6850</v>
      </c>
      <c r="O1019" s="3" t="s">
        <v>1272</v>
      </c>
    </row>
    <row r="1020" spans="1:16" x14ac:dyDescent="0.3">
      <c r="A1020" s="5"/>
      <c r="G1020" s="3" t="s">
        <v>1223</v>
      </c>
      <c r="L1020" s="3">
        <v>6850</v>
      </c>
      <c r="O1020" s="3" t="s">
        <v>1272</v>
      </c>
    </row>
    <row r="1021" spans="1:16" x14ac:dyDescent="0.3">
      <c r="A1021" s="5"/>
      <c r="L1021" s="4">
        <f>SUM(L1016:L1020)</f>
        <v>175480</v>
      </c>
    </row>
    <row r="1022" spans="1:16" x14ac:dyDescent="0.3">
      <c r="A1022" s="5"/>
    </row>
    <row r="1023" spans="1:16" x14ac:dyDescent="0.3">
      <c r="A1023" s="5">
        <v>45010</v>
      </c>
      <c r="B1023" s="69" t="s">
        <v>1273</v>
      </c>
      <c r="C1023" s="3" t="s">
        <v>201</v>
      </c>
      <c r="D1023" s="3">
        <v>1</v>
      </c>
      <c r="E1023" s="3" t="s">
        <v>60</v>
      </c>
      <c r="F1023" s="3" t="s">
        <v>26</v>
      </c>
      <c r="G1023" s="3" t="s">
        <v>10</v>
      </c>
      <c r="H1023" s="4">
        <v>51682</v>
      </c>
      <c r="I1023" s="3">
        <f>M1023*9%</f>
        <v>198</v>
      </c>
      <c r="J1023" s="3">
        <f>I1023</f>
        <v>198</v>
      </c>
      <c r="L1023" s="3">
        <v>42236</v>
      </c>
      <c r="M1023" s="3">
        <f>1200+1000</f>
        <v>2200</v>
      </c>
      <c r="N1023" s="38">
        <v>45012</v>
      </c>
      <c r="O1023" s="3" t="s">
        <v>1274</v>
      </c>
      <c r="P1023" s="3" t="s">
        <v>1277</v>
      </c>
    </row>
    <row r="1024" spans="1:16" x14ac:dyDescent="0.3">
      <c r="A1024" s="5"/>
      <c r="G1024" s="3" t="s">
        <v>1223</v>
      </c>
      <c r="L1024" s="3">
        <v>6850</v>
      </c>
      <c r="O1024" s="3" t="s">
        <v>1275</v>
      </c>
      <c r="P1024" s="106">
        <v>20230325157850</v>
      </c>
    </row>
    <row r="1025" spans="1:16" x14ac:dyDescent="0.3">
      <c r="A1025" s="5"/>
      <c r="L1025" s="4">
        <f>SUM(L1023:L1024)</f>
        <v>49086</v>
      </c>
    </row>
    <row r="1026" spans="1:16" x14ac:dyDescent="0.3">
      <c r="A1026" s="5"/>
    </row>
    <row r="1027" spans="1:16" x14ac:dyDescent="0.3">
      <c r="A1027" s="5">
        <v>45010</v>
      </c>
      <c r="B1027" s="3" t="s">
        <v>1278</v>
      </c>
      <c r="C1027" s="3" t="s">
        <v>1279</v>
      </c>
      <c r="D1027" s="3">
        <v>1</v>
      </c>
      <c r="E1027" s="3" t="s">
        <v>54</v>
      </c>
      <c r="F1027" s="3" t="s">
        <v>26</v>
      </c>
      <c r="G1027" s="3" t="s">
        <v>10</v>
      </c>
      <c r="H1027" s="4">
        <v>19517</v>
      </c>
      <c r="I1027" s="3">
        <f>M1027*9%</f>
        <v>162</v>
      </c>
      <c r="J1027" s="3">
        <f>I1027</f>
        <v>162</v>
      </c>
      <c r="L1027" s="3">
        <v>3249</v>
      </c>
      <c r="M1027" s="3">
        <f>1400+200+200</f>
        <v>1800</v>
      </c>
      <c r="N1027" s="38">
        <v>45021</v>
      </c>
      <c r="O1027" s="3" t="s">
        <v>1284</v>
      </c>
      <c r="P1027" s="3" t="s">
        <v>1286</v>
      </c>
    </row>
    <row r="1028" spans="1:16" x14ac:dyDescent="0.3">
      <c r="A1028" s="5"/>
      <c r="L1028" s="3">
        <v>3532</v>
      </c>
      <c r="O1028" s="3" t="s">
        <v>1281</v>
      </c>
      <c r="P1028" s="3" t="s">
        <v>1280</v>
      </c>
    </row>
    <row r="1029" spans="1:16" x14ac:dyDescent="0.3">
      <c r="A1029" s="5"/>
      <c r="C1029" s="3" t="s">
        <v>1282</v>
      </c>
      <c r="L1029" s="3">
        <v>4802</v>
      </c>
      <c r="P1029" s="3" t="s">
        <v>1283</v>
      </c>
    </row>
    <row r="1030" spans="1:16" x14ac:dyDescent="0.3">
      <c r="A1030" s="5"/>
      <c r="L1030" s="3">
        <v>5110</v>
      </c>
    </row>
    <row r="1031" spans="1:16" x14ac:dyDescent="0.3">
      <c r="A1031" s="5"/>
      <c r="G1031" s="3" t="s">
        <v>807</v>
      </c>
      <c r="L1031" s="3">
        <v>350</v>
      </c>
      <c r="O1031" s="3" t="s">
        <v>1291</v>
      </c>
    </row>
    <row r="1032" spans="1:16" x14ac:dyDescent="0.3">
      <c r="A1032" s="5"/>
      <c r="G1032" s="3" t="s">
        <v>807</v>
      </c>
      <c r="L1032" s="3">
        <v>350</v>
      </c>
      <c r="O1032" s="3" t="s">
        <v>1292</v>
      </c>
    </row>
    <row r="1033" spans="1:16" x14ac:dyDescent="0.3">
      <c r="A1033" s="5"/>
      <c r="L1033" s="4">
        <f>SUM(L1027:L1032)</f>
        <v>17393</v>
      </c>
    </row>
    <row r="1034" spans="1:16" x14ac:dyDescent="0.3">
      <c r="A1034" s="5"/>
      <c r="H1034" s="4"/>
    </row>
    <row r="1035" spans="1:16" x14ac:dyDescent="0.3">
      <c r="A1035" s="5"/>
      <c r="H1035" s="4"/>
    </row>
    <row r="1036" spans="1:16" x14ac:dyDescent="0.3">
      <c r="A1036" s="5">
        <v>45011</v>
      </c>
      <c r="B1036" s="3" t="s">
        <v>1294</v>
      </c>
      <c r="C1036" s="3" t="s">
        <v>1289</v>
      </c>
      <c r="D1036" s="3">
        <v>1</v>
      </c>
      <c r="E1036" s="3" t="s">
        <v>54</v>
      </c>
      <c r="F1036" s="3" t="s">
        <v>24</v>
      </c>
      <c r="G1036" s="3" t="s">
        <v>1287</v>
      </c>
      <c r="H1036" s="4">
        <v>25370</v>
      </c>
      <c r="I1036" s="3">
        <f>M1036*9%</f>
        <v>180</v>
      </c>
      <c r="J1036" s="3">
        <f>I1036</f>
        <v>180</v>
      </c>
      <c r="L1036" s="4">
        <v>23010</v>
      </c>
      <c r="M1036" s="3">
        <v>2000</v>
      </c>
      <c r="N1036" s="38">
        <v>45022</v>
      </c>
      <c r="O1036" s="3" t="s">
        <v>1288</v>
      </c>
    </row>
    <row r="1037" spans="1:16" x14ac:dyDescent="0.3">
      <c r="A1037" s="5"/>
    </row>
    <row r="1038" spans="1:16" x14ac:dyDescent="0.3">
      <c r="A1038" s="5"/>
    </row>
    <row r="1039" spans="1:16" x14ac:dyDescent="0.3">
      <c r="A1039" s="5">
        <v>45015</v>
      </c>
      <c r="B1039" s="3" t="s">
        <v>1298</v>
      </c>
      <c r="C1039" s="3" t="s">
        <v>201</v>
      </c>
      <c r="D1039" s="3">
        <v>1</v>
      </c>
      <c r="E1039" s="3" t="s">
        <v>60</v>
      </c>
      <c r="F1039" s="3" t="s">
        <v>26</v>
      </c>
      <c r="G1039" s="3" t="s">
        <v>10</v>
      </c>
      <c r="H1039" s="4">
        <v>52911</v>
      </c>
      <c r="I1039" s="3">
        <f>M1039*9%</f>
        <v>216</v>
      </c>
      <c r="J1039" s="3">
        <f>I1039</f>
        <v>216</v>
      </c>
      <c r="L1039" s="3">
        <v>40021</v>
      </c>
      <c r="M1039" s="3">
        <f>1200+1200</f>
        <v>2400</v>
      </c>
      <c r="N1039" s="38">
        <v>45019</v>
      </c>
      <c r="O1039" s="3" t="s">
        <v>1299</v>
      </c>
      <c r="P1039" s="3" t="s">
        <v>1301</v>
      </c>
    </row>
    <row r="1040" spans="1:16" x14ac:dyDescent="0.3">
      <c r="A1040" s="5"/>
      <c r="B1040" s="69"/>
      <c r="C1040" s="3" t="s">
        <v>1302</v>
      </c>
      <c r="H1040" s="4"/>
      <c r="L1040" s="3">
        <f>9940+118</f>
        <v>10058</v>
      </c>
      <c r="N1040" s="38"/>
      <c r="O1040" s="3" t="s">
        <v>1300</v>
      </c>
      <c r="P1040" s="3" t="s">
        <v>1681</v>
      </c>
    </row>
    <row r="1041" spans="1:16" x14ac:dyDescent="0.3">
      <c r="A1041" s="5"/>
      <c r="B1041" s="69"/>
      <c r="H1041" s="4"/>
      <c r="L1041" s="4">
        <f>SUM(L1039:L1040)</f>
        <v>50079</v>
      </c>
      <c r="N1041" s="38"/>
      <c r="O1041" s="3" t="s">
        <v>1339</v>
      </c>
    </row>
    <row r="1042" spans="1:16" x14ac:dyDescent="0.3">
      <c r="A1042" s="5"/>
      <c r="B1042" s="69"/>
      <c r="H1042" s="4"/>
      <c r="N1042" s="38"/>
    </row>
    <row r="1043" spans="1:16" ht="26.4" x14ac:dyDescent="0.3">
      <c r="A1043" s="5">
        <v>45015</v>
      </c>
      <c r="B1043" s="3" t="s">
        <v>1303</v>
      </c>
      <c r="C1043" s="3" t="s">
        <v>1295</v>
      </c>
      <c r="D1043" s="3">
        <v>6</v>
      </c>
      <c r="F1043" s="3" t="s">
        <v>26</v>
      </c>
      <c r="G1043" s="3" t="s">
        <v>10</v>
      </c>
      <c r="H1043" s="3">
        <v>19452</v>
      </c>
      <c r="I1043" s="3">
        <v>226</v>
      </c>
      <c r="J1043" s="3">
        <v>226</v>
      </c>
      <c r="L1043" s="3">
        <v>17974</v>
      </c>
      <c r="M1043" s="3">
        <v>2504</v>
      </c>
      <c r="N1043" s="25" t="s">
        <v>1329</v>
      </c>
      <c r="O1043" s="25" t="s">
        <v>1297</v>
      </c>
      <c r="P1043" s="3" t="s">
        <v>1293</v>
      </c>
    </row>
    <row r="1044" spans="1:16" x14ac:dyDescent="0.3">
      <c r="A1044" s="5"/>
      <c r="H1044" s="3">
        <v>13534</v>
      </c>
      <c r="L1044" s="3">
        <v>12056</v>
      </c>
      <c r="P1044" s="3" t="s">
        <v>1296</v>
      </c>
    </row>
    <row r="1045" spans="1:16" x14ac:dyDescent="0.3">
      <c r="A1045" s="5"/>
      <c r="H1045" s="4">
        <f>SUM(H1043:H1044)</f>
        <v>32986</v>
      </c>
      <c r="L1045" s="4">
        <f>SUM(L1043:L1044)</f>
        <v>30030</v>
      </c>
    </row>
    <row r="1046" spans="1:16" x14ac:dyDescent="0.3">
      <c r="A1046" s="5"/>
      <c r="H1046" s="4"/>
      <c r="L1046" s="4"/>
    </row>
    <row r="1047" spans="1:16" x14ac:dyDescent="0.3">
      <c r="A1047" s="35" t="s">
        <v>1309</v>
      </c>
      <c r="B1047" s="69"/>
      <c r="H1047" s="4"/>
      <c r="N1047" s="38"/>
    </row>
    <row r="1048" spans="1:16" x14ac:dyDescent="0.3">
      <c r="A1048" s="5"/>
    </row>
    <row r="1050" spans="1:16" s="73" customFormat="1" x14ac:dyDescent="0.3">
      <c r="B1050" s="73" t="s">
        <v>1164</v>
      </c>
      <c r="C1050" s="73" t="s">
        <v>1161</v>
      </c>
      <c r="D1050" s="73">
        <v>5</v>
      </c>
      <c r="F1050" s="73" t="s">
        <v>1162</v>
      </c>
      <c r="G1050" s="73" t="s">
        <v>1163</v>
      </c>
      <c r="H1050" s="73">
        <v>50000</v>
      </c>
      <c r="I1050" s="73">
        <v>1190</v>
      </c>
      <c r="J1050" s="73">
        <v>1190</v>
      </c>
      <c r="L1050" s="73">
        <f>H1050-I1050-J1050</f>
        <v>47620</v>
      </c>
      <c r="N1050" s="74">
        <v>44978</v>
      </c>
      <c r="P1050" s="73" t="s">
        <v>1164</v>
      </c>
    </row>
    <row r="1051" spans="1:16" s="73" customFormat="1" x14ac:dyDescent="0.3">
      <c r="H1051" s="73">
        <v>100000</v>
      </c>
      <c r="N1051" s="74">
        <v>44991</v>
      </c>
      <c r="P1051" s="73" t="s">
        <v>1164</v>
      </c>
    </row>
    <row r="1052" spans="1:16" x14ac:dyDescent="0.3">
      <c r="H1052" s="73">
        <v>100000</v>
      </c>
      <c r="I1052" s="73"/>
      <c r="J1052" s="73"/>
      <c r="K1052" s="73"/>
      <c r="L1052" s="73"/>
      <c r="M1052" s="73"/>
      <c r="N1052" s="74">
        <v>44994</v>
      </c>
    </row>
  </sheetData>
  <mergeCells count="2">
    <mergeCell ref="O43:O44"/>
    <mergeCell ref="N39:N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 1 </vt:lpstr>
      <vt:lpstr>Chart 2</vt:lpstr>
      <vt:lpstr>Sheet3</vt:lpstr>
      <vt:lpstr>Sheet4</vt:lpstr>
      <vt:lpstr>Chart 3</vt:lpstr>
      <vt:lpstr>2023-24</vt:lpstr>
      <vt:lpstr>Data cleaning</vt:lpstr>
      <vt:lpstr>Data required</vt:lpstr>
      <vt:lpstr>2022-23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Tanay Aashish Mody GRADE 9A</cp:lastModifiedBy>
  <dcterms:created xsi:type="dcterms:W3CDTF">2019-08-27T05:07:19Z</dcterms:created>
  <dcterms:modified xsi:type="dcterms:W3CDTF">2024-09-14T21:40:08Z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