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202300"/>
  <mc:AlternateContent xmlns:mc="http://schemas.openxmlformats.org/markup-compatibility/2006">
    <mc:Choice Requires="x15">
      <x15ac:absPath xmlns:x15ac="http://schemas.microsoft.com/office/spreadsheetml/2010/11/ac" url="https://d.docs.live.net/56a8ac95b515d8bd/Desktop/Networking/01-recruiting/Case Studies/"/>
    </mc:Choice>
  </mc:AlternateContent>
  <xr:revisionPtr revIDLastSave="19993" documentId="8_{885E582A-AE6D-4481-9D74-3EB46080AF05}" xr6:coauthVersionLast="47" xr6:coauthVersionMax="47" xr10:uidLastSave="{E5584CE4-FF9B-44B9-A41B-AFD0C8F93ED5}"/>
  <bookViews>
    <workbookView xWindow="-110" yWindow="-110" windowWidth="24220" windowHeight="15500" xr2:uid="{295F5962-39F2-4AA6-8129-726AB2BA9E8F}"/>
  </bookViews>
  <sheets>
    <sheet name="Background" sheetId="5" r:id="rId1"/>
    <sheet name="The Dinner" sheetId="1" r:id="rId2"/>
    <sheet name="The IB Presentation" sheetId="4" r:id="rId3"/>
    <sheet name="The Spiral of Distress" sheetId="6" r:id="rId4"/>
    <sheet name="The Bank Meeting" sheetId="7" r:id="rId5"/>
    <sheet name="Banks Options and Strategy" sheetId="8" r:id="rId6"/>
    <sheet name="The Negotiated Action Plan" sheetId="9" r:id="rId7"/>
    <sheet name="Sale of Subsidiary" sheetId="10" r:id="rId8"/>
    <sheet name="Sale of the Company" sheetId="14" r:id="rId9"/>
    <sheet name="_CIQHiddenCacheSheet" sheetId="21" state="veryHidden" r:id="rId10"/>
    <sheet name="Distressed Valuation" sheetId="15" r:id="rId11"/>
    <sheet name="Troubled Company Sale Process" sheetId="22" r:id="rId12"/>
  </sheets>
  <definedNames>
    <definedName name="_xlchart.v2.0" hidden="1">'Troubled Company Sale Process'!$B$88:$B$92</definedName>
    <definedName name="_xlchart.v2.1" hidden="1">'Troubled Company Sale Process'!$C$87</definedName>
    <definedName name="_xlchart.v2.2" hidden="1">'Troubled Company Sale Process'!$C$88:$C$92</definedName>
    <definedName name="CIQWBGuid" hidden="1">"80677206-2ece-4a10-8eb4-9062cccd7755"</definedName>
    <definedName name="CIQWBInfo" hidden="1">"{ ""CIQVersion"":""9.51.3510.3078"" }"</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45531.1533449074</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calcMode="autoNoTable"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7" i="15" l="1"/>
  <c r="D46" i="15"/>
  <c r="D24" i="15"/>
  <c r="D23" i="15"/>
  <c r="C37" i="15" s="1"/>
  <c r="C162" i="22"/>
  <c r="C168" i="22"/>
  <c r="C183" i="22"/>
  <c r="C190" i="22"/>
  <c r="C196" i="22"/>
  <c r="D196" i="22" s="1"/>
  <c r="C197" i="22"/>
  <c r="D197" i="22" s="1"/>
  <c r="H62" i="4" a="1"/>
  <c r="H62" i="4" s="1"/>
  <c r="G62" i="4" a="1"/>
  <c r="G62" i="4" s="1"/>
  <c r="C62" i="4"/>
  <c r="D58" i="5"/>
  <c r="D59" i="5" s="1"/>
  <c r="D61" i="5" s="1"/>
  <c r="E58" i="5"/>
  <c r="C9" i="1" s="1"/>
  <c r="E50" i="5"/>
  <c r="E49" i="5" s="1"/>
  <c r="D50" i="5"/>
  <c r="D49" i="5" s="1"/>
  <c r="C50" i="5"/>
  <c r="C49" i="5" s="1"/>
  <c r="C58" i="5"/>
  <c r="C59" i="5" s="1"/>
  <c r="C61" i="5" s="1"/>
  <c r="E22" i="5"/>
  <c r="E23" i="5" s="1"/>
  <c r="D22" i="5"/>
  <c r="D25" i="5" s="1"/>
  <c r="C22" i="5"/>
  <c r="C23" i="5" s="1"/>
  <c r="F46" i="15"/>
  <c r="C69" i="15" s="1"/>
  <c r="F47" i="15"/>
  <c r="C100" i="15" s="1"/>
  <c r="D56" i="15"/>
  <c r="E56" i="15" s="1"/>
  <c r="D55" i="15"/>
  <c r="E55" i="15" s="1"/>
  <c r="F55" i="15" s="1"/>
  <c r="G55" i="15" s="1"/>
  <c r="H55" i="15" s="1"/>
  <c r="C57" i="15"/>
  <c r="D75" i="15"/>
  <c r="E75" i="15" s="1"/>
  <c r="F75" i="15" s="1"/>
  <c r="G75" i="15" s="1"/>
  <c r="C80" i="15"/>
  <c r="D80" i="15"/>
  <c r="E80" i="15"/>
  <c r="F80" i="15"/>
  <c r="G80" i="15"/>
  <c r="C84" i="15"/>
  <c r="B89" i="15" s="1"/>
  <c r="B90" i="15" s="1"/>
  <c r="B91" i="15" s="1"/>
  <c r="B92" i="15" s="1"/>
  <c r="B93" i="15" s="1"/>
  <c r="D84" i="15"/>
  <c r="C88" i="15"/>
  <c r="D88" i="15" s="1"/>
  <c r="E88" i="15" s="1"/>
  <c r="F88" i="15" s="1"/>
  <c r="C97" i="15"/>
  <c r="E97" i="15"/>
  <c r="E118" i="15"/>
  <c r="E120" i="15"/>
  <c r="E121" i="15"/>
  <c r="E123" i="15"/>
  <c r="E124" i="15"/>
  <c r="D26" i="14"/>
  <c r="E26" i="14"/>
  <c r="F26" i="14"/>
  <c r="C30" i="14"/>
  <c r="D30" i="14"/>
  <c r="E30" i="14"/>
  <c r="F30" i="14"/>
  <c r="C39" i="14"/>
  <c r="D39" i="14"/>
  <c r="E39" i="14"/>
  <c r="F39" i="14"/>
  <c r="D48" i="14"/>
  <c r="E48" i="14" s="1"/>
  <c r="F48" i="14" s="1"/>
  <c r="D50" i="14"/>
  <c r="E50" i="14"/>
  <c r="F50" i="14"/>
  <c r="C52" i="14"/>
  <c r="C55" i="14" s="1"/>
  <c r="C57" i="14" s="1"/>
  <c r="C58" i="14" s="1"/>
  <c r="D52" i="14"/>
  <c r="D55" i="14" s="1"/>
  <c r="D57" i="14" s="1"/>
  <c r="D58" i="14" s="1"/>
  <c r="E52" i="14"/>
  <c r="E53" i="14" s="1"/>
  <c r="F52" i="14"/>
  <c r="F53" i="14" s="1"/>
  <c r="C53" i="14"/>
  <c r="D53" i="14"/>
  <c r="F12" i="10"/>
  <c r="C13" i="10"/>
  <c r="F13" i="10" s="1"/>
  <c r="C16" i="10"/>
  <c r="F16" i="10"/>
  <c r="F17" i="10"/>
  <c r="C18" i="10"/>
  <c r="F18" i="10" s="1"/>
  <c r="C19" i="10"/>
  <c r="F19" i="10"/>
  <c r="C20" i="10"/>
  <c r="F20" i="10"/>
  <c r="C21" i="10"/>
  <c r="C22" i="10"/>
  <c r="C24" i="10" s="1"/>
  <c r="E23" i="10"/>
  <c r="F23" i="10" s="1"/>
  <c r="D14" i="6"/>
  <c r="E14" i="6"/>
  <c r="C16" i="6"/>
  <c r="D16" i="6"/>
  <c r="E16" i="6"/>
  <c r="C18" i="6"/>
  <c r="D18" i="6"/>
  <c r="E18" i="6"/>
  <c r="C22" i="6"/>
  <c r="D22" i="6"/>
  <c r="E22" i="6"/>
  <c r="C24" i="6"/>
  <c r="D24" i="6"/>
  <c r="E24" i="6"/>
  <c r="C27" i="6"/>
  <c r="D27" i="6"/>
  <c r="E27" i="6"/>
  <c r="C28" i="6"/>
  <c r="D28" i="6"/>
  <c r="E28" i="6"/>
  <c r="C45" i="6"/>
  <c r="D45" i="6"/>
  <c r="E45" i="6"/>
  <c r="C52" i="6"/>
  <c r="D52" i="6"/>
  <c r="E52" i="6"/>
  <c r="C53" i="6"/>
  <c r="C55" i="6" s="1"/>
  <c r="D53" i="6"/>
  <c r="D55" i="6" s="1"/>
  <c r="E53" i="6"/>
  <c r="E55" i="6" s="1"/>
  <c r="D67" i="6"/>
  <c r="C72" i="6"/>
  <c r="C77" i="6"/>
  <c r="D83" i="6"/>
  <c r="D84" i="6"/>
  <c r="D85" i="6"/>
  <c r="E14" i="4"/>
  <c r="C14" i="6" s="1"/>
  <c r="E15" i="4"/>
  <c r="C16" i="4"/>
  <c r="C19" i="4" s="1"/>
  <c r="D16" i="4"/>
  <c r="D19" i="4" s="1"/>
  <c r="E18" i="4"/>
  <c r="E20" i="4"/>
  <c r="E22" i="4"/>
  <c r="E25" i="4"/>
  <c r="C63" i="4"/>
  <c r="G63" i="4" a="1"/>
  <c r="G63" i="4" s="1"/>
  <c r="H63" i="4" a="1"/>
  <c r="H63" i="4"/>
  <c r="C64" i="4"/>
  <c r="G64" i="4" a="1"/>
  <c r="G64" i="4" s="1"/>
  <c r="H64" i="4" a="1"/>
  <c r="H64" i="4" s="1"/>
  <c r="E76" i="4"/>
  <c r="H65" i="4" a="1"/>
  <c r="H65" i="4" s="1"/>
  <c r="D66" i="4"/>
  <c r="G66" i="4" a="1"/>
  <c r="G66" i="4"/>
  <c r="H66" i="4" a="1"/>
  <c r="H66" i="4" s="1"/>
  <c r="G67" i="4" a="1"/>
  <c r="G67" i="4" s="1"/>
  <c r="H67" i="4" a="1"/>
  <c r="H67" i="4" s="1"/>
  <c r="G68" i="4" a="1"/>
  <c r="G68" i="4" s="1"/>
  <c r="H68" i="4" a="1"/>
  <c r="H68" i="4" s="1"/>
  <c r="C69" i="4"/>
  <c r="G69" i="4" a="1"/>
  <c r="G69" i="4" s="1"/>
  <c r="H69" i="4" a="1"/>
  <c r="H69" i="4" s="1"/>
  <c r="G70" i="4" a="1"/>
  <c r="G70" i="4" s="1"/>
  <c r="H70" i="4" a="1"/>
  <c r="H70" i="4" s="1"/>
  <c r="C71" i="4"/>
  <c r="G71" i="4" a="1"/>
  <c r="G71" i="4" s="1"/>
  <c r="H71" i="4" a="1"/>
  <c r="H71" i="4"/>
  <c r="C72" i="4"/>
  <c r="G72" i="4" a="1"/>
  <c r="G72" i="4" s="1"/>
  <c r="H72" i="4" a="1"/>
  <c r="H72" i="4"/>
  <c r="C73" i="4"/>
  <c r="I73" i="4" s="1"/>
  <c r="G73" i="4" a="1"/>
  <c r="G73" i="4"/>
  <c r="H73" i="4" a="1"/>
  <c r="H73" i="4"/>
  <c r="G74" i="4" a="1"/>
  <c r="G74" i="4"/>
  <c r="H74" i="4" a="1"/>
  <c r="H74" i="4"/>
  <c r="G75" i="4" a="1"/>
  <c r="G75" i="4" s="1"/>
  <c r="H75" i="4" a="1"/>
  <c r="H75" i="4" s="1"/>
  <c r="C76" i="4"/>
  <c r="G76" i="4" a="1"/>
  <c r="G76" i="4" s="1"/>
  <c r="D77" i="4"/>
  <c r="B86" i="4"/>
  <c r="C86" i="4"/>
  <c r="B87" i="4"/>
  <c r="C87" i="4"/>
  <c r="B88" i="4"/>
  <c r="C88" i="4"/>
  <c r="C89" i="4"/>
  <c r="D89" i="4"/>
  <c r="E89" i="4"/>
  <c r="B90" i="4"/>
  <c r="C90" i="4"/>
  <c r="C34" i="1"/>
  <c r="C36" i="1" s="1"/>
  <c r="C38" i="1" s="1"/>
  <c r="C47" i="1"/>
  <c r="C49" i="1"/>
  <c r="C51" i="1" s="1"/>
  <c r="C50" i="1"/>
  <c r="D86" i="4" s="1"/>
  <c r="E86" i="4" s="1"/>
  <c r="C59" i="1"/>
  <c r="C61" i="1"/>
  <c r="C64" i="1"/>
  <c r="E59" i="5" l="1"/>
  <c r="C75" i="4" s="1"/>
  <c r="C74" i="4"/>
  <c r="E25" i="5"/>
  <c r="E27" i="5" s="1"/>
  <c r="E29" i="5" s="1"/>
  <c r="F21" i="10"/>
  <c r="F22" i="10" s="1"/>
  <c r="I62" i="4"/>
  <c r="C17" i="4"/>
  <c r="E16" i="4"/>
  <c r="E17" i="4" s="1"/>
  <c r="I69" i="4"/>
  <c r="I63" i="4"/>
  <c r="D17" i="4"/>
  <c r="I71" i="4"/>
  <c r="D27" i="5"/>
  <c r="D29" i="5" s="1"/>
  <c r="D30" i="5"/>
  <c r="D32" i="5" s="1"/>
  <c r="D33" i="5" s="1"/>
  <c r="D23" i="5"/>
  <c r="C25" i="5"/>
  <c r="C77" i="4"/>
  <c r="F97" i="15"/>
  <c r="C70" i="15"/>
  <c r="E127" i="15"/>
  <c r="D127" i="15" s="1"/>
  <c r="D57" i="15"/>
  <c r="G37" i="15"/>
  <c r="I37" i="15"/>
  <c r="E100" i="15"/>
  <c r="E57" i="15"/>
  <c r="D87" i="4"/>
  <c r="E87" i="4" s="1"/>
  <c r="D51" i="1"/>
  <c r="D45" i="1"/>
  <c r="D46" i="1"/>
  <c r="D49" i="1"/>
  <c r="D53" i="1"/>
  <c r="D43" i="1"/>
  <c r="D44" i="1"/>
  <c r="D47" i="1"/>
  <c r="D50" i="1"/>
  <c r="I64" i="4"/>
  <c r="C24" i="4"/>
  <c r="E19" i="4"/>
  <c r="C21" i="4"/>
  <c r="F24" i="10"/>
  <c r="D24" i="4"/>
  <c r="D26" i="4" s="1"/>
  <c r="D21" i="4"/>
  <c r="D23" i="4" s="1"/>
  <c r="H37" i="15"/>
  <c r="C66" i="4"/>
  <c r="F55" i="14"/>
  <c r="F57" i="14" s="1"/>
  <c r="F58" i="14" s="1"/>
  <c r="F56" i="15"/>
  <c r="C54" i="1"/>
  <c r="E55" i="14"/>
  <c r="E57" i="14" s="1"/>
  <c r="C52" i="1"/>
  <c r="E61" i="5" l="1"/>
  <c r="E30" i="5"/>
  <c r="E32" i="5" s="1"/>
  <c r="E33" i="5" s="1"/>
  <c r="C30" i="5"/>
  <c r="C32" i="5" s="1"/>
  <c r="C33" i="5" s="1"/>
  <c r="C27" i="5"/>
  <c r="C29" i="5" s="1"/>
  <c r="E21" i="4"/>
  <c r="C23" i="4"/>
  <c r="E23" i="4" s="1"/>
  <c r="F57" i="15"/>
  <c r="G56" i="15"/>
  <c r="E24" i="4"/>
  <c r="C26" i="4"/>
  <c r="D52" i="1"/>
  <c r="D88" i="4"/>
  <c r="E88" i="4" s="1"/>
  <c r="E90" i="4" s="1"/>
  <c r="E58" i="14"/>
  <c r="D27" i="4"/>
  <c r="C32" i="4"/>
  <c r="C34" i="4" s="1"/>
  <c r="C36" i="4" s="1"/>
  <c r="C38" i="4" s="1"/>
  <c r="F72" i="4" s="1"/>
  <c r="D54" i="1"/>
  <c r="D90" i="4"/>
  <c r="C8" i="1" l="1"/>
  <c r="C10" i="1" s="1"/>
  <c r="C12" i="1" s="1"/>
  <c r="C16" i="1" s="1"/>
  <c r="E26" i="4"/>
  <c r="C27" i="4"/>
  <c r="C27" i="15"/>
  <c r="E27" i="15"/>
  <c r="C38" i="15"/>
  <c r="G57" i="15"/>
  <c r="H56" i="15"/>
  <c r="I72" i="4"/>
  <c r="I74" i="4" s="1"/>
  <c r="I75" i="4" s="1"/>
  <c r="E65" i="4"/>
  <c r="H57" i="15" l="1"/>
  <c r="C58" i="15" s="1"/>
  <c r="C54" i="15"/>
  <c r="I38" i="15"/>
  <c r="I40" i="15" s="1"/>
  <c r="G38" i="15"/>
  <c r="G40" i="15" s="1"/>
  <c r="H38" i="15"/>
  <c r="H40" i="15" s="1"/>
  <c r="C43" i="4"/>
  <c r="C45" i="4" s="1"/>
  <c r="C47" i="4" s="1"/>
  <c r="C50" i="4" s="1"/>
  <c r="C54" i="4" s="1"/>
  <c r="E27" i="4"/>
  <c r="C57" i="4" l="1"/>
  <c r="G65" i="4" s="1" a="1"/>
  <c r="G65" i="4" s="1"/>
  <c r="I65" i="4" s="1"/>
  <c r="I66" i="4" s="1"/>
  <c r="H76" i="4" a="1"/>
  <c r="H76" i="4" s="1"/>
  <c r="I76" i="4" s="1"/>
  <c r="I77" i="4" s="1"/>
  <c r="C65" i="15"/>
  <c r="C72" i="15" s="1"/>
  <c r="D65" i="15"/>
  <c r="D69" i="15"/>
  <c r="C99" i="15"/>
  <c r="C101" i="15" s="1"/>
  <c r="E99" i="15"/>
  <c r="E101" i="15" s="1"/>
  <c r="D72" i="15" l="1"/>
  <c r="F101"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Aaron Ernest</author>
  </authors>
  <commentList>
    <comment ref="B7" authorId="0" shapeId="0" xr:uid="{CD3AC43B-4B49-4F6A-A044-8C89331C2271}">
      <text>
        <r>
          <rPr>
            <b/>
            <sz val="9"/>
            <color indexed="81"/>
            <rFont val="Tahoma"/>
            <family val="2"/>
          </rPr>
          <t>Aaron Ernest:</t>
        </r>
        <r>
          <rPr>
            <sz val="9"/>
            <color indexed="81"/>
            <rFont val="Tahoma"/>
            <family val="2"/>
          </rPr>
          <t xml:space="preserve">
Valuation is assuming RuffCo met 20mm EBITDA by FYE 2007.
Multiple is 80% of the median multiple from comp set.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<sst xmlns="http://schemas.openxmlformats.org/spreadsheetml/2006/main" count="991" uniqueCount="679">
  <si>
    <t>Metric</t>
  </si>
  <si>
    <t>2005A</t>
  </si>
  <si>
    <t>2006A</t>
  </si>
  <si>
    <t>2007E</t>
  </si>
  <si>
    <t>Revenue</t>
  </si>
  <si>
    <t>Growth</t>
  </si>
  <si>
    <t>Cost of Goods Sold</t>
  </si>
  <si>
    <t>Gross Profit</t>
  </si>
  <si>
    <t>Gross Margin</t>
  </si>
  <si>
    <t>SG&amp;A</t>
  </si>
  <si>
    <t>EBIT</t>
  </si>
  <si>
    <t>Interest Expense</t>
  </si>
  <si>
    <t>Pretax Income</t>
  </si>
  <si>
    <t>Tax (40%)</t>
  </si>
  <si>
    <t>Net Income</t>
  </si>
  <si>
    <t>Manufacturing Depreciation</t>
  </si>
  <si>
    <t>EBITDA</t>
  </si>
  <si>
    <t>% Margin</t>
  </si>
  <si>
    <t>EBIT (repeated)</t>
  </si>
  <si>
    <t>x</t>
  </si>
  <si>
    <t>Income Statement:</t>
  </si>
  <si>
    <t>Balance Sheet:</t>
  </si>
  <si>
    <t>Category</t>
  </si>
  <si>
    <t>Assets</t>
  </si>
  <si>
    <t>Account receivable</t>
  </si>
  <si>
    <t>Inventory</t>
  </si>
  <si>
    <t>Total net fixed assets</t>
  </si>
  <si>
    <t>Total assets</t>
  </si>
  <si>
    <t>Liabilities</t>
  </si>
  <si>
    <t>Total current liabilities</t>
  </si>
  <si>
    <t>Bank debt</t>
  </si>
  <si>
    <t>Revolver</t>
  </si>
  <si>
    <t>Term</t>
  </si>
  <si>
    <t>-</t>
  </si>
  <si>
    <t>Equipment 1</t>
  </si>
  <si>
    <t>Equipment 2</t>
  </si>
  <si>
    <t>Total liabilities</t>
  </si>
  <si>
    <t>Shareholders equipment</t>
  </si>
  <si>
    <t>Total liabilities and shareholders equity</t>
  </si>
  <si>
    <t>% of Total Assets</t>
  </si>
  <si>
    <t>Slick's Valuation:</t>
  </si>
  <si>
    <t>Comps EV Multiple</t>
  </si>
  <si>
    <t>EV</t>
  </si>
  <si>
    <t>EQ</t>
  </si>
  <si>
    <t>Son's Value in Stake</t>
  </si>
  <si>
    <t>Son</t>
  </si>
  <si>
    <t>Son's % of Ownership</t>
  </si>
  <si>
    <t>EBITDA Growth Rate</t>
  </si>
  <si>
    <t>Son's Value in Stake FYE 2009</t>
  </si>
  <si>
    <t>Years</t>
  </si>
  <si>
    <t>Son's Forecasted Value in Stake:</t>
  </si>
  <si>
    <t>Forecasts:</t>
  </si>
  <si>
    <t>EBITDA of $27.2mm</t>
  </si>
  <si>
    <t>Potential 2009 EBITDA of $36mm</t>
  </si>
  <si>
    <t>Potential EV multiple of 8x (EV of $288mm)</t>
  </si>
  <si>
    <t>Less debt of $88.6mm implies EQ of $199.4mm</t>
  </si>
  <si>
    <t>YOY EBITDA Growth</t>
  </si>
  <si>
    <t>EBITDA FYE 2009</t>
  </si>
  <si>
    <t>Revenue 2007 FYE</t>
  </si>
  <si>
    <t>EBITDA 2007 FYE</t>
  </si>
  <si>
    <t>Potential Multiple</t>
  </si>
  <si>
    <t>Implied EV</t>
  </si>
  <si>
    <t>Less Debt</t>
  </si>
  <si>
    <t>Implied EQ</t>
  </si>
  <si>
    <t>Father</t>
  </si>
  <si>
    <t>Daughter</t>
  </si>
  <si>
    <t>Total</t>
  </si>
  <si>
    <t>IPO Offering</t>
  </si>
  <si>
    <t>Family Holdings</t>
  </si>
  <si>
    <t>Families Company Stake:</t>
  </si>
  <si>
    <t>Slick's M&amp;A Forecast:</t>
  </si>
  <si>
    <t>% Ownership in RuffCo</t>
  </si>
  <si>
    <t>Forecasted $ Ownership in RuffCo</t>
  </si>
  <si>
    <t>EBITDA Multiple</t>
  </si>
  <si>
    <t>Pre-IPO Valuation:</t>
  </si>
  <si>
    <t>Post Acquisition Debt</t>
  </si>
  <si>
    <t>Post IPO Equity Value</t>
  </si>
  <si>
    <t>FYE 2007</t>
  </si>
  <si>
    <t>Father % of Stake Sold</t>
  </si>
  <si>
    <t>Father Value of Stake Sold</t>
  </si>
  <si>
    <t>1. Peter Putter, Inc. was pitched as the target acquisition</t>
  </si>
  <si>
    <t>The Investment Banker Presentation:</t>
  </si>
  <si>
    <t>3. "Father" has a 16 handicap, "Son" has a 2 handicap, and "Moneybags" (the lender) has a 7 handicap</t>
  </si>
  <si>
    <t>Company outsourced manufacturing until 2005 when it brought manufacturing in-house</t>
  </si>
  <si>
    <t>Equipment is financed by Moneybags at "The Bank"</t>
  </si>
  <si>
    <t>In 2006 the lot next to the manufacturing warehouse was purchased and constructed inti a packing and distribution warehouse</t>
  </si>
  <si>
    <t>The warehouse was also financed by The Bank</t>
  </si>
  <si>
    <t>The balance sheet below details Company's finances</t>
  </si>
  <si>
    <t>Enterprise Value</t>
  </si>
  <si>
    <t>Equity Value</t>
  </si>
  <si>
    <t>Slick's Pitch:</t>
  </si>
  <si>
    <t>2. Use proceeds to fund an acquisition</t>
  </si>
  <si>
    <t>Current Structure</t>
  </si>
  <si>
    <t>Proposed Structure</t>
  </si>
  <si>
    <t>1. Raise capital through an IPO offering 30% equity</t>
  </si>
  <si>
    <t>b. Operates in the West Coasts as opposed to RuffCo's east coast consumer base</t>
  </si>
  <si>
    <t>c. Petter Putter is attempting to enter "big box" retail stores, where the RuffCo couldn't due to being too niche</t>
  </si>
  <si>
    <t>d. Slick projected cost synergies of up to $2mm per year</t>
  </si>
  <si>
    <t>e. Petter Putter was conducting R&amp;D on its latest putter (Petter Putter II) and RuffCo could buy before "the money really started to roll in"</t>
  </si>
  <si>
    <t>i. Peter Putter II would require $12 million in additional funding before launching in 2009</t>
  </si>
  <si>
    <t>RuffCo</t>
  </si>
  <si>
    <t>Peter Putter</t>
  </si>
  <si>
    <t>Proforma 2007</t>
  </si>
  <si>
    <t>Proforma P&amp;L as of 2007:</t>
  </si>
  <si>
    <t>Taxes</t>
  </si>
  <si>
    <t>Acquisition, IPO and Refinancing:</t>
  </si>
  <si>
    <t>Purchase Price of Peter Putter</t>
  </si>
  <si>
    <t>LTM EBITDA</t>
  </si>
  <si>
    <t>Acquisition Multiple</t>
  </si>
  <si>
    <t>Purchase Price</t>
  </si>
  <si>
    <t>Debt Assumed</t>
  </si>
  <si>
    <t>Equity Purchase Price</t>
  </si>
  <si>
    <t>Fees and Expenses</t>
  </si>
  <si>
    <t>Total Uses of Funds</t>
  </si>
  <si>
    <t>IPO Proceeds:</t>
  </si>
  <si>
    <t>Description</t>
  </si>
  <si>
    <t>Pro Forma EBITDA</t>
  </si>
  <si>
    <t>Capitalization Multiple</t>
  </si>
  <si>
    <t>Pre-Money Enterprise Value</t>
  </si>
  <si>
    <t>Existing Post-Acquisition Debt</t>
  </si>
  <si>
    <t>Pre-Money Equity Value</t>
  </si>
  <si>
    <t>% of Primary Shares Sold</t>
  </si>
  <si>
    <t>Post-Money Equity Value</t>
  </si>
  <si>
    <t>IPO Proceeds</t>
  </si>
  <si>
    <t>Value</t>
  </si>
  <si>
    <t>($ in Millions)</t>
  </si>
  <si>
    <t>IPO Proceeds Uses:</t>
  </si>
  <si>
    <t>Assets:</t>
  </si>
  <si>
    <t>Accounts Receivable</t>
  </si>
  <si>
    <t>Net Fixed Assets</t>
  </si>
  <si>
    <t>Intangible Assets</t>
  </si>
  <si>
    <t>Total Assets</t>
  </si>
  <si>
    <t>Debit</t>
  </si>
  <si>
    <t>Credit</t>
  </si>
  <si>
    <t>Purchase Adjustment</t>
  </si>
  <si>
    <t>IPO Adjustment</t>
  </si>
  <si>
    <t>Pro Forma</t>
  </si>
  <si>
    <t>Total Current Liabilities</t>
  </si>
  <si>
    <t>Bank Debt</t>
  </si>
  <si>
    <t>Total Bank Debt</t>
  </si>
  <si>
    <t>Total Liabilities</t>
  </si>
  <si>
    <t>Shareholders Equity</t>
  </si>
  <si>
    <t>Equipment Loans</t>
  </si>
  <si>
    <t>Liabilities:</t>
  </si>
  <si>
    <t>Post IPO Proceeds</t>
  </si>
  <si>
    <t>RuffCo Golf Ownership:</t>
  </si>
  <si>
    <t>Public</t>
  </si>
  <si>
    <t>Pre-IPO</t>
  </si>
  <si>
    <t>Post-IPO</t>
  </si>
  <si>
    <t>Ownership Modification:</t>
  </si>
  <si>
    <t>1. Father Sold off 10% of the proforma equity, modifying the ownership structure</t>
  </si>
  <si>
    <t>Proforma Equity Sold</t>
  </si>
  <si>
    <t>Proposed-IPO</t>
  </si>
  <si>
    <t>The Spiral of Distress:</t>
  </si>
  <si>
    <t>2. Peter Putter II was announced and was projected to release in 6 months</t>
  </si>
  <si>
    <t>4. At the US Open in Minneapolis, the putter split due to the cold weather</t>
  </si>
  <si>
    <t>5. After poor sales RuffCo Golf wrote down $12mm for the Peter Putter II line</t>
  </si>
  <si>
    <t>Growth (%)</t>
  </si>
  <si>
    <t>Write-downs</t>
  </si>
  <si>
    <t>EBITDA Margin (%)</t>
  </si>
  <si>
    <t>Debt Service (includes interest and principal)</t>
  </si>
  <si>
    <t>Capital Expenditures</t>
  </si>
  <si>
    <t>EBITDA/Debt Service</t>
  </si>
  <si>
    <t>(EBITDA - Capital Expenditures) / Interest</t>
  </si>
  <si>
    <t>RuffCo Golf Historical Income Statement:</t>
  </si>
  <si>
    <t>Operating and Financial Difficulties:</t>
  </si>
  <si>
    <t>1. RuffCo Golf's share price went from a high of $20 per share to $0.375 per share</t>
  </si>
  <si>
    <t>general management distraction (dealing with the stress of a failing product and failing stock price), and a global recession</t>
  </si>
  <si>
    <t>4. Moneybags retired from his position on the board</t>
  </si>
  <si>
    <t>Total Current Assets</t>
  </si>
  <si>
    <t>Shareholders' Equity</t>
  </si>
  <si>
    <t>Total Liabilities and Shareholders' Equity</t>
  </si>
  <si>
    <t>RuffCo Golf Consolidated Balance Sheet, Three Years Ended Dec 31, 2010:</t>
  </si>
  <si>
    <t>Creditor stress:</t>
  </si>
  <si>
    <t>1. The Bank had been paid down to $64.8mm, but shareholders equity declined to $27.0mm</t>
  </si>
  <si>
    <t>2. Accounts payable was averaging 125 days</t>
  </si>
  <si>
    <t>3. Vendors refused to extend credit to RuffCo Golf, they sent product only on a Cash on Delivery (COD) or Cash in Advance (CIA) basis</t>
  </si>
  <si>
    <t>Revolver Availability:</t>
  </si>
  <si>
    <t>Raw Materials</t>
  </si>
  <si>
    <t>Finished Goods</t>
  </si>
  <si>
    <t>Sublimit</t>
  </si>
  <si>
    <t>Inventory Availability</t>
  </si>
  <si>
    <t>Total Borrowing Base</t>
  </si>
  <si>
    <t>Indicated Revolver Balance</t>
  </si>
  <si>
    <t>Indicated Availability</t>
  </si>
  <si>
    <t>% Ineligible</t>
  </si>
  <si>
    <t>Advance Rate</t>
  </si>
  <si>
    <t>Net Availability</t>
  </si>
  <si>
    <t>Inventory - Net availability</t>
  </si>
  <si>
    <t>The Bank Meeting:</t>
  </si>
  <si>
    <t>1. Additional write-offs for club inventory led to a $3 million overdraft on the revolving credit.</t>
  </si>
  <si>
    <t>Company Turnaround Options and Strategy:</t>
  </si>
  <si>
    <t>1. Refinancing, Company could receive new senior secured capital or an equity investment (from Father)</t>
  </si>
  <si>
    <t>Discussion:</t>
  </si>
  <si>
    <t>Also given the liquidity constraints of the Company capital will need to be raised quickly</t>
  </si>
  <si>
    <t>Advantage:</t>
  </si>
  <si>
    <t>Public will gain confidence by seeing debt or equity commitments</t>
  </si>
  <si>
    <t>With potential litigation the risks from investors are too great to justify the return</t>
  </si>
  <si>
    <t>Selling will preserve going-concern value and ongoing business with suppliers</t>
  </si>
  <si>
    <t>Senior lenders may be unwilling due to a greater exposure to principal loss</t>
  </si>
  <si>
    <t>Note: Lenders may become hostile here and not want to operate in the interests of the Company</t>
  </si>
  <si>
    <t>The Company can threaten with one of the following actions if negotiating in the "shadow" doesn't work</t>
  </si>
  <si>
    <t>Priming Lien:</t>
  </si>
  <si>
    <t xml:space="preserve">The Company can raise additional money senior to the Bank. </t>
  </si>
  <si>
    <t>Use of Cash Collateral:</t>
  </si>
  <si>
    <t>Cram-Down:</t>
  </si>
  <si>
    <t>Section 1129(b)(2) the Court has authority to approve this plan if the plan is "fair and equitable"</t>
  </si>
  <si>
    <t>Note: One risk to the Bank is that the court will approve payments that are too delayed and the Bank won't fully collect for a reasonable amount of time</t>
  </si>
  <si>
    <t>3. Financial Restructuring:</t>
  </si>
  <si>
    <t>Lender Liability and Equitable Subordination:</t>
  </si>
  <si>
    <t>The Company can threaten with litigation that asserts the Bank acted in bad faith and the Court should subordinate (or lowers the repayment priority) of the senior noteholders</t>
  </si>
  <si>
    <t>Note: (i) must be true and either (ii) or (ii) can be true for the plan to be considered "fair and equitable"</t>
  </si>
  <si>
    <t>Under-Collateralization:</t>
  </si>
  <si>
    <t xml:space="preserve">Under-Collateralization may applies to RuffCo because (i) the working capital and manufacturing assets are less than the outstanding debt owed </t>
  </si>
  <si>
    <t>and (ii) the Bank does not have a lien against intangibles like patents, trademarks, copyrights</t>
  </si>
  <si>
    <t>Business/Collateral Deterioration:</t>
  </si>
  <si>
    <t>File Chapter 11:</t>
  </si>
  <si>
    <t>Significant disruptions will occur with customers, employees, and vendors. Also, the chance for equity holders to recover their investment is often close to zero</t>
  </si>
  <si>
    <t>Fiduciary Duties:</t>
  </si>
  <si>
    <t>is within a zone of solvency then the majority shareholders must act in the interest of all stakeholders</t>
  </si>
  <si>
    <t>Banks Options and Strategy:</t>
  </si>
  <si>
    <t>There are four options for protecting its principal and interest</t>
  </si>
  <si>
    <t>Finance Turnaround:</t>
  </si>
  <si>
    <t>The Bank could extend new credit or infuse equity into the Company to finance a turnaround</t>
  </si>
  <si>
    <t>Additional invested capital can delay the effects of a Chapter 11. Also, an equity infusion would provide a cushion of capital to the Company</t>
  </si>
  <si>
    <t>The capital injection may be a short term to a situation that cant be saved and the Bank could be put in a worse financial position</t>
  </si>
  <si>
    <t>Note: For public companies, new financing would require a fairness opinion from an independent advisor</t>
  </si>
  <si>
    <t>Conditional Financing:</t>
  </si>
  <si>
    <t>(ii) pay some of the Bank's collateral and (iii) actively seek alternative financing</t>
  </si>
  <si>
    <t>This strategy can allow the business to pursue its core business plan while the Bank keeps a tight leash on the expenses it incurs</t>
  </si>
  <si>
    <t>The close control over management can restrict it and now allow them to thoughtfully pursue their turnaround strategy</t>
  </si>
  <si>
    <t>Demand Immediate Sale:</t>
  </si>
  <si>
    <t>This is most time efficient for the Bank - taking as little as 90 days as opposed to a Chapter 11 process which can take years</t>
  </si>
  <si>
    <t>The Bank selling before attempting the turnaround strategy stops the opportunity for the Company to recover</t>
  </si>
  <si>
    <t>Foreclosure:</t>
  </si>
  <si>
    <t>The chances for more profitable scenarios such as (i) sale or (ii) refinancing get closed off. Also the risks of the risks of response</t>
  </si>
  <si>
    <t>The Negotiated Action Plan:</t>
  </si>
  <si>
    <t>The following terms were agreed to</t>
  </si>
  <si>
    <t>Additional Funding:</t>
  </si>
  <si>
    <t>Additional funding up to $2mm with a lockbox agreement (payments from customers are directed to the Bank first)</t>
  </si>
  <si>
    <t>Sale of Subsidiary:</t>
  </si>
  <si>
    <t>If the divestiture of Peter Putter is successful then they can use proceeds to pay down the revolver balance and the Bank will assume certain equipment loans for the business</t>
  </si>
  <si>
    <t>Crisis Management Team:</t>
  </si>
  <si>
    <t>Alternative Financing/Potential Sale:</t>
  </si>
  <si>
    <t>Father decided not to invest more capital, so financing is contingent on the Ruffs receiving funding within 45 days</t>
  </si>
  <si>
    <t>RuffCo Golf Balance Sheet After Peter Putter Sale, Adjustments &amp; Write-Offs:</t>
  </si>
  <si>
    <t>Shareholders equity</t>
  </si>
  <si>
    <t>Inventory Write Offs</t>
  </si>
  <si>
    <t>Sale Adjustments</t>
  </si>
  <si>
    <t>Refinancing Efforts:</t>
  </si>
  <si>
    <t>The Company is now seeking a new lender to finance the turnaround</t>
  </si>
  <si>
    <t>10 asset based lenders whom in better times were interested in financing RuffCo, but now only two are interested</t>
  </si>
  <si>
    <t xml:space="preserve">The two proposals involved DIP financing for a Chapter 11 in lieu (instead of) of refinancing </t>
  </si>
  <si>
    <t>The Company could raise new equity but after running a valuation a large amount of equity would need to be sold</t>
  </si>
  <si>
    <t>Also the Father would need to "backstop" the offering (buy the remaining shares with his equity position) which he is unwilling to do</t>
  </si>
  <si>
    <t>Given the available options, the board (Father and Son) decide to pursue a sale to save time and money</t>
  </si>
  <si>
    <t>Sale of the Company - Getting Started:</t>
  </si>
  <si>
    <t xml:space="preserve">"In the RuffCo Golf situation, the Company naturally decides to hire Houlihan
Lokey (“Houlihan Lokey”) 
</t>
  </si>
  <si>
    <t>Adjusting and Projecting Financial Information:</t>
  </si>
  <si>
    <t>Recast Financials:</t>
  </si>
  <si>
    <t>Typical adjustments to financials are the following</t>
  </si>
  <si>
    <t>Cost of Goods Sold:</t>
  </si>
  <si>
    <t>Nonrecurring Professional fees:</t>
  </si>
  <si>
    <t>Large fees associated with legal and restructuring costs</t>
  </si>
  <si>
    <t>Nonrecurring Costs</t>
  </si>
  <si>
    <t>Large costs that were added back on the income statement or distributed across multiple services to make one product look more profitable</t>
  </si>
  <si>
    <t>Excess Lease Expenses:</t>
  </si>
  <si>
    <t>Having larger leases because of one lease that is onerous that will be renegotiated or an expensive lease that will expire in the near future</t>
  </si>
  <si>
    <t>Excess Salaries Over the Market:</t>
  </si>
  <si>
    <t>Recast Historical Income Statement Pro-forma for Peter Putter:</t>
  </si>
  <si>
    <t>Adjustments</t>
  </si>
  <si>
    <t>Nonrecurring Professional Fees</t>
  </si>
  <si>
    <t>Extraordinary Marketing/PR Costs</t>
  </si>
  <si>
    <t>Lease Cost Adjustments*</t>
  </si>
  <si>
    <t>Adjusted EBIT</t>
  </si>
  <si>
    <t>Adjusted EBITDA</t>
  </si>
  <si>
    <t>Adjusted % Margin</t>
  </si>
  <si>
    <t>Excess Salaries</t>
  </si>
  <si>
    <t>Adjustments:</t>
  </si>
  <si>
    <t>Excess salaries and excess lease obligations is to adjust Fathers high payments</t>
  </si>
  <si>
    <t xml:space="preserve">Revolver Pay Down </t>
  </si>
  <si>
    <t>Projections:</t>
  </si>
  <si>
    <t>The income statement is recast to account for the Son's "hockey stick" projections</t>
  </si>
  <si>
    <t>Updated Income Statement Projection:</t>
  </si>
  <si>
    <t>EBITDA*</t>
  </si>
  <si>
    <t>Distressed Valuation Approach:</t>
  </si>
  <si>
    <t>Market Approach:</t>
  </si>
  <si>
    <t>Working Capital Adjustments:</t>
  </si>
  <si>
    <t>Deferred Capital Expenditures:</t>
  </si>
  <si>
    <t>RuffCo Golf Valuation:</t>
  </si>
  <si>
    <t>Representative Level Financial Performance:</t>
  </si>
  <si>
    <t>Recast 2010 EBITDA</t>
  </si>
  <si>
    <t>Representative Level</t>
  </si>
  <si>
    <t>Forecast FY 2012 EBITDA</t>
  </si>
  <si>
    <t>Discount Rate Range</t>
  </si>
  <si>
    <t>Present Value FY 2012 EBITDA</t>
  </si>
  <si>
    <t>Preliminary Market Multiples Valuation Analysis:</t>
  </si>
  <si>
    <t>Representative</t>
  </si>
  <si>
    <t>Levels</t>
  </si>
  <si>
    <t>Selected Multiple Range</t>
  </si>
  <si>
    <t>/ Discount Range</t>
  </si>
  <si>
    <t>Valuation</t>
  </si>
  <si>
    <t>Low</t>
  </si>
  <si>
    <t>Preliminary Valuation Range</t>
  </si>
  <si>
    <t>Asset Purchase Adjustment to Value:</t>
  </si>
  <si>
    <t>Normalized A/P</t>
  </si>
  <si>
    <t>Working Capital Adjustments to Value:</t>
  </si>
  <si>
    <t>Accounts Payable</t>
  </si>
  <si>
    <t>Accrued Expenses</t>
  </si>
  <si>
    <t>Normal</t>
  </si>
  <si>
    <t>Current</t>
  </si>
  <si>
    <t>Adjustment</t>
  </si>
  <si>
    <t>n/a</t>
  </si>
  <si>
    <t>% of 2010 Revenue</t>
  </si>
  <si>
    <t>Asset Purchase Adjustment to Value Logic:</t>
  </si>
  <si>
    <t>Months</t>
  </si>
  <si>
    <t>Resumption of Incremental A/P</t>
  </si>
  <si>
    <t>PV @ 16%</t>
  </si>
  <si>
    <t>NPV</t>
  </si>
  <si>
    <t>Market Valuation Approach Explained:</t>
  </si>
  <si>
    <t>Average Enterprise value Conclusion</t>
  </si>
  <si>
    <t>Working Capital Adjustments</t>
  </si>
  <si>
    <t>Deferred Capital Expenditures</t>
  </si>
  <si>
    <t>Adjusted Market Valuation</t>
  </si>
  <si>
    <t>Current Liabilities Assumed</t>
  </si>
  <si>
    <t>Assets Only</t>
  </si>
  <si>
    <t>RuffCo Golf Valuation - Discounted Cash Flow:</t>
  </si>
  <si>
    <t>Changes in Working Capital</t>
  </si>
  <si>
    <t>Taxes @ 40%</t>
  </si>
  <si>
    <t>Unlevered Free Cash Flows</t>
  </si>
  <si>
    <t>Industry WACC</t>
  </si>
  <si>
    <t>Adjusted RuffCo Golf WACC</t>
  </si>
  <si>
    <t>High</t>
  </si>
  <si>
    <t>Valuation Sensitivity:</t>
  </si>
  <si>
    <t>Terminal EBITDA Multiple</t>
  </si>
  <si>
    <t>Valuation Range (Current Liabilities Assumed)</t>
  </si>
  <si>
    <t>Adjustments for an Asset Only Transaction</t>
  </si>
  <si>
    <t>Adjusted Valuation Range (Assets Only)</t>
  </si>
  <si>
    <t>Industry-Specific Benchmarks:</t>
  </si>
  <si>
    <t>Liquidation Value:</t>
  </si>
  <si>
    <t>BAABTAVMT0NBTAFI/////wFQAgAAABNDSVEuQVBQTC5TVE9DS1BSSUNFBQAAAAAAAAAIAAAAFihJbnZhbGlkIEZvcm11bGEgTmFtZSmzpQel5NrcCJAZHaXk2twIE0NJUS5BQVBMLlNUT0NLUFJJQ0UFAAAAAAAAAAgAAAAWKEludmFsaWQgRm9ybXVsYSBOYW1lKZb7ba/k2twIWp6Br+Ta3Ag=</t>
  </si>
  <si>
    <t>Liquidation Valuation Approach:</t>
  </si>
  <si>
    <t>Liquidation</t>
  </si>
  <si>
    <t>PP&amp;E</t>
  </si>
  <si>
    <t>Leases</t>
  </si>
  <si>
    <t>Intellectual Property</t>
  </si>
  <si>
    <t>Total Before Expenses</t>
  </si>
  <si>
    <t>Land &amp; Buildings</t>
  </si>
  <si>
    <t>Equipment</t>
  </si>
  <si>
    <t>Amount</t>
  </si>
  <si>
    <t>Assumed Recovery</t>
  </si>
  <si>
    <t>Real Estate Leases:</t>
  </si>
  <si>
    <t>The Troubled Company Sale Process:</t>
  </si>
  <si>
    <t>The following are potential transaction structures</t>
  </si>
  <si>
    <t>Transaction Structure:</t>
  </si>
  <si>
    <t>Distressed M&amp;A Transaction Structures:</t>
  </si>
  <si>
    <t>Section 363 asset sale</t>
  </si>
  <si>
    <t>Chapter 11 plan of reorganization</t>
  </si>
  <si>
    <t>Preparation:</t>
  </si>
  <si>
    <t>The Story:</t>
  </si>
  <si>
    <t>Buyer Universe:</t>
  </si>
  <si>
    <t>Timing:</t>
  </si>
  <si>
    <t>Teaser Memorandum:</t>
  </si>
  <si>
    <t>Confidential Memorandum:</t>
  </si>
  <si>
    <t>Public Relations Strategy:</t>
  </si>
  <si>
    <t>Contact and Discussion:</t>
  </si>
  <si>
    <t>Confidentiality:</t>
  </si>
  <si>
    <t>Process and Bid Dates:</t>
  </si>
  <si>
    <t>Follow-Up, Follow-Up, Follow-Up:</t>
  </si>
  <si>
    <t>Houlihan Lokey will maintain contact with prospective buyers to generate interest</t>
  </si>
  <si>
    <t>Buyer Education on Structure and Process:</t>
  </si>
  <si>
    <t>Lender Communication:</t>
  </si>
  <si>
    <t xml:space="preserve"> </t>
  </si>
  <si>
    <t>Financial Screening:</t>
  </si>
  <si>
    <t>Traits of an interested buyer include:</t>
  </si>
  <si>
    <t>1. Cash reserves</t>
  </si>
  <si>
    <t>2. Prior M&amp;A experience (healthy or distressed)</t>
  </si>
  <si>
    <t>3. References from other companies</t>
  </si>
  <si>
    <t xml:space="preserve">4. Industry experience </t>
  </si>
  <si>
    <t xml:space="preserve">5. Ability to close quickly </t>
  </si>
  <si>
    <t>7. Early utilization of sophisticated legal counsel</t>
  </si>
  <si>
    <t>Management Presentation:</t>
  </si>
  <si>
    <t>Houlihan Lokey will present the Company to different buyers. Presentations can vary widely from data room materials to difficult questions about management</t>
  </si>
  <si>
    <t>Note on Management Retention and Involvement:</t>
  </si>
  <si>
    <t>Bid Procedures:</t>
  </si>
  <si>
    <t>1. Description of the purchaser and industry and transaction experience</t>
  </si>
  <si>
    <t xml:space="preserve">4. Transaction structure (stock or asset and any liabilities assumed) </t>
  </si>
  <si>
    <t>5. Consideration offered (cash, stock, earnouts to the seller)</t>
  </si>
  <si>
    <t xml:space="preserve">6. Deposit size and timing </t>
  </si>
  <si>
    <t>Negotiation and Closing:</t>
  </si>
  <si>
    <t>Sale of RuffCo Golf:</t>
  </si>
  <si>
    <t>Confidentiality Agreement</t>
  </si>
  <si>
    <t>Submitted Bid</t>
  </si>
  <si>
    <t>Quality Bids</t>
  </si>
  <si>
    <t>Funnel Chart:</t>
  </si>
  <si>
    <t>Conducted Due Diligence</t>
  </si>
  <si>
    <t>Initial Bid</t>
  </si>
  <si>
    <t>Initial Due Diligence and Data Room:</t>
  </si>
  <si>
    <t>6. Extensive and focused due diligence</t>
  </si>
  <si>
    <t>2. Sources of funding along with verifiability and adequacy</t>
  </si>
  <si>
    <t>3. Material conditions, representations, and warranties (meaning guarantees related to their bid)</t>
  </si>
  <si>
    <t>Final Buyer List:</t>
  </si>
  <si>
    <t>Financial</t>
  </si>
  <si>
    <t>Midas Partners</t>
  </si>
  <si>
    <t>$50 MM</t>
  </si>
  <si>
    <t>None</t>
  </si>
  <si>
    <t>Highest</t>
  </si>
  <si>
    <t>Some DD required</t>
  </si>
  <si>
    <t>No</t>
  </si>
  <si>
    <t>5 wks.</t>
  </si>
  <si>
    <t>363 Asset Sales, Chapter 11 required</t>
  </si>
  <si>
    <t>Elusive Ventures</t>
  </si>
  <si>
    <t>$52 MM</t>
  </si>
  <si>
    <t>Uncertain</t>
  </si>
  <si>
    <t>Substantial DD required</t>
  </si>
  <si>
    <t>Yes</t>
  </si>
  <si>
    <t>Unclear</t>
  </si>
  <si>
    <t>"Will work around the clock to close soon"</t>
  </si>
  <si>
    <t>Strategic</t>
  </si>
  <si>
    <t>Augusta, Inc.</t>
  </si>
  <si>
    <t>$30 MM</t>
  </si>
  <si>
    <t>$24 MM</t>
  </si>
  <si>
    <t>Medium</t>
  </si>
  <si>
    <t>Limited DD required</t>
  </si>
  <si>
    <t>3 to 6 wks.</t>
  </si>
  <si>
    <t>Flexible, wants to buy assets and assume trade</t>
  </si>
  <si>
    <t>Cypress Corp.</t>
  </si>
  <si>
    <t>$34 MM</t>
  </si>
  <si>
    <t>Will complete in "3 business days"</t>
  </si>
  <si>
    <t>Needs to discuss with advisors, clear about desire to avoid Chapter 11</t>
  </si>
  <si>
    <t>Buyer</t>
  </si>
  <si>
    <t>Nominal Purchase Price</t>
  </si>
  <si>
    <t>Financing</t>
  </si>
  <si>
    <t>Closing Time</t>
  </si>
  <si>
    <t>Format</t>
  </si>
  <si>
    <t>Relative Financial Strength</t>
  </si>
  <si>
    <t>Company</t>
  </si>
  <si>
    <t>Buyer Leverage:</t>
  </si>
  <si>
    <t>Final Bids Standardized:</t>
  </si>
  <si>
    <t>Cash</t>
  </si>
  <si>
    <t>Other</t>
  </si>
  <si>
    <t>HL Valuation of Bid</t>
  </si>
  <si>
    <t>Deposit</t>
  </si>
  <si>
    <t>Lawyer Hired</t>
  </si>
  <si>
    <t>$3 MM</t>
  </si>
  <si>
    <t>MAC clause</t>
  </si>
  <si>
    <t>$8 MM</t>
  </si>
  <si>
    <t>$20 MM liquidation preference of public preferred</t>
  </si>
  <si>
    <t>$39 MM (1)</t>
  </si>
  <si>
    <t>Asset purchase, out-of-court</t>
  </si>
  <si>
    <t>Strategic Augusta Inc.</t>
  </si>
  <si>
    <t>$32 MM</t>
  </si>
  <si>
    <t>$4 MM holdback for purchase price adjustment</t>
  </si>
  <si>
    <t>$30 MM (2) to secured</t>
  </si>
  <si>
    <t>$2 MM (with lawyer OK)</t>
  </si>
  <si>
    <t>Yes, if deal accepted</t>
  </si>
  <si>
    <t>$60 MM</t>
  </si>
  <si>
    <t>Won’t assume trade debt</t>
  </si>
  <si>
    <t>$1.5 MM</t>
  </si>
  <si>
    <t>Yes, but still out-of-court</t>
  </si>
  <si>
    <t>(2) HL valuation after adjustment for risk of holdback</t>
  </si>
  <si>
    <t>(1) Preferred stock tracks at $12.50 per share (Liquidation preference: $25 per share), note discounted at 25% capitalization rate to reflect risk</t>
  </si>
  <si>
    <t>2. Cash is preferred</t>
  </si>
  <si>
    <t>Deal Subject to renegotiating long-term lease</t>
  </si>
  <si>
    <t>Will not assume lease but requires 1-year lease at current rates</t>
  </si>
  <si>
    <t>Final DD required</t>
  </si>
  <si>
    <t>"One more week" of DD required</t>
  </si>
  <si>
    <t>Renegotiated lease, 3-year non-compete</t>
  </si>
  <si>
    <t>363 Asset sale, Chapter 11 required</t>
  </si>
  <si>
    <t>In-or out of-court asset purchase, wants to assume trade</t>
  </si>
  <si>
    <t>Asset purchase out-of-court</t>
  </si>
  <si>
    <t>4. Specific actions with zero ambiguity make the deal actionable</t>
  </si>
  <si>
    <t>Personal Notes on Seller Considerations:</t>
  </si>
  <si>
    <t>Buyer Selection and Negotiation Strategy:</t>
  </si>
  <si>
    <t>Buyer Response:</t>
  </si>
  <si>
    <t>Cypress responds with the following protections:</t>
  </si>
  <si>
    <t>The final terms are as follows:</t>
  </si>
  <si>
    <t>Unsecured Creditor Impairment:</t>
  </si>
  <si>
    <t>Cash Consideration</t>
  </si>
  <si>
    <t>Uses</t>
  </si>
  <si>
    <t>Pay down Bank debt</t>
  </si>
  <si>
    <t>Pay down DIP</t>
  </si>
  <si>
    <t>Professional/administrative fees</t>
  </si>
  <si>
    <t>Sources And Uses of Funds From Sale of Assets:</t>
  </si>
  <si>
    <t>Accepted Bid</t>
  </si>
  <si>
    <t>Chapter 11 Filing and Auction:</t>
  </si>
  <si>
    <t>Sources and Uses from Sale of Assets:</t>
  </si>
  <si>
    <t>Break-up fee</t>
  </si>
  <si>
    <t>Sources</t>
  </si>
  <si>
    <t>Auctions Effect on Unsecured Creditor's Recovery:</t>
  </si>
  <si>
    <t>Total Amount Owed</t>
  </si>
  <si>
    <t>Amount Recovered:</t>
  </si>
  <si>
    <t>Auction-Winning Bid</t>
  </si>
  <si>
    <t>Recovery</t>
  </si>
  <si>
    <t>Additional Write-Offs per Bank meeting:</t>
  </si>
  <si>
    <t>Background:</t>
  </si>
  <si>
    <t>Cost of Goods Sold was recast, along with nonrecurring professional fees, marketing expenses, and public relations costs. EBITDA was adjusted accordingly</t>
  </si>
  <si>
    <t>The valuation range applied to RuffCo Golf was 3.5 to 5 times EBITDA</t>
  </si>
  <si>
    <t>1. Nursing homes: number of beds</t>
  </si>
  <si>
    <t>Using a Section 363 asset sale and without the assumption of current liabilities, the value of RuffCo Golf is approximately $71 million</t>
  </si>
  <si>
    <t>To retain key employees, Houlihan Lokey will craft a plan for incentivizing employees to stay through the sale process</t>
  </si>
  <si>
    <t>Houlihan Lokey will establish bid procedures to standardize offers</t>
  </si>
  <si>
    <t>Unless prescribed by a no-shop clause, Houlihan Lokey will continue to work with other buyers</t>
  </si>
  <si>
    <t>1. The highest price with financial strength is key</t>
  </si>
  <si>
    <t>5. Other material contingencies are not preferable</t>
  </si>
  <si>
    <t>6. If all parties can cooperate, out-of-court restructuring is more desirable</t>
  </si>
  <si>
    <t>Conventional stock/asset purchase</t>
  </si>
  <si>
    <t>Friendly foreclosure</t>
  </si>
  <si>
    <t>Chapter 7 trustee liquidation sale</t>
  </si>
  <si>
    <t>After due diligence, Houlihan Lokey will identify a sponsor and strategic buyer plans to justify the acquisition</t>
  </si>
  <si>
    <t>Timing is critical because cash is running thin and relationships with suppliers and vendors are fading</t>
  </si>
  <si>
    <t>Key employees may leave due to fear and uncertainty, and revenues could decline as customers worry about delivery and quality of service</t>
  </si>
  <si>
    <t>Houlihan Lokey's role is to act as a conduit of information for buyers, allowing for more time for management</t>
  </si>
  <si>
    <t>Buyers will submit their offers by the bid date, and the highest initial bidder is deemed the "stalking horse."</t>
  </si>
  <si>
    <t>Houlihan Lokey will explain how distressed deals work to buyers (especially strategics) and assist in creating acceptable deal structures</t>
  </si>
  <si>
    <t>Houlihan Lokey will maintain communication with lenders to ensure continuous liquidity (both in and out of court) to ease tensions</t>
  </si>
  <si>
    <t>Houlihan Lokey will recommend that the seller accept deals that (i) have few to no material contingencies, and (ii) are cash-based (best for distressed situations). Stock or debt deals will be evaluated against all other offers</t>
  </si>
  <si>
    <t>(ii) overbid procedures—commonly used in court—that require overbidders to exceed the primary bid by a set amount, which will be approved by the courts;</t>
  </si>
  <si>
    <t>The Material Adverse Change (MAC) clause states that if there is a material change in the value of the assets, the buyer can avoid its commitment to purchase</t>
  </si>
  <si>
    <t>(iii) breakup fees—commonly used in court—that state the horse bidder will receive a fee if the sale falls through. This must be approved by the courts in a Chapter 11 case</t>
  </si>
  <si>
    <t>Houlihan Lokey will negotiate a nonrefundable deposit fee from the buyer, ranging from 5% to 20%</t>
  </si>
  <si>
    <t>Houlihan Lokey will balance the risk of a too-fast closing (poor drafting) with the risk of a buyer retracting due to fatigue</t>
  </si>
  <si>
    <t>Six submitted an indication of interest (two of which were inadequate or non-credible), leaving four bidders, two of which were strategic</t>
  </si>
  <si>
    <t>The primary source of leverage for buyers is the presence of multiple interested parties</t>
  </si>
  <si>
    <t>3. Assuming current liabilities simplifies the transaction structure</t>
  </si>
  <si>
    <t>1. Price: $64 million in cash at closing is for the assets only, and the price is subject to adjustment based on the working capital formula at closing.</t>
  </si>
  <si>
    <r>
      <t>2. Lease:</t>
    </r>
    <r>
      <rPr>
        <sz val="11"/>
        <color theme="1"/>
        <rFont val="Aptos Narrow"/>
        <family val="2"/>
        <scheme val="minor"/>
      </rPr>
      <t xml:space="preserve"> Assume a two-year lease at a slightly reduced rate; "good faith" negotiations will be held to lease the facility from the Father afterward.</t>
    </r>
  </si>
  <si>
    <r>
      <t>3. Contingency:</t>
    </r>
    <r>
      <rPr>
        <sz val="11"/>
        <color theme="1"/>
        <rFont val="Aptos Narrow"/>
        <family val="2"/>
        <scheme val="minor"/>
      </rPr>
      <t xml:space="preserve"> The financing contingency will be eliminated within three days (to remove the ambiguity regarding wiring).</t>
    </r>
  </si>
  <si>
    <t>The strategic buyer, Cypress Corp., accepts the offer and obtains financing the next day.</t>
  </si>
  <si>
    <t>Cypress Corp. demands that the highest bid exceeds $10 million over its price for it to be accepted</t>
  </si>
  <si>
    <t>2. Termination Fee: If the seller does not close with the buyer, the buyer will be paid $6 million in fees.</t>
  </si>
  <si>
    <t>The Documented Deal:</t>
  </si>
  <si>
    <t>1. Breakup Fee: The breakup fee is $1.6 million and includes all expenses.</t>
  </si>
  <si>
    <t>3. Overbid Protection: Overbid protection is up to $3 million, with $200,000 incremental minimum bids thereafter.</t>
  </si>
  <si>
    <t>4. Deposit: A $4 million non-refundable deposit is to be paid within 24 hours of accepting the bid.</t>
  </si>
  <si>
    <t>5. Form of Contract: Asset purchase with limited contingencies and no MAC clauses.</t>
  </si>
  <si>
    <t>After a bidding war between Midas (financial sponsor) and Cypress (strategic buyer), Midas won with a $73 million bid</t>
  </si>
  <si>
    <t>The breakup fee was approved to be paid to Cypress (since the sale was canceled and Chapter 11 was filed)</t>
  </si>
  <si>
    <t>Additionally, a higher discount rate is needed to appropriately assess uncertainty</t>
  </si>
  <si>
    <t>Many add-backs are possible for a valuation, such as Cost of Goods Sold, nonrecurring professional fees, nonrecurring costs, excess salaries (including bonuses), and excessive or minimal capital expenditures</t>
  </si>
  <si>
    <t>Earnings figures can include revenue, EBIT, or EBITDA; any earnings that are not negative and are available to both lenders and shareholders are appropriate</t>
  </si>
  <si>
    <t>The enterprise value (EV) is the value of the business attributable to lenders and shareholders, calculated using an EV multiple, specifically the EV/Earnings figure</t>
  </si>
  <si>
    <t>Under a Chapter 363 asset sale, the buyer can choose which types of debt they wish to assume, which helps the seller generate cash to pay down debt</t>
  </si>
  <si>
    <t>Working capital needs to be adjusted for (i) questionable receivables (due to poor service or delivery), (ii) bloated, obsolete, overvalued, or insufficient inventories, and (iii) stretched or reduced payables</t>
  </si>
  <si>
    <t>Adams would serve as a high benchmark value for RuffCo Golf if it successfully turned around</t>
  </si>
  <si>
    <t>If the buyer acquires working capital without liabilities, they can generate cash flows by establishing trade credit and will not need to pay down liabilities</t>
  </si>
  <si>
    <t>The adjusted valuation range indicates that RuffCo Golf has an adjusted mean valuation of $48.2 million, compared to $61 million under an asset-only acquisition</t>
  </si>
  <si>
    <t>If an industry is highly substitutable, you can use industry-specific multiples; examples include:</t>
  </si>
  <si>
    <t>2. Natural resource-related sectors: quantity of reserves</t>
  </si>
  <si>
    <t>3. Commodity processors (steel, pulp, livestock, wheat): production capacity</t>
  </si>
  <si>
    <t>4. Telecommunications: assets or subscribers</t>
  </si>
  <si>
    <t>Industry-specific benchmarks are useful for consolidating industries where acquirers can leverage infrastructure by maximizing revenue drivers (such as beds and production capacity)</t>
  </si>
  <si>
    <t>When assuming current liabilities, the value is $51 million</t>
  </si>
  <si>
    <t>Under Section 502(b), if a lease is rejected, the creditor is considered to be pursuing rescission or damages and will have a lower repayment priority in the capital structure (below mezzanine debt and above preferred equity)</t>
  </si>
  <si>
    <t>Many retail businesses are sold during a Chapter 11 proceeding because the debtor's power under Section 365 allows them to assume, reject, or assign unexpired real estate leases and other "executory" contracts</t>
  </si>
  <si>
    <t>This means a retail business can sell itself more easily because it can choose to keep (assume), cancel (reject), or transfer (assign) leases and contracts that are still active, providing flexibility for sellers</t>
  </si>
  <si>
    <t>Value is created when cash flow is positive and exceeds operational cash flow without corporate overhead (expenses not directly tied to cash flow); therefore, the buyer should be willing to forego part of the synergy</t>
  </si>
  <si>
    <t>Asset Only Valuation:</t>
  </si>
  <si>
    <t>Business Description:</t>
  </si>
  <si>
    <t>1. RuffCo is a Delaware corporation based in Los Angeles</t>
  </si>
  <si>
    <t>3. The Ruffhouser was marketed as "the working man’s club for the guy in the rough."</t>
  </si>
  <si>
    <t>2. He patented the design and named it the "Ruffhouser," which was great for hitting out of the rough</t>
  </si>
  <si>
    <t>WACC Analysis:</t>
  </si>
  <si>
    <t>Net Debt (excluding current liabilities)</t>
  </si>
  <si>
    <t>The Dinner:</t>
  </si>
  <si>
    <t>Manufacturing:</t>
  </si>
  <si>
    <t>Retention of an Investment Banker:</t>
  </si>
  <si>
    <t>Proforma 2007 sales of $166mm</t>
  </si>
  <si>
    <t>Without prior history with lenders other than The Bank it will be challenging to find new Creditor's</t>
  </si>
  <si>
    <t>Equity shareholders have the best opportunity to realize value. Will also ease stress with unsecured Creditor's</t>
  </si>
  <si>
    <t>(2) An additional lien on a property to offer Creditor's a more secure position</t>
  </si>
  <si>
    <t>Section 1129(b)(2)(A) says a plan is "fair and equitable" if Creditor's</t>
  </si>
  <si>
    <t>Section 1129(a)(7) states that the court may approve a Chapter 11 plan without consent from all parties if the Creditor's will receive no less than the amount they would receive under a Chapter 7 liquidation</t>
  </si>
  <si>
    <t>Assignment of the benefits of Creditor's</t>
  </si>
  <si>
    <t>Unsecured Creditor's</t>
  </si>
  <si>
    <t>Unsecured Creditor's:</t>
  </si>
  <si>
    <t>Unsecured Creditor claims totaled $24.2 million (including accounts payable), with $4.2 million remaining for collection; unsecured creditors collected $0.17 per dollar invested</t>
  </si>
  <si>
    <t xml:space="preserve">This is allowed if the debtor can provide "Adequate protection" to the Creditor through (1) Periodic cash payments </t>
  </si>
  <si>
    <t>(ii) the secured Creditor liens are attached to the proceeds from the sale of collateral</t>
  </si>
  <si>
    <t>Also demanding an immediate sale shows the conflict of interest the secured and unsecured Creditor has when seeking a solution</t>
  </si>
  <si>
    <t>1. Father retired and announced position as chairman, Son was promoted to CEO</t>
  </si>
  <si>
    <r>
      <t>6. Employment of Son:</t>
    </r>
    <r>
      <rPr>
        <sz val="11"/>
        <color theme="1"/>
        <rFont val="Aptos Narrow"/>
        <family val="2"/>
        <scheme val="minor"/>
      </rPr>
      <t xml:space="preserve"> The Son will remain employed for two years, with the compensation outlined in the contract</t>
    </r>
  </si>
  <si>
    <t>1. RuffCo was initially bootstrapped by the Father, who created a club with a lower center of gravity</t>
  </si>
  <si>
    <t xml:space="preserve">The Bank advances funds on a conditional basis, the conditions are (i) the Company approving the Bank's budget (ii) the maximum amount the Father can contribute </t>
  </si>
  <si>
    <t>4. Father owns a 75% stake in the Company, while Son and Daughter each own 12.5%</t>
  </si>
  <si>
    <t>4. The Company expanded to Southern California and grew to an expected $130 million in sales</t>
  </si>
  <si>
    <t>3. The Company was over advanced on their revolver and it received a "going concern" opinion from RuffCo Golf's auditors</t>
  </si>
  <si>
    <t xml:space="preserve">2. A Chinese Company offered to purchase Peter Putter for $4mm in cash </t>
  </si>
  <si>
    <t>and as a result the payment priority is split into secured and unsecured claims. Fully secured Creditor's are entitled to post-petition interest (interest that accrues as Company is in default)</t>
  </si>
  <si>
    <t>A risk is that the Company may not generate the needed cash and as a result further diminish the Banks collateral</t>
  </si>
  <si>
    <t>To prevent majority shareholders from reducing stakeholders headcount significantly a law was introduced saying if a Company</t>
  </si>
  <si>
    <t>where if the Company is too far gone the majority shareholders need to act in the interest of the Creditor's</t>
  </si>
  <si>
    <t>and if the Company is successful and the investment is large enough the Company can exit the investment</t>
  </si>
  <si>
    <t>The Bank can offer financing for a specified period if (i) the Company takes steps to stop the deficit cashflow</t>
  </si>
  <si>
    <t>(iii) the Company's agreement to a sale or refinancing (because the goal is to put the Company in a better position to sell</t>
  </si>
  <si>
    <t xml:space="preserve">The Company needs to divest the Peter Putter business. The Bank has more confidence in the original business </t>
  </si>
  <si>
    <t>The Bank will hire a crisis manager to help management turn the Company around</t>
  </si>
  <si>
    <t>This DIP financing is senior secured, and a safer form of debt, but the Company wants to pursue a non-Chapter 11 turnaround</t>
  </si>
  <si>
    <t>The Company pursued mezzanine or high yield subordinated debt or equity but even in a high interest rate environment, high yield subordinated debt is unavailable for a Company this small (Middle Market)</t>
  </si>
  <si>
    <t>If you are a private Company maybe salaries are higher so the owner can retain employees and to save on taxes</t>
  </si>
  <si>
    <t>Often, people have a negative EBITDA, which is not applicable when valuing a distressed Company. The following are the highlights of a deeper subject</t>
  </si>
  <si>
    <t>The valuation needs to consider capital expenditures that should be deferred to allow the Company to temporarily stabilize, or it must factor in capital expenditures to ensure that the valuation is accurately represented</t>
  </si>
  <si>
    <t>The only comparable that fits RuffCo Golf in terms of size and similarity is Adams, a Company with a low-leverage capital structure that maintained a 7x EV/EBITDA ratio as of 2010</t>
  </si>
  <si>
    <t>A Company may be worth more if it is sold than if it attempts to turn around</t>
  </si>
  <si>
    <t>Houlihan Lokey recommends a Chapter 11 filing with a Section 363 asset sale because the value of the Company is less than its liabilities</t>
  </si>
  <si>
    <t>Preparing the Company's story and sale process to market to potential buyers</t>
  </si>
  <si>
    <t>Describing the Company's business and the difficulties it experienced in recent years, while also highlighting that the Company can be turned around since the acquisition of Peter Putter was divested</t>
  </si>
  <si>
    <t>Houlihan Lokey will determine the date by which the Company must be sold before cash depletion, lender fatigue, or both</t>
  </si>
  <si>
    <t>This includes financial information, products and markets, legal matters, real property, personal property, insurance coverage, human resources, MIS operations, inter-Company agreements, and public relations</t>
  </si>
  <si>
    <t>Create a marketing memorandum to summarize the investment opportunity, including the Company's problems to establish credibility with buyers</t>
  </si>
  <si>
    <t>If time permits, Houlihan Lokey will prepare an offering memorandum detailing the Company's historical operations and performance</t>
  </si>
  <si>
    <t>The offering memorandum is a detailed presentation of assets that, if the Company is undesirable, can be thought of as a shopping list of assets that can be purchased individually</t>
  </si>
  <si>
    <t>The memo will be distributed to sponsors and strategics and will hopefully keep strategic buyers honest in their valuations (as they may try to downplay the value of the attractive parts of the Company)</t>
  </si>
  <si>
    <t>The Company will disclose that it is working with Houlihan Lokey to explore strategic alternatives, which will hopefully ignite the interest of buyers who did not make the buyer list</t>
  </si>
  <si>
    <t>Houlihan Lokey will attempt to parse the pool of interested buyers into those who are genuinely interested and those who want to gain a competitive advantage by learning the Company's information</t>
  </si>
  <si>
    <t>Depending on (i) liquidity, (ii) the attractiveness of the Company, and (iii) management's time and resources, Houlihan Lokey will guide buyers through management as quickly as possible</t>
  </si>
  <si>
    <t>Houlihan Lokey will screen for buyers' ability to purchase the Company and filter out those who are interested only in the information</t>
  </si>
  <si>
    <t>Well-advised buyers will seek protection from (i) no-shop clauses—commonly used out of court—which outline that the Company agrees not to continue shopping with other buyers;</t>
  </si>
  <si>
    <t>Of the initial pool of 60 bidders, 15 signed a confidentiality agreement, and 8 bidders visited the Company for due diligence</t>
  </si>
  <si>
    <t>4. Deposit: $4 million in cash is nonrefundable unless the Company fails to deliver or the courts do not approve.</t>
  </si>
  <si>
    <t>1. No-Shop Clause: The Company cannot use Cypress Corp.'s bid to entice other buyers.</t>
  </si>
  <si>
    <t>6. No-Shop Clause: The Company agrees to the no-shop clause</t>
  </si>
  <si>
    <t>Unsecured Creditor's will face significant impairment, and the Company has proposed a new product on a Cash on Delivery (COD) or Cash in Advance (CIA) basis</t>
  </si>
  <si>
    <t>Total Bank debt</t>
  </si>
  <si>
    <t>Slick, an investment Banker, invited Son out to dinner to propose an IPO and M&amp;A strategy for RuffCo</t>
  </si>
  <si>
    <t>This coupled with the stress that middle market Banks are experiencing make refinancing unlikely</t>
  </si>
  <si>
    <t>2. Sell the Company, this can minimize the risk of remaining value erosion or a "free fall" into Bankruptcy (rapid deterioration in assets)</t>
  </si>
  <si>
    <t>Threaten to file for a plan for reorganization despite objection from the Bank.</t>
  </si>
  <si>
    <t xml:space="preserve">Instead of extending further funds to cover expenses, the Bank can demand the Company hire an investment Bank to sell </t>
  </si>
  <si>
    <t>Without consulting an investment Banker RuffCo Golf sells Peter Putter through an asset purchase structure</t>
  </si>
  <si>
    <t>Mezzanine debt also is not an option because investors are afraid of the level of distress and risk of Bankruptcy</t>
  </si>
  <si>
    <t>(it is, after all, our case study), an investment Banking firm with unsurpassed financial restructuring and distressed Company M&amp;A expertise."</t>
  </si>
  <si>
    <t>Assume through Bankruptcy sale</t>
  </si>
  <si>
    <t>“3 days after deal is done. we'll have the Bank wire the money"</t>
  </si>
  <si>
    <t>After the Company family members, the Bank, and Houlihan Lokey meet, the Bank expresses that it is not in favor of deals that do not repay it in full.</t>
  </si>
  <si>
    <t>The Bank selects Cypress Corp. with the following conditions:</t>
  </si>
  <si>
    <t>5. Restructuring Agreement: All parties agree to out-of-court restructuring; if this fails, the Company will file for Chapter 11 Bankruptcy and proceed with a Section 363 asset sale.</t>
  </si>
  <si>
    <t>3. Overbid Protection: If the deal enters Chapter 11 Bankruptcy, the Company will enter an auction.</t>
  </si>
  <si>
    <t>2. Bankruptcy Agreement: If Chapter 11 Bankruptcy is filed, the Company agrees to the court's breakup fee and overbid protection.</t>
  </si>
  <si>
    <t>Two Creditor's sent legal notices demanding payment from RuffCo Golf, but the Bank is unwilling to advance funds outside of Chapter 11</t>
  </si>
  <si>
    <t>Due to Creditor's becoming more hostile and unwilling to participate, the Company filed for Chapter 11 Bankruptcy and utilized a Section 363 asset sale to ensure compliance from all parties</t>
  </si>
  <si>
    <t>RuffCo Golf Pro Forma 2007 Balance Sheet:</t>
  </si>
  <si>
    <t>2. It is a designer and manufacturer of Golf clubs</t>
  </si>
  <si>
    <t>a. High end clubs, "attracted a loyal following of Golfers willing to spend the money necessary for a high-quality putter"</t>
  </si>
  <si>
    <t>7. Revenues for the Golf industry fell 10% while high margin drivers and metal woods fell 30%</t>
  </si>
  <si>
    <t>RuffCo Golf BUYER FUNNEL</t>
  </si>
  <si>
    <t>3. Competitors were alerted and sales for the original Peter Putter were cannibalized</t>
  </si>
  <si>
    <t xml:space="preserve">6. Due to the great a stressed industry and consumer base, accounts receivable was written down summing to $2mm in 2008, $1mm in 2009, and $2mm in 2010 </t>
  </si>
  <si>
    <t>2. Liquidity was eroded from cost overruns, low demand for Petter Putter II, the expenses involved redesigning and remarketing Peter Putter II,</t>
  </si>
  <si>
    <t>The Company may only sell for a distressed price to sponsors because of the odds of successfully turning around</t>
  </si>
  <si>
    <t>Completing a distressed sale would erase the equity position of shareholders, leaving them with nothing after the sale</t>
  </si>
  <si>
    <t>With trust from all parties involved it can minimize the amount of time the Company is under distress</t>
  </si>
  <si>
    <t>Successful restructuring requires cooperation from a number of constituents</t>
  </si>
  <si>
    <t>Under Section 364(d)(1) of Bankruptcy Code the debtor can file for a priming lien, or a lean that is senior to the creditor's notes</t>
  </si>
  <si>
    <t>(3) other relief that results in the party's realizing the "indubitable equivalent" of the value of the interest in the collateral</t>
  </si>
  <si>
    <t>Using cash generated from the collection of accounts receivable, collection from inventory, or other working capital</t>
  </si>
  <si>
    <t>The Court must determine that the secured Creditor is "adequately protected" as specified in Section 361</t>
  </si>
  <si>
    <t>Section 1129(b)(1) says a debtor can file for Chapter 11 without approval from all parties</t>
  </si>
  <si>
    <t>(i) keep their liens and receive differed payments with principal and interest equal to the present value of their secured claims</t>
  </si>
  <si>
    <t>(iii) the Creditor's realize they have "indubitable equivalents" of value</t>
  </si>
  <si>
    <t>The Company can assert the Bank is under secured and should be treated as a unsecured Creditor. This happens if the assets are insufficient to satisfy the claim</t>
  </si>
  <si>
    <t>Under Chapter 11, the Company can use the "automatic stay" which halts litigation and allows the Company to operate using the Banks collateral</t>
  </si>
  <si>
    <t>If correctly executed the Company can restructure its obligations and turnaround to reperform on loans. Also Debtor in Possession (DIP) financing can be attained with Chapter 11</t>
  </si>
  <si>
    <t>Shareholders likely will receive little in a Chapter 11 which is why the majority shareholders are incentivized to perform and turn the Company around</t>
  </si>
  <si>
    <t>Plus assumption of loans ($3.6mm), accounts payable and accrued expenses (totaling $5.2mm)</t>
  </si>
  <si>
    <t>Secured Creditor's are happy to sell the Company for a distressed price if it means they collect on their collateral where whereas equity shareholders want to maintain their "call option" and try to turn the business around</t>
  </si>
  <si>
    <t>Foreclosing on collateral allows for the Bank to attempt to recoup if the Company is acting in bad faith which would provoke a Chapter 11</t>
  </si>
  <si>
    <t>Provoking a Chapter 11 filing allows a heightened monitoring of (i) Company operations (ii) out-of-the-ordinary transactions (iii) insider transactions (iv) strategic decisions</t>
  </si>
  <si>
    <t>such as (i) priming lien (ii) cram-down (iii) use of cash as collateral (iv) business/collateral deterioration (v) being under-secured (vi) administrative costs and delays</t>
  </si>
  <si>
    <t>Bank's Response to RuffCo Golf:</t>
  </si>
  <si>
    <t>The Bank offered Debtor in Possession (DIP) financing but is unwilling to finance the Company turnaround</t>
  </si>
  <si>
    <t>The first step of a distressed sale is adjusting and projecting financial information such as "normalizing" (removing unrepresentative financial info) or "recast" (amortize notes or reproject accounts) for a more accurate representation</t>
  </si>
  <si>
    <t xml:space="preserve">Cost of Goods Sold may increase because (i) there are a lack of discounts from vendors </t>
  </si>
  <si>
    <t>(ii) higher costs associated with rushed projects (iii) increased reliance on local vendors over more cost efficient international vendors</t>
  </si>
  <si>
    <t>Comparable and Multiples:</t>
  </si>
  <si>
    <t>Due Diligence</t>
  </si>
  <si>
    <t>Treatment of Lease</t>
  </si>
  <si>
    <t>Willing to buy facility from Father by issuing municipal bonds</t>
  </si>
  <si>
    <t>This exercise follows the case study "Buying and Selling the Troubled Company, by Houlihan Lokey"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</si>
</sst>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7" formatCode="&quot;$&quot;#,##0.00_);\(&quot;$&quot;#,##0.00\)"/>
    <numFmt numFmtId="41" formatCode="_(* #,##0_);_(* \(#,##0\);_(* &quot;-&quot;_);_(@_)"/>
    <numFmt numFmtId="44" formatCode="_(&quot;$&quot;* #,##0.00_);_(&quot;$&quot;* \(#,##0.00\);_(&quot;$&quot;* &quot;-&quot;??_);_(@_)"/>
    <numFmt numFmtId="43" formatCode="_(* #,##0.00_);_(* \(#,##0.00\);_(* &quot;-&quot;??_);_(@_)"/>
    <numFmt numFmtId="164" formatCode="_(0.0\x_)_)_';_(\(0.0\x\)_'_';_(&quot;–&quot;_)_%;_(@_)_%"/>
    <numFmt numFmtId="165" formatCode="_(* #,##0.0_);_(* \(#,##0.0\);_(* &quot;-&quot;?_);_(@_)"/>
    <numFmt numFmtId="166" formatCode="0.0%"/>
    <numFmt numFmtId="167" formatCode="&quot;$&quot;#,##0.0_);\(&quot;$&quot;#,##0.0\)"/>
    <numFmt numFmtId="168" formatCode="_(* #,##0_);_(* \(#,##0\);_(* &quot;-&quot;?_);_(@_)"/>
    <numFmt numFmtId="169" formatCode="&quot;$&quot;#,##0.0"/>
    <numFmt numFmtId="170" formatCode="&quot;$&quot;#,##0.00"/>
    <numFmt numFmtId="171" formatCode="0.0"/>
    <numFmt numFmtId="172" formatCode="&quot;FYE &quot;0000"/>
    <numFmt numFmtId="173" formatCode="0000&quot;A&quot;"/>
    <numFmt numFmtId="174" formatCode="0000&quot;E&quot;"/>
    <numFmt numFmtId="175" formatCode="&quot;Recast &quot;0000&quot; EBITDA&quot;"/>
    <numFmt numFmtId="176" formatCode="&quot;Forecast FY &quot;0000&quot; EBITDA&quot;"/>
  </numFmts>
  <fonts count="17" x14ac:knownFonts="1">
    <font>
      <sz val="11"/>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sz val="11"/>
      <color rgb="FF0000FF"/>
      <name val="Aptos Narrow"/>
      <family val="2"/>
      <scheme val="minor"/>
    </font>
    <font>
      <sz val="11"/>
      <color rgb="FF000000"/>
      <name val="Aptos Narrow"/>
      <family val="2"/>
      <scheme val="minor"/>
    </font>
    <font>
      <b/>
      <sz val="11"/>
      <color rgb="FF00B050"/>
      <name val="Aptos Narrow"/>
      <family val="2"/>
      <scheme val="minor"/>
    </font>
    <font>
      <sz val="9"/>
      <color indexed="81"/>
      <name val="Tahoma"/>
      <family val="2"/>
    </font>
    <font>
      <b/>
      <sz val="9"/>
      <color indexed="81"/>
      <name val="Tahoma"/>
      <family val="2"/>
    </font>
    <font>
      <i/>
      <sz val="11"/>
      <color theme="1"/>
      <name val="Aptos Narrow"/>
      <family val="2"/>
      <scheme val="minor"/>
    </font>
    <font>
      <u/>
      <sz val="11"/>
      <color rgb="FF0000FF"/>
      <name val="Aptos Narrow"/>
      <family val="2"/>
      <scheme val="minor"/>
    </font>
    <font>
      <sz val="11"/>
      <color rgb="FF008000"/>
      <name val="Aptos Narrow"/>
      <family val="2"/>
      <scheme val="minor"/>
    </font>
    <font>
      <u/>
      <sz val="11"/>
      <color theme="1"/>
      <name val="Aptos Narrow"/>
      <family val="2"/>
      <scheme val="minor"/>
    </font>
    <font>
      <sz val="11"/>
      <color rgb="FFFF6600"/>
      <name val="Aptos Narrow"/>
      <family val="2"/>
      <scheme val="minor"/>
    </font>
    <font>
      <i/>
      <sz val="11"/>
      <color rgb="FF000000"/>
      <name val="Aptos Narrow"/>
      <family val="2"/>
      <scheme val="minor"/>
    </font>
    <font>
      <b/>
      <sz val="11"/>
      <color rgb="FF000000"/>
      <name val="Aptos Narrow"/>
      <family val="2"/>
      <scheme val="minor"/>
    </font>
    <font>
      <sz val="11"/>
      <name val="Aptos Narrow"/>
      <family val="2"/>
      <scheme val="minor"/>
    </font>
  </fonts>
  <fills count="2">
    <fill>
      <patternFill patternType="none"/>
    </fill>
    <fill>
      <patternFill patternType="gray125"/>
    </fill>
  </fills>
  <borders count="38">
    <border>
      <left/>
      <right/>
      <top/>
      <bottom/>
      <diagonal/>
    </border>
    <border>
      <left/>
      <right/>
      <top/>
      <bottom style="thin">
        <color rgb="FF000000"/>
      </bottom>
      <diagonal/>
    </border>
    <border>
      <left/>
      <right/>
      <top style="thin">
        <color rgb="FF000000"/>
      </top>
      <bottom style="medium">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style="thin">
        <color rgb="FF000000"/>
      </top>
      <bottom style="thin">
        <color rgb="FF000000"/>
      </bottom>
      <diagonal/>
    </border>
    <border>
      <left/>
      <right/>
      <top style="thin">
        <color rgb="FF000000"/>
      </top>
      <bottom/>
      <diagonal/>
    </border>
    <border>
      <left style="medium">
        <color indexed="64"/>
      </left>
      <right style="medium">
        <color indexed="64"/>
      </right>
      <top style="thin">
        <color rgb="FF000000"/>
      </top>
      <bottom/>
      <diagonal/>
    </border>
    <border>
      <left style="medium">
        <color rgb="FF000000"/>
      </left>
      <right style="medium">
        <color rgb="FF000000"/>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rgb="FF000000"/>
      </top>
      <bottom style="double">
        <color rgb="FF000000"/>
      </bottom>
      <diagonal/>
    </border>
    <border>
      <left/>
      <right/>
      <top/>
      <bottom style="double">
        <color rgb="FF000000"/>
      </bottom>
      <diagonal/>
    </border>
    <border>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rgb="FF000000"/>
      </right>
      <top style="medium">
        <color rgb="FF000000"/>
      </top>
      <bottom style="medium">
        <color rgb="FF000000"/>
      </bottom>
      <diagonal/>
    </border>
    <border>
      <left/>
      <right style="thin">
        <color rgb="FF000000"/>
      </right>
      <top/>
      <bottom/>
      <diagonal/>
    </border>
    <border>
      <left style="medium">
        <color indexed="64"/>
      </left>
      <right/>
      <top/>
      <bottom/>
      <diagonal/>
    </border>
    <border>
      <left/>
      <right style="medium">
        <color indexed="64"/>
      </right>
      <top/>
      <bottom/>
      <diagonal/>
    </border>
    <border>
      <left/>
      <right style="medium">
        <color indexed="64"/>
      </right>
      <top/>
      <bottom style="double">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style="double">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thin">
        <color rgb="FF000000"/>
      </left>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medium">
        <color indexed="64"/>
      </left>
      <right style="medium">
        <color indexed="64"/>
      </right>
      <top/>
      <bottom style="double">
        <color rgb="FF000000"/>
      </bottom>
      <diagonal/>
    </border>
    <border>
      <left/>
      <right/>
      <top style="double">
        <color rgb="FF000000"/>
      </top>
      <bottom/>
      <diagonal/>
    </border>
    <border>
      <left style="medium">
        <color indexed="64"/>
      </left>
      <right/>
      <top style="thin">
        <color rgb="FF000000"/>
      </top>
      <bottom style="double">
        <color rgb="FF000000"/>
      </bottom>
      <diagonal/>
    </border>
    <border>
      <left style="medium">
        <color indexed="64"/>
      </left>
      <right/>
      <top/>
      <bottom style="double">
        <color rgb="FF000000"/>
      </bottom>
      <diagonal/>
    </border>
    <border>
      <left/>
      <right style="medium">
        <color indexed="64"/>
      </right>
      <top style="thin">
        <color rgb="FF000000"/>
      </top>
      <bottom style="double">
        <color rgb="FF000000"/>
      </bottom>
      <diagonal/>
    </border>
    <border>
      <left style="medium">
        <color indexed="64"/>
      </left>
      <right style="medium">
        <color indexed="64"/>
      </right>
      <top style="medium">
        <color indexed="64"/>
      </top>
      <bottom style="double">
        <color rgb="FF000000"/>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222">
    <xf numFmtId="0" fontId="0" fillId="0" borderId="0" xfId="0"/>
    <xf numFmtId="0" fontId="2" fillId="0" borderId="0" xfId="0" applyFont="1"/>
    <xf numFmtId="0" fontId="0" fillId="0" borderId="1" xfId="0" applyBorder="1"/>
    <xf numFmtId="9" fontId="5" fillId="0" borderId="0" xfId="1" applyFont="1"/>
    <xf numFmtId="0" fontId="6" fillId="0" borderId="0" xfId="0" applyFont="1" applyAlignment="1">
      <alignment horizontal="center"/>
    </xf>
    <xf numFmtId="9" fontId="4" fillId="0" borderId="0" xfId="1" applyFont="1"/>
    <xf numFmtId="0" fontId="0" fillId="0" borderId="0" xfId="0" applyAlignment="1">
      <alignment horizontal="left" indent="1"/>
    </xf>
    <xf numFmtId="0" fontId="0" fillId="0" borderId="0" xfId="0" applyAlignment="1">
      <alignment horizontal="left" indent="2"/>
    </xf>
    <xf numFmtId="165" fontId="0" fillId="0" borderId="0" xfId="0" applyNumberFormat="1"/>
    <xf numFmtId="0" fontId="9" fillId="0" borderId="0" xfId="0" applyFont="1"/>
    <xf numFmtId="166" fontId="4" fillId="0" borderId="0" xfId="0" applyNumberFormat="1" applyFont="1"/>
    <xf numFmtId="165" fontId="5" fillId="0" borderId="0" xfId="0" applyNumberFormat="1" applyFont="1"/>
    <xf numFmtId="9" fontId="4" fillId="0" borderId="0" xfId="0" applyNumberFormat="1" applyFont="1"/>
    <xf numFmtId="0" fontId="9" fillId="0" borderId="0" xfId="0" applyFont="1" applyAlignment="1">
      <alignment horizontal="left"/>
    </xf>
    <xf numFmtId="0" fontId="2" fillId="0" borderId="0" xfId="0" applyFont="1" applyAlignment="1">
      <alignment horizontal="left"/>
    </xf>
    <xf numFmtId="166" fontId="0" fillId="0" borderId="0" xfId="0" applyNumberFormat="1"/>
    <xf numFmtId="166" fontId="5" fillId="0" borderId="0" xfId="0" applyNumberFormat="1" applyFont="1"/>
    <xf numFmtId="165" fontId="4" fillId="0" borderId="0" xfId="0" applyNumberFormat="1" applyFont="1"/>
    <xf numFmtId="167" fontId="4" fillId="0" borderId="0" xfId="0" applyNumberFormat="1" applyFont="1"/>
    <xf numFmtId="0" fontId="0" fillId="0" borderId="2" xfId="0" applyBorder="1"/>
    <xf numFmtId="165" fontId="4" fillId="0" borderId="1" xfId="0" applyNumberFormat="1" applyFont="1" applyBorder="1"/>
    <xf numFmtId="0" fontId="0" fillId="0" borderId="1" xfId="0" applyBorder="1" applyAlignment="1">
      <alignment horizontal="left" indent="1"/>
    </xf>
    <xf numFmtId="168" fontId="4" fillId="0" borderId="1" xfId="0" applyNumberFormat="1" applyFont="1" applyBorder="1"/>
    <xf numFmtId="164" fontId="4" fillId="0" borderId="1" xfId="0" applyNumberFormat="1" applyFont="1" applyBorder="1"/>
    <xf numFmtId="167" fontId="5" fillId="0" borderId="0" xfId="0" applyNumberFormat="1" applyFont="1"/>
    <xf numFmtId="0" fontId="5" fillId="0" borderId="0" xfId="0" applyFont="1"/>
    <xf numFmtId="0" fontId="4" fillId="0" borderId="1" xfId="0" applyFont="1" applyBorder="1"/>
    <xf numFmtId="0" fontId="0" fillId="0" borderId="3" xfId="0" applyBorder="1"/>
    <xf numFmtId="0" fontId="0" fillId="0" borderId="0" xfId="0" applyAlignment="1">
      <alignment horizontal="centerContinuous"/>
    </xf>
    <xf numFmtId="167" fontId="11" fillId="0" borderId="0" xfId="0" applyNumberFormat="1" applyFont="1"/>
    <xf numFmtId="165" fontId="11" fillId="0" borderId="0" xfId="0" applyNumberFormat="1" applyFont="1"/>
    <xf numFmtId="165" fontId="5" fillId="0" borderId="1" xfId="0" applyNumberFormat="1" applyFont="1" applyBorder="1"/>
    <xf numFmtId="167" fontId="0" fillId="0" borderId="4" xfId="0" applyNumberFormat="1" applyBorder="1"/>
    <xf numFmtId="0" fontId="0" fillId="0" borderId="0" xfId="0" applyAlignment="1">
      <alignment horizontal="left"/>
    </xf>
    <xf numFmtId="0" fontId="0" fillId="0" borderId="0" xfId="0" applyAlignment="1">
      <alignment horizontal="left" vertical="center" wrapText="1" indent="1"/>
    </xf>
    <xf numFmtId="0" fontId="0" fillId="0" borderId="0" xfId="0" applyAlignment="1">
      <alignment horizontal="left" vertical="center" wrapText="1" indent="2"/>
    </xf>
    <xf numFmtId="167" fontId="0" fillId="0" borderId="0" xfId="0" applyNumberFormat="1"/>
    <xf numFmtId="169" fontId="0" fillId="0" borderId="0" xfId="0" applyNumberFormat="1"/>
    <xf numFmtId="0" fontId="0" fillId="0" borderId="6" xfId="0" applyBorder="1"/>
    <xf numFmtId="167" fontId="5" fillId="0" borderId="8" xfId="0" applyNumberFormat="1" applyFont="1" applyBorder="1"/>
    <xf numFmtId="167" fontId="5" fillId="0" borderId="4" xfId="0" applyNumberFormat="1" applyFont="1" applyBorder="1"/>
    <xf numFmtId="167" fontId="5" fillId="0" borderId="7" xfId="0" applyNumberFormat="1" applyFont="1" applyBorder="1"/>
    <xf numFmtId="0" fontId="4" fillId="0" borderId="0" xfId="0" applyFont="1"/>
    <xf numFmtId="0" fontId="5" fillId="0" borderId="6" xfId="0" applyFont="1" applyBorder="1"/>
    <xf numFmtId="171" fontId="11" fillId="0" borderId="0" xfId="0" applyNumberFormat="1" applyFont="1"/>
    <xf numFmtId="171" fontId="0" fillId="0" borderId="0" xfId="0" applyNumberFormat="1"/>
    <xf numFmtId="171" fontId="11" fillId="0" borderId="5" xfId="0" applyNumberFormat="1" applyFont="1" applyBorder="1"/>
    <xf numFmtId="171" fontId="4" fillId="0" borderId="0" xfId="0" applyNumberFormat="1" applyFont="1"/>
    <xf numFmtId="171" fontId="4" fillId="0" borderId="5" xfId="0" applyNumberFormat="1" applyFont="1" applyBorder="1"/>
    <xf numFmtId="170" fontId="0" fillId="0" borderId="0" xfId="0" applyNumberFormat="1"/>
    <xf numFmtId="0" fontId="2" fillId="0" borderId="0" xfId="0" applyFont="1" applyAlignment="1">
      <alignment horizontal="left" vertical="center" wrapText="1"/>
    </xf>
    <xf numFmtId="9" fontId="11" fillId="0" borderId="0" xfId="1" applyFont="1"/>
    <xf numFmtId="171" fontId="5" fillId="0" borderId="0" xfId="0" applyNumberFormat="1" applyFont="1"/>
    <xf numFmtId="0" fontId="0" fillId="0" borderId="9" xfId="0" applyBorder="1"/>
    <xf numFmtId="9" fontId="4" fillId="0" borderId="10" xfId="0" applyNumberFormat="1" applyFont="1" applyBorder="1"/>
    <xf numFmtId="166" fontId="11" fillId="0" borderId="0" xfId="0" applyNumberFormat="1" applyFont="1"/>
    <xf numFmtId="166" fontId="11" fillId="0" borderId="0" xfId="1" applyNumberFormat="1" applyFont="1" applyBorder="1"/>
    <xf numFmtId="166" fontId="11" fillId="0" borderId="0" xfId="1" applyNumberFormat="1" applyFont="1"/>
    <xf numFmtId="164" fontId="5" fillId="0" borderId="0" xfId="0" applyNumberFormat="1" applyFont="1"/>
    <xf numFmtId="165" fontId="5" fillId="0" borderId="5" xfId="0" applyNumberFormat="1" applyFont="1" applyBorder="1"/>
    <xf numFmtId="0" fontId="0" fillId="0" borderId="11" xfId="0" applyBorder="1"/>
    <xf numFmtId="165" fontId="5" fillId="0" borderId="11" xfId="0" applyNumberFormat="1" applyFont="1" applyBorder="1"/>
    <xf numFmtId="0" fontId="0" fillId="0" borderId="12" xfId="0" applyBorder="1"/>
    <xf numFmtId="165" fontId="4" fillId="0" borderId="6" xfId="0" applyNumberFormat="1" applyFont="1" applyBorder="1"/>
    <xf numFmtId="167" fontId="4" fillId="0" borderId="6" xfId="0" applyNumberFormat="1" applyFont="1" applyBorder="1"/>
    <xf numFmtId="167" fontId="5" fillId="0" borderId="5" xfId="0" applyNumberFormat="1" applyFont="1" applyBorder="1"/>
    <xf numFmtId="0" fontId="0" fillId="0" borderId="0" xfId="0" applyAlignment="1">
      <alignment horizontal="left" indent="3"/>
    </xf>
    <xf numFmtId="166" fontId="0" fillId="0" borderId="0" xfId="1" applyNumberFormat="1" applyFont="1"/>
    <xf numFmtId="165" fontId="0" fillId="0" borderId="13" xfId="0" applyNumberFormat="1" applyBorder="1"/>
    <xf numFmtId="165" fontId="0" fillId="0" borderId="10" xfId="0" applyNumberFormat="1" applyBorder="1"/>
    <xf numFmtId="166" fontId="0" fillId="0" borderId="0" xfId="1" applyNumberFormat="1" applyFont="1" applyBorder="1"/>
    <xf numFmtId="166" fontId="0" fillId="0" borderId="1" xfId="1" applyNumberFormat="1" applyFont="1" applyBorder="1"/>
    <xf numFmtId="167" fontId="5" fillId="0" borderId="6" xfId="0" applyNumberFormat="1" applyFont="1" applyBorder="1"/>
    <xf numFmtId="165" fontId="0" fillId="0" borderId="6" xfId="0" applyNumberFormat="1" applyBorder="1"/>
    <xf numFmtId="0" fontId="0" fillId="0" borderId="0" xfId="0" applyAlignment="1">
      <alignment horizontal="left" indent="4"/>
    </xf>
    <xf numFmtId="0" fontId="0" fillId="0" borderId="0" xfId="0" applyAlignment="1">
      <alignment horizontal="left" indent="5"/>
    </xf>
    <xf numFmtId="0" fontId="12" fillId="0" borderId="0" xfId="0" applyFont="1"/>
    <xf numFmtId="0" fontId="0" fillId="0" borderId="14" xfId="0" applyBorder="1"/>
    <xf numFmtId="0" fontId="0" fillId="0" borderId="15" xfId="0" applyBorder="1"/>
    <xf numFmtId="0" fontId="4" fillId="0" borderId="16" xfId="0" applyFont="1" applyBorder="1"/>
    <xf numFmtId="0" fontId="4" fillId="0" borderId="17" xfId="0" applyFont="1" applyBorder="1"/>
    <xf numFmtId="167" fontId="5" fillId="0" borderId="11" xfId="0" applyNumberFormat="1" applyFont="1" applyBorder="1"/>
    <xf numFmtId="166" fontId="5" fillId="0" borderId="0" xfId="1" applyNumberFormat="1" applyFont="1"/>
    <xf numFmtId="9" fontId="0" fillId="0" borderId="0" xfId="1" applyFont="1" applyAlignment="1">
      <alignment horizontal="left" indent="1"/>
    </xf>
    <xf numFmtId="173" fontId="0" fillId="0" borderId="1" xfId="0" applyNumberFormat="1" applyBorder="1"/>
    <xf numFmtId="174" fontId="0" fillId="0" borderId="1" xfId="0" applyNumberFormat="1" applyBorder="1"/>
    <xf numFmtId="166" fontId="4" fillId="0" borderId="0" xfId="1" applyNumberFormat="1" applyFont="1"/>
    <xf numFmtId="43" fontId="0" fillId="0" borderId="0" xfId="0" applyNumberFormat="1"/>
    <xf numFmtId="164" fontId="0" fillId="0" borderId="0" xfId="0" applyNumberFormat="1" applyAlignment="1">
      <alignment horizontal="center"/>
    </xf>
    <xf numFmtId="164" fontId="0" fillId="0" borderId="0" xfId="0" applyNumberFormat="1"/>
    <xf numFmtId="164" fontId="4" fillId="0" borderId="0" xfId="0" applyNumberFormat="1" applyFont="1" applyAlignment="1">
      <alignment horizontal="center"/>
    </xf>
    <xf numFmtId="164" fontId="5" fillId="0" borderId="0" xfId="0" applyNumberFormat="1" applyFont="1" applyAlignment="1">
      <alignment horizontal="center"/>
    </xf>
    <xf numFmtId="166" fontId="4" fillId="0" borderId="0" xfId="0" applyNumberFormat="1" applyFont="1" applyAlignment="1">
      <alignment horizontal="center"/>
    </xf>
    <xf numFmtId="7" fontId="0" fillId="0" borderId="0" xfId="0" applyNumberFormat="1"/>
    <xf numFmtId="9" fontId="0" fillId="0" borderId="0" xfId="1" applyFont="1" applyBorder="1"/>
    <xf numFmtId="9" fontId="11" fillId="0" borderId="0" xfId="1" applyFont="1" applyBorder="1"/>
    <xf numFmtId="167" fontId="5" fillId="0" borderId="13" xfId="0" applyNumberFormat="1" applyFont="1" applyBorder="1"/>
    <xf numFmtId="167" fontId="5" fillId="0" borderId="10" xfId="0" applyNumberFormat="1" applyFont="1" applyBorder="1"/>
    <xf numFmtId="0" fontId="2" fillId="0" borderId="0" xfId="0" applyFont="1" applyAlignment="1">
      <alignment horizontal="centerContinuous"/>
    </xf>
    <xf numFmtId="165" fontId="2" fillId="0" borderId="0" xfId="0" applyNumberFormat="1" applyFont="1"/>
    <xf numFmtId="164" fontId="5" fillId="0" borderId="1" xfId="0" applyNumberFormat="1" applyFont="1" applyBorder="1"/>
    <xf numFmtId="9" fontId="5" fillId="0" borderId="19" xfId="1" applyFont="1" applyBorder="1"/>
    <xf numFmtId="171" fontId="13" fillId="0" borderId="6" xfId="0" applyNumberFormat="1" applyFont="1" applyBorder="1"/>
    <xf numFmtId="171" fontId="13" fillId="0" borderId="0" xfId="0" applyNumberFormat="1" applyFont="1"/>
    <xf numFmtId="171" fontId="13" fillId="0" borderId="14" xfId="0" applyNumberFormat="1" applyFont="1" applyBorder="1"/>
    <xf numFmtId="171" fontId="13" fillId="0" borderId="15" xfId="0" applyNumberFormat="1" applyFont="1" applyBorder="1"/>
    <xf numFmtId="171" fontId="13" fillId="0" borderId="20" xfId="0" applyNumberFormat="1" applyFont="1" applyBorder="1"/>
    <xf numFmtId="171" fontId="13" fillId="0" borderId="21" xfId="0" applyNumberFormat="1" applyFont="1" applyBorder="1"/>
    <xf numFmtId="171" fontId="13" fillId="0" borderId="16" xfId="0" applyNumberFormat="1" applyFont="1" applyBorder="1"/>
    <xf numFmtId="171" fontId="13" fillId="0" borderId="17" xfId="0" applyNumberFormat="1" applyFont="1" applyBorder="1"/>
    <xf numFmtId="165" fontId="13" fillId="0" borderId="0" xfId="0" applyNumberFormat="1" applyFont="1"/>
    <xf numFmtId="167" fontId="0" fillId="0" borderId="0" xfId="0" applyNumberFormat="1" applyAlignment="1">
      <alignment horizontal="left" indent="2"/>
    </xf>
    <xf numFmtId="41" fontId="0" fillId="0" borderId="0" xfId="0" applyNumberFormat="1"/>
    <xf numFmtId="169" fontId="0" fillId="0" borderId="3" xfId="0" applyNumberFormat="1" applyBorder="1"/>
    <xf numFmtId="0" fontId="0" fillId="0" borderId="4" xfId="0" applyBorder="1"/>
    <xf numFmtId="169" fontId="0" fillId="0" borderId="12" xfId="0" applyNumberFormat="1" applyBorder="1"/>
    <xf numFmtId="0" fontId="0" fillId="0" borderId="8" xfId="0" applyBorder="1"/>
    <xf numFmtId="9" fontId="4" fillId="0" borderId="0" xfId="1" applyFont="1" applyBorder="1" applyAlignment="1"/>
    <xf numFmtId="164" fontId="4" fillId="0" borderId="0" xfId="0" applyNumberFormat="1" applyFont="1"/>
    <xf numFmtId="0" fontId="9" fillId="0" borderId="1" xfId="0" applyFont="1" applyBorder="1"/>
    <xf numFmtId="0" fontId="9" fillId="0" borderId="1" xfId="0" applyFont="1" applyBorder="1" applyAlignment="1">
      <alignment horizontal="left"/>
    </xf>
    <xf numFmtId="169" fontId="5" fillId="0" borderId="0" xfId="0" applyNumberFormat="1" applyFont="1"/>
    <xf numFmtId="169" fontId="5" fillId="0" borderId="1" xfId="0" applyNumberFormat="1" applyFont="1" applyBorder="1"/>
    <xf numFmtId="0" fontId="5" fillId="0" borderId="1" xfId="0" applyFont="1" applyBorder="1"/>
    <xf numFmtId="167" fontId="5" fillId="0" borderId="12" xfId="0" applyNumberFormat="1" applyFont="1" applyBorder="1"/>
    <xf numFmtId="0" fontId="5" fillId="0" borderId="11" xfId="0" applyFont="1" applyBorder="1"/>
    <xf numFmtId="169" fontId="5" fillId="0" borderId="11" xfId="0" applyNumberFormat="1" applyFont="1" applyBorder="1"/>
    <xf numFmtId="171" fontId="5" fillId="0" borderId="11" xfId="0" applyNumberFormat="1" applyFont="1" applyBorder="1"/>
    <xf numFmtId="167" fontId="5" fillId="0" borderId="24" xfId="0" applyNumberFormat="1" applyFont="1" applyBorder="1"/>
    <xf numFmtId="0" fontId="9" fillId="0" borderId="1" xfId="0" applyFont="1" applyBorder="1" applyAlignment="1">
      <alignment horizontal="left" vertical="center" wrapText="1"/>
    </xf>
    <xf numFmtId="0" fontId="14" fillId="0" borderId="1" xfId="0" applyFont="1" applyBorder="1"/>
    <xf numFmtId="172" fontId="5" fillId="0" borderId="1" xfId="0" applyNumberFormat="1" applyFont="1" applyBorder="1"/>
    <xf numFmtId="0" fontId="14" fillId="0" borderId="0" xfId="0" applyFont="1"/>
    <xf numFmtId="0" fontId="0" fillId="0" borderId="6" xfId="0" applyBorder="1" applyAlignment="1">
      <alignment horizontal="left" indent="1"/>
    </xf>
    <xf numFmtId="0" fontId="0" fillId="0" borderId="5" xfId="0" applyBorder="1" applyAlignment="1">
      <alignment horizontal="left" indent="1"/>
    </xf>
    <xf numFmtId="0" fontId="0" fillId="0" borderId="11" xfId="0" applyBorder="1" applyAlignment="1">
      <alignment horizontal="left" indent="1"/>
    </xf>
    <xf numFmtId="0" fontId="0" fillId="0" borderId="11" xfId="0" applyBorder="1" applyAlignment="1">
      <alignment horizontal="left" indent="2"/>
    </xf>
    <xf numFmtId="0" fontId="0" fillId="0" borderId="0" xfId="0" applyAlignment="1">
      <alignment horizontal="center"/>
    </xf>
    <xf numFmtId="167" fontId="11" fillId="0" borderId="0" xfId="0" applyNumberFormat="1" applyFont="1" applyAlignment="1">
      <alignment horizontal="center"/>
    </xf>
    <xf numFmtId="0" fontId="0" fillId="0" borderId="1" xfId="0" applyBorder="1" applyAlignment="1">
      <alignment horizontal="centerContinuous"/>
    </xf>
    <xf numFmtId="0" fontId="0" fillId="0" borderId="1" xfId="0" applyBorder="1" applyAlignment="1">
      <alignment horizontal="center"/>
    </xf>
    <xf numFmtId="167" fontId="11" fillId="0" borderId="1" xfId="0" applyNumberFormat="1" applyFont="1" applyBorder="1" applyAlignment="1">
      <alignment horizontal="center"/>
    </xf>
    <xf numFmtId="169" fontId="5" fillId="0" borderId="0" xfId="0" applyNumberFormat="1" applyFont="1" applyAlignment="1">
      <alignment horizontal="center"/>
    </xf>
    <xf numFmtId="169" fontId="0" fillId="0" borderId="0" xfId="0" applyNumberFormat="1" applyAlignment="1">
      <alignment horizontal="center"/>
    </xf>
    <xf numFmtId="166" fontId="4" fillId="0" borderId="1" xfId="0" applyNumberFormat="1" applyFont="1" applyBorder="1" applyAlignment="1">
      <alignment horizontal="center"/>
    </xf>
    <xf numFmtId="164" fontId="4" fillId="0" borderId="1" xfId="0" applyNumberFormat="1" applyFont="1" applyBorder="1" applyAlignment="1">
      <alignment horizontal="center"/>
    </xf>
    <xf numFmtId="0" fontId="5" fillId="0" borderId="25" xfId="0" applyFont="1" applyBorder="1"/>
    <xf numFmtId="0" fontId="5" fillId="0" borderId="26" xfId="0" applyFont="1" applyBorder="1"/>
    <xf numFmtId="167" fontId="5" fillId="0" borderId="26" xfId="0" applyNumberFormat="1" applyFont="1" applyBorder="1"/>
    <xf numFmtId="164" fontId="5" fillId="0" borderId="26" xfId="0" applyNumberFormat="1" applyFont="1" applyBorder="1"/>
    <xf numFmtId="167" fontId="5" fillId="0" borderId="18" xfId="0" applyNumberFormat="1" applyFont="1" applyBorder="1"/>
    <xf numFmtId="44" fontId="0" fillId="0" borderId="1" xfId="0" applyNumberFormat="1" applyBorder="1" applyAlignment="1">
      <alignment horizontal="centerContinuous"/>
    </xf>
    <xf numFmtId="0" fontId="0" fillId="0" borderId="28" xfId="0" applyBorder="1" applyAlignment="1">
      <alignment horizontal="center"/>
    </xf>
    <xf numFmtId="0" fontId="0" fillId="0" borderId="19" xfId="0" applyBorder="1" applyAlignment="1">
      <alignment horizontal="centerContinuous"/>
    </xf>
    <xf numFmtId="0" fontId="0" fillId="0" borderId="29" xfId="0" applyBorder="1" applyAlignment="1">
      <alignment horizontal="center"/>
    </xf>
    <xf numFmtId="44" fontId="0" fillId="0" borderId="29" xfId="0" applyNumberFormat="1" applyBorder="1" applyAlignment="1">
      <alignment horizontal="centerContinuous"/>
    </xf>
    <xf numFmtId="0" fontId="0" fillId="0" borderId="16" xfId="0" applyBorder="1"/>
    <xf numFmtId="7" fontId="5" fillId="0" borderId="17" xfId="0" applyNumberFormat="1" applyFont="1" applyBorder="1"/>
    <xf numFmtId="2" fontId="5" fillId="0" borderId="0" xfId="1" applyNumberFormat="1" applyFont="1" applyBorder="1"/>
    <xf numFmtId="2" fontId="4" fillId="0" borderId="0" xfId="0" applyNumberFormat="1" applyFont="1"/>
    <xf numFmtId="2" fontId="5" fillId="0" borderId="0" xfId="0" applyNumberFormat="1" applyFont="1"/>
    <xf numFmtId="9" fontId="4" fillId="0" borderId="30" xfId="0" applyNumberFormat="1" applyFont="1" applyBorder="1"/>
    <xf numFmtId="9" fontId="4" fillId="0" borderId="31" xfId="0" applyNumberFormat="1" applyFont="1" applyBorder="1"/>
    <xf numFmtId="9" fontId="5" fillId="0" borderId="28" xfId="0" applyNumberFormat="1" applyFont="1" applyBorder="1"/>
    <xf numFmtId="9" fontId="5" fillId="0" borderId="29" xfId="0" applyNumberFormat="1" applyFont="1" applyBorder="1"/>
    <xf numFmtId="41" fontId="0" fillId="0" borderId="12" xfId="0" applyNumberFormat="1" applyBorder="1"/>
    <xf numFmtId="169" fontId="0" fillId="0" borderId="32" xfId="0" applyNumberFormat="1" applyBorder="1"/>
    <xf numFmtId="0" fontId="4" fillId="0" borderId="6" xfId="0" applyFont="1" applyBorder="1"/>
    <xf numFmtId="0" fontId="0" fillId="0" borderId="19" xfId="0" applyBorder="1"/>
    <xf numFmtId="0" fontId="5" fillId="0" borderId="19" xfId="0" applyFont="1" applyBorder="1"/>
    <xf numFmtId="0" fontId="0" fillId="0" borderId="30" xfId="0" applyBorder="1" applyAlignment="1">
      <alignment horizontal="center"/>
    </xf>
    <xf numFmtId="44" fontId="0" fillId="0" borderId="6" xfId="0" applyNumberFormat="1" applyBorder="1" applyAlignment="1">
      <alignment horizontal="centerContinuous"/>
    </xf>
    <xf numFmtId="44" fontId="0" fillId="0" borderId="31" xfId="0" applyNumberFormat="1" applyBorder="1" applyAlignment="1">
      <alignment horizontal="centerContinuous"/>
    </xf>
    <xf numFmtId="0" fontId="0" fillId="0" borderId="31" xfId="0" applyBorder="1" applyAlignment="1">
      <alignment horizontal="centerContinuous"/>
    </xf>
    <xf numFmtId="167" fontId="13" fillId="0" borderId="0" xfId="0" applyNumberFormat="1" applyFont="1"/>
    <xf numFmtId="174" fontId="4" fillId="0" borderId="1" xfId="0" applyNumberFormat="1" applyFont="1" applyBorder="1"/>
    <xf numFmtId="174" fontId="5" fillId="0" borderId="1" xfId="0" applyNumberFormat="1" applyFont="1" applyBorder="1"/>
    <xf numFmtId="9" fontId="5" fillId="0" borderId="0" xfId="1" applyFont="1" applyFill="1" applyBorder="1" applyAlignment="1"/>
    <xf numFmtId="0" fontId="15" fillId="0" borderId="0" xfId="0" applyFont="1"/>
    <xf numFmtId="0" fontId="5" fillId="0" borderId="0" xfId="0" applyFont="1" applyAlignment="1">
      <alignment horizontal="left" indent="1"/>
    </xf>
    <xf numFmtId="9" fontId="4" fillId="0" borderId="0" xfId="1" applyFont="1" applyFill="1" applyBorder="1" applyAlignment="1"/>
    <xf numFmtId="165" fontId="5" fillId="0" borderId="6" xfId="0" applyNumberFormat="1" applyFont="1" applyBorder="1"/>
    <xf numFmtId="0" fontId="5" fillId="0" borderId="33" xfId="0" applyFont="1" applyBorder="1"/>
    <xf numFmtId="165" fontId="5" fillId="0" borderId="33" xfId="0" applyNumberFormat="1" applyFont="1" applyBorder="1"/>
    <xf numFmtId="0" fontId="5" fillId="0" borderId="0" xfId="0" applyFont="1" applyAlignment="1">
      <alignment horizontal="left" indent="2"/>
    </xf>
    <xf numFmtId="171" fontId="11" fillId="0" borderId="6" xfId="0" applyNumberFormat="1" applyFont="1" applyBorder="1"/>
    <xf numFmtId="171" fontId="5" fillId="0" borderId="12" xfId="0" applyNumberFormat="1" applyFont="1" applyBorder="1"/>
    <xf numFmtId="171" fontId="11" fillId="0" borderId="1" xfId="0" applyNumberFormat="1" applyFont="1" applyBorder="1"/>
    <xf numFmtId="170" fontId="0" fillId="0" borderId="0" xfId="0" applyNumberFormat="1" applyAlignment="1">
      <alignment horizontal="centerContinuous"/>
    </xf>
    <xf numFmtId="14" fontId="16" fillId="0" borderId="6" xfId="0" applyNumberFormat="1" applyFont="1" applyBorder="1"/>
    <xf numFmtId="0" fontId="0" fillId="0" borderId="31" xfId="0" applyBorder="1"/>
    <xf numFmtId="14" fontId="16" fillId="0" borderId="7" xfId="0" applyNumberFormat="1" applyFont="1" applyBorder="1"/>
    <xf numFmtId="0" fontId="16" fillId="0" borderId="1" xfId="0" applyFont="1" applyBorder="1"/>
    <xf numFmtId="0" fontId="16" fillId="0" borderId="0" xfId="0" applyFont="1"/>
    <xf numFmtId="165" fontId="0" fillId="0" borderId="4" xfId="0" applyNumberFormat="1" applyBorder="1"/>
    <xf numFmtId="165" fontId="11" fillId="0" borderId="4" xfId="0" applyNumberFormat="1" applyFont="1" applyBorder="1"/>
    <xf numFmtId="165" fontId="5" fillId="0" borderId="23" xfId="0" applyNumberFormat="1" applyFont="1" applyBorder="1"/>
    <xf numFmtId="165" fontId="5" fillId="0" borderId="4" xfId="0" applyNumberFormat="1" applyFont="1" applyBorder="1"/>
    <xf numFmtId="165" fontId="4" fillId="0" borderId="4" xfId="0" applyNumberFormat="1" applyFont="1" applyBorder="1"/>
    <xf numFmtId="0" fontId="5" fillId="0" borderId="18" xfId="0" applyFont="1" applyBorder="1"/>
    <xf numFmtId="165" fontId="5" fillId="0" borderId="27" xfId="0" applyNumberFormat="1" applyFont="1" applyBorder="1"/>
    <xf numFmtId="167" fontId="5" fillId="0" borderId="34" xfId="0" applyNumberFormat="1" applyFont="1" applyBorder="1"/>
    <xf numFmtId="165" fontId="0" fillId="0" borderId="35" xfId="0" applyNumberFormat="1" applyBorder="1"/>
    <xf numFmtId="165" fontId="0" fillId="0" borderId="22" xfId="0" applyNumberFormat="1" applyBorder="1"/>
    <xf numFmtId="167" fontId="5" fillId="0" borderId="36" xfId="0" applyNumberFormat="1" applyFont="1" applyBorder="1"/>
    <xf numFmtId="175" fontId="16" fillId="0" borderId="0" xfId="0" applyNumberFormat="1" applyFont="1" applyAlignment="1">
      <alignment horizontal="left"/>
    </xf>
    <xf numFmtId="176" fontId="16" fillId="0" borderId="0" xfId="0" applyNumberFormat="1" applyFont="1" applyAlignment="1">
      <alignment horizontal="left"/>
    </xf>
    <xf numFmtId="2" fontId="5" fillId="0" borderId="6" xfId="1" applyNumberFormat="1" applyFont="1" applyBorder="1"/>
    <xf numFmtId="2" fontId="5" fillId="0" borderId="2" xfId="1" applyNumberFormat="1" applyFont="1" applyBorder="1"/>
    <xf numFmtId="0" fontId="0" fillId="0" borderId="0" xfId="0" applyAlignment="1">
      <alignment horizontal="left" vertical="center" indent="1"/>
    </xf>
    <xf numFmtId="9" fontId="5" fillId="0" borderId="0" xfId="1" applyFont="1" applyBorder="1"/>
    <xf numFmtId="14" fontId="16" fillId="0" borderId="0" xfId="0" applyNumberFormat="1" applyFont="1"/>
    <xf numFmtId="167" fontId="11" fillId="0" borderId="37" xfId="0" applyNumberFormat="1" applyFont="1" applyBorder="1"/>
    <xf numFmtId="14" fontId="5" fillId="0" borderId="0" xfId="0" applyNumberFormat="1" applyFont="1"/>
    <xf numFmtId="167" fontId="5" fillId="0" borderId="37" xfId="0" applyNumberFormat="1" applyFont="1" applyBorder="1"/>
    <xf numFmtId="0" fontId="12" fillId="0" borderId="0" xfId="0" applyFont="1" applyAlignment="1">
      <alignment horizontal="left" indent="4"/>
    </xf>
    <xf numFmtId="0" fontId="0" fillId="0" borderId="0" xfId="0" applyAlignment="1">
      <alignment horizontal="left" indent="6"/>
    </xf>
    <xf numFmtId="41" fontId="4" fillId="0" borderId="0" xfId="0" applyNumberFormat="1" applyFont="1"/>
    <xf numFmtId="166" fontId="5" fillId="0" borderId="11" xfId="0" applyNumberFormat="1" applyFont="1" applyBorder="1"/>
    <xf numFmtId="0" fontId="0" fillId="0" borderId="11" xfId="0" applyBorder="1" applyAlignment="1">
      <alignment horizontal="left"/>
    </xf>
    <xf numFmtId="0" fontId="0" fillId="0" borderId="0" xfId="0" applyAlignment="1">
      <alignment wrapText="1"/>
    </xf>
    <xf numFmtId="0" fontId="10" fillId="0" borderId="0" xfId="2" applyFont="1"/>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0000FF"/>
      <color rgb="FFFF6600"/>
      <color rgb="FF666464"/>
      <color rgb="FF7E7E7E"/>
      <color rgb="FFE1E1E1"/>
      <color rgb="FF74A6C2"/>
      <color rgb="FF5085A1"/>
      <color rgb="FF437B9B"/>
      <color rgb="FF00000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title pos="t" align="ctr" overlay="0">
      <cx:tx>
        <cx:txData>
          <cx:v>RUFFCO GOLF BUYER FUNNEL</cx:v>
        </cx:txData>
      </cx:tx>
      <cx:txPr>
        <a:bodyPr spcFirstLastPara="1" vertOverflow="ellipsis" horzOverflow="overflow" wrap="square" lIns="0" tIns="0" rIns="0" bIns="0" anchor="ctr" anchorCtr="1"/>
        <a:lstStyle/>
        <a:p>
          <a:pPr algn="ctr" rtl="0">
            <a:defRPr>
              <a:solidFill>
                <a:srgbClr val="666464"/>
              </a:solidFill>
              <a:latin typeface="Arial MT"/>
              <a:ea typeface="Arial MT"/>
              <a:cs typeface="Arial MT"/>
            </a:defRPr>
          </a:pPr>
          <a:r>
            <a:rPr lang="en-US" sz="1200" b="0" i="0" u="none" strike="noStrike" baseline="0">
              <a:solidFill>
                <a:srgbClr val="666464"/>
              </a:solidFill>
              <a:latin typeface="Arial MT"/>
            </a:rPr>
            <a:t>RUFFCO GOLF BUYER FUNNEL</a:t>
          </a:r>
        </a:p>
      </cx:txPr>
    </cx:title>
    <cx:plotArea>
      <cx:plotAreaRegion>
        <cx:series layoutId="funnel" uniqueId="{C90C6621-4BC5-49DC-B4B5-96D3E9081091}">
          <cx:tx>
            <cx:txData>
              <cx:f>_xlchart.v2.1</cx:f>
              <cx:v>RuffCo Golf BUYER FUNNEL</cx:v>
            </cx:txData>
          </cx:tx>
          <cx:spPr>
            <a:solidFill>
              <a:srgbClr val="437B9B"/>
            </a:solidFill>
          </cx:spPr>
          <cx:dataPt idx="0">
            <cx:spPr>
              <a:solidFill>
                <a:srgbClr val="7E7E7E"/>
              </a:solidFill>
            </cx:spPr>
          </cx:dataPt>
          <cx:dataPt idx="2">
            <cx:spPr>
              <a:solidFill>
                <a:srgbClr val="74A6C2"/>
              </a:solidFill>
            </cx:spPr>
          </cx:dataPt>
          <cx:dataPt idx="3">
            <cx:spPr>
              <a:solidFill>
                <a:srgbClr val="74A6C2"/>
              </a:solidFill>
            </cx:spPr>
          </cx:dataPt>
          <cx:dataPt idx="4">
            <cx:spPr>
              <a:solidFill>
                <a:srgbClr val="E1E1E1"/>
              </a:solidFill>
            </cx:spPr>
          </cx:dataPt>
          <cx:dataLabels>
            <cx:txPr>
              <a:bodyPr spcFirstLastPara="1" vertOverflow="ellipsis" horzOverflow="overflow" wrap="square" lIns="0" tIns="0" rIns="0" bIns="0" anchor="ctr" anchorCtr="1"/>
              <a:lstStyle/>
              <a:p>
                <a:pPr algn="ctr" rtl="0">
                  <a:defRPr>
                    <a:solidFill>
                      <a:schemeClr val="bg1"/>
                    </a:solidFill>
                    <a:latin typeface="Arial MT"/>
                    <a:ea typeface="Arial MT"/>
                    <a:cs typeface="Arial MT"/>
                  </a:defRPr>
                </a:pPr>
                <a:endParaRPr lang="en-US" sz="900" b="0" i="0" u="none" strike="noStrike" baseline="0">
                  <a:solidFill>
                    <a:schemeClr val="bg1"/>
                  </a:solidFill>
                  <a:latin typeface="Arial MT"/>
                </a:endParaRPr>
              </a:p>
            </cx:txPr>
            <cx:visibility seriesName="0" categoryName="0" value="1"/>
            <cx:dataLabel idx="0">
              <cx:txPr>
                <a:bodyPr spcFirstLastPara="1" vertOverflow="ellipsis" horzOverflow="overflow" wrap="square" lIns="0" tIns="0" rIns="0" bIns="0" anchor="ctr" anchorCtr="1"/>
                <a:lstStyle/>
                <a:p>
                  <a:pPr algn="ctr" rtl="0">
                    <a:defRPr/>
                  </a:pPr>
                  <a:r>
                    <a:rPr lang="en-US" sz="900" b="0" i="0" u="none" strike="noStrike" baseline="0">
                      <a:solidFill>
                        <a:schemeClr val="bg1"/>
                      </a:solidFill>
                      <a:latin typeface="Arial MT"/>
                    </a:rPr>
                    <a:t>60</a:t>
                  </a:r>
                </a:p>
              </cx:txPr>
            </cx:dataLabel>
            <cx:dataLabel idx="4">
              <cx:txPr>
                <a:bodyPr spcFirstLastPara="1" vertOverflow="ellipsis" horzOverflow="overflow" wrap="square" lIns="0" tIns="0" rIns="0" bIns="0" anchor="ctr" anchorCtr="1"/>
                <a:lstStyle/>
                <a:p>
                  <a:pPr algn="ctr" rtl="0">
                    <a:defRPr>
                      <a:solidFill>
                        <a:sysClr val="windowText" lastClr="000000"/>
                      </a:solidFill>
                    </a:defRPr>
                  </a:pPr>
                  <a:r>
                    <a:rPr lang="en-US" sz="900" b="0" i="0" u="none" strike="noStrike" baseline="0">
                      <a:solidFill>
                        <a:sysClr val="windowText" lastClr="000000"/>
                      </a:solidFill>
                      <a:latin typeface="Arial MT"/>
                    </a:rPr>
                    <a:t>4</a:t>
                  </a:r>
                </a:p>
              </cx:txPr>
            </cx:dataLabel>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800">
                <a:solidFill>
                  <a:sysClr val="windowText" lastClr="000000"/>
                </a:solidFill>
                <a:latin typeface="Arial MT"/>
                <a:ea typeface="Arial MT"/>
                <a:cs typeface="Arial MT"/>
              </a:defRPr>
            </a:pPr>
            <a:endParaRPr lang="en-US" sz="800" b="0" i="0" u="none" strike="noStrike" baseline="0">
              <a:solidFill>
                <a:sysClr val="windowText" lastClr="000000"/>
              </a:solidFill>
              <a:latin typeface="Arial MT"/>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3</xdr:col>
      <xdr:colOff>131380</xdr:colOff>
      <xdr:row>86</xdr:row>
      <xdr:rowOff>0</xdr:rowOff>
    </xdr:from>
    <xdr:to>
      <xdr:col>6</xdr:col>
      <xdr:colOff>417787</xdr:colOff>
      <xdr:row>99</xdr:row>
      <xdr:rowOff>177800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B2FBE07C-FA50-46C1-8F2B-44DD2744E7F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639880" y="15836900"/>
              <a:ext cx="6052207" cy="25717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wallstreetoasis.com/files/HH%20Restructuring%20bsttcacs.pdf"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31BD9-1B7E-44D4-B29B-B78EA8CDA369}">
  <sheetPr codeName="Sheet3"/>
  <dimension ref="A2:E62"/>
  <sheetViews>
    <sheetView showGridLines="0" tabSelected="1" workbookViewId="0">
      <selection activeCell="D4" sqref="D4"/>
    </sheetView>
  </sheetViews>
  <sheetFormatPr defaultRowHeight="14.5" x14ac:dyDescent="0.35"/>
  <cols>
    <col min="1" max="1" width="8.7265625" style="4"/>
    <col min="2" max="2" width="32.453125" customWidth="1"/>
    <col min="3" max="5" width="20.6328125" customWidth="1"/>
  </cols>
  <sheetData>
    <row r="2" spans="1:5" x14ac:dyDescent="0.35">
      <c r="A2" s="4" t="s">
        <v>19</v>
      </c>
      <c r="B2" s="221" t="s">
        <v>678</v>
      </c>
    </row>
    <row r="4" spans="1:5" x14ac:dyDescent="0.35">
      <c r="A4" s="4" t="s">
        <v>19</v>
      </c>
      <c r="B4" s="1" t="s">
        <v>495</v>
      </c>
    </row>
    <row r="5" spans="1:5" x14ac:dyDescent="0.35">
      <c r="B5" s="209" t="s">
        <v>559</v>
      </c>
    </row>
    <row r="6" spans="1:5" x14ac:dyDescent="0.35">
      <c r="B6" s="209" t="s">
        <v>642</v>
      </c>
    </row>
    <row r="7" spans="1:5" x14ac:dyDescent="0.35">
      <c r="B7" s="209" t="s">
        <v>82</v>
      </c>
    </row>
    <row r="8" spans="1:5" x14ac:dyDescent="0.35">
      <c r="B8" s="209" t="s">
        <v>584</v>
      </c>
    </row>
    <row r="9" spans="1:5" x14ac:dyDescent="0.35">
      <c r="B9" s="209"/>
    </row>
    <row r="10" spans="1:5" x14ac:dyDescent="0.35">
      <c r="A10" s="4" t="s">
        <v>19</v>
      </c>
      <c r="B10" s="1" t="s">
        <v>558</v>
      </c>
    </row>
    <row r="11" spans="1:5" x14ac:dyDescent="0.35">
      <c r="B11" s="209" t="s">
        <v>582</v>
      </c>
    </row>
    <row r="12" spans="1:5" x14ac:dyDescent="0.35">
      <c r="B12" s="209" t="s">
        <v>561</v>
      </c>
    </row>
    <row r="13" spans="1:5" x14ac:dyDescent="0.35">
      <c r="B13" s="209" t="s">
        <v>560</v>
      </c>
    </row>
    <row r="14" spans="1:5" x14ac:dyDescent="0.35">
      <c r="B14" s="209" t="s">
        <v>585</v>
      </c>
    </row>
    <row r="16" spans="1:5" ht="14.5" customHeight="1" x14ac:dyDescent="0.35">
      <c r="A16" s="4" t="s">
        <v>19</v>
      </c>
      <c r="B16" s="178" t="s">
        <v>20</v>
      </c>
      <c r="C16" s="25"/>
      <c r="D16" s="25"/>
      <c r="E16" s="25"/>
    </row>
    <row r="17" spans="2:5" ht="14.5" customHeight="1" x14ac:dyDescent="0.35">
      <c r="B17" s="132" t="s">
        <v>125</v>
      </c>
      <c r="C17" s="25"/>
      <c r="D17" s="25"/>
      <c r="E17" s="25"/>
    </row>
    <row r="18" spans="2:5" ht="14.5" customHeight="1" x14ac:dyDescent="0.35">
      <c r="B18" s="25" t="s">
        <v>0</v>
      </c>
      <c r="C18" s="25" t="s">
        <v>1</v>
      </c>
      <c r="D18" s="25" t="s">
        <v>2</v>
      </c>
      <c r="E18" s="25" t="s">
        <v>3</v>
      </c>
    </row>
    <row r="19" spans="2:5" ht="14.5" customHeight="1" x14ac:dyDescent="0.35">
      <c r="B19" s="43" t="s">
        <v>4</v>
      </c>
      <c r="C19" s="63">
        <v>74.3</v>
      </c>
      <c r="D19" s="63">
        <v>104</v>
      </c>
      <c r="E19" s="63">
        <v>130</v>
      </c>
    </row>
    <row r="20" spans="2:5" ht="14.5" customHeight="1" x14ac:dyDescent="0.35">
      <c r="B20" s="179" t="s">
        <v>5</v>
      </c>
      <c r="C20" s="180">
        <v>0.5</v>
      </c>
      <c r="D20" s="180">
        <v>0.4</v>
      </c>
      <c r="E20" s="180">
        <v>0.25</v>
      </c>
    </row>
    <row r="21" spans="2:5" ht="14.5" customHeight="1" x14ac:dyDescent="0.35">
      <c r="B21" s="25" t="s">
        <v>6</v>
      </c>
      <c r="C21" s="17">
        <v>-43.3</v>
      </c>
      <c r="D21" s="17">
        <v>-61</v>
      </c>
      <c r="E21" s="17">
        <v>-77</v>
      </c>
    </row>
    <row r="22" spans="2:5" ht="14.5" customHeight="1" x14ac:dyDescent="0.35">
      <c r="B22" s="43" t="s">
        <v>7</v>
      </c>
      <c r="C22" s="181">
        <f>C19+C21</f>
        <v>31</v>
      </c>
      <c r="D22" s="181">
        <f>D19+D21</f>
        <v>43</v>
      </c>
      <c r="E22" s="181">
        <f>E19+E21</f>
        <v>53</v>
      </c>
    </row>
    <row r="23" spans="2:5" ht="14.5" customHeight="1" x14ac:dyDescent="0.35">
      <c r="B23" s="179" t="s">
        <v>8</v>
      </c>
      <c r="C23" s="177">
        <f>C22/C19</f>
        <v>0.41722745625841184</v>
      </c>
      <c r="D23" s="177">
        <f>D22/D19</f>
        <v>0.41346153846153844</v>
      </c>
      <c r="E23" s="177">
        <f>E22/E19</f>
        <v>0.40769230769230769</v>
      </c>
    </row>
    <row r="24" spans="2:5" ht="14.5" customHeight="1" x14ac:dyDescent="0.35">
      <c r="B24" s="25" t="s">
        <v>9</v>
      </c>
      <c r="C24" s="17">
        <v>-22.6</v>
      </c>
      <c r="D24" s="17">
        <v>-31</v>
      </c>
      <c r="E24" s="17">
        <v>-39.200000000000003</v>
      </c>
    </row>
    <row r="25" spans="2:5" ht="14.5" customHeight="1" x14ac:dyDescent="0.35">
      <c r="B25" s="43" t="s">
        <v>10</v>
      </c>
      <c r="C25" s="181">
        <f>C22+C24</f>
        <v>8.3999999999999986</v>
      </c>
      <c r="D25" s="181">
        <f>D22+D24</f>
        <v>12</v>
      </c>
      <c r="E25" s="181">
        <f>E22+E24</f>
        <v>13.799999999999997</v>
      </c>
    </row>
    <row r="26" spans="2:5" ht="14.5" customHeight="1" x14ac:dyDescent="0.35">
      <c r="B26" s="25" t="s">
        <v>11</v>
      </c>
      <c r="C26" s="17">
        <v>-1</v>
      </c>
      <c r="D26" s="17">
        <v>-3.8</v>
      </c>
      <c r="E26" s="17">
        <v>-5</v>
      </c>
    </row>
    <row r="27" spans="2:5" ht="14.5" customHeight="1" x14ac:dyDescent="0.35">
      <c r="B27" s="43" t="s">
        <v>12</v>
      </c>
      <c r="C27" s="181">
        <f>C25+C26</f>
        <v>7.3999999999999986</v>
      </c>
      <c r="D27" s="181">
        <f>D25+D26</f>
        <v>8.1999999999999993</v>
      </c>
      <c r="E27" s="181">
        <f>E25+E26</f>
        <v>8.7999999999999972</v>
      </c>
    </row>
    <row r="28" spans="2:5" ht="14.5" customHeight="1" x14ac:dyDescent="0.35">
      <c r="B28" s="25" t="s">
        <v>13</v>
      </c>
      <c r="C28" s="17">
        <v>-3</v>
      </c>
      <c r="D28" s="17">
        <v>-3.2</v>
      </c>
      <c r="E28" s="17">
        <v>-3.6</v>
      </c>
    </row>
    <row r="29" spans="2:5" ht="15" customHeight="1" thickBot="1" x14ac:dyDescent="0.4">
      <c r="B29" s="43" t="s">
        <v>14</v>
      </c>
      <c r="C29" s="181">
        <f>C27+C28</f>
        <v>4.3999999999999986</v>
      </c>
      <c r="D29" s="181">
        <f>D27+D28</f>
        <v>4.9999999999999991</v>
      </c>
      <c r="E29" s="181">
        <f>E27+E28</f>
        <v>5.1999999999999975</v>
      </c>
    </row>
    <row r="30" spans="2:5" ht="15" customHeight="1" thickTop="1" x14ac:dyDescent="0.35">
      <c r="B30" s="182" t="s">
        <v>18</v>
      </c>
      <c r="C30" s="183">
        <f>C25</f>
        <v>8.3999999999999986</v>
      </c>
      <c r="D30" s="183">
        <f>D25</f>
        <v>12</v>
      </c>
      <c r="E30" s="183">
        <f>E25</f>
        <v>13.799999999999997</v>
      </c>
    </row>
    <row r="31" spans="2:5" ht="14.5" customHeight="1" x14ac:dyDescent="0.35">
      <c r="B31" s="123" t="s">
        <v>15</v>
      </c>
      <c r="C31" s="20">
        <v>-2.8</v>
      </c>
      <c r="D31" s="20">
        <v>-4.4000000000000004</v>
      </c>
      <c r="E31" s="20">
        <v>-6.2</v>
      </c>
    </row>
    <row r="32" spans="2:5" ht="14.5" customHeight="1" x14ac:dyDescent="0.35">
      <c r="B32" s="25" t="s">
        <v>16</v>
      </c>
      <c r="C32" s="11">
        <f>C30-C31</f>
        <v>11.2</v>
      </c>
      <c r="D32" s="11">
        <f>D30-D31</f>
        <v>16.399999999999999</v>
      </c>
      <c r="E32" s="11">
        <f>E30-E31</f>
        <v>19.999999999999996</v>
      </c>
    </row>
    <row r="33" spans="1:5" ht="14.5" customHeight="1" x14ac:dyDescent="0.35">
      <c r="B33" s="179" t="s">
        <v>17</v>
      </c>
      <c r="C33" s="177">
        <f>C32/C19</f>
        <v>0.15074024226110364</v>
      </c>
      <c r="D33" s="177">
        <f>D32/D19</f>
        <v>0.15769230769230769</v>
      </c>
      <c r="E33" s="177">
        <f>E32/E19</f>
        <v>0.15384615384615383</v>
      </c>
    </row>
    <row r="35" spans="1:5" x14ac:dyDescent="0.35">
      <c r="A35" s="4" t="s">
        <v>19</v>
      </c>
      <c r="B35" s="1" t="s">
        <v>565</v>
      </c>
    </row>
    <row r="36" spans="1:5" x14ac:dyDescent="0.35">
      <c r="B36" t="s">
        <v>83</v>
      </c>
    </row>
    <row r="37" spans="1:5" x14ac:dyDescent="0.35">
      <c r="B37" t="s">
        <v>84</v>
      </c>
    </row>
    <row r="38" spans="1:5" x14ac:dyDescent="0.35">
      <c r="B38" t="s">
        <v>85</v>
      </c>
    </row>
    <row r="39" spans="1:5" x14ac:dyDescent="0.35">
      <c r="B39" t="s">
        <v>86</v>
      </c>
    </row>
    <row r="40" spans="1:5" x14ac:dyDescent="0.35">
      <c r="B40" t="s">
        <v>87</v>
      </c>
    </row>
    <row r="42" spans="1:5" ht="14.5" customHeight="1" x14ac:dyDescent="0.35">
      <c r="A42" s="4" t="s">
        <v>19</v>
      </c>
      <c r="B42" s="178" t="s">
        <v>21</v>
      </c>
      <c r="C42" s="25"/>
      <c r="D42" s="25"/>
      <c r="E42" s="25"/>
    </row>
    <row r="43" spans="1:5" ht="14.5" customHeight="1" x14ac:dyDescent="0.35">
      <c r="B43" s="132" t="s">
        <v>125</v>
      </c>
      <c r="C43" s="25"/>
      <c r="D43" s="25"/>
      <c r="E43" s="25"/>
    </row>
    <row r="44" spans="1:5" ht="14.5" customHeight="1" x14ac:dyDescent="0.35">
      <c r="B44" s="25" t="s">
        <v>22</v>
      </c>
      <c r="C44" s="25" t="s">
        <v>1</v>
      </c>
      <c r="D44" s="25" t="s">
        <v>2</v>
      </c>
      <c r="E44" s="25" t="s">
        <v>3</v>
      </c>
    </row>
    <row r="45" spans="1:5" ht="14.5" customHeight="1" x14ac:dyDescent="0.35">
      <c r="B45" s="43" t="s">
        <v>23</v>
      </c>
      <c r="C45" s="43"/>
      <c r="D45" s="43"/>
      <c r="E45" s="43"/>
    </row>
    <row r="46" spans="1:5" ht="14.5" customHeight="1" x14ac:dyDescent="0.35">
      <c r="B46" s="179" t="s">
        <v>24</v>
      </c>
      <c r="C46" s="18">
        <v>6.2</v>
      </c>
      <c r="D46" s="18">
        <v>10</v>
      </c>
      <c r="E46" s="18">
        <v>14.2</v>
      </c>
    </row>
    <row r="47" spans="1:5" ht="14.5" customHeight="1" x14ac:dyDescent="0.35">
      <c r="B47" s="179" t="s">
        <v>25</v>
      </c>
      <c r="C47" s="17">
        <v>6.6</v>
      </c>
      <c r="D47" s="17">
        <v>11.2</v>
      </c>
      <c r="E47" s="17">
        <v>16.399999999999999</v>
      </c>
    </row>
    <row r="48" spans="1:5" ht="14.5" customHeight="1" x14ac:dyDescent="0.35">
      <c r="B48" s="179" t="s">
        <v>26</v>
      </c>
      <c r="C48" s="17">
        <v>21.2</v>
      </c>
      <c r="D48" s="17">
        <v>48.8</v>
      </c>
      <c r="E48" s="17">
        <v>49.2</v>
      </c>
    </row>
    <row r="49" spans="2:5" ht="14.5" customHeight="1" x14ac:dyDescent="0.35">
      <c r="B49" s="184" t="s">
        <v>39</v>
      </c>
      <c r="C49" s="177">
        <f>C48/C50</f>
        <v>0.62352941176470589</v>
      </c>
      <c r="D49" s="177">
        <f>D48/D50</f>
        <v>0.69714285714285706</v>
      </c>
      <c r="E49" s="177">
        <f>E48/E50</f>
        <v>0.61654135338345872</v>
      </c>
    </row>
    <row r="50" spans="2:5" ht="15" customHeight="1" thickBot="1" x14ac:dyDescent="0.4">
      <c r="B50" s="125" t="s">
        <v>27</v>
      </c>
      <c r="C50" s="81">
        <f>SUM(C46:C48)</f>
        <v>34</v>
      </c>
      <c r="D50" s="81">
        <f>SUM(D46:D48)</f>
        <v>70</v>
      </c>
      <c r="E50" s="81">
        <f>SUM(E46:E48)</f>
        <v>79.8</v>
      </c>
    </row>
    <row r="51" spans="2:5" ht="15" customHeight="1" thickTop="1" x14ac:dyDescent="0.35">
      <c r="B51" s="25" t="s">
        <v>28</v>
      </c>
      <c r="C51" s="25"/>
      <c r="D51" s="25"/>
      <c r="E51" s="25"/>
    </row>
    <row r="52" spans="2:5" ht="14.5" customHeight="1" x14ac:dyDescent="0.35">
      <c r="B52" s="179" t="s">
        <v>29</v>
      </c>
      <c r="C52" s="17">
        <v>4.2</v>
      </c>
      <c r="D52" s="17">
        <v>6.4</v>
      </c>
      <c r="E52" s="17">
        <v>9</v>
      </c>
    </row>
    <row r="53" spans="2:5" ht="14.5" customHeight="1" x14ac:dyDescent="0.35">
      <c r="B53" s="25" t="s">
        <v>30</v>
      </c>
      <c r="C53" s="25"/>
      <c r="D53" s="25"/>
      <c r="E53" s="25"/>
    </row>
    <row r="54" spans="2:5" ht="14.5" customHeight="1" x14ac:dyDescent="0.35">
      <c r="B54" s="179" t="s">
        <v>31</v>
      </c>
      <c r="C54" s="17">
        <v>2.8</v>
      </c>
      <c r="D54" s="17">
        <v>9.8000000000000007</v>
      </c>
      <c r="E54" s="17">
        <v>19.2</v>
      </c>
    </row>
    <row r="55" spans="2:5" ht="14.5" customHeight="1" x14ac:dyDescent="0.35">
      <c r="B55" s="179" t="s">
        <v>32</v>
      </c>
      <c r="C55" s="11" t="s">
        <v>33</v>
      </c>
      <c r="D55" s="17">
        <v>10</v>
      </c>
      <c r="E55" s="17">
        <v>8.8000000000000007</v>
      </c>
    </row>
    <row r="56" spans="2:5" ht="14.5" customHeight="1" x14ac:dyDescent="0.35">
      <c r="B56" s="179" t="s">
        <v>34</v>
      </c>
      <c r="C56" s="17">
        <v>19.2</v>
      </c>
      <c r="D56" s="17">
        <v>16.399999999999999</v>
      </c>
      <c r="E56" s="17">
        <v>13.8</v>
      </c>
    </row>
    <row r="57" spans="2:5" ht="14.5" customHeight="1" x14ac:dyDescent="0.35">
      <c r="B57" s="179" t="s">
        <v>35</v>
      </c>
      <c r="C57" s="11" t="s">
        <v>33</v>
      </c>
      <c r="D57" s="17">
        <v>16</v>
      </c>
      <c r="E57" s="17">
        <v>13.8</v>
      </c>
    </row>
    <row r="58" spans="2:5" ht="14.5" customHeight="1" x14ac:dyDescent="0.35">
      <c r="B58" s="43" t="s">
        <v>623</v>
      </c>
      <c r="C58" s="59">
        <f>SUM(C54:C57)</f>
        <v>22</v>
      </c>
      <c r="D58" s="59">
        <f t="shared" ref="D58:E58" si="0">SUM(D54:D57)</f>
        <v>52.2</v>
      </c>
      <c r="E58" s="59">
        <f t="shared" si="0"/>
        <v>55.599999999999994</v>
      </c>
    </row>
    <row r="59" spans="2:5" ht="14.5" customHeight="1" x14ac:dyDescent="0.35">
      <c r="B59" s="43" t="s">
        <v>36</v>
      </c>
      <c r="C59" s="11">
        <f>C58+C52</f>
        <v>26.2</v>
      </c>
      <c r="D59" s="11">
        <f t="shared" ref="D59:E59" si="1">D58+D52</f>
        <v>58.6</v>
      </c>
      <c r="E59" s="11">
        <f t="shared" si="1"/>
        <v>64.599999999999994</v>
      </c>
    </row>
    <row r="60" spans="2:5" ht="14.5" customHeight="1" x14ac:dyDescent="0.35">
      <c r="B60" s="25" t="s">
        <v>37</v>
      </c>
      <c r="C60" s="17">
        <v>7.8</v>
      </c>
      <c r="D60" s="17">
        <v>11.4</v>
      </c>
      <c r="E60" s="17">
        <v>15.2</v>
      </c>
    </row>
    <row r="61" spans="2:5" ht="15" customHeight="1" thickBot="1" x14ac:dyDescent="0.4">
      <c r="B61" s="125" t="s">
        <v>38</v>
      </c>
      <c r="C61" s="61">
        <f>C59+C60</f>
        <v>34</v>
      </c>
      <c r="D61" s="61">
        <f t="shared" ref="D61:E61" si="2">D59+D60</f>
        <v>70</v>
      </c>
      <c r="E61" s="61">
        <f t="shared" si="2"/>
        <v>79.8</v>
      </c>
    </row>
    <row r="62" spans="2:5" ht="15" thickTop="1" x14ac:dyDescent="0.35"/>
  </sheetData>
  <hyperlinks>
    <hyperlink ref="B2" r:id="rId1" xr:uid="{FC6B80A3-1B1D-4816-9404-288131C8522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D8D46-52A8-4D74-AC15-B0EB6C375AF5}">
  <sheetPr codeName="Sheet4"/>
  <dimension ref="A2:D66"/>
  <sheetViews>
    <sheetView showGridLines="0" workbookViewId="0">
      <selection activeCell="A2" sqref="A2"/>
    </sheetView>
  </sheetViews>
  <sheetFormatPr defaultRowHeight="14.5" x14ac:dyDescent="0.35"/>
  <cols>
    <col min="1" max="1" width="8.7265625" style="4"/>
    <col min="2" max="2" width="36.26953125" customWidth="1"/>
    <col min="3" max="3" width="20.54296875" customWidth="1"/>
    <col min="4" max="4" width="28.453125" bestFit="1" customWidth="1"/>
    <col min="5" max="5" width="20.54296875" customWidth="1"/>
  </cols>
  <sheetData>
    <row r="2" spans="1:3" x14ac:dyDescent="0.35">
      <c r="A2" s="4" t="s">
        <v>19</v>
      </c>
      <c r="B2" s="1" t="s">
        <v>564</v>
      </c>
    </row>
    <row r="3" spans="1:3" x14ac:dyDescent="0.35">
      <c r="B3" t="s">
        <v>624</v>
      </c>
    </row>
    <row r="5" spans="1:3" x14ac:dyDescent="0.35">
      <c r="A5" s="4" t="s">
        <v>19</v>
      </c>
      <c r="B5" s="1" t="s">
        <v>40</v>
      </c>
    </row>
    <row r="6" spans="1:3" x14ac:dyDescent="0.35">
      <c r="B6" s="119" t="s">
        <v>125</v>
      </c>
      <c r="C6" s="2"/>
    </row>
    <row r="7" spans="1:3" ht="14.5" customHeight="1" x14ac:dyDescent="0.35">
      <c r="B7" t="s">
        <v>41</v>
      </c>
      <c r="C7" s="118">
        <v>7</v>
      </c>
    </row>
    <row r="8" spans="1:3" x14ac:dyDescent="0.35">
      <c r="B8" t="s">
        <v>88</v>
      </c>
      <c r="C8" s="29">
        <f>Background!E32*C7</f>
        <v>139.99999999999997</v>
      </c>
    </row>
    <row r="9" spans="1:3" x14ac:dyDescent="0.35">
      <c r="B9" s="6" t="s">
        <v>563</v>
      </c>
      <c r="C9" s="30">
        <f>-(Background!E58)</f>
        <v>-55.599999999999994</v>
      </c>
    </row>
    <row r="10" spans="1:3" x14ac:dyDescent="0.35">
      <c r="B10" t="s">
        <v>89</v>
      </c>
      <c r="C10" s="11">
        <f>C8+C9</f>
        <v>84.399999999999977</v>
      </c>
    </row>
    <row r="11" spans="1:3" x14ac:dyDescent="0.35">
      <c r="B11" s="6" t="s">
        <v>46</v>
      </c>
      <c r="C11" s="10">
        <v>0.125</v>
      </c>
    </row>
    <row r="12" spans="1:3" ht="15" thickBot="1" x14ac:dyDescent="0.4">
      <c r="B12" s="135" t="s">
        <v>44</v>
      </c>
      <c r="C12" s="81">
        <f>C10*C11</f>
        <v>10.549999999999997</v>
      </c>
    </row>
    <row r="13" spans="1:3" ht="15" thickTop="1" x14ac:dyDescent="0.35">
      <c r="B13" s="1" t="s">
        <v>50</v>
      </c>
    </row>
    <row r="14" spans="1:3" x14ac:dyDescent="0.35">
      <c r="A14"/>
      <c r="B14" t="s">
        <v>47</v>
      </c>
      <c r="C14" s="12">
        <v>0.15</v>
      </c>
    </row>
    <row r="15" spans="1:3" x14ac:dyDescent="0.35">
      <c r="B15" t="s">
        <v>49</v>
      </c>
      <c r="C15" s="217">
        <v>2</v>
      </c>
    </row>
    <row r="16" spans="1:3" ht="15" thickBot="1" x14ac:dyDescent="0.4">
      <c r="B16" s="60" t="s">
        <v>48</v>
      </c>
      <c r="C16" s="81">
        <f>C12*(1+C14)^C15</f>
        <v>13.952374999999995</v>
      </c>
    </row>
    <row r="17" spans="1:3" ht="15" thickTop="1" x14ac:dyDescent="0.35"/>
    <row r="18" spans="1:3" x14ac:dyDescent="0.35">
      <c r="A18" s="4" t="s">
        <v>19</v>
      </c>
      <c r="B18" s="1" t="s">
        <v>90</v>
      </c>
    </row>
    <row r="19" spans="1:3" x14ac:dyDescent="0.35">
      <c r="B19" s="6" t="s">
        <v>94</v>
      </c>
    </row>
    <row r="20" spans="1:3" x14ac:dyDescent="0.35">
      <c r="B20" s="6" t="s">
        <v>91</v>
      </c>
    </row>
    <row r="21" spans="1:3" x14ac:dyDescent="0.35">
      <c r="B21" t="s">
        <v>51</v>
      </c>
    </row>
    <row r="22" spans="1:3" x14ac:dyDescent="0.35">
      <c r="B22" s="6" t="s">
        <v>567</v>
      </c>
    </row>
    <row r="23" spans="1:3" x14ac:dyDescent="0.35">
      <c r="B23" s="6" t="s">
        <v>52</v>
      </c>
    </row>
    <row r="24" spans="1:3" x14ac:dyDescent="0.35">
      <c r="B24" s="6" t="s">
        <v>53</v>
      </c>
    </row>
    <row r="25" spans="1:3" x14ac:dyDescent="0.35">
      <c r="B25" s="6" t="s">
        <v>54</v>
      </c>
    </row>
    <row r="26" spans="1:3" x14ac:dyDescent="0.35">
      <c r="B26" s="6" t="s">
        <v>55</v>
      </c>
    </row>
    <row r="27" spans="1:3" x14ac:dyDescent="0.35">
      <c r="B27" s="6"/>
    </row>
    <row r="28" spans="1:3" x14ac:dyDescent="0.35">
      <c r="A28" s="4" t="s">
        <v>19</v>
      </c>
      <c r="B28" s="14" t="s">
        <v>70</v>
      </c>
    </row>
    <row r="29" spans="1:3" x14ac:dyDescent="0.35">
      <c r="B29" s="120" t="s">
        <v>125</v>
      </c>
      <c r="C29" s="2"/>
    </row>
    <row r="30" spans="1:3" ht="14.5" customHeight="1" x14ac:dyDescent="0.35">
      <c r="B30" s="25" t="s">
        <v>58</v>
      </c>
      <c r="C30" s="18">
        <v>166</v>
      </c>
    </row>
    <row r="31" spans="1:3" x14ac:dyDescent="0.35">
      <c r="B31" t="s">
        <v>59</v>
      </c>
      <c r="C31" s="17">
        <v>27.2</v>
      </c>
    </row>
    <row r="32" spans="1:3" x14ac:dyDescent="0.35">
      <c r="B32" s="6" t="s">
        <v>56</v>
      </c>
      <c r="C32" s="12">
        <v>0.15</v>
      </c>
    </row>
    <row r="33" spans="1:4" x14ac:dyDescent="0.35">
      <c r="B33" s="21" t="s">
        <v>49</v>
      </c>
      <c r="C33" s="22">
        <v>2</v>
      </c>
    </row>
    <row r="34" spans="1:4" x14ac:dyDescent="0.35">
      <c r="B34" t="s">
        <v>57</v>
      </c>
      <c r="C34" s="11">
        <f>C31*(1+C32)^C33</f>
        <v>35.971999999999994</v>
      </c>
    </row>
    <row r="35" spans="1:4" x14ac:dyDescent="0.35">
      <c r="B35" s="2" t="s">
        <v>60</v>
      </c>
      <c r="C35" s="23">
        <v>8</v>
      </c>
    </row>
    <row r="36" spans="1:4" x14ac:dyDescent="0.35">
      <c r="B36" t="s">
        <v>61</v>
      </c>
      <c r="C36" s="11">
        <f>C34*C35</f>
        <v>287.77599999999995</v>
      </c>
    </row>
    <row r="37" spans="1:4" x14ac:dyDescent="0.35">
      <c r="B37" s="6" t="s">
        <v>62</v>
      </c>
      <c r="C37" s="17">
        <v>88.6</v>
      </c>
    </row>
    <row r="38" spans="1:4" ht="15" thickBot="1" x14ac:dyDescent="0.4">
      <c r="B38" s="60" t="s">
        <v>63</v>
      </c>
      <c r="C38" s="81">
        <f>C36-C37</f>
        <v>199.17599999999996</v>
      </c>
    </row>
    <row r="39" spans="1:4" ht="15" thickTop="1" x14ac:dyDescent="0.35"/>
    <row r="40" spans="1:4" x14ac:dyDescent="0.35">
      <c r="A40" s="4" t="s">
        <v>19</v>
      </c>
      <c r="B40" s="1" t="s">
        <v>69</v>
      </c>
    </row>
    <row r="41" spans="1:4" x14ac:dyDescent="0.35">
      <c r="B41" s="9" t="s">
        <v>125</v>
      </c>
    </row>
    <row r="42" spans="1:4" x14ac:dyDescent="0.35">
      <c r="B42" s="119" t="s">
        <v>92</v>
      </c>
      <c r="C42" s="2" t="s">
        <v>71</v>
      </c>
      <c r="D42" s="2" t="s">
        <v>72</v>
      </c>
    </row>
    <row r="43" spans="1:4" x14ac:dyDescent="0.35">
      <c r="B43" s="6" t="s">
        <v>64</v>
      </c>
      <c r="C43" s="10">
        <v>0.75</v>
      </c>
      <c r="D43" s="24">
        <f>C43*$C$38</f>
        <v>149.38199999999998</v>
      </c>
    </row>
    <row r="44" spans="1:4" x14ac:dyDescent="0.35">
      <c r="B44" s="6" t="s">
        <v>45</v>
      </c>
      <c r="C44" s="10">
        <v>0.125</v>
      </c>
      <c r="D44" s="11">
        <f t="shared" ref="D44:D54" si="0">C44*$C$38</f>
        <v>24.896999999999995</v>
      </c>
    </row>
    <row r="45" spans="1:4" x14ac:dyDescent="0.35">
      <c r="B45" s="6" t="s">
        <v>65</v>
      </c>
      <c r="C45" s="10">
        <v>0.125</v>
      </c>
      <c r="D45" s="11">
        <f t="shared" si="0"/>
        <v>24.896999999999995</v>
      </c>
    </row>
    <row r="46" spans="1:4" x14ac:dyDescent="0.35">
      <c r="B46" s="6" t="s">
        <v>146</v>
      </c>
      <c r="C46" s="10">
        <v>0</v>
      </c>
      <c r="D46" s="11">
        <f t="shared" si="0"/>
        <v>0</v>
      </c>
    </row>
    <row r="47" spans="1:4" ht="15" thickBot="1" x14ac:dyDescent="0.4">
      <c r="B47" s="60" t="s">
        <v>66</v>
      </c>
      <c r="C47" s="218">
        <f>SUM(C43:C46)</f>
        <v>1</v>
      </c>
      <c r="D47" s="81">
        <f t="shared" si="0"/>
        <v>199.17599999999996</v>
      </c>
    </row>
    <row r="48" spans="1:4" ht="15" thickTop="1" x14ac:dyDescent="0.35">
      <c r="B48" s="13" t="s">
        <v>93</v>
      </c>
      <c r="C48" s="15"/>
      <c r="D48" s="8"/>
    </row>
    <row r="49" spans="1:4" x14ac:dyDescent="0.35">
      <c r="B49" t="s">
        <v>68</v>
      </c>
      <c r="C49" s="16">
        <f>1-C53</f>
        <v>0.7</v>
      </c>
      <c r="D49" s="11">
        <f t="shared" si="0"/>
        <v>139.42319999999995</v>
      </c>
    </row>
    <row r="50" spans="1:4" x14ac:dyDescent="0.35">
      <c r="B50" s="6" t="s">
        <v>64</v>
      </c>
      <c r="C50" s="16">
        <f>C43*$C$49</f>
        <v>0.52499999999999991</v>
      </c>
      <c r="D50" s="11">
        <f t="shared" si="0"/>
        <v>104.56739999999996</v>
      </c>
    </row>
    <row r="51" spans="1:4" x14ac:dyDescent="0.35">
      <c r="B51" s="6" t="s">
        <v>45</v>
      </c>
      <c r="C51" s="16">
        <f>C44*$C$49</f>
        <v>8.7499999999999994E-2</v>
      </c>
      <c r="D51" s="11">
        <f t="shared" si="0"/>
        <v>17.427899999999994</v>
      </c>
    </row>
    <row r="52" spans="1:4" x14ac:dyDescent="0.35">
      <c r="B52" s="6" t="s">
        <v>65</v>
      </c>
      <c r="C52" s="16">
        <f>C45*$C$49</f>
        <v>8.7499999999999994E-2</v>
      </c>
      <c r="D52" s="11">
        <f t="shared" si="0"/>
        <v>17.427899999999994</v>
      </c>
    </row>
    <row r="53" spans="1:4" x14ac:dyDescent="0.35">
      <c r="B53" t="s">
        <v>67</v>
      </c>
      <c r="C53" s="10">
        <v>0.3</v>
      </c>
      <c r="D53" s="11">
        <f>C53*$C$38</f>
        <v>59.752799999999986</v>
      </c>
    </row>
    <row r="54" spans="1:4" ht="15" thickBot="1" x14ac:dyDescent="0.4">
      <c r="B54" s="219" t="s">
        <v>66</v>
      </c>
      <c r="C54" s="218">
        <f>SUM(C50:C52)+C53</f>
        <v>1</v>
      </c>
      <c r="D54" s="81">
        <f t="shared" si="0"/>
        <v>199.17599999999996</v>
      </c>
    </row>
    <row r="55" spans="1:4" ht="15" thickTop="1" x14ac:dyDescent="0.35"/>
    <row r="56" spans="1:4" x14ac:dyDescent="0.35">
      <c r="A56" s="4" t="s">
        <v>19</v>
      </c>
      <c r="B56" s="14" t="s">
        <v>74</v>
      </c>
    </row>
    <row r="57" spans="1:4" x14ac:dyDescent="0.35">
      <c r="B57" s="120" t="s">
        <v>125</v>
      </c>
      <c r="C57" s="2" t="s">
        <v>77</v>
      </c>
    </row>
    <row r="58" spans="1:4" x14ac:dyDescent="0.35">
      <c r="B58" t="s">
        <v>73</v>
      </c>
      <c r="C58" s="118">
        <v>8</v>
      </c>
    </row>
    <row r="59" spans="1:4" x14ac:dyDescent="0.35">
      <c r="B59" t="s">
        <v>42</v>
      </c>
      <c r="C59" s="24">
        <f>C58*C31</f>
        <v>217.6</v>
      </c>
    </row>
    <row r="60" spans="1:4" x14ac:dyDescent="0.35">
      <c r="B60" s="21" t="s">
        <v>75</v>
      </c>
      <c r="C60" s="20">
        <v>125.4</v>
      </c>
    </row>
    <row r="61" spans="1:4" x14ac:dyDescent="0.35">
      <c r="B61" t="s">
        <v>43</v>
      </c>
      <c r="C61" s="11">
        <f>C59-C60</f>
        <v>92.199999999999989</v>
      </c>
    </row>
    <row r="62" spans="1:4" x14ac:dyDescent="0.35">
      <c r="B62" t="s">
        <v>76</v>
      </c>
      <c r="C62" s="17">
        <v>131.69999999999999</v>
      </c>
    </row>
    <row r="63" spans="1:4" x14ac:dyDescent="0.35">
      <c r="B63" s="6" t="s">
        <v>78</v>
      </c>
      <c r="C63" s="12">
        <v>0.1</v>
      </c>
    </row>
    <row r="64" spans="1:4" ht="15" thickBot="1" x14ac:dyDescent="0.4">
      <c r="B64" s="60" t="s">
        <v>79</v>
      </c>
      <c r="C64" s="81">
        <f>C62*C63</f>
        <v>13.17</v>
      </c>
    </row>
    <row r="65" spans="1:1" ht="15" thickTop="1" x14ac:dyDescent="0.35"/>
    <row r="66" spans="1:1" x14ac:dyDescent="0.35">
      <c r="A66"/>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31FD1-F6D6-48EA-9FED-FEA1475E5B1E}">
  <sheetPr codeName="Sheet5"/>
  <dimension ref="A2:J92"/>
  <sheetViews>
    <sheetView showGridLines="0" workbookViewId="0">
      <selection activeCell="A2" sqref="A2"/>
    </sheetView>
  </sheetViews>
  <sheetFormatPr defaultRowHeight="14.5" x14ac:dyDescent="0.35"/>
  <cols>
    <col min="1" max="1" width="8.7265625" style="4"/>
    <col min="2" max="2" width="32.453125" customWidth="1"/>
    <col min="3" max="9" width="20.54296875" customWidth="1"/>
  </cols>
  <sheetData>
    <row r="2" spans="1:5" x14ac:dyDescent="0.35">
      <c r="A2" s="4" t="s">
        <v>19</v>
      </c>
      <c r="B2" s="1" t="s">
        <v>81</v>
      </c>
    </row>
    <row r="3" spans="1:5" x14ac:dyDescent="0.35">
      <c r="B3" t="s">
        <v>80</v>
      </c>
    </row>
    <row r="4" spans="1:5" x14ac:dyDescent="0.35">
      <c r="B4" s="6" t="s">
        <v>643</v>
      </c>
    </row>
    <row r="5" spans="1:5" x14ac:dyDescent="0.35">
      <c r="B5" s="6" t="s">
        <v>95</v>
      </c>
    </row>
    <row r="6" spans="1:5" x14ac:dyDescent="0.35">
      <c r="B6" s="6" t="s">
        <v>96</v>
      </c>
    </row>
    <row r="7" spans="1:5" x14ac:dyDescent="0.35">
      <c r="B7" s="6" t="s">
        <v>97</v>
      </c>
    </row>
    <row r="8" spans="1:5" x14ac:dyDescent="0.35">
      <c r="B8" s="6" t="s">
        <v>98</v>
      </c>
    </row>
    <row r="9" spans="1:5" x14ac:dyDescent="0.35">
      <c r="B9" s="7" t="s">
        <v>99</v>
      </c>
    </row>
    <row r="11" spans="1:5" x14ac:dyDescent="0.35">
      <c r="A11" s="4" t="s">
        <v>19</v>
      </c>
      <c r="B11" s="14" t="s">
        <v>103</v>
      </c>
    </row>
    <row r="12" spans="1:5" x14ac:dyDescent="0.35">
      <c r="B12" s="13" t="s">
        <v>125</v>
      </c>
    </row>
    <row r="13" spans="1:5" x14ac:dyDescent="0.35">
      <c r="B13" s="2" t="s">
        <v>22</v>
      </c>
      <c r="C13" s="2" t="s">
        <v>100</v>
      </c>
      <c r="D13" s="2" t="s">
        <v>101</v>
      </c>
      <c r="E13" s="2" t="s">
        <v>102</v>
      </c>
    </row>
    <row r="14" spans="1:5" x14ac:dyDescent="0.35">
      <c r="B14" t="s">
        <v>4</v>
      </c>
      <c r="C14" s="18">
        <v>130</v>
      </c>
      <c r="D14" s="18">
        <v>36</v>
      </c>
      <c r="E14" s="24">
        <f>SUM(C14:D14)</f>
        <v>166</v>
      </c>
    </row>
    <row r="15" spans="1:5" x14ac:dyDescent="0.35">
      <c r="B15" s="21" t="s">
        <v>6</v>
      </c>
      <c r="C15" s="20">
        <v>-77</v>
      </c>
      <c r="D15" s="20">
        <v>-20</v>
      </c>
      <c r="E15" s="31">
        <f>SUM(C15:D15)</f>
        <v>-97</v>
      </c>
    </row>
    <row r="16" spans="1:5" x14ac:dyDescent="0.35">
      <c r="B16" t="s">
        <v>7</v>
      </c>
      <c r="C16" s="11">
        <f>C14+C15</f>
        <v>53</v>
      </c>
      <c r="D16" s="11">
        <f>D14+D15</f>
        <v>16</v>
      </c>
      <c r="E16" s="11">
        <f>SUM(C16:D16)</f>
        <v>69</v>
      </c>
    </row>
    <row r="17" spans="1:5" x14ac:dyDescent="0.35">
      <c r="B17" t="s">
        <v>8</v>
      </c>
      <c r="C17" s="3">
        <f>C16/C14</f>
        <v>0.40769230769230769</v>
      </c>
      <c r="D17" s="3">
        <f>D16/D14</f>
        <v>0.44444444444444442</v>
      </c>
      <c r="E17" s="3">
        <f>E16/E14</f>
        <v>0.41566265060240964</v>
      </c>
    </row>
    <row r="18" spans="1:5" x14ac:dyDescent="0.35">
      <c r="B18" s="21" t="s">
        <v>9</v>
      </c>
      <c r="C18" s="20">
        <v>-39.200000000000003</v>
      </c>
      <c r="D18" s="20">
        <v>-10.8</v>
      </c>
      <c r="E18" s="31">
        <f t="shared" ref="E18:E26" si="0">SUM(C18:D18)</f>
        <v>-50</v>
      </c>
    </row>
    <row r="19" spans="1:5" x14ac:dyDescent="0.35">
      <c r="B19" t="s">
        <v>10</v>
      </c>
      <c r="C19" s="11">
        <f>C16+C18</f>
        <v>13.799999999999997</v>
      </c>
      <c r="D19" s="11">
        <f>D16+D18</f>
        <v>5.1999999999999993</v>
      </c>
      <c r="E19" s="11">
        <f t="shared" si="0"/>
        <v>18.999999999999996</v>
      </c>
    </row>
    <row r="20" spans="1:5" x14ac:dyDescent="0.35">
      <c r="B20" s="21" t="s">
        <v>11</v>
      </c>
      <c r="C20" s="20">
        <v>-5</v>
      </c>
      <c r="D20" s="20">
        <v>-2</v>
      </c>
      <c r="E20" s="31">
        <f t="shared" si="0"/>
        <v>-7</v>
      </c>
    </row>
    <row r="21" spans="1:5" x14ac:dyDescent="0.35">
      <c r="B21" t="s">
        <v>12</v>
      </c>
      <c r="C21" s="11">
        <f>C19+C20</f>
        <v>8.7999999999999972</v>
      </c>
      <c r="D21" s="11">
        <f>D19+D20</f>
        <v>3.1999999999999993</v>
      </c>
      <c r="E21" s="11">
        <f t="shared" si="0"/>
        <v>11.999999999999996</v>
      </c>
    </row>
    <row r="22" spans="1:5" x14ac:dyDescent="0.35">
      <c r="B22" s="6" t="s">
        <v>104</v>
      </c>
      <c r="C22" s="17">
        <v>-3.6</v>
      </c>
      <c r="D22" s="17">
        <v>-1.3</v>
      </c>
      <c r="E22" s="11">
        <f t="shared" si="0"/>
        <v>-4.9000000000000004</v>
      </c>
    </row>
    <row r="23" spans="1:5" ht="15" thickBot="1" x14ac:dyDescent="0.4">
      <c r="B23" s="60" t="s">
        <v>14</v>
      </c>
      <c r="C23" s="61">
        <f>C21+C22</f>
        <v>5.1999999999999975</v>
      </c>
      <c r="D23" s="61">
        <f>D21+D22</f>
        <v>1.8999999999999992</v>
      </c>
      <c r="E23" s="61">
        <f t="shared" si="0"/>
        <v>7.099999999999997</v>
      </c>
    </row>
    <row r="24" spans="1:5" ht="15" thickTop="1" x14ac:dyDescent="0.35">
      <c r="B24" t="s">
        <v>10</v>
      </c>
      <c r="C24" s="11">
        <f>C19</f>
        <v>13.799999999999997</v>
      </c>
      <c r="D24" s="11">
        <f t="shared" ref="D24" si="1">D19</f>
        <v>5.1999999999999993</v>
      </c>
      <c r="E24" s="11">
        <f t="shared" si="0"/>
        <v>18.999999999999996</v>
      </c>
    </row>
    <row r="25" spans="1:5" x14ac:dyDescent="0.35">
      <c r="B25" s="21" t="s">
        <v>15</v>
      </c>
      <c r="C25" s="20">
        <v>-6.2</v>
      </c>
      <c r="D25" s="20">
        <v>-2</v>
      </c>
      <c r="E25" s="31">
        <f t="shared" si="0"/>
        <v>-8.1999999999999993</v>
      </c>
    </row>
    <row r="26" spans="1:5" x14ac:dyDescent="0.35">
      <c r="B26" t="s">
        <v>16</v>
      </c>
      <c r="C26" s="24">
        <f>C24-C25</f>
        <v>19.999999999999996</v>
      </c>
      <c r="D26" s="24">
        <f>D24-D25</f>
        <v>7.1999999999999993</v>
      </c>
      <c r="E26" s="24">
        <f t="shared" si="0"/>
        <v>27.199999999999996</v>
      </c>
    </row>
    <row r="27" spans="1:5" x14ac:dyDescent="0.35">
      <c r="B27" t="s">
        <v>17</v>
      </c>
      <c r="C27" s="3">
        <f>C26/C14</f>
        <v>0.15384615384615383</v>
      </c>
      <c r="D27" s="3">
        <f>D26/D14</f>
        <v>0.19999999999999998</v>
      </c>
      <c r="E27" s="3">
        <f>E26/E14</f>
        <v>0.16385542168674697</v>
      </c>
    </row>
    <row r="29" spans="1:5" x14ac:dyDescent="0.35">
      <c r="A29" s="4" t="s">
        <v>19</v>
      </c>
      <c r="B29" s="1" t="s">
        <v>105</v>
      </c>
    </row>
    <row r="30" spans="1:5" x14ac:dyDescent="0.35">
      <c r="B30" s="9" t="s">
        <v>125</v>
      </c>
    </row>
    <row r="31" spans="1:5" x14ac:dyDescent="0.35">
      <c r="B31" s="2" t="s">
        <v>106</v>
      </c>
      <c r="C31" s="2"/>
    </row>
    <row r="32" spans="1:5" x14ac:dyDescent="0.35">
      <c r="B32" t="s">
        <v>107</v>
      </c>
      <c r="C32" s="24">
        <f>D26</f>
        <v>7.1999999999999993</v>
      </c>
    </row>
    <row r="33" spans="1:5" x14ac:dyDescent="0.35">
      <c r="B33" s="2" t="s">
        <v>108</v>
      </c>
      <c r="C33" s="23">
        <v>9</v>
      </c>
    </row>
    <row r="34" spans="1:5" x14ac:dyDescent="0.35">
      <c r="B34" t="s">
        <v>109</v>
      </c>
      <c r="C34" s="11">
        <f>C32*C33</f>
        <v>64.8</v>
      </c>
    </row>
    <row r="35" spans="1:5" x14ac:dyDescent="0.35">
      <c r="B35" s="21" t="s">
        <v>110</v>
      </c>
      <c r="C35" s="20">
        <v>-24.4</v>
      </c>
    </row>
    <row r="36" spans="1:5" x14ac:dyDescent="0.35">
      <c r="B36" t="s">
        <v>111</v>
      </c>
      <c r="C36" s="11">
        <f>C34+C35</f>
        <v>40.4</v>
      </c>
    </row>
    <row r="37" spans="1:5" ht="14.5" customHeight="1" x14ac:dyDescent="0.35">
      <c r="B37" s="21" t="s">
        <v>112</v>
      </c>
      <c r="C37" s="20">
        <v>-5</v>
      </c>
    </row>
    <row r="38" spans="1:5" ht="15" thickBot="1" x14ac:dyDescent="0.4">
      <c r="B38" s="62" t="s">
        <v>113</v>
      </c>
      <c r="C38" s="124">
        <f>C36-C37</f>
        <v>45.4</v>
      </c>
      <c r="E38" s="36"/>
    </row>
    <row r="39" spans="1:5" ht="15" thickTop="1" x14ac:dyDescent="0.35"/>
    <row r="40" spans="1:5" x14ac:dyDescent="0.35">
      <c r="A40" s="4" t="s">
        <v>19</v>
      </c>
      <c r="B40" s="1" t="s">
        <v>114</v>
      </c>
    </row>
    <row r="41" spans="1:5" x14ac:dyDescent="0.35">
      <c r="B41" s="9" t="s">
        <v>125</v>
      </c>
    </row>
    <row r="42" spans="1:5" x14ac:dyDescent="0.35">
      <c r="B42" s="2" t="s">
        <v>115</v>
      </c>
      <c r="C42" s="2" t="s">
        <v>124</v>
      </c>
    </row>
    <row r="43" spans="1:5" x14ac:dyDescent="0.35">
      <c r="B43" t="s">
        <v>116</v>
      </c>
      <c r="C43" s="121">
        <f>E26</f>
        <v>27.199999999999996</v>
      </c>
    </row>
    <row r="44" spans="1:5" x14ac:dyDescent="0.35">
      <c r="B44" s="2" t="s">
        <v>117</v>
      </c>
      <c r="C44" s="23">
        <v>8</v>
      </c>
    </row>
    <row r="45" spans="1:5" x14ac:dyDescent="0.35">
      <c r="B45" s="38" t="s">
        <v>118</v>
      </c>
      <c r="C45" s="43">
        <f>C43*C44</f>
        <v>217.59999999999997</v>
      </c>
      <c r="D45" s="49"/>
    </row>
    <row r="46" spans="1:5" x14ac:dyDescent="0.35">
      <c r="B46" s="21" t="s">
        <v>119</v>
      </c>
      <c r="C46" s="26">
        <v>125.4</v>
      </c>
    </row>
    <row r="47" spans="1:5" x14ac:dyDescent="0.35">
      <c r="B47" t="s">
        <v>120</v>
      </c>
      <c r="C47" s="25">
        <f>C45-C46</f>
        <v>92.19999999999996</v>
      </c>
    </row>
    <row r="48" spans="1:5" x14ac:dyDescent="0.35">
      <c r="B48" s="6" t="s">
        <v>121</v>
      </c>
      <c r="C48" s="5">
        <v>0.3</v>
      </c>
    </row>
    <row r="49" spans="1:9" x14ac:dyDescent="0.35">
      <c r="B49" t="s">
        <v>122</v>
      </c>
      <c r="C49" s="42">
        <v>131.69999999999999</v>
      </c>
    </row>
    <row r="50" spans="1:9" ht="14.5" customHeight="1" thickBot="1" x14ac:dyDescent="0.4">
      <c r="B50" s="125" t="s">
        <v>123</v>
      </c>
      <c r="C50" s="126">
        <f>C49-C47</f>
        <v>39.500000000000028</v>
      </c>
    </row>
    <row r="51" spans="1:9" ht="15" thickTop="1" x14ac:dyDescent="0.35">
      <c r="A51"/>
    </row>
    <row r="52" spans="1:9" x14ac:dyDescent="0.35">
      <c r="A52" s="4" t="s">
        <v>19</v>
      </c>
      <c r="B52" s="1" t="s">
        <v>126</v>
      </c>
      <c r="C52" s="121"/>
    </row>
    <row r="53" spans="1:9" x14ac:dyDescent="0.35">
      <c r="B53" s="119" t="s">
        <v>125</v>
      </c>
      <c r="C53" s="122"/>
    </row>
    <row r="54" spans="1:9" x14ac:dyDescent="0.35">
      <c r="B54" t="s">
        <v>123</v>
      </c>
      <c r="C54" s="121">
        <f>C50</f>
        <v>39.500000000000028</v>
      </c>
      <c r="D54" s="37"/>
    </row>
    <row r="55" spans="1:9" x14ac:dyDescent="0.35">
      <c r="B55" t="s">
        <v>31</v>
      </c>
      <c r="C55" s="17">
        <v>-14.4</v>
      </c>
      <c r="E55" s="36"/>
    </row>
    <row r="56" spans="1:9" x14ac:dyDescent="0.35">
      <c r="B56" t="s">
        <v>32</v>
      </c>
      <c r="C56" s="17">
        <v>-22.4</v>
      </c>
      <c r="E56" s="36"/>
    </row>
    <row r="57" spans="1:9" ht="15" thickBot="1" x14ac:dyDescent="0.4">
      <c r="B57" s="60" t="s">
        <v>144</v>
      </c>
      <c r="C57" s="126">
        <f>SUM(C54:C56)</f>
        <v>2.7000000000000313</v>
      </c>
      <c r="E57" s="36"/>
    </row>
    <row r="58" spans="1:9" ht="15" thickTop="1" x14ac:dyDescent="0.35">
      <c r="E58" s="36"/>
    </row>
    <row r="59" spans="1:9" ht="15" thickBot="1" x14ac:dyDescent="0.4">
      <c r="A59" s="4" t="s">
        <v>19</v>
      </c>
      <c r="B59" s="1" t="s">
        <v>641</v>
      </c>
    </row>
    <row r="60" spans="1:9" ht="14.5" customHeight="1" x14ac:dyDescent="0.35">
      <c r="B60" s="9" t="s">
        <v>125</v>
      </c>
      <c r="C60" t="s">
        <v>100</v>
      </c>
      <c r="D60" t="s">
        <v>101</v>
      </c>
      <c r="E60" s="188" t="s">
        <v>134</v>
      </c>
      <c r="F60" s="153"/>
      <c r="G60" s="28" t="s">
        <v>135</v>
      </c>
      <c r="H60" s="28"/>
      <c r="I60" s="27" t="s">
        <v>136</v>
      </c>
    </row>
    <row r="61" spans="1:9" ht="14.5" customHeight="1" x14ac:dyDescent="0.35">
      <c r="B61" s="43" t="s">
        <v>127</v>
      </c>
      <c r="C61" s="189">
        <v>39447</v>
      </c>
      <c r="D61" s="189">
        <v>39447</v>
      </c>
      <c r="E61" s="43" t="s">
        <v>132</v>
      </c>
      <c r="F61" s="190" t="s">
        <v>133</v>
      </c>
      <c r="G61" s="38" t="s">
        <v>132</v>
      </c>
      <c r="H61" s="38" t="s">
        <v>133</v>
      </c>
      <c r="I61" s="191">
        <v>39447</v>
      </c>
    </row>
    <row r="62" spans="1:9" ht="14.5" customHeight="1" x14ac:dyDescent="0.35">
      <c r="B62" s="179" t="s">
        <v>128</v>
      </c>
      <c r="C62" s="29">
        <f>Background!E46</f>
        <v>14.2</v>
      </c>
      <c r="D62" s="18">
        <v>4</v>
      </c>
      <c r="E62" s="25"/>
      <c r="F62" s="25"/>
      <c r="G62" s="200" t="str" cm="1">
        <f t="array" ref="G62">IF(G$61="Debit",_xlfn.IFS($B62="Intangible Assets",$C$57,TRUE,IFERROR(_xlfn.XLOOKUP($B62,$B$54:$B$57,$C$54:$C$57),"")),IF($B62="Shareholders Equity",_xlfn.XLOOKUP("IPO Proceeds",$B$54:$B$57,$C$54:$C$57),""))</f>
        <v/>
      </c>
      <c r="H62" s="11" t="str" cm="1">
        <f t="array" ref="H62">IF(H$61="Debit",_xlfn.IFS($B62="Intangible Assets",$C$57,TRUE,IFERROR(_xlfn.XLOOKUP($B62,$B$54:$B$57,$C$54:$C$57),"")),IF($B62="Shareholders Equity",_xlfn.XLOOKUP("IPO Proceeds",$B$54:$B$57,$C$54:$C$57),""))</f>
        <v/>
      </c>
      <c r="I62" s="39">
        <f>SUM(C62:H62)</f>
        <v>18.2</v>
      </c>
    </row>
    <row r="63" spans="1:9" ht="14.5" customHeight="1" x14ac:dyDescent="0.35">
      <c r="B63" s="6" t="s">
        <v>25</v>
      </c>
      <c r="C63" s="30">
        <f>Background!E47</f>
        <v>16.399999999999999</v>
      </c>
      <c r="D63" s="17">
        <v>4.8</v>
      </c>
      <c r="E63" s="25"/>
      <c r="F63" s="168"/>
      <c r="G63" s="8" t="str" cm="1">
        <f t="array" ref="G63">IF(G$61="Debit",_xlfn.IFS($B63="Intangible Assets",$C$57,TRUE,IFERROR(_xlfn.XLOOKUP($B63,$B$54:$B$57,$C$54:$C$57),"")),IF($B63="Shareholders Equity",_xlfn.XLOOKUP("IPO Proceeds",$B$54:$B$57,$C$54:$C$57),""))</f>
        <v/>
      </c>
      <c r="H63" s="8" t="str" cm="1">
        <f t="array" ref="H63">IF(H$61="Debit",_xlfn.IFS($B63="Intangible Assets",$C$57,TRUE,IFERROR(_xlfn.XLOOKUP($B63,$B$54:$B$57,$C$54:$C$57),"")),IF($B63="Shareholders Equity",_xlfn.XLOOKUP("IPO Proceeds",$B$54:$B$57,$C$54:$C$57),""))</f>
        <v/>
      </c>
      <c r="I63" s="40">
        <f t="shared" ref="I63:I73" si="2">SUM(C63:H63)</f>
        <v>21.2</v>
      </c>
    </row>
    <row r="64" spans="1:9" ht="14.5" customHeight="1" x14ac:dyDescent="0.35">
      <c r="B64" s="6" t="s">
        <v>129</v>
      </c>
      <c r="C64" s="30">
        <f>Background!E48</f>
        <v>49.2</v>
      </c>
      <c r="D64" s="17">
        <v>15.2</v>
      </c>
      <c r="E64" s="25"/>
      <c r="F64" s="168"/>
      <c r="G64" s="8" t="str" cm="1">
        <f t="array" ref="G64">IF(G$61="Debit",_xlfn.IFS($B64="Intangible Assets",$C$57,TRUE,IFERROR(_xlfn.XLOOKUP($B64,$B$54:$B$57,$C$54:$C$57),"")),IF($B64="Shareholders Equity",_xlfn.XLOOKUP("IPO Proceeds",$B$54:$B$57,$C$54:$C$57),""))</f>
        <v/>
      </c>
      <c r="H64" s="8" t="str" cm="1">
        <f t="array" ref="H64">IF(H$61="Debit",_xlfn.IFS($B64="Intangible Assets",$C$57,TRUE,IFERROR(_xlfn.XLOOKUP($B64,$B$54:$B$57,$C$54:$C$57),"")),IF($B64="Shareholders Equity",_xlfn.XLOOKUP("IPO Proceeds",$B$54:$B$57,$C$54:$C$57),""))</f>
        <v/>
      </c>
      <c r="I64" s="40">
        <f t="shared" si="2"/>
        <v>64.400000000000006</v>
      </c>
    </row>
    <row r="65" spans="1:10" ht="14.5" customHeight="1" x14ac:dyDescent="0.35">
      <c r="B65" s="6" t="s">
        <v>130</v>
      </c>
      <c r="C65" s="17">
        <v>0</v>
      </c>
      <c r="D65" s="17">
        <v>10</v>
      </c>
      <c r="E65" s="25">
        <f>F72-E76</f>
        <v>37.6</v>
      </c>
      <c r="F65" s="168"/>
      <c r="G65" s="11" cm="1">
        <f t="array" ref="G65">IF(G$61="Debit",_xlfn.IFS($B65="Intangible Assets",$C$57,TRUE,IFERROR(_xlfn.XLOOKUP($B65,$B$54:$B$57,$C$54:$C$57),"")),IF($B65="Shareholders Equity",_xlfn.XLOOKUP("IPO Proceeds",$B$54:$B$57,$C$54:$C$57),""))</f>
        <v>2.7000000000000313</v>
      </c>
      <c r="H65" s="8" t="str" cm="1">
        <f t="array" ref="H65">IF(H$61="Debit",_xlfn.IFS($B65="Intangible Assets",$C$57,TRUE,IFERROR(_xlfn.XLOOKUP($B65,$B$54:$B$57,$C$54:$C$57),"")),IF($B65="Shareholders Equity",_xlfn.XLOOKUP("IPO Proceeds",$B$54:$B$57,$C$54:$C$57),""))</f>
        <v/>
      </c>
      <c r="I65" s="40">
        <f t="shared" si="2"/>
        <v>50.300000000000033</v>
      </c>
    </row>
    <row r="66" spans="1:10" ht="14.5" customHeight="1" thickBot="1" x14ac:dyDescent="0.4">
      <c r="B66" s="6" t="s">
        <v>131</v>
      </c>
      <c r="C66" s="81">
        <f>SUM(C62:C65)</f>
        <v>79.8</v>
      </c>
      <c r="D66" s="81">
        <f>SUM(D62:D65)</f>
        <v>34</v>
      </c>
      <c r="E66" s="25"/>
      <c r="F66" s="168"/>
      <c r="G66" s="8" t="str" cm="1">
        <f t="array" ref="G66">IF(G$61="Debit",_xlfn.IFS($B66="Intangible Assets",$C$57,TRUE,IFERROR(_xlfn.XLOOKUP($B66,$B$54:$B$57,$C$54:$C$57),"")),IF($B66="Shareholders Equity",_xlfn.XLOOKUP("IPO Proceeds",$B$54:$B$57,$C$54:$C$57),""))</f>
        <v/>
      </c>
      <c r="H66" s="8" t="str" cm="1">
        <f t="array" ref="H66">IF(H$61="Debit",_xlfn.IFS($B66="Intangible Assets",$C$57,TRUE,IFERROR(_xlfn.XLOOKUP($B66,$B$54:$B$57,$C$54:$C$57),"")),IF($B66="Shareholders Equity",_xlfn.XLOOKUP("IPO Proceeds",$B$54:$B$57,$C$54:$C$57),""))</f>
        <v/>
      </c>
      <c r="I66" s="128">
        <f>SUM(I62:I65)</f>
        <v>154.10000000000005</v>
      </c>
    </row>
    <row r="67" spans="1:10" ht="14.5" customHeight="1" thickTop="1" x14ac:dyDescent="0.35">
      <c r="E67" s="25"/>
      <c r="F67" s="168"/>
      <c r="G67" s="8" t="str" cm="1">
        <f t="array" ref="G67">IF(G$61="Debit",_xlfn.IFS($B67="Intangible Assets",$C$57,TRUE,IFERROR(_xlfn.XLOOKUP($B67,$B$54:$B$57,$C$54:$C$57),"")),IF($B67="Shareholders Equity",_xlfn.XLOOKUP("IPO Proceeds",$B$54:$B$57,$C$54:$C$57),""))</f>
        <v/>
      </c>
      <c r="H67" s="8" t="str" cm="1">
        <f t="array" ref="H67">IF(H$61="Debit",_xlfn.IFS($B67="Intangible Assets",$C$57,TRUE,IFERROR(_xlfn.XLOOKUP($B67,$B$54:$B$57,$C$54:$C$57),"")),IF($B67="Shareholders Equity",_xlfn.XLOOKUP("IPO Proceeds",$B$54:$B$57,$C$54:$C$57),""))</f>
        <v/>
      </c>
      <c r="I67" s="32"/>
    </row>
    <row r="68" spans="1:10" ht="14.5" customHeight="1" x14ac:dyDescent="0.35">
      <c r="B68" s="33" t="s">
        <v>143</v>
      </c>
      <c r="F68" s="168"/>
      <c r="G68" s="8" t="str" cm="1">
        <f t="array" ref="G68">IF(G$61="Debit",_xlfn.IFS($B68="Intangible Assets",$C$57,TRUE,IFERROR(_xlfn.XLOOKUP($B68,$B$54:$B$57,$C$54:$C$57),"")),IF($B68="Shareholders Equity",_xlfn.XLOOKUP("IPO Proceeds",$B$54:$B$57,$C$54:$C$57),""))</f>
        <v/>
      </c>
      <c r="H68" s="8" t="str" cm="1">
        <f t="array" ref="H68">IF(H$61="Debit",_xlfn.IFS($B68="Intangible Assets",$C$57,TRUE,IFERROR(_xlfn.XLOOKUP($B68,$B$54:$B$57,$C$54:$C$57),"")),IF($B68="Shareholders Equity",_xlfn.XLOOKUP("IPO Proceeds",$B$54:$B$57,$C$54:$C$57),""))</f>
        <v/>
      </c>
      <c r="I68" s="32"/>
    </row>
    <row r="69" spans="1:10" x14ac:dyDescent="0.35">
      <c r="B69" s="34" t="s">
        <v>137</v>
      </c>
      <c r="C69" s="44">
        <f>Background!E52</f>
        <v>9</v>
      </c>
      <c r="D69" s="47">
        <v>1.8</v>
      </c>
      <c r="F69" s="168"/>
      <c r="G69" s="8" t="str" cm="1">
        <f t="array" ref="G69">IF(G$61="Debit",_xlfn.IFS($B69="Intangible Assets",$C$57,TRUE,IFERROR(_xlfn.XLOOKUP($B69,$B$54:$B$57,$C$54:$C$57),"")),IF($B69="Shareholders Equity",_xlfn.XLOOKUP("IPO Proceeds",$B$54:$B$57,$C$54:$C$57),""))</f>
        <v/>
      </c>
      <c r="H69" s="8" t="str" cm="1">
        <f t="array" ref="H69">IF(H$61="Debit",_xlfn.IFS($B69="Intangible Assets",$C$57,TRUE,IFERROR(_xlfn.XLOOKUP($B69,$B$54:$B$57,$C$54:$C$57),"")),IF($B69="Shareholders Equity",_xlfn.XLOOKUP("IPO Proceeds",$B$54:$B$57,$C$54:$C$57),""))</f>
        <v/>
      </c>
      <c r="I69" s="40">
        <f t="shared" si="2"/>
        <v>10.8</v>
      </c>
    </row>
    <row r="70" spans="1:10" x14ac:dyDescent="0.35">
      <c r="B70" s="34" t="s">
        <v>138</v>
      </c>
      <c r="C70" s="45"/>
      <c r="D70" s="45"/>
      <c r="F70" s="168"/>
      <c r="G70" s="8" t="str" cm="1">
        <f t="array" ref="G70">IF(G$61="Debit",_xlfn.IFS($B70="Intangible Assets",$C$57,TRUE,IFERROR(_xlfn.XLOOKUP($B70,$B$54:$B$57,$C$54:$C$57),"")),IF($B70="Shareholders Equity",_xlfn.XLOOKUP("IPO Proceeds",$B$54:$B$57,$C$54:$C$57),""))</f>
        <v/>
      </c>
      <c r="H70" s="8" t="str" cm="1">
        <f t="array" ref="H70">IF(H$61="Debit",_xlfn.IFS($B70="Intangible Assets",$C$57,TRUE,IFERROR(_xlfn.XLOOKUP($B70,$B$54:$B$57,$C$54:$C$57),"")),IF($B70="Shareholders Equity",_xlfn.XLOOKUP("IPO Proceeds",$B$54:$B$57,$C$54:$C$57),""))</f>
        <v/>
      </c>
      <c r="I70" s="32"/>
    </row>
    <row r="71" spans="1:10" x14ac:dyDescent="0.35">
      <c r="B71" s="35" t="s">
        <v>31</v>
      </c>
      <c r="C71" s="44">
        <f>Background!E54</f>
        <v>19.2</v>
      </c>
      <c r="D71" s="47">
        <v>11.6</v>
      </c>
      <c r="F71" s="168"/>
      <c r="G71" s="11" cm="1">
        <f t="array" ref="G71">IF(G$61="Debit",_xlfn.IFS($B71="Intangible Assets",$C$57,TRUE,IFERROR(_xlfn.XLOOKUP($B71,$B$54:$B$57,$C$54:$C$57),"")),IF($B71="Shareholders Equity",_xlfn.XLOOKUP("IPO Proceeds",$B$54:$B$57,$C$54:$C$57),""))</f>
        <v>-14.4</v>
      </c>
      <c r="H71" s="8" t="str" cm="1">
        <f t="array" ref="H71">IF(H$61="Debit",_xlfn.IFS($B71="Intangible Assets",$C$57,TRUE,IFERROR(_xlfn.XLOOKUP($B71,$B$54:$B$57,$C$54:$C$57),"")),IF($B71="Shareholders Equity",_xlfn.XLOOKUP("IPO Proceeds",$B$54:$B$57,$C$54:$C$57),""))</f>
        <v/>
      </c>
      <c r="I71" s="40">
        <f t="shared" si="2"/>
        <v>16.399999999999999</v>
      </c>
    </row>
    <row r="72" spans="1:10" ht="14.5" customHeight="1" x14ac:dyDescent="0.35">
      <c r="B72" s="35" t="s">
        <v>32</v>
      </c>
      <c r="C72" s="44">
        <f>Background!E55</f>
        <v>8.8000000000000007</v>
      </c>
      <c r="D72" s="47">
        <v>4.5999999999999996</v>
      </c>
      <c r="F72" s="169">
        <f>C38</f>
        <v>45.4</v>
      </c>
      <c r="G72" s="11" cm="1">
        <f t="array" ref="G72">IF(G$61="Debit",_xlfn.IFS($B72="Intangible Assets",$C$57,TRUE,IFERROR(_xlfn.XLOOKUP($B72,$B$54:$B$57,$C$54:$C$57),"")),IF($B72="Shareholders Equity",_xlfn.XLOOKUP("IPO Proceeds",$B$54:$B$57,$C$54:$C$57),""))</f>
        <v>-22.4</v>
      </c>
      <c r="H72" s="8" t="str" cm="1">
        <f t="array" ref="H72">IF(H$61="Debit",_xlfn.IFS($B72="Intangible Assets",$C$57,TRUE,IFERROR(_xlfn.XLOOKUP($B72,$B$54:$B$57,$C$54:$C$57),"")),IF($B72="Shareholders Equity",_xlfn.XLOOKUP("IPO Proceeds",$B$54:$B$57,$C$54:$C$57),""))</f>
        <v/>
      </c>
      <c r="I72" s="40">
        <f t="shared" si="2"/>
        <v>36.4</v>
      </c>
    </row>
    <row r="73" spans="1:10" x14ac:dyDescent="0.35">
      <c r="B73" s="35" t="s">
        <v>142</v>
      </c>
      <c r="C73" s="44">
        <f>SUM(Background!E56:E57)</f>
        <v>27.6</v>
      </c>
      <c r="D73" s="47">
        <v>8.1999999999999993</v>
      </c>
      <c r="F73" s="168"/>
      <c r="G73" s="8" t="str" cm="1">
        <f t="array" ref="G73">IF(G$61="Debit",_xlfn.IFS($B73="Intangible Assets",$C$57,TRUE,IFERROR(_xlfn.XLOOKUP($B73,$B$54:$B$57,$C$54:$C$57),"")),IF($B73="Shareholders Equity",_xlfn.XLOOKUP("IPO Proceeds",$B$54:$B$57,$C$54:$C$57),""))</f>
        <v/>
      </c>
      <c r="H73" s="8" t="str" cm="1">
        <f t="array" ref="H73">IF(H$61="Debit",_xlfn.IFS($B73="Intangible Assets",$C$57,TRUE,IFERROR(_xlfn.XLOOKUP($B73,$B$54:$B$57,$C$54:$C$57),"")),IF($B73="Shareholders Equity",_xlfn.XLOOKUP("IPO Proceeds",$B$54:$B$57,$C$54:$C$57),""))</f>
        <v/>
      </c>
      <c r="I73" s="40">
        <f t="shared" si="2"/>
        <v>35.799999999999997</v>
      </c>
    </row>
    <row r="74" spans="1:10" x14ac:dyDescent="0.35">
      <c r="B74" s="34" t="s">
        <v>139</v>
      </c>
      <c r="C74" s="46">
        <f>Background!E58</f>
        <v>55.599999999999994</v>
      </c>
      <c r="D74" s="48">
        <v>24.4</v>
      </c>
      <c r="F74" s="168"/>
      <c r="G74" s="8" t="str" cm="1">
        <f t="array" ref="G74">IF(G$61="Debit",_xlfn.IFS($B74="Intangible Assets",$C$57,TRUE,IFERROR(_xlfn.XLOOKUP($B74,$B$54:$B$57,$C$54:$C$57),"")),IF($B74="Shareholders Equity",_xlfn.XLOOKUP("IPO Proceeds",$B$54:$B$57,$C$54:$C$57),""))</f>
        <v/>
      </c>
      <c r="H74" s="8" t="str" cm="1">
        <f t="array" ref="H74">IF(H$61="Debit",_xlfn.IFS($B74="Intangible Assets",$C$57,TRUE,IFERROR(_xlfn.XLOOKUP($B74,$B$54:$B$57,$C$54:$C$57),"")),IF($B74="Shareholders Equity",_xlfn.XLOOKUP("IPO Proceeds",$B$54:$B$57,$C$54:$C$57),""))</f>
        <v/>
      </c>
      <c r="I74" s="41">
        <f>SUM(I71:I73)</f>
        <v>88.6</v>
      </c>
    </row>
    <row r="75" spans="1:10" x14ac:dyDescent="0.35">
      <c r="B75" s="34" t="s">
        <v>140</v>
      </c>
      <c r="C75" s="185">
        <f>Background!E59</f>
        <v>64.599999999999994</v>
      </c>
      <c r="D75" s="47">
        <v>26.2</v>
      </c>
      <c r="F75" s="168"/>
      <c r="G75" s="8" t="str" cm="1">
        <f t="array" ref="G75">IF(G$61="Debit",_xlfn.IFS($B75="Intangible Assets",$C$57,TRUE,IFERROR(_xlfn.XLOOKUP($B75,$B$54:$B$57,$C$54:$C$57),"")),IF($B75="Shareholders Equity",_xlfn.XLOOKUP("IPO Proceeds",$B$54:$B$57,$C$54:$C$57),""))</f>
        <v/>
      </c>
      <c r="H75" s="8" t="str" cm="1">
        <f t="array" ref="H75">IF(H$61="Debit",_xlfn.IFS($B75="Intangible Assets",$C$57,TRUE,IFERROR(_xlfn.XLOOKUP($B75,$B$54:$B$57,$C$54:$C$57),"")),IF($B75="Shareholders Equity",_xlfn.XLOOKUP("IPO Proceeds",$B$54:$B$57,$C$54:$C$57),""))</f>
        <v/>
      </c>
      <c r="I75" s="41">
        <f>I69+I74</f>
        <v>99.399999999999991</v>
      </c>
    </row>
    <row r="76" spans="1:10" ht="15" customHeight="1" x14ac:dyDescent="0.35">
      <c r="B76" s="34" t="s">
        <v>141</v>
      </c>
      <c r="C76" s="187">
        <f>Background!E60</f>
        <v>15.2</v>
      </c>
      <c r="D76" s="47">
        <v>7.8</v>
      </c>
      <c r="E76" s="25">
        <f>D76</f>
        <v>7.8</v>
      </c>
      <c r="F76" s="168"/>
      <c r="G76" s="8" t="str" cm="1">
        <f t="array" ref="G76">IF(G$61="Debit",_xlfn.IFS($B76="Intangible Assets",$C$57,TRUE,IFERROR(_xlfn.XLOOKUP($B76,$B$54:$B$57,$C$54:$C$57),"")),IF($B76="Shareholders Equity",_xlfn.XLOOKUP("IPO Proceeds",$B$54:$B$57,$C$54:$C$57),""))</f>
        <v/>
      </c>
      <c r="H76" s="11" cm="1">
        <f t="array" ref="H76">IF(H$61="Debit",_xlfn.IFS($B76="Intangible Assets",$C$57,TRUE,IFERROR(_xlfn.XLOOKUP($B76,$B$54:$B$57,$C$54:$C$57),"")),IF($B76="Shareholders Equity",_xlfn.XLOOKUP("IPO Proceeds",$B$54:$B$57,$C$54:$C$57),""))</f>
        <v>39.500000000000028</v>
      </c>
      <c r="I76" s="39">
        <f>C76+H76</f>
        <v>54.700000000000031</v>
      </c>
      <c r="J76" s="8"/>
    </row>
    <row r="77" spans="1:10" ht="15" thickBot="1" x14ac:dyDescent="0.4">
      <c r="B77" t="s">
        <v>38</v>
      </c>
      <c r="C77" s="186">
        <f>SUM(C75:C76)</f>
        <v>79.8</v>
      </c>
      <c r="D77" s="127">
        <f>SUM(D75:D76)</f>
        <v>34</v>
      </c>
      <c r="F77" s="168"/>
      <c r="I77" s="128">
        <f>SUM(I75:I76)</f>
        <v>154.10000000000002</v>
      </c>
      <c r="J77" s="36"/>
    </row>
    <row r="78" spans="1:10" ht="15" thickTop="1" x14ac:dyDescent="0.35">
      <c r="C78" s="52"/>
      <c r="D78" s="52"/>
      <c r="I78" s="24"/>
      <c r="J78" s="36"/>
    </row>
    <row r="79" spans="1:10" x14ac:dyDescent="0.35">
      <c r="A79" s="4" t="s">
        <v>19</v>
      </c>
      <c r="B79" s="50" t="s">
        <v>149</v>
      </c>
      <c r="C79" s="52"/>
      <c r="D79" s="52"/>
      <c r="I79" s="24"/>
      <c r="J79" s="36"/>
    </row>
    <row r="80" spans="1:10" x14ac:dyDescent="0.35">
      <c r="B80" s="6" t="s">
        <v>150</v>
      </c>
      <c r="C80" s="52"/>
      <c r="D80" s="52"/>
      <c r="I80" s="24"/>
      <c r="J80" s="36"/>
    </row>
    <row r="82" spans="1:5" ht="15" thickBot="1" x14ac:dyDescent="0.4">
      <c r="A82" s="4" t="s">
        <v>19</v>
      </c>
      <c r="B82" s="50" t="s">
        <v>145</v>
      </c>
    </row>
    <row r="83" spans="1:5" ht="15" thickBot="1" x14ac:dyDescent="0.4">
      <c r="B83" s="53" t="s">
        <v>151</v>
      </c>
      <c r="C83" s="54">
        <v>0.1</v>
      </c>
    </row>
    <row r="84" spans="1:5" x14ac:dyDescent="0.35">
      <c r="C84" s="12"/>
    </row>
    <row r="85" spans="1:5" x14ac:dyDescent="0.35">
      <c r="B85" s="129" t="s">
        <v>125</v>
      </c>
      <c r="C85" s="2" t="s">
        <v>147</v>
      </c>
      <c r="D85" s="2" t="s">
        <v>152</v>
      </c>
      <c r="E85" s="2" t="s">
        <v>148</v>
      </c>
    </row>
    <row r="86" spans="1:5" x14ac:dyDescent="0.35">
      <c r="B86" s="6" t="str">
        <f>'The Dinner'!B43</f>
        <v>Father</v>
      </c>
      <c r="C86" s="56">
        <f>'The Dinner'!C43</f>
        <v>0.75</v>
      </c>
      <c r="D86" s="55">
        <f>'The Dinner'!C50</f>
        <v>0.52499999999999991</v>
      </c>
      <c r="E86" s="16">
        <f>D86-C83</f>
        <v>0.42499999999999993</v>
      </c>
    </row>
    <row r="87" spans="1:5" x14ac:dyDescent="0.35">
      <c r="B87" s="6" t="str">
        <f>'The Dinner'!B44</f>
        <v>Son</v>
      </c>
      <c r="C87" s="57">
        <f>'The Dinner'!C44</f>
        <v>0.125</v>
      </c>
      <c r="D87" s="55">
        <f>'The Dinner'!C51</f>
        <v>8.7499999999999994E-2</v>
      </c>
      <c r="E87" s="16">
        <f>D87</f>
        <v>8.7499999999999994E-2</v>
      </c>
    </row>
    <row r="88" spans="1:5" x14ac:dyDescent="0.35">
      <c r="B88" s="6" t="str">
        <f>'The Dinner'!B45</f>
        <v>Daughter</v>
      </c>
      <c r="C88" s="57">
        <f>'The Dinner'!C45</f>
        <v>0.125</v>
      </c>
      <c r="D88" s="55">
        <f>'The Dinner'!C52</f>
        <v>8.7499999999999994E-2</v>
      </c>
      <c r="E88" s="16">
        <f>D88</f>
        <v>8.7499999999999994E-2</v>
      </c>
    </row>
    <row r="89" spans="1:5" x14ac:dyDescent="0.35">
      <c r="B89" s="6" t="s">
        <v>146</v>
      </c>
      <c r="C89" s="57">
        <f>'The Dinner'!C46</f>
        <v>0</v>
      </c>
      <c r="D89" s="55">
        <f>'The Dinner'!C53</f>
        <v>0.3</v>
      </c>
      <c r="E89" s="16">
        <f>D89+C83</f>
        <v>0.4</v>
      </c>
    </row>
    <row r="90" spans="1:5" x14ac:dyDescent="0.35">
      <c r="A90"/>
      <c r="B90" t="str">
        <f>'The Dinner'!B47</f>
        <v>Total</v>
      </c>
      <c r="C90" s="57">
        <f>'The Dinner'!C47</f>
        <v>1</v>
      </c>
      <c r="D90" s="55">
        <f>'The Dinner'!C54</f>
        <v>1</v>
      </c>
      <c r="E90" s="15">
        <f>SUM(E86:E89)</f>
        <v>1</v>
      </c>
    </row>
    <row r="91" spans="1:5" x14ac:dyDescent="0.35">
      <c r="A91"/>
    </row>
    <row r="92" spans="1:5" x14ac:dyDescent="0.35">
      <c r="A92"/>
    </row>
  </sheetData>
  <pageMargins left="0.7" right="0.7" top="0.75" bottom="0.75" header="0.3" footer="0.3"/>
  <ignoredErrors>
    <ignoredError sqref="C73"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10088-5EF7-424D-A0A7-BC0CD978C274}">
  <sheetPr codeName="Sheet6"/>
  <dimension ref="A2:E85"/>
  <sheetViews>
    <sheetView showGridLines="0" workbookViewId="0">
      <selection activeCell="A2" sqref="A2"/>
    </sheetView>
  </sheetViews>
  <sheetFormatPr defaultRowHeight="14.5" x14ac:dyDescent="0.35"/>
  <cols>
    <col min="1" max="1" width="8.54296875" style="4"/>
    <col min="2" max="2" width="37.453125" bestFit="1" customWidth="1"/>
    <col min="3" max="5" width="20.54296875" customWidth="1"/>
  </cols>
  <sheetData>
    <row r="2" spans="1:5" x14ac:dyDescent="0.35">
      <c r="A2" s="4" t="s">
        <v>19</v>
      </c>
      <c r="B2" s="1" t="s">
        <v>153</v>
      </c>
    </row>
    <row r="3" spans="1:5" x14ac:dyDescent="0.35">
      <c r="B3" s="6" t="s">
        <v>580</v>
      </c>
    </row>
    <row r="4" spans="1:5" x14ac:dyDescent="0.35">
      <c r="B4" s="6" t="s">
        <v>154</v>
      </c>
    </row>
    <row r="5" spans="1:5" x14ac:dyDescent="0.35">
      <c r="B5" s="6" t="s">
        <v>646</v>
      </c>
    </row>
    <row r="6" spans="1:5" x14ac:dyDescent="0.35">
      <c r="B6" s="6" t="s">
        <v>155</v>
      </c>
    </row>
    <row r="7" spans="1:5" x14ac:dyDescent="0.35">
      <c r="B7" s="6" t="s">
        <v>156</v>
      </c>
    </row>
    <row r="8" spans="1:5" x14ac:dyDescent="0.35">
      <c r="B8" s="6" t="s">
        <v>647</v>
      </c>
    </row>
    <row r="9" spans="1:5" x14ac:dyDescent="0.35">
      <c r="B9" s="6" t="s">
        <v>644</v>
      </c>
    </row>
    <row r="11" spans="1:5" x14ac:dyDescent="0.35">
      <c r="A11" s="4" t="s">
        <v>19</v>
      </c>
      <c r="B11" s="1" t="s">
        <v>164</v>
      </c>
    </row>
    <row r="12" spans="1:5" x14ac:dyDescent="0.35">
      <c r="B12" s="119" t="s">
        <v>125</v>
      </c>
      <c r="C12" s="192">
        <v>2008</v>
      </c>
      <c r="D12" s="192">
        <v>2009</v>
      </c>
      <c r="E12" s="192">
        <v>2010</v>
      </c>
    </row>
    <row r="13" spans="1:5" x14ac:dyDescent="0.35">
      <c r="B13" t="s">
        <v>4</v>
      </c>
      <c r="C13" s="17">
        <v>182.2</v>
      </c>
      <c r="D13" s="17">
        <v>179.1</v>
      </c>
      <c r="E13" s="17">
        <v>164.4</v>
      </c>
    </row>
    <row r="14" spans="1:5" x14ac:dyDescent="0.35">
      <c r="B14" s="6" t="s">
        <v>157</v>
      </c>
      <c r="C14" s="51">
        <f>C13/'The IB Presentation'!E14-1</f>
        <v>9.7590361445783147E-2</v>
      </c>
      <c r="D14" s="3">
        <f>D13/C13-1</f>
        <v>-1.7014270032930767E-2</v>
      </c>
      <c r="E14" s="3">
        <f>E13/D13-1</f>
        <v>-8.2077051926298106E-2</v>
      </c>
    </row>
    <row r="15" spans="1:5" x14ac:dyDescent="0.35">
      <c r="B15" s="21" t="s">
        <v>6</v>
      </c>
      <c r="C15" s="20">
        <v>-109</v>
      </c>
      <c r="D15" s="20">
        <v>-112.8</v>
      </c>
      <c r="E15" s="20">
        <v>-107.8</v>
      </c>
    </row>
    <row r="16" spans="1:5" x14ac:dyDescent="0.35">
      <c r="B16" t="s">
        <v>8</v>
      </c>
      <c r="C16" s="11">
        <f>C13+C15</f>
        <v>73.199999999999989</v>
      </c>
      <c r="D16" s="11">
        <f>D13+D15</f>
        <v>66.3</v>
      </c>
      <c r="E16" s="11">
        <f>E13+E15</f>
        <v>56.600000000000009</v>
      </c>
    </row>
    <row r="17" spans="1:5" x14ac:dyDescent="0.35">
      <c r="B17" s="21" t="s">
        <v>9</v>
      </c>
      <c r="C17" s="20">
        <v>-63</v>
      </c>
      <c r="D17" s="20">
        <v>-68.599999999999994</v>
      </c>
      <c r="E17" s="20">
        <v>-62.4</v>
      </c>
    </row>
    <row r="18" spans="1:5" x14ac:dyDescent="0.35">
      <c r="B18" t="s">
        <v>10</v>
      </c>
      <c r="C18" s="11">
        <f>C16+C17</f>
        <v>10.199999999999989</v>
      </c>
      <c r="D18" s="11">
        <f>D16+D17</f>
        <v>-2.2999999999999972</v>
      </c>
      <c r="E18" s="11">
        <f>E16+E17</f>
        <v>-5.7999999999999901</v>
      </c>
    </row>
    <row r="19" spans="1:5" ht="14.15" customHeight="1" x14ac:dyDescent="0.35">
      <c r="B19" s="6" t="s">
        <v>11</v>
      </c>
      <c r="C19" s="17">
        <v>-8.1999999999999993</v>
      </c>
      <c r="D19" s="17">
        <v>-8.6</v>
      </c>
      <c r="E19" s="17">
        <v>-8</v>
      </c>
    </row>
    <row r="20" spans="1:5" ht="14.15" customHeight="1" x14ac:dyDescent="0.35">
      <c r="B20" s="6" t="s">
        <v>158</v>
      </c>
      <c r="C20" s="17">
        <v>-2</v>
      </c>
      <c r="D20" s="17">
        <v>-15</v>
      </c>
      <c r="E20" s="17">
        <v>-2</v>
      </c>
    </row>
    <row r="21" spans="1:5" ht="14.15" customHeight="1" x14ac:dyDescent="0.35">
      <c r="B21" s="6" t="s">
        <v>104</v>
      </c>
      <c r="C21" s="17">
        <v>-1</v>
      </c>
      <c r="D21" s="17">
        <v>9.4</v>
      </c>
      <c r="E21" s="17">
        <v>5.4</v>
      </c>
    </row>
    <row r="22" spans="1:5" ht="15" thickBot="1" x14ac:dyDescent="0.4">
      <c r="B22" s="60" t="s">
        <v>14</v>
      </c>
      <c r="C22" s="61">
        <f>SUM(C18:C21)</f>
        <v>-1.0000000000000107</v>
      </c>
      <c r="D22" s="61">
        <f>SUM(D18:D21)</f>
        <v>-16.5</v>
      </c>
      <c r="E22" s="61">
        <f>SUM(E18:E21)</f>
        <v>-10.39999999999999</v>
      </c>
    </row>
    <row r="23" spans="1:5" ht="15" thickTop="1" x14ac:dyDescent="0.35">
      <c r="B23" t="s">
        <v>16</v>
      </c>
      <c r="C23" s="17">
        <v>22.8</v>
      </c>
      <c r="D23" s="17">
        <v>10.9</v>
      </c>
      <c r="E23" s="17">
        <v>7.6</v>
      </c>
    </row>
    <row r="24" spans="1:5" x14ac:dyDescent="0.35">
      <c r="B24" s="6" t="s">
        <v>159</v>
      </c>
      <c r="C24" s="3">
        <f>C23/C13</f>
        <v>0.12513721185510429</v>
      </c>
      <c r="D24" s="3">
        <f>D23/D13</f>
        <v>6.0859854829704081E-2</v>
      </c>
      <c r="E24" s="3">
        <f>E23/E13</f>
        <v>4.6228710462287104E-2</v>
      </c>
    </row>
    <row r="25" spans="1:5" x14ac:dyDescent="0.35">
      <c r="B25" s="6" t="s">
        <v>160</v>
      </c>
      <c r="C25" s="17">
        <v>-20.2</v>
      </c>
      <c r="D25" s="17">
        <v>-20.6</v>
      </c>
      <c r="E25" s="17">
        <v>-19.8</v>
      </c>
    </row>
    <row r="26" spans="1:5" x14ac:dyDescent="0.35">
      <c r="B26" s="21" t="s">
        <v>161</v>
      </c>
      <c r="C26" s="20">
        <v>-5.6</v>
      </c>
      <c r="D26" s="20">
        <v>-3.6</v>
      </c>
      <c r="E26" s="20">
        <v>-4.5999999999999996</v>
      </c>
    </row>
    <row r="27" spans="1:5" x14ac:dyDescent="0.35">
      <c r="B27" t="s">
        <v>162</v>
      </c>
      <c r="C27" s="58">
        <f>C23/ABS(C25)</f>
        <v>1.1287128712871288</v>
      </c>
      <c r="D27" s="58">
        <f>D23/ABS(D25)</f>
        <v>0.529126213592233</v>
      </c>
      <c r="E27" s="58">
        <f>E23/ABS(E25)</f>
        <v>0.38383838383838381</v>
      </c>
    </row>
    <row r="28" spans="1:5" x14ac:dyDescent="0.35">
      <c r="B28" t="s">
        <v>163</v>
      </c>
      <c r="C28" s="58">
        <f>(C23+C26)/ABS(C19)</f>
        <v>2.0975609756097566</v>
      </c>
      <c r="D28" s="58">
        <f>(D23+D26)/ABS(D19)</f>
        <v>0.84883720930232565</v>
      </c>
      <c r="E28" s="58">
        <f>(E23+E26)/ABS(E19)</f>
        <v>0.375</v>
      </c>
    </row>
    <row r="30" spans="1:5" x14ac:dyDescent="0.35">
      <c r="A30" s="4" t="s">
        <v>19</v>
      </c>
      <c r="B30" s="1" t="s">
        <v>165</v>
      </c>
    </row>
    <row r="31" spans="1:5" x14ac:dyDescent="0.35">
      <c r="B31" s="6" t="s">
        <v>166</v>
      </c>
    </row>
    <row r="32" spans="1:5" x14ac:dyDescent="0.35">
      <c r="B32" s="6" t="s">
        <v>648</v>
      </c>
    </row>
    <row r="33" spans="1:5" x14ac:dyDescent="0.35">
      <c r="B33" s="7" t="s">
        <v>167</v>
      </c>
    </row>
    <row r="34" spans="1:5" x14ac:dyDescent="0.35">
      <c r="B34" s="6" t="s">
        <v>586</v>
      </c>
    </row>
    <row r="35" spans="1:5" x14ac:dyDescent="0.35">
      <c r="B35" s="6" t="s">
        <v>168</v>
      </c>
    </row>
    <row r="37" spans="1:5" x14ac:dyDescent="0.35">
      <c r="A37" s="4" t="s">
        <v>19</v>
      </c>
      <c r="B37" s="1" t="s">
        <v>172</v>
      </c>
    </row>
    <row r="38" spans="1:5" x14ac:dyDescent="0.35">
      <c r="B38" s="9" t="s">
        <v>125</v>
      </c>
    </row>
    <row r="39" spans="1:5" x14ac:dyDescent="0.35">
      <c r="B39" s="193" t="s">
        <v>23</v>
      </c>
      <c r="C39" s="192">
        <v>2008</v>
      </c>
      <c r="D39" s="192">
        <v>2009</v>
      </c>
      <c r="E39" s="192">
        <v>2010</v>
      </c>
    </row>
    <row r="40" spans="1:5" x14ac:dyDescent="0.35">
      <c r="B40" s="133" t="s">
        <v>128</v>
      </c>
      <c r="C40" s="18">
        <v>24.8</v>
      </c>
      <c r="D40" s="17">
        <v>27</v>
      </c>
      <c r="E40" s="17">
        <v>16.399999999999999</v>
      </c>
    </row>
    <row r="41" spans="1:5" x14ac:dyDescent="0.35">
      <c r="B41" s="21" t="s">
        <v>25</v>
      </c>
      <c r="C41" s="18">
        <v>28.6</v>
      </c>
      <c r="D41" s="17">
        <v>32.200000000000003</v>
      </c>
      <c r="E41" s="17">
        <v>25.6</v>
      </c>
    </row>
    <row r="42" spans="1:5" x14ac:dyDescent="0.35">
      <c r="B42" s="6" t="s">
        <v>169</v>
      </c>
      <c r="C42" s="64">
        <v>53.4</v>
      </c>
      <c r="D42" s="63">
        <v>59.2</v>
      </c>
      <c r="E42" s="63">
        <v>42</v>
      </c>
    </row>
    <row r="43" spans="1:5" x14ac:dyDescent="0.35">
      <c r="B43" s="66" t="s">
        <v>129</v>
      </c>
      <c r="C43" s="18">
        <v>61</v>
      </c>
      <c r="D43" s="17">
        <v>55.2</v>
      </c>
      <c r="E43" s="17">
        <v>49.8</v>
      </c>
    </row>
    <row r="44" spans="1:5" x14ac:dyDescent="0.35">
      <c r="B44" s="33" t="s">
        <v>130</v>
      </c>
      <c r="C44" s="18">
        <v>49</v>
      </c>
      <c r="D44" s="17">
        <v>33.200000000000003</v>
      </c>
      <c r="E44" s="17">
        <v>29.4</v>
      </c>
    </row>
    <row r="45" spans="1:5" ht="15" thickBot="1" x14ac:dyDescent="0.4">
      <c r="B45" s="136" t="s">
        <v>131</v>
      </c>
      <c r="C45" s="81">
        <f>SUM(C40+C41+C43+C44)</f>
        <v>163.4</v>
      </c>
      <c r="D45" s="61">
        <f>SUM(D40+D41+D43+D44)</f>
        <v>147.60000000000002</v>
      </c>
      <c r="E45" s="61">
        <f>SUM(E40+E41+E43+E44)</f>
        <v>121.19999999999999</v>
      </c>
    </row>
    <row r="46" spans="1:5" ht="15" thickTop="1" x14ac:dyDescent="0.35">
      <c r="B46" t="s">
        <v>28</v>
      </c>
      <c r="C46" s="36"/>
      <c r="D46" s="8"/>
      <c r="E46" s="8"/>
    </row>
    <row r="47" spans="1:5" x14ac:dyDescent="0.35">
      <c r="B47" s="6" t="s">
        <v>137</v>
      </c>
      <c r="C47" s="18">
        <v>16.8</v>
      </c>
      <c r="D47" s="17">
        <v>24.8</v>
      </c>
      <c r="E47" s="17">
        <v>29.4</v>
      </c>
    </row>
    <row r="48" spans="1:5" x14ac:dyDescent="0.35">
      <c r="B48" s="6" t="s">
        <v>138</v>
      </c>
      <c r="C48" s="36"/>
      <c r="D48" s="8"/>
      <c r="E48" s="8"/>
    </row>
    <row r="49" spans="1:5" x14ac:dyDescent="0.35">
      <c r="B49" s="7" t="s">
        <v>31</v>
      </c>
      <c r="C49" s="18">
        <v>32.200000000000003</v>
      </c>
      <c r="D49" s="17">
        <v>36.799999999999997</v>
      </c>
      <c r="E49" s="17">
        <v>28.2</v>
      </c>
    </row>
    <row r="50" spans="1:5" x14ac:dyDescent="0.35">
      <c r="B50" s="7" t="s">
        <v>32</v>
      </c>
      <c r="C50" s="18">
        <v>31.2</v>
      </c>
      <c r="D50" s="17">
        <v>26</v>
      </c>
      <c r="E50" s="17">
        <v>20.8</v>
      </c>
    </row>
    <row r="51" spans="1:5" x14ac:dyDescent="0.35">
      <c r="B51" s="7" t="s">
        <v>142</v>
      </c>
      <c r="C51" s="18">
        <v>29.2</v>
      </c>
      <c r="D51" s="17">
        <v>22.6</v>
      </c>
      <c r="E51" s="17">
        <v>15.8</v>
      </c>
    </row>
    <row r="52" spans="1:5" x14ac:dyDescent="0.35">
      <c r="B52" s="134" t="s">
        <v>139</v>
      </c>
      <c r="C52" s="65">
        <f>SUM(C49:C51)</f>
        <v>92.600000000000009</v>
      </c>
      <c r="D52" s="59">
        <f>SUM(D49:D51)</f>
        <v>85.4</v>
      </c>
      <c r="E52" s="59">
        <f>SUM(E49:E51)</f>
        <v>64.8</v>
      </c>
    </row>
    <row r="53" spans="1:5" x14ac:dyDescent="0.35">
      <c r="B53" s="6" t="s">
        <v>140</v>
      </c>
      <c r="C53" s="24">
        <f>C47+C52</f>
        <v>109.4</v>
      </c>
      <c r="D53" s="11">
        <f>D47+D52</f>
        <v>110.2</v>
      </c>
      <c r="E53" s="11">
        <f>E47+E52</f>
        <v>94.199999999999989</v>
      </c>
    </row>
    <row r="54" spans="1:5" x14ac:dyDescent="0.35">
      <c r="B54" s="6" t="s">
        <v>170</v>
      </c>
      <c r="C54" s="18">
        <v>54</v>
      </c>
      <c r="D54" s="17">
        <v>37.4</v>
      </c>
      <c r="E54" s="17">
        <v>27</v>
      </c>
    </row>
    <row r="55" spans="1:5" ht="15" thickBot="1" x14ac:dyDescent="0.4">
      <c r="B55" s="135" t="s">
        <v>171</v>
      </c>
      <c r="C55" s="81">
        <f>C53+C54</f>
        <v>163.4</v>
      </c>
      <c r="D55" s="61">
        <f>D53+D54</f>
        <v>147.6</v>
      </c>
      <c r="E55" s="61">
        <f>E53+E54</f>
        <v>121.19999999999999</v>
      </c>
    </row>
    <row r="56" spans="1:5" ht="15" thickTop="1" x14ac:dyDescent="0.35"/>
    <row r="57" spans="1:5" x14ac:dyDescent="0.35">
      <c r="A57" s="4" t="s">
        <v>19</v>
      </c>
      <c r="B57" s="14" t="s">
        <v>173</v>
      </c>
    </row>
    <row r="58" spans="1:5" x14ac:dyDescent="0.35">
      <c r="B58" s="6" t="s">
        <v>174</v>
      </c>
    </row>
    <row r="59" spans="1:5" x14ac:dyDescent="0.35">
      <c r="B59" s="6" t="s">
        <v>175</v>
      </c>
    </row>
    <row r="60" spans="1:5" x14ac:dyDescent="0.35">
      <c r="B60" s="6" t="s">
        <v>176</v>
      </c>
    </row>
    <row r="62" spans="1:5" x14ac:dyDescent="0.35">
      <c r="A62" s="4" t="s">
        <v>19</v>
      </c>
      <c r="B62" s="14" t="s">
        <v>177</v>
      </c>
    </row>
    <row r="63" spans="1:5" ht="15" customHeight="1" x14ac:dyDescent="0.35">
      <c r="B63" s="130" t="s">
        <v>125</v>
      </c>
      <c r="C63" s="123"/>
      <c r="D63" s="131">
        <v>2010</v>
      </c>
    </row>
    <row r="64" spans="1:5" x14ac:dyDescent="0.35">
      <c r="B64" t="s">
        <v>128</v>
      </c>
      <c r="C64" s="8"/>
      <c r="D64" s="8">
        <v>16.399999999999999</v>
      </c>
    </row>
    <row r="65" spans="1:4" x14ac:dyDescent="0.35">
      <c r="B65" s="6" t="s">
        <v>185</v>
      </c>
      <c r="C65" s="8"/>
      <c r="D65" s="67">
        <v>0.05</v>
      </c>
    </row>
    <row r="66" spans="1:4" x14ac:dyDescent="0.35">
      <c r="B66" t="s">
        <v>186</v>
      </c>
      <c r="C66" s="8"/>
      <c r="D66" s="70">
        <v>0.85</v>
      </c>
    </row>
    <row r="67" spans="1:4" ht="15" customHeight="1" x14ac:dyDescent="0.35">
      <c r="B67" t="s">
        <v>187</v>
      </c>
      <c r="C67" s="8"/>
      <c r="D67" s="72">
        <f>+(D64*(1-D65)*D66)</f>
        <v>13.242999999999999</v>
      </c>
    </row>
    <row r="68" spans="1:4" x14ac:dyDescent="0.35">
      <c r="C68" s="8"/>
      <c r="D68" s="8"/>
    </row>
    <row r="69" spans="1:4" x14ac:dyDescent="0.35">
      <c r="B69" t="s">
        <v>178</v>
      </c>
      <c r="C69" s="8">
        <v>5.6</v>
      </c>
      <c r="D69" s="8"/>
    </row>
    <row r="70" spans="1:4" x14ac:dyDescent="0.35">
      <c r="B70" s="6" t="s">
        <v>185</v>
      </c>
      <c r="C70" s="67">
        <v>0</v>
      </c>
      <c r="D70" s="8"/>
    </row>
    <row r="71" spans="1:4" x14ac:dyDescent="0.35">
      <c r="B71" t="s">
        <v>186</v>
      </c>
      <c r="C71" s="71">
        <v>0.7</v>
      </c>
      <c r="D71" s="8"/>
    </row>
    <row r="72" spans="1:4" x14ac:dyDescent="0.35">
      <c r="B72" t="s">
        <v>187</v>
      </c>
      <c r="C72" s="24">
        <f>+(C69*(1-C70)*C71)</f>
        <v>3.9199999999999995</v>
      </c>
      <c r="D72" s="8"/>
    </row>
    <row r="73" spans="1:4" x14ac:dyDescent="0.35">
      <c r="C73" s="8"/>
      <c r="D73" s="8"/>
    </row>
    <row r="74" spans="1:4" x14ac:dyDescent="0.35">
      <c r="B74" t="s">
        <v>179</v>
      </c>
      <c r="C74" s="8">
        <v>17</v>
      </c>
      <c r="D74" s="8"/>
    </row>
    <row r="75" spans="1:4" x14ac:dyDescent="0.35">
      <c r="B75" s="6" t="s">
        <v>185</v>
      </c>
      <c r="C75" s="67">
        <v>0.05</v>
      </c>
      <c r="D75" s="8"/>
    </row>
    <row r="76" spans="1:4" x14ac:dyDescent="0.35">
      <c r="B76" t="s">
        <v>186</v>
      </c>
      <c r="C76" s="70">
        <v>0.6</v>
      </c>
      <c r="D76" s="8"/>
    </row>
    <row r="77" spans="1:4" x14ac:dyDescent="0.35">
      <c r="B77" t="s">
        <v>187</v>
      </c>
      <c r="C77" s="72">
        <f>+(C74*(1-C75)*C76)</f>
        <v>9.69</v>
      </c>
      <c r="D77" s="8"/>
    </row>
    <row r="78" spans="1:4" x14ac:dyDescent="0.35">
      <c r="C78" s="8"/>
      <c r="D78" s="8"/>
    </row>
    <row r="79" spans="1:4" x14ac:dyDescent="0.35">
      <c r="B79" t="s">
        <v>188</v>
      </c>
      <c r="C79" s="8"/>
      <c r="D79" s="36">
        <v>13.6</v>
      </c>
    </row>
    <row r="80" spans="1:4" x14ac:dyDescent="0.35">
      <c r="A80"/>
      <c r="B80" t="s">
        <v>180</v>
      </c>
      <c r="C80" s="8"/>
      <c r="D80" s="8">
        <v>20</v>
      </c>
    </row>
    <row r="81" spans="2:4" x14ac:dyDescent="0.35">
      <c r="B81" t="s">
        <v>181</v>
      </c>
      <c r="C81" s="8"/>
      <c r="D81" s="73">
        <v>13.6</v>
      </c>
    </row>
    <row r="82" spans="2:4" x14ac:dyDescent="0.35">
      <c r="C82" s="8"/>
      <c r="D82" s="8"/>
    </row>
    <row r="83" spans="2:4" x14ac:dyDescent="0.35">
      <c r="B83" t="s">
        <v>182</v>
      </c>
      <c r="C83" s="8"/>
      <c r="D83" s="8">
        <f>+D67+D81</f>
        <v>26.842999999999996</v>
      </c>
    </row>
    <row r="84" spans="2:4" ht="15" thickBot="1" x14ac:dyDescent="0.4">
      <c r="B84" t="s">
        <v>183</v>
      </c>
      <c r="C84" s="8"/>
      <c r="D84" s="8">
        <f>+E49</f>
        <v>28.2</v>
      </c>
    </row>
    <row r="85" spans="2:4" ht="15" thickBot="1" x14ac:dyDescent="0.4">
      <c r="B85" s="53" t="s">
        <v>184</v>
      </c>
      <c r="C85" s="68"/>
      <c r="D85" s="69">
        <f>+D83-D84</f>
        <v>-1.3570000000000029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C9AC8-A077-4009-A885-592BEA901031}">
  <sheetPr codeName="Sheet7"/>
  <dimension ref="A2:B69"/>
  <sheetViews>
    <sheetView showGridLines="0" workbookViewId="0">
      <selection activeCell="A2" sqref="A2"/>
    </sheetView>
  </sheetViews>
  <sheetFormatPr defaultRowHeight="14.5" x14ac:dyDescent="0.35"/>
  <cols>
    <col min="1" max="1" width="9" style="4"/>
  </cols>
  <sheetData>
    <row r="2" spans="1:2" x14ac:dyDescent="0.35">
      <c r="A2" s="4" t="s">
        <v>19</v>
      </c>
      <c r="B2" s="1" t="s">
        <v>189</v>
      </c>
    </row>
    <row r="3" spans="1:2" x14ac:dyDescent="0.35">
      <c r="B3" s="6" t="s">
        <v>190</v>
      </c>
    </row>
    <row r="4" spans="1:2" x14ac:dyDescent="0.35">
      <c r="B4" s="6" t="s">
        <v>587</v>
      </c>
    </row>
    <row r="5" spans="1:2" x14ac:dyDescent="0.35">
      <c r="B5" s="7" t="s">
        <v>664</v>
      </c>
    </row>
    <row r="7" spans="1:2" x14ac:dyDescent="0.35">
      <c r="A7" s="4" t="s">
        <v>19</v>
      </c>
      <c r="B7" s="1" t="s">
        <v>191</v>
      </c>
    </row>
    <row r="8" spans="1:2" x14ac:dyDescent="0.35">
      <c r="B8" s="6" t="s">
        <v>192</v>
      </c>
    </row>
    <row r="9" spans="1:2" x14ac:dyDescent="0.35">
      <c r="B9" s="7" t="s">
        <v>195</v>
      </c>
    </row>
    <row r="10" spans="1:2" x14ac:dyDescent="0.35">
      <c r="B10" s="66" t="s">
        <v>196</v>
      </c>
    </row>
    <row r="11" spans="1:2" x14ac:dyDescent="0.35">
      <c r="B11" s="7" t="s">
        <v>193</v>
      </c>
    </row>
    <row r="12" spans="1:2" x14ac:dyDescent="0.35">
      <c r="B12" s="66" t="s">
        <v>197</v>
      </c>
    </row>
    <row r="13" spans="1:2" x14ac:dyDescent="0.35">
      <c r="B13" s="66" t="s">
        <v>568</v>
      </c>
    </row>
    <row r="14" spans="1:2" x14ac:dyDescent="0.35">
      <c r="B14" s="66" t="s">
        <v>194</v>
      </c>
    </row>
    <row r="15" spans="1:2" x14ac:dyDescent="0.35">
      <c r="B15" s="66" t="s">
        <v>625</v>
      </c>
    </row>
    <row r="16" spans="1:2" x14ac:dyDescent="0.35">
      <c r="A16" s="4" t="s">
        <v>19</v>
      </c>
      <c r="B16" s="7" t="s">
        <v>626</v>
      </c>
    </row>
    <row r="17" spans="1:2" x14ac:dyDescent="0.35">
      <c r="B17" s="7" t="s">
        <v>195</v>
      </c>
    </row>
    <row r="18" spans="1:2" x14ac:dyDescent="0.35">
      <c r="B18" s="66" t="s">
        <v>569</v>
      </c>
    </row>
    <row r="19" spans="1:2" x14ac:dyDescent="0.35">
      <c r="B19" s="66" t="s">
        <v>198</v>
      </c>
    </row>
    <row r="20" spans="1:2" x14ac:dyDescent="0.35">
      <c r="B20" s="7" t="s">
        <v>193</v>
      </c>
    </row>
    <row r="21" spans="1:2" x14ac:dyDescent="0.35">
      <c r="B21" s="66" t="s">
        <v>649</v>
      </c>
    </row>
    <row r="22" spans="1:2" x14ac:dyDescent="0.35">
      <c r="B22" s="66" t="s">
        <v>650</v>
      </c>
    </row>
    <row r="23" spans="1:2" x14ac:dyDescent="0.35">
      <c r="A23" s="4" t="s">
        <v>19</v>
      </c>
      <c r="B23" s="6" t="s">
        <v>208</v>
      </c>
    </row>
    <row r="24" spans="1:2" x14ac:dyDescent="0.35">
      <c r="B24" s="7" t="s">
        <v>195</v>
      </c>
    </row>
    <row r="25" spans="1:2" x14ac:dyDescent="0.35">
      <c r="B25" s="66" t="s">
        <v>651</v>
      </c>
    </row>
    <row r="26" spans="1:2" x14ac:dyDescent="0.35">
      <c r="B26" s="7" t="s">
        <v>193</v>
      </c>
    </row>
    <row r="27" spans="1:2" x14ac:dyDescent="0.35">
      <c r="B27" s="66" t="s">
        <v>652</v>
      </c>
    </row>
    <row r="28" spans="1:2" x14ac:dyDescent="0.35">
      <c r="B28" s="66" t="s">
        <v>199</v>
      </c>
    </row>
    <row r="29" spans="1:2" x14ac:dyDescent="0.35">
      <c r="B29" s="66" t="s">
        <v>200</v>
      </c>
    </row>
    <row r="30" spans="1:2" x14ac:dyDescent="0.35">
      <c r="B30" s="66" t="s">
        <v>201</v>
      </c>
    </row>
    <row r="31" spans="1:2" x14ac:dyDescent="0.35">
      <c r="B31" s="215" t="s">
        <v>202</v>
      </c>
    </row>
    <row r="32" spans="1:2" x14ac:dyDescent="0.35">
      <c r="B32" s="75" t="s">
        <v>203</v>
      </c>
    </row>
    <row r="33" spans="2:2" x14ac:dyDescent="0.35">
      <c r="B33" s="75" t="s">
        <v>653</v>
      </c>
    </row>
    <row r="34" spans="2:2" x14ac:dyDescent="0.35">
      <c r="B34" s="75" t="s">
        <v>577</v>
      </c>
    </row>
    <row r="35" spans="2:2" x14ac:dyDescent="0.35">
      <c r="B35" s="75" t="s">
        <v>570</v>
      </c>
    </row>
    <row r="36" spans="2:2" x14ac:dyDescent="0.35">
      <c r="B36" s="75" t="s">
        <v>654</v>
      </c>
    </row>
    <row r="37" spans="2:2" x14ac:dyDescent="0.35">
      <c r="B37" s="215" t="s">
        <v>204</v>
      </c>
    </row>
    <row r="38" spans="2:2" x14ac:dyDescent="0.35">
      <c r="B38" s="75" t="s">
        <v>655</v>
      </c>
    </row>
    <row r="39" spans="2:2" x14ac:dyDescent="0.35">
      <c r="B39" s="75" t="s">
        <v>656</v>
      </c>
    </row>
    <row r="40" spans="2:2" x14ac:dyDescent="0.35">
      <c r="B40" s="215" t="s">
        <v>205</v>
      </c>
    </row>
    <row r="41" spans="2:2" x14ac:dyDescent="0.35">
      <c r="B41" s="75" t="s">
        <v>627</v>
      </c>
    </row>
    <row r="42" spans="2:2" x14ac:dyDescent="0.35">
      <c r="B42" s="75" t="s">
        <v>657</v>
      </c>
    </row>
    <row r="43" spans="2:2" x14ac:dyDescent="0.35">
      <c r="B43" s="75" t="s">
        <v>206</v>
      </c>
    </row>
    <row r="44" spans="2:2" x14ac:dyDescent="0.35">
      <c r="B44" s="75" t="s">
        <v>571</v>
      </c>
    </row>
    <row r="45" spans="2:2" x14ac:dyDescent="0.35">
      <c r="B45" s="216" t="s">
        <v>658</v>
      </c>
    </row>
    <row r="46" spans="2:2" x14ac:dyDescent="0.35">
      <c r="B46" s="216" t="s">
        <v>578</v>
      </c>
    </row>
    <row r="47" spans="2:2" x14ac:dyDescent="0.35">
      <c r="B47" s="216" t="s">
        <v>659</v>
      </c>
    </row>
    <row r="48" spans="2:2" x14ac:dyDescent="0.35">
      <c r="B48" s="216" t="s">
        <v>211</v>
      </c>
    </row>
    <row r="49" spans="1:2" x14ac:dyDescent="0.35">
      <c r="B49" s="216" t="s">
        <v>207</v>
      </c>
    </row>
    <row r="50" spans="1:2" x14ac:dyDescent="0.35">
      <c r="B50" s="215" t="s">
        <v>209</v>
      </c>
    </row>
    <row r="51" spans="1:2" x14ac:dyDescent="0.35">
      <c r="B51" s="216" t="s">
        <v>210</v>
      </c>
    </row>
    <row r="52" spans="1:2" x14ac:dyDescent="0.35">
      <c r="B52" s="215" t="s">
        <v>212</v>
      </c>
    </row>
    <row r="53" spans="1:2" x14ac:dyDescent="0.35">
      <c r="B53" s="216" t="s">
        <v>660</v>
      </c>
    </row>
    <row r="54" spans="1:2" x14ac:dyDescent="0.35">
      <c r="B54" s="216" t="s">
        <v>588</v>
      </c>
    </row>
    <row r="55" spans="1:2" x14ac:dyDescent="0.35">
      <c r="B55" s="216" t="s">
        <v>213</v>
      </c>
    </row>
    <row r="56" spans="1:2" x14ac:dyDescent="0.35">
      <c r="B56" s="216" t="s">
        <v>214</v>
      </c>
    </row>
    <row r="57" spans="1:2" x14ac:dyDescent="0.35">
      <c r="B57" s="215" t="s">
        <v>215</v>
      </c>
    </row>
    <row r="58" spans="1:2" x14ac:dyDescent="0.35">
      <c r="B58" s="216" t="s">
        <v>661</v>
      </c>
    </row>
    <row r="59" spans="1:2" x14ac:dyDescent="0.35">
      <c r="B59" s="216" t="s">
        <v>589</v>
      </c>
    </row>
    <row r="60" spans="1:2" x14ac:dyDescent="0.35">
      <c r="A60" s="4" t="s">
        <v>19</v>
      </c>
      <c r="B60" s="6" t="s">
        <v>216</v>
      </c>
    </row>
    <row r="61" spans="1:2" x14ac:dyDescent="0.35">
      <c r="B61" s="6" t="s">
        <v>195</v>
      </c>
    </row>
    <row r="62" spans="1:2" x14ac:dyDescent="0.35">
      <c r="B62" s="7" t="s">
        <v>662</v>
      </c>
    </row>
    <row r="63" spans="1:2" x14ac:dyDescent="0.35">
      <c r="B63" s="6" t="s">
        <v>193</v>
      </c>
    </row>
    <row r="64" spans="1:2" x14ac:dyDescent="0.35">
      <c r="B64" s="7" t="s">
        <v>217</v>
      </c>
    </row>
    <row r="65" spans="2:2" x14ac:dyDescent="0.35">
      <c r="B65" s="66" t="s">
        <v>218</v>
      </c>
    </row>
    <row r="66" spans="2:2" x14ac:dyDescent="0.35">
      <c r="B66" s="74" t="s">
        <v>663</v>
      </c>
    </row>
    <row r="67" spans="2:2" x14ac:dyDescent="0.35">
      <c r="B67" s="74" t="s">
        <v>590</v>
      </c>
    </row>
    <row r="68" spans="2:2" x14ac:dyDescent="0.35">
      <c r="B68" s="74" t="s">
        <v>219</v>
      </c>
    </row>
    <row r="69" spans="2:2" x14ac:dyDescent="0.35">
      <c r="B69" s="74" t="s">
        <v>591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47CD5-2DFD-4832-B77C-E0C0DA8FAE00}">
  <sheetPr codeName="Sheet8">
    <pageSetUpPr autoPageBreaks="0"/>
  </sheetPr>
  <dimension ref="A2:B41"/>
  <sheetViews>
    <sheetView showGridLines="0" workbookViewId="0">
      <selection activeCell="A2" sqref="A2"/>
    </sheetView>
  </sheetViews>
  <sheetFormatPr defaultRowHeight="14.5" x14ac:dyDescent="0.35"/>
  <cols>
    <col min="1" max="1" width="9.1796875" style="4"/>
  </cols>
  <sheetData>
    <row r="2" spans="1:2" x14ac:dyDescent="0.35">
      <c r="A2" s="4" t="s">
        <v>19</v>
      </c>
      <c r="B2" s="1" t="s">
        <v>220</v>
      </c>
    </row>
    <row r="3" spans="1:2" x14ac:dyDescent="0.35">
      <c r="B3" t="s">
        <v>221</v>
      </c>
    </row>
    <row r="5" spans="1:2" x14ac:dyDescent="0.35">
      <c r="A5" s="4" t="s">
        <v>19</v>
      </c>
      <c r="B5" s="1" t="s">
        <v>222</v>
      </c>
    </row>
    <row r="6" spans="1:2" x14ac:dyDescent="0.35">
      <c r="B6" t="s">
        <v>223</v>
      </c>
    </row>
    <row r="7" spans="1:2" x14ac:dyDescent="0.35">
      <c r="B7" s="6" t="s">
        <v>195</v>
      </c>
    </row>
    <row r="8" spans="1:2" x14ac:dyDescent="0.35">
      <c r="B8" s="7" t="s">
        <v>224</v>
      </c>
    </row>
    <row r="9" spans="1:2" x14ac:dyDescent="0.35">
      <c r="B9" s="7" t="s">
        <v>592</v>
      </c>
    </row>
    <row r="10" spans="1:2" x14ac:dyDescent="0.35">
      <c r="B10" s="6" t="s">
        <v>193</v>
      </c>
    </row>
    <row r="11" spans="1:2" x14ac:dyDescent="0.35">
      <c r="B11" s="7" t="s">
        <v>225</v>
      </c>
    </row>
    <row r="12" spans="1:2" x14ac:dyDescent="0.35">
      <c r="B12" s="66" t="s">
        <v>226</v>
      </c>
    </row>
    <row r="14" spans="1:2" x14ac:dyDescent="0.35">
      <c r="A14" s="4" t="s">
        <v>19</v>
      </c>
      <c r="B14" s="1" t="s">
        <v>227</v>
      </c>
    </row>
    <row r="15" spans="1:2" x14ac:dyDescent="0.35">
      <c r="B15" t="s">
        <v>593</v>
      </c>
    </row>
    <row r="16" spans="1:2" x14ac:dyDescent="0.35">
      <c r="B16" t="s">
        <v>228</v>
      </c>
    </row>
    <row r="17" spans="1:2" x14ac:dyDescent="0.35">
      <c r="B17" s="6" t="s">
        <v>195</v>
      </c>
    </row>
    <row r="18" spans="1:2" x14ac:dyDescent="0.35">
      <c r="B18" s="7" t="s">
        <v>229</v>
      </c>
    </row>
    <row r="19" spans="1:2" x14ac:dyDescent="0.35">
      <c r="B19" s="6" t="s">
        <v>193</v>
      </c>
    </row>
    <row r="20" spans="1:2" x14ac:dyDescent="0.35">
      <c r="B20" s="7" t="s">
        <v>230</v>
      </c>
    </row>
    <row r="22" spans="1:2" x14ac:dyDescent="0.35">
      <c r="A22" s="4" t="s">
        <v>19</v>
      </c>
      <c r="B22" s="1" t="s">
        <v>231</v>
      </c>
    </row>
    <row r="23" spans="1:2" x14ac:dyDescent="0.35">
      <c r="B23" t="s">
        <v>628</v>
      </c>
    </row>
    <row r="24" spans="1:2" x14ac:dyDescent="0.35">
      <c r="B24" s="6" t="s">
        <v>195</v>
      </c>
    </row>
    <row r="25" spans="1:2" x14ac:dyDescent="0.35">
      <c r="B25" s="7" t="s">
        <v>232</v>
      </c>
    </row>
    <row r="26" spans="1:2" x14ac:dyDescent="0.35">
      <c r="B26" s="6" t="s">
        <v>193</v>
      </c>
    </row>
    <row r="27" spans="1:2" x14ac:dyDescent="0.35">
      <c r="B27" s="7" t="s">
        <v>233</v>
      </c>
    </row>
    <row r="28" spans="1:2" x14ac:dyDescent="0.35">
      <c r="B28" s="7" t="s">
        <v>579</v>
      </c>
    </row>
    <row r="29" spans="1:2" x14ac:dyDescent="0.35">
      <c r="B29" s="7" t="s">
        <v>665</v>
      </c>
    </row>
    <row r="31" spans="1:2" x14ac:dyDescent="0.35">
      <c r="A31" s="4" t="s">
        <v>19</v>
      </c>
      <c r="B31" s="1" t="s">
        <v>234</v>
      </c>
    </row>
    <row r="32" spans="1:2" x14ac:dyDescent="0.35">
      <c r="B32" t="s">
        <v>666</v>
      </c>
    </row>
    <row r="33" spans="1:2" x14ac:dyDescent="0.35">
      <c r="B33" s="6" t="s">
        <v>195</v>
      </c>
    </row>
    <row r="34" spans="1:2" x14ac:dyDescent="0.35">
      <c r="B34" s="7" t="s">
        <v>667</v>
      </c>
    </row>
    <row r="35" spans="1:2" x14ac:dyDescent="0.35">
      <c r="B35" s="6" t="s">
        <v>193</v>
      </c>
    </row>
    <row r="36" spans="1:2" x14ac:dyDescent="0.35">
      <c r="B36" s="7" t="s">
        <v>235</v>
      </c>
    </row>
    <row r="37" spans="1:2" x14ac:dyDescent="0.35">
      <c r="B37" s="7" t="s">
        <v>668</v>
      </c>
    </row>
    <row r="39" spans="1:2" x14ac:dyDescent="0.35">
      <c r="A39" s="4" t="s">
        <v>19</v>
      </c>
      <c r="B39" s="1" t="s">
        <v>669</v>
      </c>
    </row>
    <row r="40" spans="1:2" x14ac:dyDescent="0.35">
      <c r="B40" t="s">
        <v>583</v>
      </c>
    </row>
    <row r="41" spans="1:2" x14ac:dyDescent="0.35">
      <c r="B41" t="s">
        <v>594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A03CE-0E74-45A3-9FE5-02B799F32817}">
  <sheetPr codeName="Sheet9"/>
  <dimension ref="A2:B15"/>
  <sheetViews>
    <sheetView showGridLines="0" workbookViewId="0">
      <selection activeCell="A2" sqref="A2"/>
    </sheetView>
  </sheetViews>
  <sheetFormatPr defaultRowHeight="14.5" x14ac:dyDescent="0.35"/>
  <cols>
    <col min="1" max="1" width="9.1796875" style="4"/>
  </cols>
  <sheetData>
    <row r="2" spans="1:2" x14ac:dyDescent="0.35">
      <c r="A2" s="4" t="s">
        <v>19</v>
      </c>
      <c r="B2" s="1" t="s">
        <v>236</v>
      </c>
    </row>
    <row r="3" spans="1:2" x14ac:dyDescent="0.35">
      <c r="B3" t="s">
        <v>237</v>
      </c>
    </row>
    <row r="4" spans="1:2" x14ac:dyDescent="0.35">
      <c r="B4" s="76" t="s">
        <v>238</v>
      </c>
    </row>
    <row r="5" spans="1:2" x14ac:dyDescent="0.35">
      <c r="B5" s="6" t="s">
        <v>239</v>
      </c>
    </row>
    <row r="6" spans="1:2" x14ac:dyDescent="0.35">
      <c r="B6" s="76" t="s">
        <v>240</v>
      </c>
    </row>
    <row r="7" spans="1:2" x14ac:dyDescent="0.35">
      <c r="B7" s="6" t="s">
        <v>595</v>
      </c>
    </row>
    <row r="8" spans="1:2" x14ac:dyDescent="0.35">
      <c r="B8" s="6" t="s">
        <v>241</v>
      </c>
    </row>
    <row r="9" spans="1:2" x14ac:dyDescent="0.35">
      <c r="B9" s="76" t="s">
        <v>242</v>
      </c>
    </row>
    <row r="10" spans="1:2" x14ac:dyDescent="0.35">
      <c r="B10" s="6" t="s">
        <v>596</v>
      </c>
    </row>
    <row r="11" spans="1:2" x14ac:dyDescent="0.35">
      <c r="B11" s="76" t="s">
        <v>243</v>
      </c>
    </row>
    <row r="12" spans="1:2" x14ac:dyDescent="0.35">
      <c r="B12" s="6" t="s">
        <v>244</v>
      </c>
    </row>
    <row r="15" spans="1:2" x14ac:dyDescent="0.35">
      <c r="A1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1FC2C-0E1B-4D98-BADE-4218FB1643F1}">
  <sheetPr codeName="Sheet10"/>
  <dimension ref="A2:F36"/>
  <sheetViews>
    <sheetView showGridLines="0" workbookViewId="0">
      <selection activeCell="A2" sqref="A2"/>
    </sheetView>
  </sheetViews>
  <sheetFormatPr defaultRowHeight="14.5" x14ac:dyDescent="0.35"/>
  <cols>
    <col min="1" max="1" width="9.1796875" style="4"/>
    <col min="2" max="2" width="32.453125" bestFit="1" customWidth="1"/>
    <col min="3" max="6" width="20.54296875" customWidth="1"/>
  </cols>
  <sheetData>
    <row r="2" spans="1:6" x14ac:dyDescent="0.35">
      <c r="A2" s="4" t="s">
        <v>19</v>
      </c>
      <c r="B2" s="1" t="s">
        <v>240</v>
      </c>
    </row>
    <row r="3" spans="1:6" x14ac:dyDescent="0.35">
      <c r="B3" t="s">
        <v>629</v>
      </c>
    </row>
    <row r="5" spans="1:6" x14ac:dyDescent="0.35">
      <c r="A5" s="4" t="s">
        <v>19</v>
      </c>
      <c r="B5" s="1" t="s">
        <v>494</v>
      </c>
    </row>
    <row r="6" spans="1:6" ht="15" thickBot="1" x14ac:dyDescent="0.4">
      <c r="B6" s="9" t="s">
        <v>125</v>
      </c>
    </row>
    <row r="7" spans="1:6" x14ac:dyDescent="0.35">
      <c r="B7" s="77" t="s">
        <v>280</v>
      </c>
      <c r="C7" s="78" t="s">
        <v>247</v>
      </c>
    </row>
    <row r="8" spans="1:6" ht="15" thickBot="1" x14ac:dyDescent="0.4">
      <c r="B8" s="79">
        <v>2.4</v>
      </c>
      <c r="C8" s="80">
        <v>3.6000000000000014</v>
      </c>
    </row>
    <row r="10" spans="1:6" x14ac:dyDescent="0.35">
      <c r="A10" s="4" t="s">
        <v>19</v>
      </c>
      <c r="B10" s="1" t="s">
        <v>245</v>
      </c>
    </row>
    <row r="11" spans="1:6" ht="15" thickBot="1" x14ac:dyDescent="0.4">
      <c r="B11" s="9" t="s">
        <v>125</v>
      </c>
      <c r="D11" s="28" t="s">
        <v>248</v>
      </c>
      <c r="E11" s="28"/>
      <c r="F11" t="s">
        <v>136</v>
      </c>
    </row>
    <row r="12" spans="1:6" ht="15" customHeight="1" thickBot="1" x14ac:dyDescent="0.4">
      <c r="B12" t="s">
        <v>127</v>
      </c>
      <c r="C12" s="211">
        <v>40543</v>
      </c>
      <c r="D12" s="146" t="s">
        <v>132</v>
      </c>
      <c r="E12" s="199" t="s">
        <v>133</v>
      </c>
      <c r="F12" s="213">
        <f>C12</f>
        <v>40543</v>
      </c>
    </row>
    <row r="13" spans="1:6" ht="15" thickBot="1" x14ac:dyDescent="0.4">
      <c r="B13" s="6" t="s">
        <v>131</v>
      </c>
      <c r="C13" s="212">
        <f>'The Spiral of Distress'!E45-B8-C8</f>
        <v>115.19999999999999</v>
      </c>
      <c r="D13" s="8"/>
      <c r="E13" s="17">
        <v>52.5</v>
      </c>
      <c r="F13" s="214">
        <f>IF(ISBLANK(C13),"",C13+D13-E13)</f>
        <v>62.699999999999989</v>
      </c>
    </row>
    <row r="14" spans="1:6" ht="15" thickTop="1" x14ac:dyDescent="0.35">
      <c r="C14" s="194"/>
      <c r="D14" s="8"/>
      <c r="E14" s="8"/>
      <c r="F14" s="194"/>
    </row>
    <row r="15" spans="1:6" x14ac:dyDescent="0.35">
      <c r="B15" t="s">
        <v>143</v>
      </c>
      <c r="C15" s="194"/>
      <c r="D15" s="8"/>
      <c r="E15" s="8"/>
      <c r="F15" s="194"/>
    </row>
    <row r="16" spans="1:6" x14ac:dyDescent="0.35">
      <c r="B16" t="s">
        <v>29</v>
      </c>
      <c r="C16" s="195">
        <f>'The Spiral of Distress'!E47</f>
        <v>29.4</v>
      </c>
      <c r="D16" s="17">
        <v>5.2</v>
      </c>
      <c r="E16" s="8"/>
      <c r="F16" s="197">
        <f>IF(ISBLANK(C16),"",C16-D16+E16)</f>
        <v>24.2</v>
      </c>
    </row>
    <row r="17" spans="1:6" x14ac:dyDescent="0.35">
      <c r="B17" t="s">
        <v>30</v>
      </c>
      <c r="C17" s="194"/>
      <c r="D17" s="8"/>
      <c r="E17" s="8"/>
      <c r="F17" s="194" t="str">
        <f t="shared" ref="F17:F23" si="0">IF(ISBLANK(C17),"",C17-D17+E17)</f>
        <v/>
      </c>
    </row>
    <row r="18" spans="1:6" x14ac:dyDescent="0.35">
      <c r="B18" t="s">
        <v>31</v>
      </c>
      <c r="C18" s="195">
        <f>'The Spiral of Distress'!E49-$B$8</f>
        <v>25.8</v>
      </c>
      <c r="D18" s="17">
        <v>4</v>
      </c>
      <c r="E18" s="8"/>
      <c r="F18" s="197">
        <f t="shared" si="0"/>
        <v>21.8</v>
      </c>
    </row>
    <row r="19" spans="1:6" x14ac:dyDescent="0.35">
      <c r="B19" t="s">
        <v>32</v>
      </c>
      <c r="C19" s="195">
        <f>'The Spiral of Distress'!E50</f>
        <v>20.8</v>
      </c>
      <c r="D19" s="8"/>
      <c r="E19" s="8"/>
      <c r="F19" s="197">
        <f t="shared" si="0"/>
        <v>20.8</v>
      </c>
    </row>
    <row r="20" spans="1:6" x14ac:dyDescent="0.35">
      <c r="B20" t="s">
        <v>142</v>
      </c>
      <c r="C20" s="195">
        <f>'The Spiral of Distress'!E51</f>
        <v>15.8</v>
      </c>
      <c r="D20" s="17">
        <v>3.6</v>
      </c>
      <c r="E20" s="8"/>
      <c r="F20" s="197">
        <f t="shared" si="0"/>
        <v>12.200000000000001</v>
      </c>
    </row>
    <row r="21" spans="1:6" x14ac:dyDescent="0.35">
      <c r="B21" t="s">
        <v>623</v>
      </c>
      <c r="C21" s="196">
        <f>SUM(C18:C20)</f>
        <v>62.400000000000006</v>
      </c>
      <c r="D21" s="8"/>
      <c r="E21" s="8"/>
      <c r="F21" s="196">
        <f>F18+F19+F20</f>
        <v>54.800000000000004</v>
      </c>
    </row>
    <row r="22" spans="1:6" x14ac:dyDescent="0.35">
      <c r="B22" t="s">
        <v>36</v>
      </c>
      <c r="C22" s="197">
        <f>C21+C16</f>
        <v>91.800000000000011</v>
      </c>
      <c r="D22" s="8"/>
      <c r="E22" s="8"/>
      <c r="F22" s="197">
        <f>F16+F21</f>
        <v>79</v>
      </c>
    </row>
    <row r="23" spans="1:6" x14ac:dyDescent="0.35">
      <c r="B23" t="s">
        <v>246</v>
      </c>
      <c r="C23" s="198">
        <v>23.4</v>
      </c>
      <c r="D23" s="8"/>
      <c r="E23" s="11">
        <f>-(E13-SUM(D16:D20))</f>
        <v>-39.700000000000003</v>
      </c>
      <c r="F23" s="197">
        <f t="shared" si="0"/>
        <v>-16.300000000000004</v>
      </c>
    </row>
    <row r="24" spans="1:6" ht="15" thickBot="1" x14ac:dyDescent="0.4">
      <c r="B24" t="s">
        <v>38</v>
      </c>
      <c r="C24" s="201">
        <f>C22+C23</f>
        <v>115.20000000000002</v>
      </c>
      <c r="D24" s="202"/>
      <c r="E24" s="203"/>
      <c r="F24" s="204">
        <f>F23+F22</f>
        <v>62.699999999999996</v>
      </c>
    </row>
    <row r="25" spans="1:6" ht="15" thickTop="1" x14ac:dyDescent="0.35"/>
    <row r="26" spans="1:6" x14ac:dyDescent="0.35">
      <c r="A26" s="4" t="s">
        <v>19</v>
      </c>
      <c r="B26" s="1" t="s">
        <v>249</v>
      </c>
    </row>
    <row r="27" spans="1:6" x14ac:dyDescent="0.35">
      <c r="B27" t="s">
        <v>670</v>
      </c>
    </row>
    <row r="28" spans="1:6" x14ac:dyDescent="0.35">
      <c r="B28" t="s">
        <v>250</v>
      </c>
    </row>
    <row r="29" spans="1:6" x14ac:dyDescent="0.35">
      <c r="B29" t="s">
        <v>251</v>
      </c>
    </row>
    <row r="30" spans="1:6" x14ac:dyDescent="0.35">
      <c r="B30" t="s">
        <v>252</v>
      </c>
    </row>
    <row r="31" spans="1:6" x14ac:dyDescent="0.35">
      <c r="B31" t="s">
        <v>597</v>
      </c>
    </row>
    <row r="32" spans="1:6" x14ac:dyDescent="0.35">
      <c r="B32" t="s">
        <v>598</v>
      </c>
    </row>
    <row r="33" spans="2:2" x14ac:dyDescent="0.35">
      <c r="B33" t="s">
        <v>630</v>
      </c>
    </row>
    <row r="34" spans="2:2" x14ac:dyDescent="0.35">
      <c r="B34" t="s">
        <v>253</v>
      </c>
    </row>
    <row r="35" spans="2:2" x14ac:dyDescent="0.35">
      <c r="B35" t="s">
        <v>254</v>
      </c>
    </row>
    <row r="36" spans="2:2" x14ac:dyDescent="0.35">
      <c r="B36" t="s">
        <v>255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8F405-4570-408D-A13B-D8F4C5AD9C6E}">
  <sheetPr codeName="Sheet11">
    <pageSetUpPr autoPageBreaks="0"/>
  </sheetPr>
  <dimension ref="A2:J58"/>
  <sheetViews>
    <sheetView showGridLines="0" workbookViewId="0">
      <selection activeCell="A2" sqref="A2"/>
    </sheetView>
  </sheetViews>
  <sheetFormatPr defaultRowHeight="14.5" x14ac:dyDescent="0.35"/>
  <cols>
    <col min="1" max="1" width="8.7265625" style="4"/>
    <col min="2" max="2" width="32.1796875" bestFit="1" customWidth="1"/>
    <col min="3" max="6" width="20.7265625" customWidth="1"/>
  </cols>
  <sheetData>
    <row r="2" spans="1:2" x14ac:dyDescent="0.35">
      <c r="A2" s="4" t="s">
        <v>19</v>
      </c>
      <c r="B2" s="1" t="s">
        <v>256</v>
      </c>
    </row>
    <row r="4" spans="1:2" x14ac:dyDescent="0.35">
      <c r="A4" s="4" t="s">
        <v>19</v>
      </c>
      <c r="B4" s="1" t="s">
        <v>566</v>
      </c>
    </row>
    <row r="5" spans="1:2" x14ac:dyDescent="0.35">
      <c r="B5" s="220" t="s">
        <v>257</v>
      </c>
    </row>
    <row r="6" spans="1:2" x14ac:dyDescent="0.35">
      <c r="B6" t="s">
        <v>631</v>
      </c>
    </row>
    <row r="8" spans="1:2" x14ac:dyDescent="0.35">
      <c r="A8" s="4" t="s">
        <v>19</v>
      </c>
      <c r="B8" s="1" t="s">
        <v>258</v>
      </c>
    </row>
    <row r="9" spans="1:2" x14ac:dyDescent="0.35">
      <c r="B9" t="s">
        <v>671</v>
      </c>
    </row>
    <row r="11" spans="1:2" x14ac:dyDescent="0.35">
      <c r="A11" s="4" t="s">
        <v>19</v>
      </c>
      <c r="B11" s="1" t="s">
        <v>259</v>
      </c>
    </row>
    <row r="12" spans="1:2" x14ac:dyDescent="0.35">
      <c r="B12" t="s">
        <v>260</v>
      </c>
    </row>
    <row r="13" spans="1:2" x14ac:dyDescent="0.35">
      <c r="B13" s="76" t="s">
        <v>261</v>
      </c>
    </row>
    <row r="14" spans="1:2" x14ac:dyDescent="0.35">
      <c r="B14" s="6" t="s">
        <v>672</v>
      </c>
    </row>
    <row r="15" spans="1:2" x14ac:dyDescent="0.35">
      <c r="B15" s="6" t="s">
        <v>673</v>
      </c>
    </row>
    <row r="16" spans="1:2" x14ac:dyDescent="0.35">
      <c r="B16" s="76" t="s">
        <v>262</v>
      </c>
    </row>
    <row r="17" spans="1:6" x14ac:dyDescent="0.35">
      <c r="B17" s="6" t="s">
        <v>263</v>
      </c>
    </row>
    <row r="18" spans="1:6" x14ac:dyDescent="0.35">
      <c r="B18" s="76" t="s">
        <v>264</v>
      </c>
    </row>
    <row r="19" spans="1:6" x14ac:dyDescent="0.35">
      <c r="B19" s="6" t="s">
        <v>265</v>
      </c>
    </row>
    <row r="20" spans="1:6" x14ac:dyDescent="0.35">
      <c r="B20" s="76" t="s">
        <v>266</v>
      </c>
    </row>
    <row r="21" spans="1:6" x14ac:dyDescent="0.35">
      <c r="B21" s="6" t="s">
        <v>267</v>
      </c>
    </row>
    <row r="22" spans="1:6" x14ac:dyDescent="0.35">
      <c r="B22" s="76" t="s">
        <v>268</v>
      </c>
    </row>
    <row r="23" spans="1:6" x14ac:dyDescent="0.35">
      <c r="B23" s="6" t="s">
        <v>599</v>
      </c>
    </row>
    <row r="25" spans="1:6" x14ac:dyDescent="0.35">
      <c r="A25" s="4" t="s">
        <v>19</v>
      </c>
      <c r="B25" s="1" t="s">
        <v>269</v>
      </c>
    </row>
    <row r="26" spans="1:6" x14ac:dyDescent="0.35">
      <c r="B26" s="119" t="s">
        <v>125</v>
      </c>
      <c r="C26" s="193">
        <v>2007</v>
      </c>
      <c r="D26" s="193">
        <f>+C26+1</f>
        <v>2008</v>
      </c>
      <c r="E26" s="193">
        <f t="shared" ref="E26:F26" si="0">+D26+1</f>
        <v>2009</v>
      </c>
      <c r="F26" s="193">
        <f t="shared" si="0"/>
        <v>2010</v>
      </c>
    </row>
    <row r="27" spans="1:6" ht="15" customHeight="1" x14ac:dyDescent="0.35">
      <c r="B27" t="s">
        <v>4</v>
      </c>
      <c r="C27" s="64">
        <v>130</v>
      </c>
      <c r="D27" s="64">
        <v>139.80000000000001</v>
      </c>
      <c r="E27" s="64">
        <v>144</v>
      </c>
      <c r="F27" s="64">
        <v>136.80000000000001</v>
      </c>
    </row>
    <row r="28" spans="1:6" x14ac:dyDescent="0.35">
      <c r="B28" t="s">
        <v>10</v>
      </c>
      <c r="C28" s="17">
        <v>13.8</v>
      </c>
      <c r="D28" s="17">
        <v>10.199999999999999</v>
      </c>
      <c r="E28" s="17">
        <v>5.2</v>
      </c>
      <c r="F28" s="17">
        <v>-1.2</v>
      </c>
    </row>
    <row r="29" spans="1:6" x14ac:dyDescent="0.35">
      <c r="B29" t="s">
        <v>16</v>
      </c>
      <c r="C29" s="18">
        <v>19.8</v>
      </c>
      <c r="D29" s="18">
        <v>17</v>
      </c>
      <c r="E29" s="18">
        <v>12.4</v>
      </c>
      <c r="F29" s="18">
        <v>6.2</v>
      </c>
    </row>
    <row r="30" spans="1:6" x14ac:dyDescent="0.35">
      <c r="B30" s="6" t="s">
        <v>17</v>
      </c>
      <c r="C30" s="82">
        <f>+C29/C27</f>
        <v>0.15230769230769231</v>
      </c>
      <c r="D30" s="82">
        <f>+D29/D27</f>
        <v>0.12160228898426323</v>
      </c>
      <c r="E30" s="82">
        <f>+E29/E27</f>
        <v>8.611111111111111E-2</v>
      </c>
      <c r="F30" s="82">
        <f>+F29/F27</f>
        <v>4.5321637426900582E-2</v>
      </c>
    </row>
    <row r="31" spans="1:6" x14ac:dyDescent="0.35">
      <c r="B31" t="s">
        <v>270</v>
      </c>
      <c r="C31" s="8"/>
      <c r="D31" s="8"/>
      <c r="E31" s="8"/>
      <c r="F31" s="8"/>
    </row>
    <row r="32" spans="1:6" x14ac:dyDescent="0.35">
      <c r="B32" s="6" t="s">
        <v>6</v>
      </c>
      <c r="C32" s="17">
        <v>0</v>
      </c>
      <c r="D32" s="17">
        <v>0</v>
      </c>
      <c r="E32" s="17">
        <v>2</v>
      </c>
      <c r="F32" s="17">
        <v>2</v>
      </c>
    </row>
    <row r="33" spans="1:6" x14ac:dyDescent="0.35">
      <c r="B33" s="6" t="s">
        <v>271</v>
      </c>
      <c r="C33" s="17">
        <v>0</v>
      </c>
      <c r="D33" s="17">
        <v>1</v>
      </c>
      <c r="E33" s="17">
        <v>1</v>
      </c>
      <c r="F33" s="17">
        <v>2</v>
      </c>
    </row>
    <row r="34" spans="1:6" x14ac:dyDescent="0.35">
      <c r="B34" s="6" t="s">
        <v>272</v>
      </c>
      <c r="C34" s="17">
        <v>0</v>
      </c>
      <c r="D34" s="17">
        <v>0</v>
      </c>
      <c r="E34" s="17">
        <v>2</v>
      </c>
      <c r="F34" s="17">
        <v>2</v>
      </c>
    </row>
    <row r="35" spans="1:6" x14ac:dyDescent="0.35">
      <c r="B35" s="6" t="s">
        <v>273</v>
      </c>
      <c r="C35" s="17">
        <v>1</v>
      </c>
      <c r="D35" s="17">
        <v>1</v>
      </c>
      <c r="E35" s="17">
        <v>1</v>
      </c>
      <c r="F35" s="17">
        <v>1</v>
      </c>
    </row>
    <row r="36" spans="1:6" x14ac:dyDescent="0.35">
      <c r="B36" s="21" t="s">
        <v>277</v>
      </c>
      <c r="C36" s="20">
        <v>1</v>
      </c>
      <c r="D36" s="20">
        <v>1</v>
      </c>
      <c r="E36" s="20">
        <v>1</v>
      </c>
      <c r="F36" s="20">
        <v>1</v>
      </c>
    </row>
    <row r="37" spans="1:6" x14ac:dyDescent="0.35">
      <c r="B37" t="s">
        <v>274</v>
      </c>
      <c r="C37" s="17">
        <v>15.8</v>
      </c>
      <c r="D37" s="17">
        <v>13.2</v>
      </c>
      <c r="E37" s="17">
        <v>12.2</v>
      </c>
      <c r="F37" s="17">
        <v>6.8</v>
      </c>
    </row>
    <row r="38" spans="1:6" x14ac:dyDescent="0.35">
      <c r="B38" t="s">
        <v>275</v>
      </c>
      <c r="C38" s="17">
        <v>21.8</v>
      </c>
      <c r="D38" s="17">
        <v>20</v>
      </c>
      <c r="E38" s="17">
        <v>19.399999999999999</v>
      </c>
      <c r="F38" s="17">
        <v>14.2</v>
      </c>
    </row>
    <row r="39" spans="1:6" x14ac:dyDescent="0.35">
      <c r="B39" s="6" t="s">
        <v>276</v>
      </c>
      <c r="C39" s="82">
        <f>+C38/C27</f>
        <v>0.1676923076923077</v>
      </c>
      <c r="D39" s="82">
        <f>+D38/D27</f>
        <v>0.14306151645207438</v>
      </c>
      <c r="E39" s="82">
        <f>+E38/E27</f>
        <v>0.13472222222222222</v>
      </c>
      <c r="F39" s="82">
        <f>+F38/F27</f>
        <v>0.10380116959064326</v>
      </c>
    </row>
    <row r="41" spans="1:6" x14ac:dyDescent="0.35">
      <c r="A41" s="4" t="s">
        <v>19</v>
      </c>
      <c r="B41" s="1" t="s">
        <v>278</v>
      </c>
    </row>
    <row r="42" spans="1:6" x14ac:dyDescent="0.35">
      <c r="B42" s="33" t="s">
        <v>279</v>
      </c>
    </row>
    <row r="44" spans="1:6" x14ac:dyDescent="0.35">
      <c r="A44" s="4" t="s">
        <v>19</v>
      </c>
      <c r="B44" s="1" t="s">
        <v>281</v>
      </c>
    </row>
    <row r="45" spans="1:6" x14ac:dyDescent="0.35">
      <c r="B45" t="s">
        <v>282</v>
      </c>
    </row>
    <row r="47" spans="1:6" x14ac:dyDescent="0.35">
      <c r="A47" s="4" t="s">
        <v>19</v>
      </c>
      <c r="B47" s="1" t="s">
        <v>283</v>
      </c>
    </row>
    <row r="48" spans="1:6" x14ac:dyDescent="0.35">
      <c r="B48" s="119" t="s">
        <v>125</v>
      </c>
      <c r="C48" s="84">
        <v>2010</v>
      </c>
      <c r="D48" s="85">
        <f>+C48+1</f>
        <v>2011</v>
      </c>
      <c r="E48" s="85">
        <f t="shared" ref="E48:F48" si="1">+D48+1</f>
        <v>2012</v>
      </c>
      <c r="F48" s="85">
        <f t="shared" si="1"/>
        <v>2013</v>
      </c>
    </row>
    <row r="49" spans="2:10" x14ac:dyDescent="0.35">
      <c r="B49" t="s">
        <v>4</v>
      </c>
      <c r="C49" s="17">
        <v>136.80000000000001</v>
      </c>
      <c r="D49" s="17">
        <v>150.5</v>
      </c>
      <c r="E49" s="17">
        <v>158</v>
      </c>
      <c r="F49" s="17">
        <v>162.69999999999999</v>
      </c>
    </row>
    <row r="50" spans="2:10" x14ac:dyDescent="0.35">
      <c r="B50" s="83" t="s">
        <v>5</v>
      </c>
      <c r="C50" s="86">
        <v>-0.05</v>
      </c>
      <c r="D50" s="82">
        <f>+D49/C49-1</f>
        <v>0.10014619883040932</v>
      </c>
      <c r="E50" s="82">
        <f>+E49/D49-1</f>
        <v>4.9833887043189362E-2</v>
      </c>
      <c r="F50" s="82">
        <f>+F49/E49-1</f>
        <v>2.9746835443037911E-2</v>
      </c>
      <c r="J50" s="87"/>
    </row>
    <row r="51" spans="2:10" ht="15" customHeight="1" x14ac:dyDescent="0.35">
      <c r="B51" s="2" t="s">
        <v>6</v>
      </c>
      <c r="C51" s="20">
        <v>88.9</v>
      </c>
      <c r="D51" s="20">
        <v>96.3</v>
      </c>
      <c r="E51" s="20">
        <v>99.5</v>
      </c>
      <c r="F51" s="20">
        <v>100</v>
      </c>
    </row>
    <row r="52" spans="2:10" x14ac:dyDescent="0.35">
      <c r="B52" t="s">
        <v>7</v>
      </c>
      <c r="C52" s="11">
        <f>+C49-C51</f>
        <v>47.900000000000006</v>
      </c>
      <c r="D52" s="11">
        <f>+D49-D51</f>
        <v>54.2</v>
      </c>
      <c r="E52" s="11">
        <f>+E49-E51</f>
        <v>58.5</v>
      </c>
      <c r="F52" s="11">
        <f>+F49-F51</f>
        <v>62.699999999999989</v>
      </c>
    </row>
    <row r="53" spans="2:10" x14ac:dyDescent="0.35">
      <c r="B53" s="6" t="s">
        <v>8</v>
      </c>
      <c r="C53" s="82">
        <f>+C52/C49</f>
        <v>0.35014619883040937</v>
      </c>
      <c r="D53" s="82">
        <f>+D52/D49</f>
        <v>0.36013289036544854</v>
      </c>
      <c r="E53" s="82">
        <f>+E52/E49</f>
        <v>0.370253164556962</v>
      </c>
      <c r="F53" s="82">
        <f>+F52/F49</f>
        <v>0.38537185003073138</v>
      </c>
    </row>
    <row r="54" spans="2:10" ht="15" customHeight="1" x14ac:dyDescent="0.35">
      <c r="B54" t="s">
        <v>9</v>
      </c>
      <c r="C54" s="20">
        <v>49.1</v>
      </c>
      <c r="D54" s="20">
        <v>46.4</v>
      </c>
      <c r="E54" s="20">
        <v>46.8</v>
      </c>
      <c r="F54" s="20">
        <v>48.2</v>
      </c>
    </row>
    <row r="55" spans="2:10" x14ac:dyDescent="0.35">
      <c r="B55" s="38" t="s">
        <v>10</v>
      </c>
      <c r="C55" s="11">
        <f>+C52-C54</f>
        <v>-1.1999999999999957</v>
      </c>
      <c r="D55" s="11">
        <f>+D52-D54</f>
        <v>7.8000000000000043</v>
      </c>
      <c r="E55" s="11">
        <f>+E52-E54</f>
        <v>11.700000000000003</v>
      </c>
      <c r="F55" s="11">
        <f>+F52-F54</f>
        <v>14.499999999999986</v>
      </c>
    </row>
    <row r="56" spans="2:10" x14ac:dyDescent="0.35">
      <c r="B56" s="21" t="s">
        <v>15</v>
      </c>
      <c r="C56" s="20">
        <v>7.4</v>
      </c>
      <c r="D56" s="20">
        <v>7.8</v>
      </c>
      <c r="E56" s="20">
        <v>8.3498999999999999</v>
      </c>
      <c r="F56" s="20">
        <v>7.3</v>
      </c>
    </row>
    <row r="57" spans="2:10" x14ac:dyDescent="0.35">
      <c r="B57" t="s">
        <v>284</v>
      </c>
      <c r="C57" s="11">
        <f>+C55+C56</f>
        <v>6.2000000000000046</v>
      </c>
      <c r="D57" s="11">
        <f>+D55+D56</f>
        <v>15.600000000000005</v>
      </c>
      <c r="E57" s="11">
        <f>+E55+E56</f>
        <v>20.049900000000001</v>
      </c>
      <c r="F57" s="11">
        <f>+F55+F56</f>
        <v>21.799999999999986</v>
      </c>
    </row>
    <row r="58" spans="2:10" x14ac:dyDescent="0.35">
      <c r="B58" s="6" t="s">
        <v>17</v>
      </c>
      <c r="C58" s="82">
        <f>+C57/C49</f>
        <v>4.5321637426900617E-2</v>
      </c>
      <c r="D58" s="82">
        <f>+D57/D49</f>
        <v>0.10365448504983392</v>
      </c>
      <c r="E58" s="82">
        <f>+E57/E49</f>
        <v>0.12689810126582279</v>
      </c>
      <c r="F58" s="82">
        <f>+F57/F49</f>
        <v>0.13398893669330048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F027B-DE2E-4F2F-BF44-1153AE3E74CD}">
  <sheetPr codeName="Sheet18"/>
  <dimension ref="A1:B1"/>
  <sheetViews>
    <sheetView workbookViewId="0"/>
  </sheetViews>
  <sheetFormatPr defaultRowHeight="14.5" x14ac:dyDescent="0.35"/>
  <sheetData>
    <row r="1" spans="1:2" x14ac:dyDescent="0.35">
      <c r="A1">
        <v>2</v>
      </c>
      <c r="B1" t="s">
        <v>340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65449-2FF4-4CC7-9D87-4E1039CCC076}">
  <sheetPr codeName="Sheet13"/>
  <dimension ref="A2:K141"/>
  <sheetViews>
    <sheetView showGridLines="0" workbookViewId="0">
      <selection activeCell="A2" sqref="A2"/>
    </sheetView>
  </sheetViews>
  <sheetFormatPr defaultRowHeight="14.5" x14ac:dyDescent="0.35"/>
  <cols>
    <col min="1" max="1" width="9.1796875" style="4"/>
    <col min="2" max="2" width="42.453125" customWidth="1"/>
    <col min="3" max="3" width="25.54296875" customWidth="1"/>
    <col min="4" max="4" width="23.81640625" customWidth="1"/>
    <col min="5" max="9" width="20.7265625" customWidth="1"/>
  </cols>
  <sheetData>
    <row r="2" spans="1:2" x14ac:dyDescent="0.35">
      <c r="A2" s="4" t="s">
        <v>19</v>
      </c>
      <c r="B2" s="1" t="s">
        <v>285</v>
      </c>
    </row>
    <row r="3" spans="1:2" x14ac:dyDescent="0.35">
      <c r="B3" t="s">
        <v>600</v>
      </c>
    </row>
    <row r="5" spans="1:2" x14ac:dyDescent="0.35">
      <c r="A5" s="4" t="s">
        <v>19</v>
      </c>
      <c r="B5" s="1" t="s">
        <v>286</v>
      </c>
    </row>
    <row r="6" spans="1:2" x14ac:dyDescent="0.35">
      <c r="B6" t="s">
        <v>541</v>
      </c>
    </row>
    <row r="7" spans="1:2" x14ac:dyDescent="0.35">
      <c r="B7" t="s">
        <v>540</v>
      </c>
    </row>
    <row r="8" spans="1:2" x14ac:dyDescent="0.35">
      <c r="B8" t="s">
        <v>539</v>
      </c>
    </row>
    <row r="9" spans="1:2" x14ac:dyDescent="0.35">
      <c r="B9" t="s">
        <v>538</v>
      </c>
    </row>
    <row r="11" spans="1:2" x14ac:dyDescent="0.35">
      <c r="A11" s="4" t="s">
        <v>19</v>
      </c>
      <c r="B11" s="1" t="s">
        <v>287</v>
      </c>
    </row>
    <row r="12" spans="1:2" x14ac:dyDescent="0.35">
      <c r="B12" t="s">
        <v>543</v>
      </c>
    </row>
    <row r="13" spans="1:2" x14ac:dyDescent="0.35">
      <c r="B13" t="s">
        <v>542</v>
      </c>
    </row>
    <row r="15" spans="1:2" x14ac:dyDescent="0.35">
      <c r="A15" s="4" t="s">
        <v>19</v>
      </c>
      <c r="B15" s="1" t="s">
        <v>288</v>
      </c>
    </row>
    <row r="16" spans="1:2" x14ac:dyDescent="0.35">
      <c r="B16" t="s">
        <v>601</v>
      </c>
    </row>
    <row r="18" spans="1:5" x14ac:dyDescent="0.35">
      <c r="A18" s="4" t="s">
        <v>19</v>
      </c>
      <c r="B18" s="1" t="s">
        <v>289</v>
      </c>
    </row>
    <row r="19" spans="1:5" x14ac:dyDescent="0.35">
      <c r="B19" t="s">
        <v>496</v>
      </c>
    </row>
    <row r="21" spans="1:5" x14ac:dyDescent="0.35">
      <c r="A21" s="4" t="s">
        <v>19</v>
      </c>
      <c r="B21" s="1" t="s">
        <v>290</v>
      </c>
    </row>
    <row r="22" spans="1:5" x14ac:dyDescent="0.35">
      <c r="B22" s="119" t="s">
        <v>125</v>
      </c>
      <c r="C22" s="139" t="s">
        <v>292</v>
      </c>
      <c r="D22" s="139"/>
      <c r="E22" s="139"/>
    </row>
    <row r="23" spans="1:5" x14ac:dyDescent="0.35">
      <c r="B23" t="s">
        <v>291</v>
      </c>
      <c r="C23" s="137"/>
      <c r="D23" s="138">
        <f>+'Sale of the Company'!F38</f>
        <v>14.2</v>
      </c>
      <c r="E23" s="137"/>
    </row>
    <row r="24" spans="1:5" x14ac:dyDescent="0.35">
      <c r="B24" t="s">
        <v>293</v>
      </c>
      <c r="C24" s="140"/>
      <c r="D24" s="141">
        <f>+'Sale of the Company'!E57</f>
        <v>20.049900000000001</v>
      </c>
      <c r="E24" s="140"/>
    </row>
    <row r="25" spans="1:5" x14ac:dyDescent="0.35">
      <c r="C25" s="28" t="s">
        <v>294</v>
      </c>
      <c r="D25" s="28"/>
      <c r="E25" s="28"/>
    </row>
    <row r="26" spans="1:5" x14ac:dyDescent="0.35">
      <c r="C26" s="144">
        <v>0.2</v>
      </c>
      <c r="D26" s="145">
        <v>0</v>
      </c>
      <c r="E26" s="144">
        <v>0.16</v>
      </c>
    </row>
    <row r="27" spans="1:5" x14ac:dyDescent="0.35">
      <c r="B27" t="s">
        <v>295</v>
      </c>
      <c r="C27" s="142">
        <f>+$D$24/(1+C26)^2</f>
        <v>13.923541666666669</v>
      </c>
      <c r="D27" s="143"/>
      <c r="E27" s="142">
        <f t="shared" ref="E27" si="0">+$D$24/(1+E26)^2</f>
        <v>14.900341854934604</v>
      </c>
    </row>
    <row r="28" spans="1:5" x14ac:dyDescent="0.35">
      <c r="C28" s="142"/>
      <c r="D28" s="143"/>
      <c r="E28" s="142"/>
    </row>
    <row r="29" spans="1:5" x14ac:dyDescent="0.35">
      <c r="A29" s="4" t="s">
        <v>19</v>
      </c>
      <c r="B29" s="1" t="s">
        <v>674</v>
      </c>
    </row>
    <row r="30" spans="1:5" x14ac:dyDescent="0.35">
      <c r="B30" t="s">
        <v>602</v>
      </c>
    </row>
    <row r="31" spans="1:5" x14ac:dyDescent="0.35">
      <c r="B31" t="s">
        <v>544</v>
      </c>
    </row>
    <row r="32" spans="1:5" x14ac:dyDescent="0.35">
      <c r="B32" t="s">
        <v>497</v>
      </c>
    </row>
    <row r="34" spans="1:11" x14ac:dyDescent="0.35">
      <c r="A34" s="4" t="s">
        <v>19</v>
      </c>
      <c r="B34" s="1" t="s">
        <v>296</v>
      </c>
    </row>
    <row r="35" spans="1:11" x14ac:dyDescent="0.35">
      <c r="B35" s="9" t="s">
        <v>125</v>
      </c>
      <c r="C35" s="170" t="s">
        <v>297</v>
      </c>
      <c r="D35" s="171" t="s">
        <v>299</v>
      </c>
      <c r="E35" s="171"/>
      <c r="F35" s="172"/>
      <c r="G35" s="171" t="s">
        <v>301</v>
      </c>
      <c r="H35" s="171"/>
      <c r="I35" s="173"/>
    </row>
    <row r="36" spans="1:11" x14ac:dyDescent="0.35">
      <c r="C36" s="152" t="s">
        <v>298</v>
      </c>
      <c r="D36" s="151" t="s">
        <v>300</v>
      </c>
      <c r="E36" s="151"/>
      <c r="F36" s="155"/>
      <c r="G36" s="140" t="s">
        <v>302</v>
      </c>
      <c r="H36" s="2"/>
      <c r="I36" s="154" t="s">
        <v>302</v>
      </c>
    </row>
    <row r="37" spans="1:11" ht="15" customHeight="1" x14ac:dyDescent="0.35">
      <c r="B37" s="205">
        <v>2010</v>
      </c>
      <c r="C37" s="24">
        <f>+D23</f>
        <v>14.2</v>
      </c>
      <c r="D37" s="90">
        <v>3.5</v>
      </c>
      <c r="E37" s="90">
        <v>0</v>
      </c>
      <c r="F37" s="90">
        <v>5</v>
      </c>
      <c r="G37" s="24">
        <f t="shared" ref="G37:I38" si="1">+($C37/(1+D$39)^($B37-$B$37)*D37)</f>
        <v>49.699999999999996</v>
      </c>
      <c r="H37" s="91">
        <f t="shared" si="1"/>
        <v>0</v>
      </c>
      <c r="I37" s="24">
        <f t="shared" si="1"/>
        <v>71</v>
      </c>
    </row>
    <row r="38" spans="1:11" ht="15" customHeight="1" x14ac:dyDescent="0.35">
      <c r="B38" s="206">
        <v>2012</v>
      </c>
      <c r="C38" s="24">
        <f>+D24</f>
        <v>20.049900000000001</v>
      </c>
      <c r="D38" s="90">
        <v>3.5</v>
      </c>
      <c r="E38" s="90">
        <v>0</v>
      </c>
      <c r="F38" s="90">
        <v>5</v>
      </c>
      <c r="G38" s="24">
        <f t="shared" si="1"/>
        <v>48.732395833333342</v>
      </c>
      <c r="H38" s="91">
        <f t="shared" si="1"/>
        <v>0</v>
      </c>
      <c r="I38" s="24">
        <f t="shared" si="1"/>
        <v>74.501709274673019</v>
      </c>
      <c r="K38" s="93"/>
    </row>
    <row r="39" spans="1:11" ht="15" customHeight="1" thickBot="1" x14ac:dyDescent="0.4">
      <c r="D39" s="92">
        <v>0.2</v>
      </c>
      <c r="E39" s="90">
        <v>0</v>
      </c>
      <c r="F39" s="92">
        <v>0.16</v>
      </c>
      <c r="G39" s="24"/>
      <c r="H39" s="88"/>
      <c r="I39" s="24"/>
    </row>
    <row r="40" spans="1:11" ht="15" customHeight="1" thickBot="1" x14ac:dyDescent="0.4">
      <c r="B40" s="146" t="s">
        <v>303</v>
      </c>
      <c r="C40" s="147"/>
      <c r="D40" s="147"/>
      <c r="E40" s="147"/>
      <c r="F40" s="147"/>
      <c r="G40" s="148">
        <f>+AVERAGE(G37:G38)</f>
        <v>49.216197916666673</v>
      </c>
      <c r="H40" s="149">
        <f>+AVERAGE(H37:H38)</f>
        <v>0</v>
      </c>
      <c r="I40" s="150">
        <f>+AVERAGE(I37:I38)</f>
        <v>72.750854637336516</v>
      </c>
    </row>
    <row r="41" spans="1:11" x14ac:dyDescent="0.35">
      <c r="G41" s="36"/>
      <c r="H41" s="89"/>
      <c r="I41" s="36"/>
    </row>
    <row r="42" spans="1:11" x14ac:dyDescent="0.35">
      <c r="A42" s="4" t="s">
        <v>19</v>
      </c>
      <c r="B42" s="1" t="s">
        <v>306</v>
      </c>
      <c r="G42" s="36"/>
      <c r="H42" s="89"/>
      <c r="I42" s="36"/>
    </row>
    <row r="43" spans="1:11" x14ac:dyDescent="0.35">
      <c r="B43" s="119" t="s">
        <v>125</v>
      </c>
      <c r="C43" s="2" t="s">
        <v>309</v>
      </c>
      <c r="D43" s="2" t="s">
        <v>313</v>
      </c>
      <c r="E43" s="2" t="s">
        <v>310</v>
      </c>
      <c r="F43" s="2" t="s">
        <v>311</v>
      </c>
      <c r="G43" s="36"/>
      <c r="H43" s="89"/>
      <c r="I43" s="36"/>
    </row>
    <row r="44" spans="1:11" x14ac:dyDescent="0.35">
      <c r="B44" t="s">
        <v>128</v>
      </c>
      <c r="C44" t="s">
        <v>312</v>
      </c>
      <c r="D44" t="s">
        <v>312</v>
      </c>
      <c r="E44" t="s">
        <v>312</v>
      </c>
      <c r="F44" t="s">
        <v>312</v>
      </c>
      <c r="G44" s="36"/>
      <c r="H44" s="89"/>
      <c r="I44" s="36"/>
    </row>
    <row r="45" spans="1:11" x14ac:dyDescent="0.35">
      <c r="B45" t="s">
        <v>25</v>
      </c>
      <c r="C45" t="s">
        <v>312</v>
      </c>
      <c r="D45" t="s">
        <v>312</v>
      </c>
      <c r="E45" t="s">
        <v>312</v>
      </c>
      <c r="F45" t="s">
        <v>312</v>
      </c>
      <c r="H45" s="89"/>
      <c r="I45" s="36"/>
    </row>
    <row r="46" spans="1:11" x14ac:dyDescent="0.35">
      <c r="B46" t="s">
        <v>307</v>
      </c>
      <c r="C46" s="17">
        <v>6.6</v>
      </c>
      <c r="D46" s="95">
        <f>+C46/'Sale of the Company'!$C$49</f>
        <v>4.824561403508771E-2</v>
      </c>
      <c r="E46" s="17">
        <v>16.2</v>
      </c>
      <c r="F46" s="11">
        <f>+C46-E46</f>
        <v>-9.6</v>
      </c>
      <c r="I46" s="36"/>
    </row>
    <row r="47" spans="1:11" x14ac:dyDescent="0.35">
      <c r="B47" t="s">
        <v>308</v>
      </c>
      <c r="C47" s="17">
        <v>4.5999999999999996</v>
      </c>
      <c r="D47" s="95">
        <f>+C47/'Sale of the Company'!$C$49</f>
        <v>3.3625730994152038E-2</v>
      </c>
      <c r="E47" s="17">
        <v>7.8</v>
      </c>
      <c r="F47" s="11">
        <f>+C47-E47</f>
        <v>-3.2</v>
      </c>
      <c r="I47" s="36"/>
    </row>
    <row r="48" spans="1:11" x14ac:dyDescent="0.35">
      <c r="C48" s="8"/>
      <c r="D48" s="94"/>
      <c r="E48" s="8"/>
      <c r="F48" s="8"/>
      <c r="I48" s="36"/>
    </row>
    <row r="49" spans="1:9" x14ac:dyDescent="0.35">
      <c r="A49" s="4" t="s">
        <v>19</v>
      </c>
      <c r="B49" s="1" t="s">
        <v>314</v>
      </c>
      <c r="C49" s="8"/>
      <c r="D49" s="94"/>
      <c r="E49" s="8"/>
      <c r="F49" s="8"/>
      <c r="I49" s="36"/>
    </row>
    <row r="50" spans="1:9" x14ac:dyDescent="0.35">
      <c r="B50" t="s">
        <v>545</v>
      </c>
      <c r="C50" s="8"/>
      <c r="D50" s="94"/>
      <c r="E50" s="8"/>
      <c r="F50" s="8"/>
      <c r="I50" s="36"/>
    </row>
    <row r="51" spans="1:9" x14ac:dyDescent="0.35">
      <c r="C51" s="8"/>
      <c r="D51" s="94"/>
      <c r="E51" s="8"/>
      <c r="F51" s="8"/>
      <c r="I51" s="36"/>
    </row>
    <row r="52" spans="1:9" x14ac:dyDescent="0.35">
      <c r="A52" s="4" t="s">
        <v>19</v>
      </c>
      <c r="B52" s="1" t="s">
        <v>304</v>
      </c>
    </row>
    <row r="53" spans="1:9" x14ac:dyDescent="0.35">
      <c r="B53" s="119" t="s">
        <v>125</v>
      </c>
      <c r="C53" s="2"/>
    </row>
    <row r="54" spans="1:9" ht="15" customHeight="1" x14ac:dyDescent="0.35">
      <c r="B54" t="s">
        <v>305</v>
      </c>
      <c r="C54" s="24">
        <f>+SUM(C56:H56)</f>
        <v>6.6</v>
      </c>
    </row>
    <row r="55" spans="1:9" x14ac:dyDescent="0.35">
      <c r="B55" s="25" t="s">
        <v>315</v>
      </c>
      <c r="C55" s="42">
        <v>1</v>
      </c>
      <c r="D55" s="25">
        <f>+C55+1</f>
        <v>2</v>
      </c>
      <c r="E55" s="25">
        <f t="shared" ref="E55:H55" si="2">+D55+1</f>
        <v>3</v>
      </c>
      <c r="F55" s="25">
        <f t="shared" si="2"/>
        <v>4</v>
      </c>
      <c r="G55" s="25">
        <f t="shared" si="2"/>
        <v>5</v>
      </c>
      <c r="H55" s="25">
        <f t="shared" si="2"/>
        <v>6</v>
      </c>
    </row>
    <row r="56" spans="1:9" x14ac:dyDescent="0.35">
      <c r="B56" t="s">
        <v>316</v>
      </c>
      <c r="C56" s="159">
        <v>1.1000000000000001</v>
      </c>
      <c r="D56" s="160">
        <f>+C56</f>
        <v>1.1000000000000001</v>
      </c>
      <c r="E56" s="160">
        <f t="shared" ref="E56:H56" si="3">+D56</f>
        <v>1.1000000000000001</v>
      </c>
      <c r="F56" s="160">
        <f t="shared" si="3"/>
        <v>1.1000000000000001</v>
      </c>
      <c r="G56" s="160">
        <f t="shared" si="3"/>
        <v>1.1000000000000001</v>
      </c>
      <c r="H56" s="160">
        <f t="shared" si="3"/>
        <v>1.1000000000000001</v>
      </c>
    </row>
    <row r="57" spans="1:9" ht="15" customHeight="1" thickBot="1" x14ac:dyDescent="0.4">
      <c r="B57" s="19" t="s">
        <v>317</v>
      </c>
      <c r="C57" s="208">
        <f>+C56/((1+0.16)^(C55/12))</f>
        <v>1.0864786236814639</v>
      </c>
      <c r="D57" s="207">
        <f t="shared" ref="D57:H57" si="4">+D56/((1+0.16)^(D55/12))</f>
        <v>1.0731234542879706</v>
      </c>
      <c r="E57" s="207">
        <f t="shared" si="4"/>
        <v>1.0599324487773567</v>
      </c>
      <c r="F57" s="207">
        <f t="shared" si="4"/>
        <v>1.0469035892208602</v>
      </c>
      <c r="G57" s="207">
        <f t="shared" si="4"/>
        <v>1.0340348824944221</v>
      </c>
      <c r="H57" s="207">
        <f t="shared" si="4"/>
        <v>1.0213243599737853</v>
      </c>
    </row>
    <row r="58" spans="1:9" ht="15" customHeight="1" thickBot="1" x14ac:dyDescent="0.4">
      <c r="B58" s="156" t="s">
        <v>318</v>
      </c>
      <c r="C58" s="157">
        <f>+ROUND(SUM(C57:H57),1)</f>
        <v>6.3</v>
      </c>
      <c r="D58" s="158"/>
      <c r="E58" s="158"/>
      <c r="F58" s="158"/>
      <c r="G58" s="158"/>
      <c r="H58" s="158"/>
    </row>
    <row r="60" spans="1:9" x14ac:dyDescent="0.35">
      <c r="A60" s="4" t="s">
        <v>19</v>
      </c>
      <c r="B60" s="1" t="s">
        <v>319</v>
      </c>
    </row>
    <row r="61" spans="1:9" x14ac:dyDescent="0.35">
      <c r="B61" t="s">
        <v>546</v>
      </c>
    </row>
    <row r="63" spans="1:9" x14ac:dyDescent="0.35">
      <c r="A63" s="4" t="s">
        <v>19</v>
      </c>
      <c r="B63" s="1" t="s">
        <v>319</v>
      </c>
    </row>
    <row r="64" spans="1:9" x14ac:dyDescent="0.35">
      <c r="B64" s="119" t="s">
        <v>125</v>
      </c>
      <c r="C64" s="2" t="s">
        <v>324</v>
      </c>
      <c r="D64" s="2" t="s">
        <v>325</v>
      </c>
    </row>
    <row r="65" spans="1:9" ht="15" customHeight="1" x14ac:dyDescent="0.35">
      <c r="B65" t="s">
        <v>320</v>
      </c>
      <c r="C65" s="24">
        <f>+AVERAGE(G40,I40)</f>
        <v>60.983526277001594</v>
      </c>
      <c r="D65" s="24">
        <f>+AVERAGE(G40,I40)</f>
        <v>60.983526277001594</v>
      </c>
    </row>
    <row r="66" spans="1:9" x14ac:dyDescent="0.35">
      <c r="B66" t="s">
        <v>321</v>
      </c>
      <c r="C66" s="36"/>
      <c r="D66" s="36"/>
    </row>
    <row r="67" spans="1:9" x14ac:dyDescent="0.35">
      <c r="B67" s="6" t="s">
        <v>128</v>
      </c>
      <c r="C67" t="s">
        <v>312</v>
      </c>
      <c r="D67" t="s">
        <v>312</v>
      </c>
    </row>
    <row r="68" spans="1:9" x14ac:dyDescent="0.35">
      <c r="B68" s="6" t="s">
        <v>25</v>
      </c>
      <c r="C68" t="s">
        <v>312</v>
      </c>
      <c r="D68" t="s">
        <v>312</v>
      </c>
    </row>
    <row r="69" spans="1:9" x14ac:dyDescent="0.35">
      <c r="B69" s="6" t="s">
        <v>307</v>
      </c>
      <c r="C69" s="11">
        <f>+F46</f>
        <v>-9.6</v>
      </c>
      <c r="D69" s="11">
        <f>+C58</f>
        <v>6.3</v>
      </c>
    </row>
    <row r="70" spans="1:9" x14ac:dyDescent="0.35">
      <c r="B70" s="6" t="s">
        <v>308</v>
      </c>
      <c r="C70" s="11">
        <f>+F47</f>
        <v>-3.2</v>
      </c>
      <c r="D70" s="17">
        <v>0</v>
      </c>
    </row>
    <row r="71" spans="1:9" ht="15" thickBot="1" x14ac:dyDescent="0.4">
      <c r="B71" s="6" t="s">
        <v>322</v>
      </c>
      <c r="C71" t="s">
        <v>312</v>
      </c>
      <c r="D71" t="s">
        <v>312</v>
      </c>
    </row>
    <row r="72" spans="1:9" ht="15" thickBot="1" x14ac:dyDescent="0.4">
      <c r="B72" s="53" t="s">
        <v>323</v>
      </c>
      <c r="C72" s="96">
        <f>+SUM(C65:C71)</f>
        <v>48.18352627700159</v>
      </c>
      <c r="D72" s="97">
        <f>+SUM(D65:D71)</f>
        <v>67.283526277001599</v>
      </c>
    </row>
    <row r="74" spans="1:9" x14ac:dyDescent="0.35">
      <c r="A74" s="4" t="s">
        <v>19</v>
      </c>
      <c r="B74" s="1" t="s">
        <v>326</v>
      </c>
    </row>
    <row r="75" spans="1:9" x14ac:dyDescent="0.35">
      <c r="B75" s="119" t="s">
        <v>125</v>
      </c>
      <c r="C75" s="175">
        <v>2012</v>
      </c>
      <c r="D75" s="176">
        <f>+C75+1</f>
        <v>2013</v>
      </c>
      <c r="E75" s="176">
        <f t="shared" ref="E75:G75" si="5">+D75+1</f>
        <v>2014</v>
      </c>
      <c r="F75" s="176">
        <f t="shared" si="5"/>
        <v>2015</v>
      </c>
      <c r="G75" s="176">
        <f t="shared" si="5"/>
        <v>2016</v>
      </c>
    </row>
    <row r="76" spans="1:9" ht="15" customHeight="1" x14ac:dyDescent="0.35">
      <c r="B76" t="s">
        <v>16</v>
      </c>
      <c r="C76" s="174">
        <v>15.6</v>
      </c>
      <c r="D76" s="174">
        <v>20</v>
      </c>
      <c r="E76" s="174">
        <v>21.8</v>
      </c>
      <c r="F76" s="174">
        <v>22.4</v>
      </c>
      <c r="G76" s="174">
        <v>23</v>
      </c>
    </row>
    <row r="77" spans="1:9" ht="15" customHeight="1" x14ac:dyDescent="0.35">
      <c r="B77" s="6" t="s">
        <v>327</v>
      </c>
      <c r="C77" s="110">
        <v>-23.8</v>
      </c>
      <c r="D77" s="110">
        <v>-1.2</v>
      </c>
      <c r="E77" s="110">
        <v>-0.6</v>
      </c>
      <c r="F77" s="110">
        <v>-0.8</v>
      </c>
      <c r="G77" s="110">
        <v>-0.8</v>
      </c>
    </row>
    <row r="78" spans="1:9" ht="15" customHeight="1" x14ac:dyDescent="0.35">
      <c r="B78" s="6" t="s">
        <v>161</v>
      </c>
      <c r="C78" s="110">
        <v>-4</v>
      </c>
      <c r="D78" s="110">
        <v>-4.4000000000000004</v>
      </c>
      <c r="E78" s="110">
        <v>-4.5999999999999996</v>
      </c>
      <c r="F78" s="110">
        <v>-4.5999999999999996</v>
      </c>
      <c r="G78" s="110">
        <v>-4.5999999999999996</v>
      </c>
    </row>
    <row r="79" spans="1:9" ht="15" customHeight="1" x14ac:dyDescent="0.35">
      <c r="B79" s="6" t="s">
        <v>328</v>
      </c>
      <c r="C79" s="110">
        <v>-3</v>
      </c>
      <c r="D79" s="110">
        <v>-4.5999999999999996</v>
      </c>
      <c r="E79" s="110">
        <v>-5.8</v>
      </c>
      <c r="F79" s="110">
        <v>-6.4</v>
      </c>
      <c r="G79" s="110">
        <v>-7.4</v>
      </c>
      <c r="I79" s="42"/>
    </row>
    <row r="80" spans="1:9" ht="15" thickBot="1" x14ac:dyDescent="0.4">
      <c r="B80" s="60" t="s">
        <v>329</v>
      </c>
      <c r="C80" s="81">
        <f>+SUM(C76:C79)</f>
        <v>-15.200000000000001</v>
      </c>
      <c r="D80" s="81">
        <f t="shared" ref="D80:G80" si="6">+SUM(D76:D79)</f>
        <v>9.8000000000000007</v>
      </c>
      <c r="E80" s="81">
        <f t="shared" si="6"/>
        <v>10.8</v>
      </c>
      <c r="F80" s="81">
        <f t="shared" si="6"/>
        <v>10.6</v>
      </c>
      <c r="G80" s="81">
        <f t="shared" si="6"/>
        <v>10.200000000000001</v>
      </c>
    </row>
    <row r="81" spans="1:8" ht="15" thickTop="1" x14ac:dyDescent="0.35">
      <c r="C81" s="24"/>
      <c r="D81" s="24"/>
      <c r="E81" s="24"/>
      <c r="F81" s="24"/>
      <c r="G81" s="24"/>
    </row>
    <row r="82" spans="1:8" x14ac:dyDescent="0.35">
      <c r="A82" s="4" t="s">
        <v>19</v>
      </c>
      <c r="B82" s="1" t="s">
        <v>562</v>
      </c>
      <c r="C82" t="s">
        <v>302</v>
      </c>
      <c r="D82" t="s">
        <v>332</v>
      </c>
    </row>
    <row r="83" spans="1:8" x14ac:dyDescent="0.35">
      <c r="B83" t="s">
        <v>330</v>
      </c>
      <c r="C83" s="161">
        <v>0.13</v>
      </c>
      <c r="D83" s="162">
        <v>0.15</v>
      </c>
    </row>
    <row r="84" spans="1:8" x14ac:dyDescent="0.35">
      <c r="B84" t="s">
        <v>331</v>
      </c>
      <c r="C84" s="163">
        <f>+E26</f>
        <v>0.16</v>
      </c>
      <c r="D84" s="164">
        <f>+C26</f>
        <v>0.2</v>
      </c>
    </row>
    <row r="85" spans="1:8" x14ac:dyDescent="0.35">
      <c r="H85" s="89"/>
    </row>
    <row r="86" spans="1:8" ht="15" customHeight="1" x14ac:dyDescent="0.35">
      <c r="A86" s="4" t="s">
        <v>19</v>
      </c>
      <c r="B86" s="1" t="s">
        <v>333</v>
      </c>
      <c r="D86" s="28"/>
      <c r="E86" s="28"/>
      <c r="F86" s="28"/>
    </row>
    <row r="87" spans="1:8" ht="15" customHeight="1" x14ac:dyDescent="0.35">
      <c r="B87" s="9" t="s">
        <v>125</v>
      </c>
      <c r="C87" s="98" t="s">
        <v>334</v>
      </c>
      <c r="D87" s="28"/>
      <c r="E87" s="28"/>
      <c r="F87" s="28"/>
    </row>
    <row r="88" spans="1:8" ht="15" customHeight="1" x14ac:dyDescent="0.35">
      <c r="B88" s="99"/>
      <c r="C88" s="100">
        <f>+D37</f>
        <v>3.5</v>
      </c>
      <c r="D88" s="100">
        <f>+C88+0.5</f>
        <v>4</v>
      </c>
      <c r="E88" s="100">
        <f t="shared" ref="E88:F88" si="7">+D88+0.5</f>
        <v>4.5</v>
      </c>
      <c r="F88" s="100">
        <f t="shared" si="7"/>
        <v>5</v>
      </c>
    </row>
    <row r="89" spans="1:8" ht="15" customHeight="1" thickBot="1" x14ac:dyDescent="0.4">
      <c r="B89" s="101">
        <f>+C84</f>
        <v>0.16</v>
      </c>
      <c r="C89" s="102">
        <v>50.1</v>
      </c>
      <c r="D89" s="103">
        <v>55.6</v>
      </c>
      <c r="E89" s="103">
        <v>61.1</v>
      </c>
      <c r="F89" s="103">
        <v>66.599999999999994</v>
      </c>
    </row>
    <row r="90" spans="1:8" ht="15" customHeight="1" x14ac:dyDescent="0.35">
      <c r="B90" s="101">
        <f>+B89+0.01</f>
        <v>0.17</v>
      </c>
      <c r="C90" s="103">
        <v>47.9</v>
      </c>
      <c r="D90" s="104">
        <v>53.2</v>
      </c>
      <c r="E90" s="105">
        <v>58.4</v>
      </c>
      <c r="F90" s="103">
        <v>63.7</v>
      </c>
    </row>
    <row r="91" spans="1:8" ht="15" customHeight="1" x14ac:dyDescent="0.35">
      <c r="B91" s="101">
        <f t="shared" ref="B91:B93" si="8">+B90+0.01</f>
        <v>0.18000000000000002</v>
      </c>
      <c r="C91" s="103">
        <v>45.8</v>
      </c>
      <c r="D91" s="106">
        <v>50.9</v>
      </c>
      <c r="E91" s="107">
        <v>55.9</v>
      </c>
      <c r="F91" s="103">
        <v>60.9</v>
      </c>
    </row>
    <row r="92" spans="1:8" ht="15" customHeight="1" thickBot="1" x14ac:dyDescent="0.4">
      <c r="B92" s="101">
        <f t="shared" si="8"/>
        <v>0.19000000000000003</v>
      </c>
      <c r="C92" s="103">
        <v>43.8</v>
      </c>
      <c r="D92" s="108">
        <v>48.7</v>
      </c>
      <c r="E92" s="109">
        <v>53.5</v>
      </c>
      <c r="F92" s="103">
        <v>58.3</v>
      </c>
    </row>
    <row r="93" spans="1:8" ht="15" customHeight="1" x14ac:dyDescent="0.35">
      <c r="B93" s="101">
        <f t="shared" si="8"/>
        <v>0.20000000000000004</v>
      </c>
      <c r="C93" s="103">
        <v>42</v>
      </c>
      <c r="D93" s="103">
        <v>46.6</v>
      </c>
      <c r="E93" s="103">
        <v>51.2</v>
      </c>
      <c r="F93" s="103">
        <v>55.8</v>
      </c>
    </row>
    <row r="94" spans="1:8" ht="15" customHeight="1" x14ac:dyDescent="0.35">
      <c r="B94" s="210"/>
      <c r="C94" s="103"/>
      <c r="D94" s="103"/>
      <c r="E94" s="103"/>
      <c r="F94" s="103"/>
    </row>
    <row r="95" spans="1:8" ht="15" customHeight="1" x14ac:dyDescent="0.35">
      <c r="A95" s="4" t="s">
        <v>19</v>
      </c>
      <c r="B95" s="1" t="s">
        <v>557</v>
      </c>
      <c r="D95" s="103"/>
      <c r="E95" s="103"/>
      <c r="F95" s="103"/>
    </row>
    <row r="96" spans="1:8" ht="15" customHeight="1" thickBot="1" x14ac:dyDescent="0.4">
      <c r="B96" s="9" t="s">
        <v>125</v>
      </c>
    </row>
    <row r="97" spans="1:8" x14ac:dyDescent="0.35">
      <c r="B97" t="s">
        <v>335</v>
      </c>
      <c r="C97" s="37">
        <f>+D92</f>
        <v>48.7</v>
      </c>
      <c r="D97" s="24"/>
      <c r="E97" s="37">
        <f>+E90</f>
        <v>58.4</v>
      </c>
      <c r="F97" s="113">
        <f>+AVERAGE(C97,E97)</f>
        <v>53.55</v>
      </c>
      <c r="G97" s="24"/>
      <c r="H97" s="36"/>
    </row>
    <row r="98" spans="1:8" x14ac:dyDescent="0.35">
      <c r="B98" t="s">
        <v>336</v>
      </c>
      <c r="D98" s="112">
        <v>0</v>
      </c>
      <c r="F98" s="116"/>
    </row>
    <row r="99" spans="1:8" x14ac:dyDescent="0.35">
      <c r="B99" s="6" t="s">
        <v>307</v>
      </c>
      <c r="C99" s="8">
        <f>-(+F46-C58)</f>
        <v>15.899999999999999</v>
      </c>
      <c r="D99" s="36"/>
      <c r="E99" s="36">
        <f>-(+F46-C58)</f>
        <v>15.899999999999999</v>
      </c>
      <c r="F99" s="114"/>
    </row>
    <row r="100" spans="1:8" x14ac:dyDescent="0.35">
      <c r="B100" s="111" t="s">
        <v>308</v>
      </c>
      <c r="C100" s="8">
        <f>-(+F47)</f>
        <v>3.2</v>
      </c>
      <c r="D100" s="36"/>
      <c r="E100" s="8">
        <f>-(+F47)</f>
        <v>3.2</v>
      </c>
      <c r="F100" s="114"/>
    </row>
    <row r="101" spans="1:8" ht="15" thickBot="1" x14ac:dyDescent="0.4">
      <c r="B101" t="s">
        <v>337</v>
      </c>
      <c r="C101" s="115">
        <f>+SUM(C97:C100)</f>
        <v>67.8</v>
      </c>
      <c r="D101" s="165">
        <v>0</v>
      </c>
      <c r="E101" s="115">
        <f>+SUM(E97:E100)</f>
        <v>77.5</v>
      </c>
      <c r="F101" s="166">
        <f>+AVERAGE(C101,E101)</f>
        <v>72.650000000000006</v>
      </c>
    </row>
    <row r="102" spans="1:8" ht="15" thickTop="1" x14ac:dyDescent="0.35">
      <c r="D102" s="36"/>
    </row>
    <row r="103" spans="1:8" x14ac:dyDescent="0.35">
      <c r="A103" s="4" t="s">
        <v>19</v>
      </c>
      <c r="B103" s="1" t="s">
        <v>338</v>
      </c>
      <c r="D103" s="36"/>
    </row>
    <row r="104" spans="1:8" x14ac:dyDescent="0.35">
      <c r="B104" t="s">
        <v>547</v>
      </c>
      <c r="D104" s="36"/>
    </row>
    <row r="105" spans="1:8" x14ac:dyDescent="0.35">
      <c r="B105" s="209" t="s">
        <v>498</v>
      </c>
      <c r="D105" s="36"/>
    </row>
    <row r="106" spans="1:8" x14ac:dyDescent="0.35">
      <c r="B106" s="209" t="s">
        <v>548</v>
      </c>
      <c r="D106" s="36"/>
    </row>
    <row r="107" spans="1:8" x14ac:dyDescent="0.35">
      <c r="B107" s="209" t="s">
        <v>549</v>
      </c>
      <c r="D107" s="36"/>
    </row>
    <row r="108" spans="1:8" x14ac:dyDescent="0.35">
      <c r="B108" s="209" t="s">
        <v>550</v>
      </c>
      <c r="D108" s="36"/>
    </row>
    <row r="109" spans="1:8" x14ac:dyDescent="0.35">
      <c r="B109" t="s">
        <v>551</v>
      </c>
      <c r="D109" s="36"/>
    </row>
    <row r="110" spans="1:8" x14ac:dyDescent="0.35">
      <c r="D110" s="36"/>
    </row>
    <row r="111" spans="1:8" x14ac:dyDescent="0.35">
      <c r="A111" s="4" t="s">
        <v>19</v>
      </c>
      <c r="B111" s="1" t="s">
        <v>339</v>
      </c>
      <c r="D111" s="36"/>
    </row>
    <row r="112" spans="1:8" x14ac:dyDescent="0.35">
      <c r="B112" t="s">
        <v>603</v>
      </c>
      <c r="D112" s="36"/>
    </row>
    <row r="113" spans="1:5" x14ac:dyDescent="0.35">
      <c r="B113" t="s">
        <v>572</v>
      </c>
      <c r="D113" s="36"/>
    </row>
    <row r="114" spans="1:5" x14ac:dyDescent="0.35">
      <c r="D114" s="36"/>
    </row>
    <row r="115" spans="1:5" x14ac:dyDescent="0.35">
      <c r="A115" s="4" t="s">
        <v>19</v>
      </c>
      <c r="B115" s="1" t="s">
        <v>341</v>
      </c>
    </row>
    <row r="116" spans="1:5" x14ac:dyDescent="0.35">
      <c r="B116" s="9" t="s">
        <v>125</v>
      </c>
    </row>
    <row r="117" spans="1:5" x14ac:dyDescent="0.35">
      <c r="B117" s="2" t="s">
        <v>342</v>
      </c>
      <c r="C117" s="2" t="s">
        <v>349</v>
      </c>
      <c r="D117" s="2" t="s">
        <v>350</v>
      </c>
      <c r="E117" s="2" t="s">
        <v>124</v>
      </c>
    </row>
    <row r="118" spans="1:5" x14ac:dyDescent="0.35">
      <c r="B118" t="s">
        <v>128</v>
      </c>
      <c r="C118" s="18">
        <v>10.9</v>
      </c>
      <c r="D118" s="117">
        <v>0.8</v>
      </c>
      <c r="E118" s="24">
        <f>+C118*D118</f>
        <v>8.7200000000000006</v>
      </c>
    </row>
    <row r="119" spans="1:5" x14ac:dyDescent="0.35">
      <c r="B119" t="s">
        <v>25</v>
      </c>
      <c r="C119" s="42"/>
      <c r="D119" s="5"/>
      <c r="E119" s="25"/>
    </row>
    <row r="120" spans="1:5" x14ac:dyDescent="0.35">
      <c r="B120" s="6" t="s">
        <v>178</v>
      </c>
      <c r="C120" s="17">
        <v>4.8</v>
      </c>
      <c r="D120" s="5">
        <v>0.6</v>
      </c>
      <c r="E120" s="11">
        <f>+C120*D120</f>
        <v>2.88</v>
      </c>
    </row>
    <row r="121" spans="1:5" x14ac:dyDescent="0.35">
      <c r="B121" s="6" t="s">
        <v>179</v>
      </c>
      <c r="C121" s="17">
        <v>6</v>
      </c>
      <c r="D121" s="5">
        <v>0.4</v>
      </c>
      <c r="E121" s="11">
        <f>+C121*D121</f>
        <v>2.4000000000000004</v>
      </c>
    </row>
    <row r="122" spans="1:5" x14ac:dyDescent="0.35">
      <c r="B122" t="s">
        <v>343</v>
      </c>
      <c r="C122" s="17"/>
      <c r="D122" s="5"/>
      <c r="E122" s="11"/>
    </row>
    <row r="123" spans="1:5" x14ac:dyDescent="0.35">
      <c r="B123" s="6" t="s">
        <v>347</v>
      </c>
      <c r="C123" s="17">
        <v>12.4</v>
      </c>
      <c r="D123" s="5">
        <v>0.8</v>
      </c>
      <c r="E123" s="11">
        <f>+C123*D123</f>
        <v>9.9200000000000017</v>
      </c>
    </row>
    <row r="124" spans="1:5" x14ac:dyDescent="0.35">
      <c r="B124" s="6" t="s">
        <v>348</v>
      </c>
      <c r="C124" s="17">
        <v>25.8</v>
      </c>
      <c r="D124" s="5">
        <v>0.15</v>
      </c>
      <c r="E124" s="11">
        <f>+C124*D124</f>
        <v>3.87</v>
      </c>
    </row>
    <row r="125" spans="1:5" x14ac:dyDescent="0.35">
      <c r="B125" t="s">
        <v>344</v>
      </c>
      <c r="C125" s="42"/>
      <c r="D125" s="5"/>
    </row>
    <row r="126" spans="1:5" x14ac:dyDescent="0.35">
      <c r="B126" t="s">
        <v>345</v>
      </c>
      <c r="C126" s="42"/>
      <c r="D126" s="5"/>
    </row>
    <row r="127" spans="1:5" x14ac:dyDescent="0.35">
      <c r="B127" t="s">
        <v>346</v>
      </c>
      <c r="C127" s="18">
        <v>59.9</v>
      </c>
      <c r="D127" s="3">
        <f>+E127/C127</f>
        <v>0.46393989983305517</v>
      </c>
      <c r="E127" s="24">
        <f>+SUM(E118:E126)</f>
        <v>27.790000000000003</v>
      </c>
    </row>
    <row r="128" spans="1:5" x14ac:dyDescent="0.35">
      <c r="C128" s="18"/>
      <c r="D128" s="3"/>
      <c r="E128" s="24"/>
    </row>
    <row r="129" spans="1:8" x14ac:dyDescent="0.35">
      <c r="A129" s="4" t="s">
        <v>19</v>
      </c>
      <c r="B129" s="1" t="s">
        <v>289</v>
      </c>
    </row>
    <row r="130" spans="1:8" x14ac:dyDescent="0.35">
      <c r="B130" t="s">
        <v>499</v>
      </c>
    </row>
    <row r="131" spans="1:8" x14ac:dyDescent="0.35">
      <c r="B131" t="s">
        <v>552</v>
      </c>
    </row>
    <row r="132" spans="1:8" ht="15" customHeight="1" x14ac:dyDescent="0.35">
      <c r="C132" s="37"/>
      <c r="D132" s="37"/>
    </row>
    <row r="133" spans="1:8" x14ac:dyDescent="0.35">
      <c r="A133" s="4" t="s">
        <v>19</v>
      </c>
      <c r="B133" s="1" t="s">
        <v>351</v>
      </c>
    </row>
    <row r="134" spans="1:8" x14ac:dyDescent="0.35">
      <c r="B134" t="s">
        <v>554</v>
      </c>
    </row>
    <row r="135" spans="1:8" x14ac:dyDescent="0.35">
      <c r="B135" t="s">
        <v>555</v>
      </c>
    </row>
    <row r="136" spans="1:8" x14ac:dyDescent="0.35">
      <c r="B136" t="s">
        <v>556</v>
      </c>
    </row>
    <row r="137" spans="1:8" x14ac:dyDescent="0.35">
      <c r="B137" t="s">
        <v>553</v>
      </c>
    </row>
    <row r="138" spans="1:8" ht="15" customHeight="1" x14ac:dyDescent="0.35">
      <c r="E138" s="25"/>
      <c r="F138" s="25"/>
      <c r="G138" s="25"/>
      <c r="H138" s="25"/>
    </row>
    <row r="139" spans="1:8" ht="15" customHeight="1" x14ac:dyDescent="0.35">
      <c r="E139" s="25"/>
      <c r="F139" s="25"/>
      <c r="G139" s="25"/>
      <c r="H139" s="25"/>
    </row>
    <row r="140" spans="1:8" ht="15" customHeight="1" x14ac:dyDescent="0.35">
      <c r="E140" s="25"/>
      <c r="F140" s="25"/>
      <c r="G140" s="25"/>
      <c r="H140" s="25"/>
    </row>
    <row r="141" spans="1:8" ht="15" customHeight="1" x14ac:dyDescent="0.35">
      <c r="E141" s="25"/>
      <c r="F141" s="25"/>
      <c r="G141" s="25"/>
      <c r="H141" s="25"/>
    </row>
  </sheetData>
  <hyperlinks>
    <hyperlink ref="B76:G79" location="'Distressed Valuation'!B79" display="'Distressed Valuation'!B79" xr:uid="{170E7616-5216-477A-B4FE-5E881D112577}"/>
    <hyperlink ref="C89:F93" location="'Distressed Valuation'!J87" display="'Distressed Valuation'!J87" xr:uid="{6DDD7D08-D4E1-4205-AF23-E12629C284A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13332-A8D5-4E27-9627-BA3A002E70D2}">
  <dimension ref="A2:M197"/>
  <sheetViews>
    <sheetView showGridLines="0" zoomScaleNormal="100" workbookViewId="0">
      <selection activeCell="A2" sqref="A2"/>
    </sheetView>
  </sheetViews>
  <sheetFormatPr defaultRowHeight="14.5" x14ac:dyDescent="0.35"/>
  <cols>
    <col min="1" max="1" width="9.1796875" style="4"/>
    <col min="2" max="2" width="29.26953125" bestFit="1" customWidth="1"/>
    <col min="3" max="3" width="26.08984375" bestFit="1" customWidth="1"/>
    <col min="4" max="4" width="41.26953125" bestFit="1" customWidth="1"/>
    <col min="5" max="6" width="20.6328125" customWidth="1"/>
    <col min="7" max="7" width="28.54296875" bestFit="1" customWidth="1"/>
    <col min="8" max="8" width="53.26953125" bestFit="1" customWidth="1"/>
    <col min="9" max="9" width="27.36328125" bestFit="1" customWidth="1"/>
    <col min="10" max="10" width="57.7265625" bestFit="1" customWidth="1"/>
    <col min="11" max="11" width="34.7265625" bestFit="1" customWidth="1"/>
    <col min="12" max="12" width="48" bestFit="1" customWidth="1"/>
    <col min="13" max="13" width="20.6328125" customWidth="1"/>
  </cols>
  <sheetData>
    <row r="2" spans="1:2" x14ac:dyDescent="0.35">
      <c r="A2" s="4" t="s">
        <v>19</v>
      </c>
      <c r="B2" s="1" t="s">
        <v>352</v>
      </c>
    </row>
    <row r="3" spans="1:2" x14ac:dyDescent="0.35">
      <c r="B3" t="s">
        <v>353</v>
      </c>
    </row>
    <row r="5" spans="1:2" x14ac:dyDescent="0.35">
      <c r="A5" s="4" t="s">
        <v>19</v>
      </c>
      <c r="B5" s="1" t="s">
        <v>354</v>
      </c>
    </row>
    <row r="6" spans="1:2" x14ac:dyDescent="0.35">
      <c r="B6" t="s">
        <v>604</v>
      </c>
    </row>
    <row r="8" spans="1:2" x14ac:dyDescent="0.35">
      <c r="A8" s="4" t="s">
        <v>19</v>
      </c>
      <c r="B8" s="1" t="s">
        <v>355</v>
      </c>
    </row>
    <row r="9" spans="1:2" x14ac:dyDescent="0.35">
      <c r="B9" t="s">
        <v>506</v>
      </c>
    </row>
    <row r="10" spans="1:2" x14ac:dyDescent="0.35">
      <c r="B10" t="s">
        <v>507</v>
      </c>
    </row>
    <row r="11" spans="1:2" x14ac:dyDescent="0.35">
      <c r="B11" t="s">
        <v>573</v>
      </c>
    </row>
    <row r="12" spans="1:2" x14ac:dyDescent="0.35">
      <c r="B12" t="s">
        <v>356</v>
      </c>
    </row>
    <row r="13" spans="1:2" x14ac:dyDescent="0.35">
      <c r="B13" t="s">
        <v>357</v>
      </c>
    </row>
    <row r="14" spans="1:2" x14ac:dyDescent="0.35">
      <c r="B14" t="s">
        <v>508</v>
      </c>
    </row>
    <row r="16" spans="1:2" x14ac:dyDescent="0.35">
      <c r="A16" s="4" t="s">
        <v>19</v>
      </c>
      <c r="B16" s="1" t="s">
        <v>358</v>
      </c>
    </row>
    <row r="17" spans="2:2" x14ac:dyDescent="0.35">
      <c r="B17" t="s">
        <v>605</v>
      </c>
    </row>
    <row r="18" spans="2:2" x14ac:dyDescent="0.35">
      <c r="B18" s="76" t="s">
        <v>359</v>
      </c>
    </row>
    <row r="19" spans="2:2" x14ac:dyDescent="0.35">
      <c r="B19" s="6" t="s">
        <v>606</v>
      </c>
    </row>
    <row r="20" spans="2:2" x14ac:dyDescent="0.35">
      <c r="B20" s="76" t="s">
        <v>360</v>
      </c>
    </row>
    <row r="21" spans="2:2" x14ac:dyDescent="0.35">
      <c r="B21" s="6" t="s">
        <v>509</v>
      </c>
    </row>
    <row r="22" spans="2:2" x14ac:dyDescent="0.35">
      <c r="B22" s="76" t="s">
        <v>361</v>
      </c>
    </row>
    <row r="23" spans="2:2" x14ac:dyDescent="0.35">
      <c r="B23" s="6" t="s">
        <v>510</v>
      </c>
    </row>
    <row r="24" spans="2:2" x14ac:dyDescent="0.35">
      <c r="B24" s="6" t="s">
        <v>511</v>
      </c>
    </row>
    <row r="25" spans="2:2" x14ac:dyDescent="0.35">
      <c r="B25" s="6" t="s">
        <v>607</v>
      </c>
    </row>
    <row r="26" spans="2:2" x14ac:dyDescent="0.35">
      <c r="B26" s="76" t="s">
        <v>397</v>
      </c>
    </row>
    <row r="27" spans="2:2" x14ac:dyDescent="0.35">
      <c r="B27" s="6" t="s">
        <v>608</v>
      </c>
    </row>
    <row r="28" spans="2:2" x14ac:dyDescent="0.35">
      <c r="B28" s="76" t="s">
        <v>362</v>
      </c>
    </row>
    <row r="29" spans="2:2" x14ac:dyDescent="0.35">
      <c r="B29" s="6" t="s">
        <v>609</v>
      </c>
    </row>
    <row r="30" spans="2:2" x14ac:dyDescent="0.35">
      <c r="B30" s="76" t="s">
        <v>363</v>
      </c>
    </row>
    <row r="31" spans="2:2" x14ac:dyDescent="0.35">
      <c r="B31" s="6" t="s">
        <v>610</v>
      </c>
    </row>
    <row r="32" spans="2:2" x14ac:dyDescent="0.35">
      <c r="B32" s="6" t="s">
        <v>611</v>
      </c>
    </row>
    <row r="33" spans="2:2" x14ac:dyDescent="0.35">
      <c r="B33" s="6" t="s">
        <v>612</v>
      </c>
    </row>
    <row r="34" spans="2:2" x14ac:dyDescent="0.35">
      <c r="B34" s="76" t="s">
        <v>364</v>
      </c>
    </row>
    <row r="35" spans="2:2" x14ac:dyDescent="0.35">
      <c r="B35" s="6" t="s">
        <v>613</v>
      </c>
    </row>
    <row r="36" spans="2:2" x14ac:dyDescent="0.35">
      <c r="B36" s="76" t="s">
        <v>365</v>
      </c>
    </row>
    <row r="37" spans="2:2" x14ac:dyDescent="0.35">
      <c r="B37" s="6" t="s">
        <v>512</v>
      </c>
    </row>
    <row r="38" spans="2:2" x14ac:dyDescent="0.35">
      <c r="B38" s="76" t="s">
        <v>366</v>
      </c>
    </row>
    <row r="39" spans="2:2" x14ac:dyDescent="0.35">
      <c r="B39" s="6" t="s">
        <v>614</v>
      </c>
    </row>
    <row r="40" spans="2:2" x14ac:dyDescent="0.35">
      <c r="B40" s="76" t="s">
        <v>367</v>
      </c>
    </row>
    <row r="41" spans="2:2" x14ac:dyDescent="0.35">
      <c r="B41" s="6" t="s">
        <v>615</v>
      </c>
    </row>
    <row r="42" spans="2:2" x14ac:dyDescent="0.35">
      <c r="B42" s="6" t="s">
        <v>513</v>
      </c>
    </row>
    <row r="43" spans="2:2" x14ac:dyDescent="0.35">
      <c r="B43" s="76" t="s">
        <v>368</v>
      </c>
    </row>
    <row r="44" spans="2:2" x14ac:dyDescent="0.35">
      <c r="B44" s="6" t="s">
        <v>369</v>
      </c>
    </row>
    <row r="45" spans="2:2" x14ac:dyDescent="0.35">
      <c r="B45" s="76" t="s">
        <v>370</v>
      </c>
    </row>
    <row r="46" spans="2:2" x14ac:dyDescent="0.35">
      <c r="B46" s="6" t="s">
        <v>514</v>
      </c>
    </row>
    <row r="47" spans="2:2" x14ac:dyDescent="0.35">
      <c r="B47" s="76" t="s">
        <v>371</v>
      </c>
    </row>
    <row r="48" spans="2:2" x14ac:dyDescent="0.35">
      <c r="B48" s="6" t="s">
        <v>515</v>
      </c>
    </row>
    <row r="49" spans="1:3" x14ac:dyDescent="0.35">
      <c r="B49" s="76" t="s">
        <v>373</v>
      </c>
      <c r="C49" t="s">
        <v>372</v>
      </c>
    </row>
    <row r="50" spans="1:3" x14ac:dyDescent="0.35">
      <c r="B50" s="6" t="s">
        <v>616</v>
      </c>
    </row>
    <row r="51" spans="1:3" x14ac:dyDescent="0.35">
      <c r="B51" s="6" t="s">
        <v>374</v>
      </c>
    </row>
    <row r="52" spans="1:3" x14ac:dyDescent="0.35">
      <c r="B52" s="7" t="s">
        <v>375</v>
      </c>
    </row>
    <row r="53" spans="1:3" x14ac:dyDescent="0.35">
      <c r="B53" s="7" t="s">
        <v>376</v>
      </c>
    </row>
    <row r="54" spans="1:3" x14ac:dyDescent="0.35">
      <c r="B54" s="7" t="s">
        <v>377</v>
      </c>
    </row>
    <row r="55" spans="1:3" x14ac:dyDescent="0.35">
      <c r="B55" s="7" t="s">
        <v>378</v>
      </c>
    </row>
    <row r="56" spans="1:3" x14ac:dyDescent="0.35">
      <c r="B56" s="7" t="s">
        <v>379</v>
      </c>
    </row>
    <row r="57" spans="1:3" x14ac:dyDescent="0.35">
      <c r="B57" s="7" t="s">
        <v>398</v>
      </c>
    </row>
    <row r="58" spans="1:3" x14ac:dyDescent="0.35">
      <c r="B58" s="7" t="s">
        <v>380</v>
      </c>
    </row>
    <row r="59" spans="1:3" x14ac:dyDescent="0.35">
      <c r="B59" s="76" t="s">
        <v>381</v>
      </c>
    </row>
    <row r="60" spans="1:3" x14ac:dyDescent="0.35">
      <c r="B60" s="6" t="s">
        <v>382</v>
      </c>
    </row>
    <row r="61" spans="1:3" x14ac:dyDescent="0.35">
      <c r="B61" s="76" t="s">
        <v>383</v>
      </c>
    </row>
    <row r="62" spans="1:3" x14ac:dyDescent="0.35">
      <c r="B62" s="6" t="s">
        <v>500</v>
      </c>
    </row>
    <row r="64" spans="1:3" x14ac:dyDescent="0.35">
      <c r="A64" s="4" t="s">
        <v>19</v>
      </c>
      <c r="B64" s="1" t="s">
        <v>384</v>
      </c>
    </row>
    <row r="65" spans="1:2" x14ac:dyDescent="0.35">
      <c r="B65" t="s">
        <v>501</v>
      </c>
    </row>
    <row r="66" spans="1:2" x14ac:dyDescent="0.35">
      <c r="B66" s="6" t="s">
        <v>385</v>
      </c>
    </row>
    <row r="67" spans="1:2" x14ac:dyDescent="0.35">
      <c r="B67" s="6" t="s">
        <v>399</v>
      </c>
    </row>
    <row r="68" spans="1:2" x14ac:dyDescent="0.35">
      <c r="B68" s="6" t="s">
        <v>400</v>
      </c>
    </row>
    <row r="69" spans="1:2" x14ac:dyDescent="0.35">
      <c r="B69" s="6" t="s">
        <v>386</v>
      </c>
    </row>
    <row r="70" spans="1:2" x14ac:dyDescent="0.35">
      <c r="B70" s="6" t="s">
        <v>387</v>
      </c>
    </row>
    <row r="71" spans="1:2" x14ac:dyDescent="0.35">
      <c r="B71" s="6" t="s">
        <v>388</v>
      </c>
    </row>
    <row r="72" spans="1:2" x14ac:dyDescent="0.35">
      <c r="B72" t="s">
        <v>516</v>
      </c>
    </row>
    <row r="74" spans="1:2" x14ac:dyDescent="0.35">
      <c r="A74" s="4" t="s">
        <v>19</v>
      </c>
      <c r="B74" s="1" t="s">
        <v>389</v>
      </c>
    </row>
    <row r="75" spans="1:2" x14ac:dyDescent="0.35">
      <c r="B75" t="s">
        <v>617</v>
      </c>
    </row>
    <row r="76" spans="1:2" x14ac:dyDescent="0.35">
      <c r="B76" t="s">
        <v>517</v>
      </c>
    </row>
    <row r="77" spans="1:2" x14ac:dyDescent="0.35">
      <c r="B77" t="s">
        <v>519</v>
      </c>
    </row>
    <row r="78" spans="1:2" x14ac:dyDescent="0.35">
      <c r="B78" t="s">
        <v>502</v>
      </c>
    </row>
    <row r="79" spans="1:2" x14ac:dyDescent="0.35">
      <c r="B79" t="s">
        <v>520</v>
      </c>
    </row>
    <row r="80" spans="1:2" x14ac:dyDescent="0.35">
      <c r="B80" t="s">
        <v>521</v>
      </c>
    </row>
    <row r="81" spans="1:3" x14ac:dyDescent="0.35">
      <c r="B81" t="s">
        <v>518</v>
      </c>
    </row>
    <row r="83" spans="1:3" x14ac:dyDescent="0.35">
      <c r="A83" s="4" t="s">
        <v>19</v>
      </c>
      <c r="B83" s="1" t="s">
        <v>390</v>
      </c>
    </row>
    <row r="84" spans="1:3" x14ac:dyDescent="0.35">
      <c r="B84" t="s">
        <v>618</v>
      </c>
    </row>
    <row r="85" spans="1:3" x14ac:dyDescent="0.35">
      <c r="B85" t="s">
        <v>522</v>
      </c>
    </row>
    <row r="87" spans="1:3" x14ac:dyDescent="0.35">
      <c r="A87" s="4" t="s">
        <v>19</v>
      </c>
      <c r="B87" s="1" t="s">
        <v>394</v>
      </c>
      <c r="C87" t="s">
        <v>645</v>
      </c>
    </row>
    <row r="88" spans="1:3" x14ac:dyDescent="0.35">
      <c r="B88" s="38" t="s">
        <v>396</v>
      </c>
      <c r="C88" s="167">
        <v>60</v>
      </c>
    </row>
    <row r="89" spans="1:3" x14ac:dyDescent="0.35">
      <c r="B89" t="s">
        <v>391</v>
      </c>
      <c r="C89" s="42">
        <v>15</v>
      </c>
    </row>
    <row r="90" spans="1:3" x14ac:dyDescent="0.35">
      <c r="B90" t="s">
        <v>395</v>
      </c>
      <c r="C90" s="42">
        <v>8</v>
      </c>
    </row>
    <row r="91" spans="1:3" x14ac:dyDescent="0.35">
      <c r="B91" t="s">
        <v>392</v>
      </c>
      <c r="C91" s="42">
        <v>6</v>
      </c>
    </row>
    <row r="92" spans="1:3" x14ac:dyDescent="0.35">
      <c r="B92" t="s">
        <v>393</v>
      </c>
      <c r="C92" s="42">
        <v>4</v>
      </c>
    </row>
    <row r="102" spans="1:10" x14ac:dyDescent="0.35">
      <c r="A102" s="4" t="s">
        <v>19</v>
      </c>
      <c r="B102" s="1" t="s">
        <v>401</v>
      </c>
    </row>
    <row r="103" spans="1:10" x14ac:dyDescent="0.35">
      <c r="B103" s="2" t="s">
        <v>430</v>
      </c>
      <c r="C103" s="2" t="s">
        <v>436</v>
      </c>
      <c r="D103" s="2" t="s">
        <v>431</v>
      </c>
      <c r="E103" s="2" t="s">
        <v>324</v>
      </c>
      <c r="F103" s="2" t="s">
        <v>435</v>
      </c>
      <c r="G103" s="2" t="s">
        <v>675</v>
      </c>
      <c r="H103" s="2" t="s">
        <v>432</v>
      </c>
      <c r="I103" s="2" t="s">
        <v>433</v>
      </c>
      <c r="J103" s="2" t="s">
        <v>434</v>
      </c>
    </row>
    <row r="104" spans="1:10" x14ac:dyDescent="0.35">
      <c r="B104" t="s">
        <v>402</v>
      </c>
      <c r="C104" t="s">
        <v>403</v>
      </c>
      <c r="D104" t="s">
        <v>404</v>
      </c>
      <c r="E104" t="s">
        <v>405</v>
      </c>
      <c r="F104" t="s">
        <v>406</v>
      </c>
      <c r="G104" t="s">
        <v>407</v>
      </c>
      <c r="H104" t="s">
        <v>408</v>
      </c>
      <c r="I104" t="s">
        <v>409</v>
      </c>
      <c r="J104" t="s">
        <v>410</v>
      </c>
    </row>
    <row r="105" spans="1:10" x14ac:dyDescent="0.35">
      <c r="B105" t="s">
        <v>402</v>
      </c>
      <c r="C105" t="s">
        <v>411</v>
      </c>
      <c r="D105" t="s">
        <v>412</v>
      </c>
      <c r="E105" t="s">
        <v>405</v>
      </c>
      <c r="F105" t="s">
        <v>413</v>
      </c>
      <c r="G105" t="s">
        <v>414</v>
      </c>
      <c r="H105" t="s">
        <v>415</v>
      </c>
      <c r="I105" t="s">
        <v>416</v>
      </c>
      <c r="J105" t="s">
        <v>417</v>
      </c>
    </row>
    <row r="106" spans="1:10" x14ac:dyDescent="0.35">
      <c r="B106" t="s">
        <v>418</v>
      </c>
      <c r="C106" t="s">
        <v>419</v>
      </c>
      <c r="D106" t="s">
        <v>420</v>
      </c>
      <c r="E106" t="s">
        <v>421</v>
      </c>
      <c r="F106" t="s">
        <v>422</v>
      </c>
      <c r="G106" t="s">
        <v>423</v>
      </c>
      <c r="H106" t="s">
        <v>408</v>
      </c>
      <c r="I106" t="s">
        <v>424</v>
      </c>
      <c r="J106" t="s">
        <v>425</v>
      </c>
    </row>
    <row r="107" spans="1:10" x14ac:dyDescent="0.35">
      <c r="B107" t="s">
        <v>418</v>
      </c>
      <c r="C107" t="s">
        <v>426</v>
      </c>
      <c r="D107" t="s">
        <v>427</v>
      </c>
      <c r="E107" t="s">
        <v>421</v>
      </c>
      <c r="F107" t="s">
        <v>332</v>
      </c>
      <c r="G107" t="s">
        <v>428</v>
      </c>
      <c r="H107" t="s">
        <v>415</v>
      </c>
      <c r="I107" t="s">
        <v>424</v>
      </c>
      <c r="J107" t="s">
        <v>429</v>
      </c>
    </row>
    <row r="109" spans="1:10" x14ac:dyDescent="0.35">
      <c r="A109" s="4" t="s">
        <v>19</v>
      </c>
      <c r="B109" s="1" t="s">
        <v>437</v>
      </c>
    </row>
    <row r="110" spans="1:10" x14ac:dyDescent="0.35">
      <c r="B110" t="s">
        <v>523</v>
      </c>
    </row>
    <row r="112" spans="1:10" x14ac:dyDescent="0.35">
      <c r="A112" s="4" t="s">
        <v>19</v>
      </c>
      <c r="B112" s="1" t="s">
        <v>438</v>
      </c>
    </row>
    <row r="113" spans="1:13" x14ac:dyDescent="0.35">
      <c r="B113" s="2" t="s">
        <v>430</v>
      </c>
      <c r="C113" s="2" t="s">
        <v>439</v>
      </c>
      <c r="D113" s="2" t="s">
        <v>440</v>
      </c>
      <c r="E113" s="2" t="s">
        <v>28</v>
      </c>
      <c r="F113" s="2" t="s">
        <v>441</v>
      </c>
      <c r="G113" s="2" t="s">
        <v>442</v>
      </c>
      <c r="H113" s="2" t="s">
        <v>676</v>
      </c>
      <c r="I113" s="2" t="s">
        <v>675</v>
      </c>
      <c r="J113" s="2" t="s">
        <v>432</v>
      </c>
      <c r="K113" s="2" t="s">
        <v>440</v>
      </c>
      <c r="L113" s="2" t="s">
        <v>434</v>
      </c>
      <c r="M113" s="2" t="s">
        <v>443</v>
      </c>
    </row>
    <row r="114" spans="1:13" x14ac:dyDescent="0.35">
      <c r="B114" t="s">
        <v>403</v>
      </c>
      <c r="C114" t="s">
        <v>412</v>
      </c>
      <c r="D114" t="s">
        <v>405</v>
      </c>
      <c r="E114" t="s">
        <v>408</v>
      </c>
      <c r="F114" t="s">
        <v>412</v>
      </c>
      <c r="G114" t="s">
        <v>444</v>
      </c>
      <c r="H114" t="s">
        <v>632</v>
      </c>
      <c r="I114" t="s">
        <v>465</v>
      </c>
      <c r="J114" t="s">
        <v>408</v>
      </c>
      <c r="K114" t="s">
        <v>445</v>
      </c>
      <c r="L114" t="s">
        <v>468</v>
      </c>
      <c r="M114" t="s">
        <v>415</v>
      </c>
    </row>
    <row r="115" spans="1:13" x14ac:dyDescent="0.35">
      <c r="B115" t="s">
        <v>411</v>
      </c>
      <c r="C115" t="s">
        <v>446</v>
      </c>
      <c r="D115" t="s">
        <v>447</v>
      </c>
      <c r="E115" t="s">
        <v>408</v>
      </c>
      <c r="F115" t="s">
        <v>448</v>
      </c>
      <c r="G115" t="s">
        <v>405</v>
      </c>
      <c r="H115" t="s">
        <v>677</v>
      </c>
      <c r="I115" t="s">
        <v>465</v>
      </c>
      <c r="J115" t="s">
        <v>415</v>
      </c>
      <c r="K115" t="s">
        <v>405</v>
      </c>
      <c r="L115" t="s">
        <v>449</v>
      </c>
      <c r="M115" t="s">
        <v>408</v>
      </c>
    </row>
    <row r="116" spans="1:13" x14ac:dyDescent="0.35">
      <c r="B116" t="s">
        <v>450</v>
      </c>
      <c r="C116" t="s">
        <v>451</v>
      </c>
      <c r="D116" t="s">
        <v>452</v>
      </c>
      <c r="E116" t="s">
        <v>415</v>
      </c>
      <c r="F116" t="s">
        <v>453</v>
      </c>
      <c r="G116" t="s">
        <v>454</v>
      </c>
      <c r="H116" t="s">
        <v>463</v>
      </c>
      <c r="I116" t="s">
        <v>466</v>
      </c>
      <c r="J116" t="s">
        <v>408</v>
      </c>
      <c r="K116" t="s">
        <v>467</v>
      </c>
      <c r="L116" t="s">
        <v>469</v>
      </c>
      <c r="M116" t="s">
        <v>455</v>
      </c>
    </row>
    <row r="117" spans="1:13" x14ac:dyDescent="0.35">
      <c r="B117" t="s">
        <v>426</v>
      </c>
      <c r="C117" t="s">
        <v>456</v>
      </c>
      <c r="D117" t="s">
        <v>457</v>
      </c>
      <c r="E117" t="s">
        <v>408</v>
      </c>
      <c r="F117" t="s">
        <v>456</v>
      </c>
      <c r="G117" t="s">
        <v>458</v>
      </c>
      <c r="H117" t="s">
        <v>464</v>
      </c>
      <c r="I117" t="s">
        <v>405</v>
      </c>
      <c r="J117" t="s">
        <v>633</v>
      </c>
      <c r="K117" t="s">
        <v>405</v>
      </c>
      <c r="L117" t="s">
        <v>470</v>
      </c>
      <c r="M117" t="s">
        <v>459</v>
      </c>
    </row>
    <row r="118" spans="1:13" x14ac:dyDescent="0.35">
      <c r="B118" t="s">
        <v>461</v>
      </c>
    </row>
    <row r="119" spans="1:13" x14ac:dyDescent="0.35">
      <c r="B119" t="s">
        <v>460</v>
      </c>
    </row>
    <row r="121" spans="1:13" x14ac:dyDescent="0.35">
      <c r="A121" s="4" t="s">
        <v>19</v>
      </c>
      <c r="B121" s="1" t="s">
        <v>472</v>
      </c>
    </row>
    <row r="122" spans="1:13" x14ac:dyDescent="0.35">
      <c r="B122" s="209" t="s">
        <v>503</v>
      </c>
    </row>
    <row r="123" spans="1:13" x14ac:dyDescent="0.35">
      <c r="B123" s="209" t="s">
        <v>462</v>
      </c>
    </row>
    <row r="124" spans="1:13" x14ac:dyDescent="0.35">
      <c r="B124" s="209" t="s">
        <v>524</v>
      </c>
    </row>
    <row r="125" spans="1:13" x14ac:dyDescent="0.35">
      <c r="B125" s="209" t="s">
        <v>471</v>
      </c>
    </row>
    <row r="126" spans="1:13" x14ac:dyDescent="0.35">
      <c r="B126" s="209" t="s">
        <v>504</v>
      </c>
    </row>
    <row r="127" spans="1:13" x14ac:dyDescent="0.35">
      <c r="B127" s="209" t="s">
        <v>505</v>
      </c>
    </row>
    <row r="129" spans="1:2" x14ac:dyDescent="0.35">
      <c r="A129" s="4" t="s">
        <v>19</v>
      </c>
      <c r="B129" s="1" t="s">
        <v>473</v>
      </c>
    </row>
    <row r="130" spans="1:2" x14ac:dyDescent="0.35">
      <c r="B130" t="s">
        <v>634</v>
      </c>
    </row>
    <row r="131" spans="1:2" x14ac:dyDescent="0.35">
      <c r="B131" t="s">
        <v>635</v>
      </c>
    </row>
    <row r="132" spans="1:2" x14ac:dyDescent="0.35">
      <c r="B132" s="209" t="s">
        <v>525</v>
      </c>
    </row>
    <row r="133" spans="1:2" x14ac:dyDescent="0.35">
      <c r="B133" s="209" t="s">
        <v>526</v>
      </c>
    </row>
    <row r="134" spans="1:2" x14ac:dyDescent="0.35">
      <c r="B134" s="209" t="s">
        <v>527</v>
      </c>
    </row>
    <row r="135" spans="1:2" x14ac:dyDescent="0.35">
      <c r="B135" s="209" t="s">
        <v>619</v>
      </c>
    </row>
    <row r="136" spans="1:2" x14ac:dyDescent="0.35">
      <c r="B136" s="209" t="s">
        <v>636</v>
      </c>
    </row>
    <row r="137" spans="1:2" x14ac:dyDescent="0.35">
      <c r="B137" s="209" t="s">
        <v>581</v>
      </c>
    </row>
    <row r="138" spans="1:2" x14ac:dyDescent="0.35">
      <c r="B138" s="209"/>
    </row>
    <row r="139" spans="1:2" x14ac:dyDescent="0.35">
      <c r="A139" s="4" t="s">
        <v>19</v>
      </c>
      <c r="B139" s="1" t="s">
        <v>474</v>
      </c>
    </row>
    <row r="140" spans="1:2" x14ac:dyDescent="0.35">
      <c r="B140" t="s">
        <v>528</v>
      </c>
    </row>
    <row r="141" spans="1:2" x14ac:dyDescent="0.35">
      <c r="B141" t="s">
        <v>475</v>
      </c>
    </row>
    <row r="142" spans="1:2" x14ac:dyDescent="0.35">
      <c r="B142" s="209" t="s">
        <v>620</v>
      </c>
    </row>
    <row r="143" spans="1:2" x14ac:dyDescent="0.35">
      <c r="B143" s="209" t="s">
        <v>530</v>
      </c>
    </row>
    <row r="144" spans="1:2" x14ac:dyDescent="0.35">
      <c r="B144" s="209" t="s">
        <v>637</v>
      </c>
    </row>
    <row r="145" spans="1:3" x14ac:dyDescent="0.35">
      <c r="B145" s="209" t="s">
        <v>529</v>
      </c>
    </row>
    <row r="147" spans="1:3" x14ac:dyDescent="0.35">
      <c r="A147" s="4" t="s">
        <v>19</v>
      </c>
      <c r="B147" s="1" t="s">
        <v>531</v>
      </c>
    </row>
    <row r="148" spans="1:3" x14ac:dyDescent="0.35">
      <c r="B148" t="s">
        <v>476</v>
      </c>
    </row>
    <row r="149" spans="1:3" x14ac:dyDescent="0.35">
      <c r="B149" s="209" t="s">
        <v>532</v>
      </c>
    </row>
    <row r="150" spans="1:3" x14ac:dyDescent="0.35">
      <c r="B150" s="209" t="s">
        <v>638</v>
      </c>
    </row>
    <row r="151" spans="1:3" x14ac:dyDescent="0.35">
      <c r="B151" s="209" t="s">
        <v>533</v>
      </c>
    </row>
    <row r="152" spans="1:3" x14ac:dyDescent="0.35">
      <c r="B152" s="209" t="s">
        <v>534</v>
      </c>
    </row>
    <row r="153" spans="1:3" x14ac:dyDescent="0.35">
      <c r="B153" s="209" t="s">
        <v>535</v>
      </c>
    </row>
    <row r="154" spans="1:3" x14ac:dyDescent="0.35">
      <c r="B154" s="209" t="s">
        <v>621</v>
      </c>
    </row>
    <row r="155" spans="1:3" x14ac:dyDescent="0.35">
      <c r="B155" s="209"/>
    </row>
    <row r="156" spans="1:3" x14ac:dyDescent="0.35">
      <c r="A156" s="4" t="s">
        <v>19</v>
      </c>
      <c r="B156" s="1" t="s">
        <v>477</v>
      </c>
    </row>
    <row r="157" spans="1:3" x14ac:dyDescent="0.35">
      <c r="B157" t="s">
        <v>622</v>
      </c>
    </row>
    <row r="159" spans="1:3" x14ac:dyDescent="0.35">
      <c r="A159" s="4" t="s">
        <v>19</v>
      </c>
      <c r="B159" s="1" t="s">
        <v>483</v>
      </c>
    </row>
    <row r="160" spans="1:3" x14ac:dyDescent="0.35">
      <c r="B160" s="119" t="s">
        <v>125</v>
      </c>
      <c r="C160" s="2" t="s">
        <v>484</v>
      </c>
    </row>
    <row r="161" spans="1:3" x14ac:dyDescent="0.35">
      <c r="B161" t="s">
        <v>478</v>
      </c>
      <c r="C161" s="18">
        <v>64</v>
      </c>
    </row>
    <row r="162" spans="1:3" x14ac:dyDescent="0.35">
      <c r="B162" t="s">
        <v>66</v>
      </c>
      <c r="C162" s="24">
        <f>C161</f>
        <v>64</v>
      </c>
    </row>
    <row r="163" spans="1:3" x14ac:dyDescent="0.35">
      <c r="B163" t="s">
        <v>479</v>
      </c>
      <c r="C163" s="36"/>
    </row>
    <row r="164" spans="1:3" x14ac:dyDescent="0.35">
      <c r="B164" t="s">
        <v>480</v>
      </c>
      <c r="C164" s="18">
        <v>54.8</v>
      </c>
    </row>
    <row r="165" spans="1:3" x14ac:dyDescent="0.35">
      <c r="B165" t="s">
        <v>481</v>
      </c>
      <c r="C165" s="17">
        <v>2</v>
      </c>
    </row>
    <row r="166" spans="1:3" x14ac:dyDescent="0.35">
      <c r="B166" t="s">
        <v>482</v>
      </c>
      <c r="C166" s="17">
        <v>3</v>
      </c>
    </row>
    <row r="167" spans="1:3" x14ac:dyDescent="0.35">
      <c r="B167" t="s">
        <v>574</v>
      </c>
      <c r="C167" s="17">
        <v>4.2</v>
      </c>
    </row>
    <row r="168" spans="1:3" x14ac:dyDescent="0.35">
      <c r="B168" t="s">
        <v>66</v>
      </c>
      <c r="C168" s="24">
        <f>SUM(C164:C167)</f>
        <v>64</v>
      </c>
    </row>
    <row r="169" spans="1:3" x14ac:dyDescent="0.35">
      <c r="C169" s="24"/>
    </row>
    <row r="170" spans="1:3" x14ac:dyDescent="0.35">
      <c r="A170" s="4" t="s">
        <v>19</v>
      </c>
      <c r="B170" s="1" t="s">
        <v>575</v>
      </c>
    </row>
    <row r="171" spans="1:3" x14ac:dyDescent="0.35">
      <c r="B171" t="s">
        <v>576</v>
      </c>
    </row>
    <row r="172" spans="1:3" x14ac:dyDescent="0.35">
      <c r="B172" t="s">
        <v>639</v>
      </c>
    </row>
    <row r="174" spans="1:3" x14ac:dyDescent="0.35">
      <c r="A174" s="4" t="s">
        <v>19</v>
      </c>
      <c r="B174" s="1" t="s">
        <v>485</v>
      </c>
    </row>
    <row r="175" spans="1:3" x14ac:dyDescent="0.35">
      <c r="B175" t="s">
        <v>640</v>
      </c>
    </row>
    <row r="176" spans="1:3" x14ac:dyDescent="0.35">
      <c r="B176" t="s">
        <v>537</v>
      </c>
    </row>
    <row r="177" spans="1:3" x14ac:dyDescent="0.35">
      <c r="B177" t="s">
        <v>536</v>
      </c>
    </row>
    <row r="179" spans="1:3" x14ac:dyDescent="0.35">
      <c r="A179" s="4" t="s">
        <v>19</v>
      </c>
      <c r="B179" s="1" t="s">
        <v>486</v>
      </c>
    </row>
    <row r="180" spans="1:3" x14ac:dyDescent="0.35">
      <c r="B180" s="119" t="s">
        <v>125</v>
      </c>
      <c r="C180" s="2" t="s">
        <v>484</v>
      </c>
    </row>
    <row r="181" spans="1:3" x14ac:dyDescent="0.35">
      <c r="B181" t="s">
        <v>488</v>
      </c>
    </row>
    <row r="182" spans="1:3" x14ac:dyDescent="0.35">
      <c r="B182" t="s">
        <v>478</v>
      </c>
      <c r="C182" s="18">
        <v>73</v>
      </c>
    </row>
    <row r="183" spans="1:3" x14ac:dyDescent="0.35">
      <c r="B183" t="s">
        <v>66</v>
      </c>
      <c r="C183" s="24">
        <f>C182</f>
        <v>73</v>
      </c>
    </row>
    <row r="184" spans="1:3" x14ac:dyDescent="0.35">
      <c r="B184" t="s">
        <v>479</v>
      </c>
    </row>
    <row r="185" spans="1:3" x14ac:dyDescent="0.35">
      <c r="B185" t="s">
        <v>480</v>
      </c>
      <c r="C185" s="18">
        <v>54.8</v>
      </c>
    </row>
    <row r="186" spans="1:3" x14ac:dyDescent="0.35">
      <c r="B186" t="s">
        <v>481</v>
      </c>
      <c r="C186" s="17">
        <v>2</v>
      </c>
    </row>
    <row r="187" spans="1:3" x14ac:dyDescent="0.35">
      <c r="B187" t="s">
        <v>482</v>
      </c>
      <c r="C187" s="17">
        <v>3</v>
      </c>
    </row>
    <row r="188" spans="1:3" x14ac:dyDescent="0.35">
      <c r="B188" t="s">
        <v>487</v>
      </c>
      <c r="C188" s="17">
        <v>1.6</v>
      </c>
    </row>
    <row r="189" spans="1:3" x14ac:dyDescent="0.35">
      <c r="B189" t="s">
        <v>574</v>
      </c>
      <c r="C189" s="17">
        <v>11.6</v>
      </c>
    </row>
    <row r="190" spans="1:3" x14ac:dyDescent="0.35">
      <c r="B190" t="s">
        <v>66</v>
      </c>
      <c r="C190" s="24">
        <f>SUM(C185:C189)</f>
        <v>73</v>
      </c>
    </row>
    <row r="192" spans="1:3" x14ac:dyDescent="0.35">
      <c r="A192" s="4" t="s">
        <v>19</v>
      </c>
      <c r="B192" s="1" t="s">
        <v>489</v>
      </c>
    </row>
    <row r="193" spans="2:4" x14ac:dyDescent="0.35">
      <c r="B193" s="119" t="s">
        <v>125</v>
      </c>
      <c r="C193" s="2" t="s">
        <v>349</v>
      </c>
      <c r="D193" s="2" t="s">
        <v>493</v>
      </c>
    </row>
    <row r="194" spans="2:4" x14ac:dyDescent="0.35">
      <c r="B194" t="s">
        <v>490</v>
      </c>
      <c r="C194" s="18">
        <v>24.2</v>
      </c>
      <c r="D194" t="s">
        <v>312</v>
      </c>
    </row>
    <row r="195" spans="2:4" x14ac:dyDescent="0.35">
      <c r="B195" t="s">
        <v>491</v>
      </c>
      <c r="C195" s="36"/>
    </row>
    <row r="196" spans="2:4" x14ac:dyDescent="0.35">
      <c r="B196" t="s">
        <v>396</v>
      </c>
      <c r="C196" s="24">
        <f>C167</f>
        <v>4.2</v>
      </c>
      <c r="D196" s="82">
        <f>C196/$C$194</f>
        <v>0.17355371900826447</v>
      </c>
    </row>
    <row r="197" spans="2:4" x14ac:dyDescent="0.35">
      <c r="B197" t="s">
        <v>492</v>
      </c>
      <c r="C197" s="24">
        <f>C189</f>
        <v>11.6</v>
      </c>
      <c r="D197" s="82">
        <f>C197/$C$194</f>
        <v>0.47933884297520662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Background</vt:lpstr>
      <vt:lpstr>The Dinner</vt:lpstr>
      <vt:lpstr>The IB Presentation</vt:lpstr>
      <vt:lpstr>The Spiral of Distress</vt:lpstr>
      <vt:lpstr>The Bank Meeting</vt:lpstr>
      <vt:lpstr>Banks Options and Strategy</vt:lpstr>
      <vt:lpstr>The Negotiated Action Plan</vt:lpstr>
      <vt:lpstr>Sale of Subsidiary</vt:lpstr>
      <vt:lpstr>Sale of the Company</vt:lpstr>
      <vt:lpstr>Distressed Valuation</vt:lpstr>
      <vt:lpstr>Troubled Company Sale 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Ernest</dc:creator>
  <cp:lastModifiedBy>Aaron Ernest</cp:lastModifiedBy>
  <cp:lastPrinted>2024-09-19T14:21:14Z</cp:lastPrinted>
  <dcterms:created xsi:type="dcterms:W3CDTF">2024-09-15T18:31:41Z</dcterms:created>
  <dcterms:modified xsi:type="dcterms:W3CDTF">2024-09-25T02:39:02Z</dcterms:modified>
</cp:coreProperties>
</file>